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xi\Documents\Zeta_Edit\"/>
    </mc:Choice>
  </mc:AlternateContent>
  <xr:revisionPtr revIDLastSave="0" documentId="13_ncr:1_{220208F9-5FC1-4BF0-A406-19A1B3588EEA}" xr6:coauthVersionLast="47" xr6:coauthVersionMax="47" xr10:uidLastSave="{00000000-0000-0000-0000-000000000000}"/>
  <bookViews>
    <workbookView xWindow="-108" yWindow="-108" windowWidth="30936" windowHeight="16776" activeTab="14" xr2:uid="{1824974A-EE11-4D45-9E77-7FD654A455C0}"/>
  </bookViews>
  <sheets>
    <sheet name="Daily Summary " sheetId="7" r:id="rId1"/>
    <sheet name="AAS lab Crushing Daily " sheetId="16" r:id="rId2"/>
    <sheet name="Reagent Consumption" sheetId="2" r:id="rId3"/>
    <sheet name="Crushing" sheetId="1" r:id="rId4"/>
    <sheet name="Rom File Inventory" sheetId="12" r:id="rId5"/>
    <sheet name="Au Cal Leaching Tank" sheetId="13" r:id="rId6"/>
    <sheet name="LT Ball Mill" sheetId="17" r:id="rId7"/>
    <sheet name="Milling and Leach Feed" sheetId="4" r:id="rId8"/>
    <sheet name="Crushing Down Time Hours" sheetId="8" r:id="rId9"/>
    <sheet name="Milling Down Time Hours" sheetId="5" r:id="rId10"/>
    <sheet name="LT Floculation" sheetId="15" r:id="rId11"/>
    <sheet name="Filter Press Down Time Hours " sheetId="14" r:id="rId12"/>
    <sheet name="Leach Time Process&amp;Down Time" sheetId="11" r:id="rId13"/>
    <sheet name="Leaching" sheetId="3" r:id="rId14"/>
    <sheet name="Fuel Consumption" sheetId="6" r:id="rId15"/>
  </sheets>
  <definedNames>
    <definedName name="_xlchart.v1.0" hidden="1">'Rom File Inventory'!$AD$1:$AD$133</definedName>
    <definedName name="_xlchart.v1.1" hidden="1">'Rom File Inventory'!$AE$1:$AE$133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8" i="4" l="1"/>
  <c r="W17" i="4"/>
  <c r="W16" i="4"/>
  <c r="Y12" i="13"/>
  <c r="Z12" i="13"/>
  <c r="X12" i="13"/>
  <c r="U60" i="13"/>
  <c r="V12" i="13"/>
  <c r="W12" i="13"/>
  <c r="U12" i="13"/>
  <c r="U18" i="4"/>
  <c r="V18" i="4"/>
  <c r="T18" i="4"/>
  <c r="U17" i="4"/>
  <c r="V17" i="4"/>
  <c r="T17" i="4"/>
  <c r="Q21" i="4"/>
  <c r="O21" i="4"/>
  <c r="P14" i="5"/>
  <c r="P13" i="5"/>
  <c r="P12" i="5"/>
  <c r="N21" i="4"/>
  <c r="P21" i="4"/>
  <c r="R21" i="4"/>
  <c r="M21" i="4"/>
  <c r="M20" i="4"/>
  <c r="L12" i="13"/>
  <c r="K12" i="13"/>
  <c r="H20" i="4"/>
  <c r="H21" i="4" s="1"/>
  <c r="M19" i="4"/>
  <c r="O2" i="4"/>
  <c r="Z5" i="4"/>
  <c r="M11" i="4"/>
  <c r="N17" i="4"/>
  <c r="N16" i="4"/>
  <c r="H19" i="4"/>
  <c r="H18" i="4"/>
  <c r="H17" i="4"/>
  <c r="M16" i="4"/>
  <c r="H16" i="4"/>
  <c r="AF39" i="4" l="1"/>
  <c r="U16" i="4" l="1"/>
  <c r="V16" i="4"/>
  <c r="T16" i="4"/>
  <c r="Q18" i="4"/>
  <c r="Q16" i="4"/>
  <c r="P16" i="4" s="1"/>
  <c r="O16" i="4" s="1"/>
  <c r="P18" i="4"/>
  <c r="Q15" i="4"/>
  <c r="R48" i="4"/>
  <c r="R50" i="4"/>
  <c r="R54" i="4"/>
  <c r="R56" i="4"/>
  <c r="R58" i="4"/>
  <c r="R60" i="4"/>
  <c r="R62" i="4"/>
  <c r="R64" i="4"/>
  <c r="R66" i="4"/>
  <c r="R68" i="4"/>
  <c r="R70" i="4"/>
  <c r="R72" i="4"/>
  <c r="R74" i="4"/>
  <c r="R76" i="4"/>
  <c r="R78" i="4"/>
  <c r="R80" i="4"/>
  <c r="R82" i="4"/>
  <c r="R84" i="4"/>
  <c r="R86" i="4"/>
  <c r="R88" i="4"/>
  <c r="R90" i="4"/>
  <c r="R92" i="4"/>
  <c r="R94" i="4"/>
  <c r="G11" i="5"/>
  <c r="G10" i="5"/>
  <c r="P6" i="5"/>
  <c r="P7" i="5"/>
  <c r="P8" i="5"/>
  <c r="P9" i="5"/>
  <c r="P10" i="5"/>
  <c r="P5" i="5"/>
  <c r="F6" i="14"/>
  <c r="M5" i="14"/>
  <c r="F5" i="14"/>
  <c r="I3" i="14"/>
  <c r="I2" i="14"/>
  <c r="I22" i="4"/>
  <c r="I11" i="17"/>
  <c r="W13" i="17" s="1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W21" i="17"/>
  <c r="X18" i="17"/>
  <c r="Y18" i="17"/>
  <c r="W18" i="17"/>
  <c r="X13" i="17"/>
  <c r="Y13" i="17"/>
  <c r="X8" i="17"/>
  <c r="Y8" i="17"/>
  <c r="W8" i="17"/>
  <c r="J24" i="17"/>
  <c r="K24" i="17"/>
  <c r="I24" i="17"/>
  <c r="J18" i="17"/>
  <c r="K18" i="17"/>
  <c r="I18" i="17"/>
  <c r="J11" i="17"/>
  <c r="K11" i="17"/>
  <c r="J6" i="17"/>
  <c r="K6" i="17"/>
  <c r="I6" i="17"/>
  <c r="U21" i="17"/>
  <c r="V21" i="17"/>
  <c r="T21" i="17"/>
  <c r="U18" i="17"/>
  <c r="V18" i="17"/>
  <c r="T18" i="17"/>
  <c r="U13" i="17"/>
  <c r="V13" i="17"/>
  <c r="T13" i="17"/>
  <c r="U8" i="17"/>
  <c r="V8" i="17"/>
  <c r="T8" i="17"/>
  <c r="G57" i="7"/>
  <c r="H6" i="15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R13" i="13"/>
  <c r="AR14" i="13"/>
  <c r="AR15" i="13"/>
  <c r="AR16" i="13"/>
  <c r="AR17" i="13"/>
  <c r="AR18" i="13"/>
  <c r="AR19" i="13"/>
  <c r="AR20" i="13"/>
  <c r="AR21" i="13"/>
  <c r="AR22" i="13"/>
  <c r="AR23" i="13"/>
  <c r="AR24" i="13"/>
  <c r="AR25" i="13"/>
  <c r="AR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Q13" i="13"/>
  <c r="AQ14" i="13"/>
  <c r="AQ15" i="13"/>
  <c r="AD11" i="13"/>
  <c r="AE11" i="13"/>
  <c r="AC11" i="13"/>
  <c r="H7" i="15"/>
  <c r="I7" i="15"/>
  <c r="G7" i="15"/>
  <c r="R11" i="13"/>
  <c r="I18" i="4" l="1"/>
  <c r="M17" i="4"/>
  <c r="M18" i="4" s="1"/>
  <c r="AC10" i="4"/>
  <c r="AD10" i="13"/>
  <c r="I6" i="15"/>
  <c r="AE10" i="13" s="1"/>
  <c r="G6" i="15"/>
  <c r="AC10" i="13" s="1"/>
  <c r="Z10" i="12"/>
  <c r="Z9" i="12"/>
  <c r="Z14" i="12" s="1"/>
  <c r="J19" i="12"/>
  <c r="O28" i="12"/>
  <c r="O27" i="12"/>
  <c r="X96" i="12"/>
  <c r="X95" i="12"/>
  <c r="X94" i="12"/>
  <c r="X93" i="12"/>
  <c r="W93" i="12"/>
  <c r="U94" i="12"/>
  <c r="U95" i="12"/>
  <c r="U96" i="12"/>
  <c r="U97" i="12"/>
  <c r="U98" i="12"/>
  <c r="U99" i="12"/>
  <c r="U100" i="12"/>
  <c r="U101" i="12"/>
  <c r="U93" i="12"/>
  <c r="U11" i="4"/>
  <c r="V11" i="4"/>
  <c r="T11" i="4"/>
  <c r="U10" i="4"/>
  <c r="V10" i="4"/>
  <c r="T10" i="4"/>
  <c r="U9" i="4"/>
  <c r="V9" i="4"/>
  <c r="T9" i="4"/>
  <c r="S11" i="13"/>
  <c r="K61" i="13"/>
  <c r="R10" i="13"/>
  <c r="J7" i="11"/>
  <c r="L7" i="11" s="1"/>
  <c r="J8" i="11"/>
  <c r="J9" i="11"/>
  <c r="L9" i="11" s="1"/>
  <c r="J10" i="11"/>
  <c r="J11" i="11"/>
  <c r="L11" i="11" s="1"/>
  <c r="J12" i="11"/>
  <c r="L12" i="11" s="1"/>
  <c r="J13" i="11"/>
  <c r="L13" i="11" s="1"/>
  <c r="J14" i="11"/>
  <c r="L14" i="11" s="1"/>
  <c r="J15" i="11"/>
  <c r="J16" i="11"/>
  <c r="J17" i="11"/>
  <c r="J18" i="11"/>
  <c r="J19" i="11"/>
  <c r="J20" i="11"/>
  <c r="L20" i="11" s="1"/>
  <c r="J21" i="11"/>
  <c r="L21" i="11" s="1"/>
  <c r="J22" i="11"/>
  <c r="L22" i="11" s="1"/>
  <c r="J23" i="11"/>
  <c r="J24" i="11"/>
  <c r="J25" i="11"/>
  <c r="L25" i="11" s="1"/>
  <c r="J26" i="11"/>
  <c r="J27" i="11"/>
  <c r="L27" i="11" s="1"/>
  <c r="J28" i="11"/>
  <c r="L28" i="11" s="1"/>
  <c r="J29" i="11"/>
  <c r="L29" i="11" s="1"/>
  <c r="J30" i="11"/>
  <c r="L30" i="11" s="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O18" i="4" l="1"/>
  <c r="W11" i="13"/>
  <c r="V11" i="13"/>
  <c r="U11" i="13"/>
  <c r="T1" i="2"/>
  <c r="O9" i="12" l="1"/>
  <c r="O8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T11" i="13"/>
  <c r="H9" i="4"/>
  <c r="H10" i="4" s="1"/>
  <c r="H11" i="4" s="1"/>
  <c r="M5" i="4"/>
  <c r="K11" i="13"/>
  <c r="T10" i="13"/>
  <c r="U8" i="4"/>
  <c r="V8" i="4"/>
  <c r="T8" i="4"/>
  <c r="U7" i="4"/>
  <c r="V7" i="4"/>
  <c r="T7" i="4"/>
  <c r="U6" i="4"/>
  <c r="V6" i="4"/>
  <c r="T6" i="4"/>
  <c r="U5" i="4"/>
  <c r="V5" i="4"/>
  <c r="T5" i="4"/>
  <c r="I10" i="4"/>
  <c r="H6" i="4"/>
  <c r="M6" i="4" s="1"/>
  <c r="J5" i="4"/>
  <c r="K10" i="13"/>
  <c r="S10" i="13" s="1"/>
  <c r="M7" i="4" l="1"/>
  <c r="O7" i="4" s="1"/>
  <c r="M9" i="4"/>
  <c r="H7" i="4"/>
  <c r="N5" i="4"/>
  <c r="V10" i="13"/>
  <c r="V62" i="13" s="1"/>
  <c r="U10" i="13"/>
  <c r="AI10" i="13" s="1"/>
  <c r="AQ10" i="13" s="1"/>
  <c r="W10" i="13"/>
  <c r="W62" i="13" s="1"/>
  <c r="H8" i="4"/>
  <c r="M8" i="4" l="1"/>
  <c r="U62" i="13"/>
  <c r="AM67" i="13"/>
  <c r="M10" i="4"/>
  <c r="I8" i="4"/>
  <c r="M12" i="4"/>
  <c r="M13" i="4"/>
  <c r="M14" i="4"/>
  <c r="M15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AC18" i="4"/>
  <c r="N19" i="4" l="1"/>
  <c r="M98" i="4"/>
  <c r="O11" i="4"/>
  <c r="N11" i="4"/>
  <c r="O10" i="4"/>
  <c r="S9" i="4"/>
  <c r="N9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1" i="4"/>
  <c r="Y83" i="4"/>
  <c r="Y85" i="4"/>
  <c r="Y87" i="4"/>
  <c r="Y89" i="4"/>
  <c r="Y91" i="4"/>
  <c r="Y93" i="4"/>
  <c r="Y95" i="4"/>
  <c r="Y96" i="4"/>
  <c r="Y97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1" i="4"/>
  <c r="X83" i="4"/>
  <c r="X85" i="4"/>
  <c r="X87" i="4"/>
  <c r="X89" i="4"/>
  <c r="X91" i="4"/>
  <c r="X93" i="4"/>
  <c r="X95" i="4"/>
  <c r="X96" i="4"/>
  <c r="X97" i="4"/>
  <c r="W9" i="4"/>
  <c r="Z9" i="4" s="1"/>
  <c r="W10" i="4"/>
  <c r="Z10" i="4" s="1"/>
  <c r="W11" i="4"/>
  <c r="Z11" i="4" s="1"/>
  <c r="W12" i="4"/>
  <c r="Z12" i="4" s="1"/>
  <c r="W13" i="4"/>
  <c r="Z13" i="4" s="1"/>
  <c r="W14" i="4"/>
  <c r="Z14" i="4" s="1"/>
  <c r="W15" i="4"/>
  <c r="Z15" i="4" s="1"/>
  <c r="Z16" i="4"/>
  <c r="Z17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1" i="4"/>
  <c r="W83" i="4"/>
  <c r="W85" i="4"/>
  <c r="W87" i="4"/>
  <c r="W89" i="4"/>
  <c r="W91" i="4"/>
  <c r="W93" i="4"/>
  <c r="W95" i="4"/>
  <c r="W96" i="4"/>
  <c r="W97" i="4"/>
  <c r="Y5" i="4"/>
  <c r="X5" i="4"/>
  <c r="W5" i="4"/>
  <c r="X11" i="13" l="1"/>
  <c r="AA11" i="13" s="1"/>
  <c r="Z11" i="13"/>
  <c r="Y11" i="13"/>
  <c r="I6" i="4"/>
  <c r="O7" i="2"/>
  <c r="O8" i="2"/>
  <c r="O9" i="2"/>
  <c r="O10" i="2"/>
  <c r="AB11" i="13" l="1"/>
  <c r="S5" i="4"/>
  <c r="W6" i="4"/>
  <c r="Y6" i="4"/>
  <c r="X6" i="4"/>
  <c r="O6" i="4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45" i="7"/>
  <c r="L7" i="7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F22" i="7"/>
  <c r="F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H8" i="7"/>
  <c r="H19" i="7"/>
  <c r="H20" i="7"/>
  <c r="H21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L18" i="8"/>
  <c r="M18" i="8"/>
  <c r="N18" i="8"/>
  <c r="M19" i="8"/>
  <c r="N87" i="1"/>
  <c r="C23" i="7"/>
  <c r="O22" i="12"/>
  <c r="X98" i="4" l="1"/>
  <c r="Z6" i="4"/>
  <c r="N7" i="4"/>
  <c r="Y7" i="4"/>
  <c r="Y98" i="4" s="1"/>
  <c r="W7" i="4"/>
  <c r="Z7" i="4" s="1"/>
  <c r="X7" i="4"/>
  <c r="O8" i="4"/>
  <c r="Y8" i="4"/>
  <c r="X8" i="4"/>
  <c r="W8" i="4"/>
  <c r="Z8" i="4" s="1"/>
  <c r="I16" i="7"/>
  <c r="I17" i="7"/>
  <c r="I18" i="7"/>
  <c r="I19" i="7"/>
  <c r="I20" i="7"/>
  <c r="I21" i="7"/>
  <c r="I22" i="7"/>
  <c r="I23" i="7"/>
  <c r="F21" i="7"/>
  <c r="F53" i="7"/>
  <c r="O14" i="12"/>
  <c r="AA97" i="4" l="1"/>
  <c r="AA100" i="4"/>
  <c r="AA101" i="4"/>
  <c r="W98" i="4"/>
  <c r="Y10" i="13"/>
  <c r="X10" i="13"/>
  <c r="Z10" i="13"/>
  <c r="G18" i="7"/>
  <c r="G19" i="7"/>
  <c r="G23" i="7"/>
  <c r="H23" i="7" s="1"/>
  <c r="G24" i="7"/>
  <c r="G25" i="7"/>
  <c r="G26" i="7"/>
  <c r="G27" i="7"/>
  <c r="G28" i="7"/>
  <c r="G29" i="7"/>
  <c r="G30" i="7"/>
  <c r="G31" i="7"/>
  <c r="G32" i="7"/>
  <c r="G33" i="7"/>
  <c r="G34" i="7"/>
  <c r="G36" i="7"/>
  <c r="G37" i="7"/>
  <c r="G38" i="7"/>
  <c r="G40" i="7"/>
  <c r="G41" i="7"/>
  <c r="G42" i="7"/>
  <c r="G43" i="7"/>
  <c r="G44" i="7"/>
  <c r="G45" i="7"/>
  <c r="G46" i="7"/>
  <c r="G47" i="7"/>
  <c r="G48" i="7"/>
  <c r="G49" i="7"/>
  <c r="H18" i="7"/>
  <c r="O36" i="1"/>
  <c r="N17" i="8"/>
  <c r="L17" i="8"/>
  <c r="M37" i="1"/>
  <c r="K22" i="12"/>
  <c r="K21" i="12"/>
  <c r="K20" i="12"/>
  <c r="K19" i="12"/>
  <c r="K18" i="12"/>
  <c r="K17" i="12"/>
  <c r="K16" i="12"/>
  <c r="K15" i="12"/>
  <c r="K14" i="12"/>
  <c r="K13" i="12"/>
  <c r="H41" i="12"/>
  <c r="G41" i="12"/>
  <c r="L41" i="12"/>
  <c r="L40" i="12"/>
  <c r="M15" i="12"/>
  <c r="J15" i="12"/>
  <c r="O20" i="12"/>
  <c r="G148" i="12"/>
  <c r="O34" i="1"/>
  <c r="O32" i="1"/>
  <c r="O26" i="1"/>
  <c r="O22" i="1"/>
  <c r="O20" i="1"/>
  <c r="AK10" i="13" l="1"/>
  <c r="Z60" i="13"/>
  <c r="Z62" i="13"/>
  <c r="X60" i="13"/>
  <c r="X62" i="13"/>
  <c r="Y60" i="13"/>
  <c r="Y62" i="13"/>
  <c r="AB10" i="13"/>
  <c r="AA10" i="13"/>
  <c r="F20" i="7"/>
  <c r="AI56" i="7"/>
  <c r="S16" i="1"/>
  <c r="S14" i="1"/>
  <c r="J16" i="12"/>
  <c r="F17" i="7"/>
  <c r="F15" i="7"/>
  <c r="Z13" i="12" l="1"/>
  <c r="G20" i="7"/>
  <c r="F51" i="7"/>
  <c r="AA14" i="1"/>
  <c r="AA13" i="1"/>
  <c r="O5" i="12"/>
  <c r="M17" i="8"/>
  <c r="M20" i="8"/>
  <c r="M21" i="8"/>
  <c r="M22" i="8"/>
  <c r="M23" i="8"/>
  <c r="M24" i="8"/>
  <c r="M25" i="8"/>
  <c r="M26" i="8"/>
  <c r="M27" i="8"/>
  <c r="M28" i="8"/>
  <c r="M29" i="8"/>
  <c r="F9" i="8"/>
  <c r="F86" i="1"/>
  <c r="I20" i="1"/>
  <c r="L20" i="1" s="1"/>
  <c r="I21" i="1"/>
  <c r="K21" i="1" s="1"/>
  <c r="J9" i="12"/>
  <c r="J10" i="12"/>
  <c r="J11" i="12"/>
  <c r="J12" i="12"/>
  <c r="J8" i="12"/>
  <c r="Z12" i="12"/>
  <c r="Z11" i="12"/>
  <c r="AA11" i="1"/>
  <c r="AA7" i="1"/>
  <c r="AA10" i="1"/>
  <c r="AA12" i="1"/>
  <c r="I8" i="1"/>
  <c r="K8" i="1" s="1"/>
  <c r="M8" i="12" l="1"/>
  <c r="L21" i="1"/>
  <c r="N20" i="1" s="1"/>
  <c r="K20" i="1"/>
  <c r="M20" i="1" s="1"/>
  <c r="H53" i="12"/>
  <c r="J14" i="12"/>
  <c r="J13" i="12"/>
  <c r="J47" i="12"/>
  <c r="K9" i="12"/>
  <c r="K10" i="12"/>
  <c r="K11" i="12"/>
  <c r="K12" i="12"/>
  <c r="K8" i="12"/>
  <c r="J17" i="12"/>
  <c r="J18" i="12"/>
  <c r="J20" i="12"/>
  <c r="J21" i="12"/>
  <c r="J22" i="12"/>
  <c r="M22" i="12" s="1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I7" i="1"/>
  <c r="L7" i="1" s="1"/>
  <c r="L8" i="1"/>
  <c r="AP9" i="2"/>
  <c r="V8" i="2"/>
  <c r="V9" i="2"/>
  <c r="V10" i="2"/>
  <c r="V11" i="2"/>
  <c r="V13" i="2"/>
  <c r="V15" i="2"/>
  <c r="V16" i="2"/>
  <c r="V17" i="2"/>
  <c r="V18" i="2"/>
  <c r="V19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7" i="2"/>
  <c r="U7" i="2"/>
  <c r="U8" i="2"/>
  <c r="U9" i="2"/>
  <c r="U10" i="2"/>
  <c r="U11" i="2"/>
  <c r="U13" i="2"/>
  <c r="U15" i="2"/>
  <c r="U16" i="2"/>
  <c r="U17" i="2"/>
  <c r="U18" i="2"/>
  <c r="U19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O43" i="2"/>
  <c r="O44" i="2"/>
  <c r="O45" i="2"/>
  <c r="O46" i="2"/>
  <c r="O47" i="2"/>
  <c r="O48" i="2"/>
  <c r="O49" i="2"/>
  <c r="O50" i="2"/>
  <c r="O51" i="2"/>
  <c r="O52" i="2"/>
  <c r="O42" i="2"/>
  <c r="R8" i="2"/>
  <c r="R9" i="2"/>
  <c r="R10" i="2"/>
  <c r="R11" i="2"/>
  <c r="R13" i="2"/>
  <c r="R15" i="2"/>
  <c r="R16" i="2"/>
  <c r="R17" i="2"/>
  <c r="R18" i="2"/>
  <c r="R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7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35" i="2"/>
  <c r="T34" i="2"/>
  <c r="AC60" i="13"/>
  <c r="S8" i="2"/>
  <c r="S9" i="2"/>
  <c r="S10" i="2"/>
  <c r="S11" i="2"/>
  <c r="S13" i="2"/>
  <c r="S15" i="2"/>
  <c r="S16" i="2"/>
  <c r="S17" i="2"/>
  <c r="S18" i="2"/>
  <c r="S19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7" i="2"/>
  <c r="J41" i="12" l="1"/>
  <c r="M41" i="12"/>
  <c r="K41" i="12"/>
  <c r="M8" i="1"/>
  <c r="K7" i="1"/>
  <c r="M7" i="1" s="1"/>
  <c r="V54" i="2"/>
  <c r="AC8" i="2" s="1"/>
  <c r="C26" i="7"/>
  <c r="C28" i="7"/>
  <c r="C32" i="7"/>
  <c r="C34" i="7"/>
  <c r="C36" i="7"/>
  <c r="O38" i="2"/>
  <c r="O39" i="2"/>
  <c r="O40" i="2"/>
  <c r="O41" i="2"/>
  <c r="O53" i="2"/>
  <c r="O37" i="2"/>
  <c r="BJ13" i="13"/>
  <c r="BJ14" i="13" s="1"/>
  <c r="BJ15" i="13" s="1"/>
  <c r="AF60" i="13"/>
  <c r="AD60" i="13"/>
  <c r="AE60" i="13"/>
  <c r="G25" i="5"/>
  <c r="L98" i="13"/>
  <c r="S94" i="13"/>
  <c r="T94" i="13"/>
  <c r="S95" i="13"/>
  <c r="T95" i="13"/>
  <c r="S96" i="13"/>
  <c r="T96" i="13"/>
  <c r="S97" i="13"/>
  <c r="T97" i="13"/>
  <c r="S98" i="13"/>
  <c r="T98" i="13"/>
  <c r="R95" i="13"/>
  <c r="R96" i="13"/>
  <c r="R97" i="13"/>
  <c r="R98" i="13"/>
  <c r="R94" i="13"/>
  <c r="R99" i="13" s="1"/>
  <c r="M98" i="13"/>
  <c r="N98" i="13"/>
  <c r="S99" i="13" l="1"/>
  <c r="T99" i="13"/>
  <c r="BJ16" i="13"/>
  <c r="BJ17" i="13"/>
  <c r="AL15" i="13"/>
  <c r="AM15" i="13"/>
  <c r="AN15" i="13"/>
  <c r="AJ15" i="13"/>
  <c r="AI15" i="13"/>
  <c r="AK15" i="13"/>
  <c r="BB15" i="13" s="1"/>
  <c r="M97" i="13"/>
  <c r="N97" i="13"/>
  <c r="L97" i="13"/>
  <c r="M96" i="13"/>
  <c r="N96" i="13"/>
  <c r="BA15" i="13" l="1"/>
  <c r="S45" i="5"/>
  <c r="L6" i="11" l="1"/>
  <c r="K94" i="13"/>
  <c r="AO15" i="13"/>
  <c r="P17" i="2"/>
  <c r="N36" i="5"/>
  <c r="N43" i="5"/>
  <c r="N44" i="5"/>
  <c r="N45" i="5"/>
  <c r="N46" i="5"/>
  <c r="N45" i="7" s="1"/>
  <c r="N47" i="5"/>
  <c r="N48" i="5"/>
  <c r="N49" i="5"/>
  <c r="N50" i="5"/>
  <c r="N51" i="5"/>
  <c r="N52" i="5"/>
  <c r="N53" i="5"/>
  <c r="N54" i="5"/>
  <c r="N55" i="5"/>
  <c r="N56" i="5"/>
  <c r="N57" i="5"/>
  <c r="I53" i="1"/>
  <c r="K53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M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L84" i="1" s="1"/>
  <c r="I85" i="1"/>
  <c r="L85" i="1" s="1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C48" i="7"/>
  <c r="C40" i="7"/>
  <c r="C42" i="7"/>
  <c r="E42" i="7" s="1"/>
  <c r="C44" i="7"/>
  <c r="C46" i="7"/>
  <c r="E46" i="7" s="1"/>
  <c r="L96" i="13"/>
  <c r="J5" i="11"/>
  <c r="L5" i="11" s="1"/>
  <c r="AN11" i="13"/>
  <c r="T98" i="4"/>
  <c r="U98" i="4"/>
  <c r="V98" i="4"/>
  <c r="K5" i="14"/>
  <c r="L5" i="14" s="1"/>
  <c r="AO10" i="13"/>
  <c r="AM10" i="13"/>
  <c r="AN10" i="13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 s="1"/>
  <c r="L39" i="14" s="1"/>
  <c r="M39" i="14" s="1"/>
  <c r="F48" i="14"/>
  <c r="F47" i="14"/>
  <c r="F46" i="14"/>
  <c r="F45" i="14"/>
  <c r="F44" i="14"/>
  <c r="F43" i="14"/>
  <c r="F42" i="14"/>
  <c r="K37" i="14" s="1"/>
  <c r="L37" i="14" s="1"/>
  <c r="M37" i="14" s="1"/>
  <c r="K41" i="14"/>
  <c r="L41" i="14" s="1"/>
  <c r="M41" i="14" s="1"/>
  <c r="F41" i="14"/>
  <c r="K40" i="14"/>
  <c r="L40" i="14" s="1"/>
  <c r="M40" i="14" s="1"/>
  <c r="F40" i="14"/>
  <c r="K36" i="14" s="1"/>
  <c r="L36" i="14" s="1"/>
  <c r="M36" i="14" s="1"/>
  <c r="F39" i="14"/>
  <c r="K38" i="14"/>
  <c r="L38" i="14" s="1"/>
  <c r="M38" i="14" s="1"/>
  <c r="F38" i="14"/>
  <c r="F37" i="14"/>
  <c r="F36" i="14"/>
  <c r="K34" i="14" s="1"/>
  <c r="L34" i="14" s="1"/>
  <c r="M34" i="14" s="1"/>
  <c r="F35" i="14"/>
  <c r="K33" i="14" s="1"/>
  <c r="F34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K29" i="14"/>
  <c r="L29" i="14" s="1"/>
  <c r="M29" i="14" s="1"/>
  <c r="F29" i="14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K25" i="14"/>
  <c r="L25" i="14" s="1"/>
  <c r="M25" i="14" s="1"/>
  <c r="F25" i="14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K21" i="14"/>
  <c r="L21" i="14" s="1"/>
  <c r="M21" i="14" s="1"/>
  <c r="F21" i="14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K13" i="14"/>
  <c r="L13" i="14" s="1"/>
  <c r="M13" i="14" s="1"/>
  <c r="F13" i="14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K6" i="14"/>
  <c r="L6" i="14" s="1"/>
  <c r="M6" i="14" s="1"/>
  <c r="G5" i="5"/>
  <c r="K85" i="1" l="1"/>
  <c r="M85" i="1" s="1"/>
  <c r="K84" i="1"/>
  <c r="M84" i="1" s="1"/>
  <c r="AO14" i="13"/>
  <c r="AO12" i="13"/>
  <c r="AO13" i="13"/>
  <c r="M94" i="13"/>
  <c r="AO11" i="13"/>
  <c r="AZ15" i="13"/>
  <c r="K95" i="13"/>
  <c r="K60" i="13"/>
  <c r="K96" i="13"/>
  <c r="AJ12" i="13"/>
  <c r="R10" i="11"/>
  <c r="S10" i="11" s="1"/>
  <c r="T10" i="11" s="1"/>
  <c r="N84" i="1"/>
  <c r="E40" i="7"/>
  <c r="E44" i="7"/>
  <c r="AL11" i="13"/>
  <c r="AM11" i="13"/>
  <c r="K57" i="14"/>
  <c r="K58" i="14" s="1"/>
  <c r="L33" i="14"/>
  <c r="AC11" i="2" l="1"/>
  <c r="N61" i="5"/>
  <c r="N62" i="5" s="1"/>
  <c r="AM14" i="13"/>
  <c r="AN14" i="13"/>
  <c r="AL14" i="13"/>
  <c r="AI14" i="13"/>
  <c r="AZ14" i="13" s="1"/>
  <c r="AJ14" i="13"/>
  <c r="AK14" i="13"/>
  <c r="K98" i="13"/>
  <c r="AM13" i="13"/>
  <c r="AN13" i="13"/>
  <c r="AL13" i="13"/>
  <c r="AJ13" i="13"/>
  <c r="AK13" i="13"/>
  <c r="AI13" i="13"/>
  <c r="AN12" i="13"/>
  <c r="AM12" i="13"/>
  <c r="BA12" i="13" s="1"/>
  <c r="AL12" i="13"/>
  <c r="AI12" i="13"/>
  <c r="AQ12" i="13" s="1"/>
  <c r="K97" i="13"/>
  <c r="AK12" i="13"/>
  <c r="AS12" i="13" s="1"/>
  <c r="S23" i="4"/>
  <c r="L57" i="14"/>
  <c r="M57" i="14" s="1"/>
  <c r="M33" i="14"/>
  <c r="AR12" i="13" l="1"/>
  <c r="K100" i="13"/>
  <c r="AZ13" i="13"/>
  <c r="BB12" i="13"/>
  <c r="AZ12" i="13"/>
  <c r="BA14" i="13"/>
  <c r="BB13" i="13"/>
  <c r="BA13" i="13"/>
  <c r="BB14" i="13"/>
  <c r="AJ10" i="13"/>
  <c r="AR10" i="13" s="1"/>
  <c r="AS10" i="13"/>
  <c r="AL10" i="13"/>
  <c r="N95" i="13"/>
  <c r="P41" i="2"/>
  <c r="AC38" i="7" s="1"/>
  <c r="Q41" i="2"/>
  <c r="AB38" i="7" s="1"/>
  <c r="AD38" i="7"/>
  <c r="AE38" i="7"/>
  <c r="AF38" i="7"/>
  <c r="P42" i="2"/>
  <c r="AC39" i="7" s="1"/>
  <c r="Q42" i="2"/>
  <c r="AB39" i="7" s="1"/>
  <c r="AD39" i="7"/>
  <c r="AE39" i="7"/>
  <c r="AF39" i="7"/>
  <c r="P43" i="2"/>
  <c r="AC40" i="7" s="1"/>
  <c r="Q43" i="2"/>
  <c r="AB40" i="7" s="1"/>
  <c r="AD40" i="7"/>
  <c r="AE40" i="7"/>
  <c r="AF40" i="7"/>
  <c r="P44" i="2"/>
  <c r="AC41" i="7" s="1"/>
  <c r="Q44" i="2"/>
  <c r="AB41" i="7" s="1"/>
  <c r="AD41" i="7"/>
  <c r="AE41" i="7"/>
  <c r="AF41" i="7"/>
  <c r="P45" i="2"/>
  <c r="AC42" i="7" s="1"/>
  <c r="Q45" i="2"/>
  <c r="AB42" i="7" s="1"/>
  <c r="AD42" i="7"/>
  <c r="AE42" i="7"/>
  <c r="AF42" i="7"/>
  <c r="P46" i="2"/>
  <c r="AC43" i="7" s="1"/>
  <c r="Q46" i="2"/>
  <c r="AB43" i="7" s="1"/>
  <c r="AD43" i="7"/>
  <c r="AE43" i="7"/>
  <c r="AF43" i="7"/>
  <c r="P47" i="2"/>
  <c r="AC44" i="7" s="1"/>
  <c r="Q47" i="2"/>
  <c r="AB44" i="7" s="1"/>
  <c r="AD44" i="7"/>
  <c r="AE44" i="7"/>
  <c r="AF44" i="7"/>
  <c r="P48" i="2"/>
  <c r="AC45" i="7" s="1"/>
  <c r="Q48" i="2"/>
  <c r="AB45" i="7" s="1"/>
  <c r="AD45" i="7"/>
  <c r="AE45" i="7"/>
  <c r="AF45" i="7"/>
  <c r="P49" i="2"/>
  <c r="AC46" i="7" s="1"/>
  <c r="Q49" i="2"/>
  <c r="AB46" i="7" s="1"/>
  <c r="AD46" i="7"/>
  <c r="AE46" i="7"/>
  <c r="AF46" i="7"/>
  <c r="P50" i="2"/>
  <c r="AC47" i="7" s="1"/>
  <c r="Q50" i="2"/>
  <c r="AB47" i="7" s="1"/>
  <c r="AD47" i="7"/>
  <c r="AE47" i="7"/>
  <c r="AF47" i="7"/>
  <c r="P51" i="2"/>
  <c r="AC48" i="7" s="1"/>
  <c r="Q51" i="2"/>
  <c r="AB48" i="7" s="1"/>
  <c r="AD48" i="7"/>
  <c r="AE48" i="7"/>
  <c r="AF48" i="7"/>
  <c r="P52" i="2"/>
  <c r="AC49" i="7" s="1"/>
  <c r="Q52" i="2"/>
  <c r="AB49" i="7" s="1"/>
  <c r="AD49" i="7"/>
  <c r="AE49" i="7"/>
  <c r="AF49" i="7"/>
  <c r="P53" i="2"/>
  <c r="Q53" i="2"/>
  <c r="H15" i="3"/>
  <c r="K15" i="3"/>
  <c r="K14" i="3"/>
  <c r="H14" i="3"/>
  <c r="H10" i="3"/>
  <c r="O27" i="2"/>
  <c r="Z24" i="7" s="1"/>
  <c r="N94" i="13" l="1"/>
  <c r="N99" i="13" s="1"/>
  <c r="AO69" i="13"/>
  <c r="AO67" i="13"/>
  <c r="AO70" i="13"/>
  <c r="AO68" i="13"/>
  <c r="AZ10" i="13"/>
  <c r="AV10" i="13" s="1"/>
  <c r="AM69" i="13"/>
  <c r="AM68" i="13"/>
  <c r="AM70" i="13"/>
  <c r="L94" i="13"/>
  <c r="L95" i="13"/>
  <c r="Z46" i="7"/>
  <c r="Z41" i="7"/>
  <c r="Z43" i="7"/>
  <c r="Z40" i="7"/>
  <c r="Z45" i="7"/>
  <c r="Z49" i="7"/>
  <c r="Z38" i="7"/>
  <c r="Z48" i="7"/>
  <c r="Z42" i="7"/>
  <c r="Z47" i="7"/>
  <c r="Z39" i="7"/>
  <c r="Z44" i="7"/>
  <c r="BB10" i="13"/>
  <c r="BA10" i="13"/>
  <c r="W60" i="13"/>
  <c r="AI11" i="13"/>
  <c r="AQ11" i="13" s="1"/>
  <c r="AK11" i="13"/>
  <c r="BB11" i="13" s="1"/>
  <c r="AX15" i="13" s="1"/>
  <c r="L5" i="5"/>
  <c r="R5" i="4" s="1"/>
  <c r="O5" i="5" l="1"/>
  <c r="BB61" i="13"/>
  <c r="BD10" i="13"/>
  <c r="BE10" i="13" s="1"/>
  <c r="AV14" i="13"/>
  <c r="BE20" i="13" s="1"/>
  <c r="AV12" i="13"/>
  <c r="L99" i="13"/>
  <c r="AX10" i="13"/>
  <c r="AX12" i="13" s="1"/>
  <c r="AX14" i="13"/>
  <c r="BG20" i="13" s="1"/>
  <c r="BF12" i="13"/>
  <c r="BD12" i="13"/>
  <c r="AW14" i="13"/>
  <c r="BF20" i="13" s="1"/>
  <c r="AW12" i="13"/>
  <c r="BE12" i="13"/>
  <c r="AW10" i="13"/>
  <c r="AQ60" i="13"/>
  <c r="AZ11" i="13"/>
  <c r="AZ61" i="13" s="1"/>
  <c r="AX11" i="13"/>
  <c r="BF13" i="13"/>
  <c r="AS11" i="13"/>
  <c r="L98" i="4"/>
  <c r="AB23" i="4"/>
  <c r="AB24" i="4" s="1"/>
  <c r="F55" i="7"/>
  <c r="X57" i="7" s="1"/>
  <c r="F54" i="7"/>
  <c r="X58" i="7" s="1"/>
  <c r="X55" i="7"/>
  <c r="X56" i="7"/>
  <c r="F12" i="8"/>
  <c r="F10" i="8"/>
  <c r="K10" i="8" s="1"/>
  <c r="I22" i="1"/>
  <c r="L46" i="8"/>
  <c r="F6" i="8"/>
  <c r="K6" i="8" s="1"/>
  <c r="L6" i="8" s="1"/>
  <c r="V18" i="1"/>
  <c r="U7" i="7"/>
  <c r="T7" i="7"/>
  <c r="M10" i="12"/>
  <c r="M11" i="12"/>
  <c r="M12" i="12"/>
  <c r="M14" i="12"/>
  <c r="M16" i="12"/>
  <c r="M17" i="12"/>
  <c r="M18" i="12"/>
  <c r="M19" i="12"/>
  <c r="M20" i="12"/>
  <c r="M21" i="12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 s="1"/>
  <c r="H86" i="1"/>
  <c r="P7" i="2"/>
  <c r="Z37" i="7"/>
  <c r="P8" i="2"/>
  <c r="AA8" i="1"/>
  <c r="AA9" i="1"/>
  <c r="P38" i="2"/>
  <c r="F87" i="1"/>
  <c r="AD79" i="4"/>
  <c r="S50" i="5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 s="1"/>
  <c r="K80" i="1"/>
  <c r="M80" i="1" s="1"/>
  <c r="L81" i="1"/>
  <c r="K82" i="1"/>
  <c r="M82" i="1" s="1"/>
  <c r="L83" i="1"/>
  <c r="K76" i="1"/>
  <c r="M76" i="1" s="1"/>
  <c r="K77" i="1"/>
  <c r="M77" i="1" s="1"/>
  <c r="K78" i="1"/>
  <c r="M78" i="1" s="1"/>
  <c r="L79" i="1"/>
  <c r="P88" i="4"/>
  <c r="P90" i="4"/>
  <c r="P92" i="4"/>
  <c r="P94" i="4"/>
  <c r="T94" i="4"/>
  <c r="W94" i="4" s="1"/>
  <c r="P80" i="4"/>
  <c r="P82" i="4"/>
  <c r="P84" i="4"/>
  <c r="P86" i="4"/>
  <c r="G52" i="5"/>
  <c r="G53" i="5"/>
  <c r="G54" i="5"/>
  <c r="L41" i="5" s="1"/>
  <c r="M41" i="5" s="1"/>
  <c r="G55" i="5"/>
  <c r="G56" i="5"/>
  <c r="G57" i="5"/>
  <c r="G58" i="5"/>
  <c r="G59" i="5"/>
  <c r="G60" i="5"/>
  <c r="G61" i="5"/>
  <c r="G62" i="5"/>
  <c r="G63" i="5"/>
  <c r="G46" i="5"/>
  <c r="G47" i="5"/>
  <c r="G48" i="5"/>
  <c r="G49" i="5"/>
  <c r="G50" i="5"/>
  <c r="G51" i="5"/>
  <c r="R50" i="1"/>
  <c r="R53" i="1" s="1"/>
  <c r="R55" i="1" s="1"/>
  <c r="K68" i="1"/>
  <c r="M68" i="1" s="1"/>
  <c r="L69" i="1"/>
  <c r="K70" i="1"/>
  <c r="M70" i="1" s="1"/>
  <c r="L71" i="1"/>
  <c r="L72" i="1"/>
  <c r="K73" i="1"/>
  <c r="M73" i="1" s="1"/>
  <c r="K74" i="1"/>
  <c r="M74" i="1" s="1"/>
  <c r="K75" i="1"/>
  <c r="M75" i="1" s="1"/>
  <c r="G44" i="5"/>
  <c r="G43" i="5"/>
  <c r="G45" i="5"/>
  <c r="G42" i="5"/>
  <c r="G39" i="5"/>
  <c r="G40" i="5"/>
  <c r="G41" i="5"/>
  <c r="G36" i="5"/>
  <c r="G35" i="5"/>
  <c r="Q7" i="2"/>
  <c r="T7" i="2"/>
  <c r="K66" i="1"/>
  <c r="M66" i="1" s="1"/>
  <c r="K67" i="1"/>
  <c r="M67" i="1" s="1"/>
  <c r="N41" i="5" l="1"/>
  <c r="P76" i="4"/>
  <c r="M40" i="12"/>
  <c r="M43" i="12" s="1"/>
  <c r="K33" i="8"/>
  <c r="M11" i="8"/>
  <c r="N6" i="8"/>
  <c r="I11" i="7"/>
  <c r="N11" i="8"/>
  <c r="M13" i="12"/>
  <c r="M6" i="8"/>
  <c r="M9" i="12"/>
  <c r="AS60" i="13"/>
  <c r="AI63" i="13"/>
  <c r="BE22" i="13"/>
  <c r="AW13" i="13"/>
  <c r="AV15" i="13"/>
  <c r="AV13" i="13"/>
  <c r="BD13" i="13"/>
  <c r="BD14" i="13" s="1"/>
  <c r="AV11" i="13"/>
  <c r="BF14" i="13"/>
  <c r="BF10" i="13"/>
  <c r="BG10" i="13"/>
  <c r="L42" i="5"/>
  <c r="M42" i="5" s="1"/>
  <c r="L40" i="5"/>
  <c r="M40" i="5" s="1"/>
  <c r="Z7" i="7"/>
  <c r="T82" i="4"/>
  <c r="W82" i="4" s="1"/>
  <c r="T92" i="4"/>
  <c r="W92" i="4" s="1"/>
  <c r="T80" i="4"/>
  <c r="W80" i="4" s="1"/>
  <c r="T88" i="4"/>
  <c r="W88" i="4" s="1"/>
  <c r="P78" i="4"/>
  <c r="L37" i="5"/>
  <c r="L82" i="1"/>
  <c r="N82" i="1" s="1"/>
  <c r="L76" i="1"/>
  <c r="T86" i="4"/>
  <c r="W86" i="4" s="1"/>
  <c r="T90" i="4"/>
  <c r="W90" i="4" s="1"/>
  <c r="U94" i="4"/>
  <c r="K83" i="1"/>
  <c r="M83" i="1" s="1"/>
  <c r="K81" i="1"/>
  <c r="M81" i="1" s="1"/>
  <c r="L80" i="1"/>
  <c r="N80" i="1" s="1"/>
  <c r="K79" i="1"/>
  <c r="M79" i="1" s="1"/>
  <c r="L77" i="1"/>
  <c r="L78" i="1"/>
  <c r="N78" i="1" s="1"/>
  <c r="L75" i="1"/>
  <c r="L70" i="1"/>
  <c r="N70" i="1" s="1"/>
  <c r="K72" i="1"/>
  <c r="M72" i="1" s="1"/>
  <c r="L39" i="5"/>
  <c r="M39" i="5" s="1"/>
  <c r="L38" i="5"/>
  <c r="T84" i="4"/>
  <c r="W84" i="4" s="1"/>
  <c r="K69" i="1"/>
  <c r="M69" i="1" s="1"/>
  <c r="K71" i="1"/>
  <c r="M71" i="1" s="1"/>
  <c r="L74" i="1"/>
  <c r="L68" i="1"/>
  <c r="N68" i="1" s="1"/>
  <c r="C38" i="7" s="1"/>
  <c r="E38" i="7" s="1"/>
  <c r="L73" i="1"/>
  <c r="N72" i="1" s="1"/>
  <c r="L67" i="1"/>
  <c r="L66" i="1"/>
  <c r="S58" i="1"/>
  <c r="S59" i="1" s="1"/>
  <c r="AB55" i="4"/>
  <c r="K29" i="8"/>
  <c r="K64" i="1"/>
  <c r="M64" i="1" s="1"/>
  <c r="K65" i="1"/>
  <c r="M65" i="1" s="1"/>
  <c r="P72" i="4" l="1"/>
  <c r="N39" i="5"/>
  <c r="P74" i="4"/>
  <c r="N40" i="5"/>
  <c r="P96" i="4"/>
  <c r="N42" i="5"/>
  <c r="V94" i="4"/>
  <c r="Y94" i="4" s="1"/>
  <c r="X94" i="4"/>
  <c r="U90" i="4"/>
  <c r="X90" i="4" s="1"/>
  <c r="U88" i="4"/>
  <c r="X88" i="4" s="1"/>
  <c r="U80" i="4"/>
  <c r="X80" i="4" s="1"/>
  <c r="U92" i="4"/>
  <c r="X92" i="4" s="1"/>
  <c r="U86" i="4"/>
  <c r="X86" i="4" s="1"/>
  <c r="N74" i="1"/>
  <c r="N76" i="1"/>
  <c r="U82" i="4"/>
  <c r="X82" i="4" s="1"/>
  <c r="U84" i="4"/>
  <c r="X84" i="4" s="1"/>
  <c r="N66" i="1"/>
  <c r="C37" i="7" s="1"/>
  <c r="L65" i="1"/>
  <c r="L64" i="1"/>
  <c r="R9" i="11"/>
  <c r="S9" i="11" s="1"/>
  <c r="T9" i="11" s="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1" i="5"/>
  <c r="G32" i="5"/>
  <c r="G33" i="5"/>
  <c r="G34" i="5"/>
  <c r="L34" i="5" s="1"/>
  <c r="G37" i="5"/>
  <c r="G38" i="5"/>
  <c r="I6" i="1"/>
  <c r="R8" i="11" l="1"/>
  <c r="S8" i="11" s="1"/>
  <c r="AG50" i="7"/>
  <c r="V88" i="4"/>
  <c r="Y88" i="4" s="1"/>
  <c r="V86" i="4"/>
  <c r="Y86" i="4" s="1"/>
  <c r="V90" i="4"/>
  <c r="Y90" i="4" s="1"/>
  <c r="V92" i="4"/>
  <c r="Y92" i="4" s="1"/>
  <c r="V84" i="4"/>
  <c r="Y84" i="4" s="1"/>
  <c r="V82" i="4"/>
  <c r="Y82" i="4" s="1"/>
  <c r="V80" i="4"/>
  <c r="Y80" i="4" s="1"/>
  <c r="L35" i="5"/>
  <c r="M35" i="5" s="1"/>
  <c r="N64" i="1"/>
  <c r="P48" i="4"/>
  <c r="P50" i="4"/>
  <c r="P56" i="4"/>
  <c r="P58" i="4"/>
  <c r="P60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 s="1"/>
  <c r="K14" i="8"/>
  <c r="L14" i="8" s="1"/>
  <c r="K13" i="8"/>
  <c r="L13" i="8" s="1"/>
  <c r="K12" i="8"/>
  <c r="L12" i="8" s="1"/>
  <c r="L10" i="8"/>
  <c r="I15" i="7" s="1"/>
  <c r="K9" i="8"/>
  <c r="L9" i="8" s="1"/>
  <c r="F8" i="8"/>
  <c r="K8" i="8" s="1"/>
  <c r="L8" i="8" s="1"/>
  <c r="F7" i="8"/>
  <c r="K7" i="8" s="1"/>
  <c r="L7" i="8" s="1"/>
  <c r="Y51" i="7"/>
  <c r="X51" i="7"/>
  <c r="W51" i="7"/>
  <c r="V51" i="7"/>
  <c r="Q51" i="7"/>
  <c r="P51" i="7"/>
  <c r="O51" i="7"/>
  <c r="Y50" i="7"/>
  <c r="X50" i="7"/>
  <c r="W50" i="7"/>
  <c r="V50" i="7"/>
  <c r="T50" i="7"/>
  <c r="Q50" i="7"/>
  <c r="P50" i="7"/>
  <c r="O50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P64" i="4" l="1"/>
  <c r="N35" i="5"/>
  <c r="T8" i="11"/>
  <c r="S11" i="11"/>
  <c r="U8" i="11" s="1"/>
  <c r="M12" i="8"/>
  <c r="L16" i="8"/>
  <c r="M14" i="8"/>
  <c r="I12" i="7"/>
  <c r="M7" i="8"/>
  <c r="N7" i="8"/>
  <c r="M13" i="8"/>
  <c r="I14" i="7"/>
  <c r="M9" i="8"/>
  <c r="M15" i="8"/>
  <c r="N15" i="8"/>
  <c r="L43" i="8"/>
  <c r="E48" i="7" s="1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AA51" i="7"/>
  <c r="M16" i="8" l="1"/>
  <c r="N16" i="8"/>
  <c r="K51" i="7"/>
  <c r="N43" i="8"/>
  <c r="O43" i="8" s="1"/>
  <c r="M43" i="8" s="1"/>
  <c r="AA9" i="8"/>
  <c r="L44" i="8"/>
  <c r="I51" i="7"/>
  <c r="K43" i="8"/>
  <c r="K44" i="8" s="1"/>
  <c r="AA11" i="8" l="1"/>
  <c r="AA10" i="8"/>
  <c r="AA12" i="8"/>
  <c r="AF7" i="7"/>
  <c r="AE7" i="7"/>
  <c r="G15" i="5"/>
  <c r="M37" i="5"/>
  <c r="L33" i="5"/>
  <c r="M33" i="5" s="1"/>
  <c r="N33" i="5" s="1"/>
  <c r="L32" i="5"/>
  <c r="L31" i="5"/>
  <c r="M31" i="5" s="1"/>
  <c r="N31" i="5" s="1"/>
  <c r="G30" i="5"/>
  <c r="L30" i="5" s="1"/>
  <c r="G29" i="5"/>
  <c r="L29" i="5" s="1"/>
  <c r="G28" i="5"/>
  <c r="L28" i="5" s="1"/>
  <c r="O28" i="5" s="1"/>
  <c r="G27" i="5"/>
  <c r="L27" i="5" s="1"/>
  <c r="G26" i="5"/>
  <c r="L26" i="5" s="1"/>
  <c r="R46" i="4" s="1"/>
  <c r="L25" i="5"/>
  <c r="R44" i="4" s="1"/>
  <c r="G24" i="5"/>
  <c r="L24" i="5" s="1"/>
  <c r="G23" i="5"/>
  <c r="L23" i="5" s="1"/>
  <c r="R40" i="4" s="1"/>
  <c r="G22" i="5"/>
  <c r="L22" i="5" s="1"/>
  <c r="G21" i="5"/>
  <c r="L21" i="5" s="1"/>
  <c r="R36" i="4" s="1"/>
  <c r="G20" i="5"/>
  <c r="L20" i="5" s="1"/>
  <c r="R34" i="4" s="1"/>
  <c r="G19" i="5"/>
  <c r="L19" i="5" s="1"/>
  <c r="R32" i="4" s="1"/>
  <c r="G18" i="5"/>
  <c r="L18" i="5" s="1"/>
  <c r="R30" i="4" s="1"/>
  <c r="G17" i="5"/>
  <c r="L17" i="5" s="1"/>
  <c r="R28" i="4" s="1"/>
  <c r="G14" i="5"/>
  <c r="R20" i="4" s="1"/>
  <c r="G13" i="5"/>
  <c r="R19" i="4" s="1"/>
  <c r="G12" i="5"/>
  <c r="L11" i="5" s="1"/>
  <c r="R17" i="4" s="1"/>
  <c r="L10" i="5"/>
  <c r="G9" i="5"/>
  <c r="L9" i="5" s="1"/>
  <c r="R13" i="4" s="1"/>
  <c r="G8" i="5"/>
  <c r="L8" i="5" s="1"/>
  <c r="G7" i="5"/>
  <c r="L7" i="5" s="1"/>
  <c r="R9" i="4" s="1"/>
  <c r="G6" i="5"/>
  <c r="L6" i="5" s="1"/>
  <c r="M6" i="5" s="1"/>
  <c r="L15" i="5" l="1"/>
  <c r="O15" i="5" s="1"/>
  <c r="P17" i="4"/>
  <c r="Q17" i="4"/>
  <c r="P20" i="4"/>
  <c r="O20" i="4" s="1"/>
  <c r="Q20" i="4"/>
  <c r="I20" i="4"/>
  <c r="P19" i="4"/>
  <c r="O19" i="4" s="1"/>
  <c r="Q19" i="4"/>
  <c r="R38" i="4"/>
  <c r="I21" i="4"/>
  <c r="R42" i="4"/>
  <c r="R23" i="4"/>
  <c r="L14" i="5"/>
  <c r="O14" i="5" s="1"/>
  <c r="L12" i="5"/>
  <c r="M12" i="5" s="1"/>
  <c r="J31" i="7" s="1"/>
  <c r="L31" i="7" s="1"/>
  <c r="L13" i="5"/>
  <c r="O13" i="5" s="1"/>
  <c r="I17" i="4"/>
  <c r="M29" i="5"/>
  <c r="N29" i="5" s="1"/>
  <c r="O29" i="5"/>
  <c r="P68" i="4"/>
  <c r="N37" i="5"/>
  <c r="M17" i="5"/>
  <c r="J35" i="7" s="1"/>
  <c r="L35" i="7" s="1"/>
  <c r="O17" i="5"/>
  <c r="O18" i="5"/>
  <c r="M19" i="5"/>
  <c r="J37" i="7" s="1"/>
  <c r="L37" i="7" s="1"/>
  <c r="O19" i="5"/>
  <c r="O20" i="5"/>
  <c r="O21" i="5"/>
  <c r="O6" i="5"/>
  <c r="J25" i="7"/>
  <c r="L25" i="7" s="1"/>
  <c r="O24" i="5"/>
  <c r="O7" i="5"/>
  <c r="M8" i="5"/>
  <c r="J27" i="7" s="1"/>
  <c r="L27" i="7" s="1"/>
  <c r="O8" i="5"/>
  <c r="O26" i="5"/>
  <c r="O9" i="5"/>
  <c r="M10" i="5"/>
  <c r="J29" i="7" s="1"/>
  <c r="L29" i="7" s="1"/>
  <c r="O10" i="5"/>
  <c r="M27" i="5"/>
  <c r="O27" i="5"/>
  <c r="M25" i="5"/>
  <c r="O25" i="5"/>
  <c r="M23" i="5"/>
  <c r="J41" i="7" s="1"/>
  <c r="L41" i="7" s="1"/>
  <c r="O23" i="5"/>
  <c r="O22" i="5"/>
  <c r="M21" i="5"/>
  <c r="J39" i="7" s="1"/>
  <c r="L39" i="7" s="1"/>
  <c r="O5" i="4"/>
  <c r="E28" i="7"/>
  <c r="M7" i="5"/>
  <c r="J26" i="7" s="1"/>
  <c r="L26" i="7" s="1"/>
  <c r="E34" i="7"/>
  <c r="M9" i="5"/>
  <c r="J28" i="7" s="1"/>
  <c r="L28" i="7" s="1"/>
  <c r="M20" i="5"/>
  <c r="J38" i="7" s="1"/>
  <c r="L38" i="7" s="1"/>
  <c r="M22" i="5"/>
  <c r="J40" i="7" s="1"/>
  <c r="L40" i="7" s="1"/>
  <c r="M30" i="5"/>
  <c r="N30" i="5" s="1"/>
  <c r="M15" i="5"/>
  <c r="J34" i="7" s="1"/>
  <c r="L34" i="7" s="1"/>
  <c r="M26" i="5"/>
  <c r="E36" i="7"/>
  <c r="E32" i="7"/>
  <c r="M18" i="5"/>
  <c r="J36" i="7" s="1"/>
  <c r="L36" i="7" s="1"/>
  <c r="M28" i="5"/>
  <c r="M24" i="5"/>
  <c r="M34" i="5"/>
  <c r="M38" i="5"/>
  <c r="N38" i="5" s="1"/>
  <c r="M32" i="5"/>
  <c r="N32" i="5" s="1"/>
  <c r="M5" i="5"/>
  <c r="J24" i="7" s="1"/>
  <c r="L24" i="7" s="1"/>
  <c r="M13" i="5" l="1"/>
  <c r="J32" i="7" s="1"/>
  <c r="L32" i="7" s="1"/>
  <c r="O17" i="4"/>
  <c r="C12" i="13"/>
  <c r="M14" i="5"/>
  <c r="J33" i="7" s="1"/>
  <c r="L33" i="7" s="1"/>
  <c r="O12" i="5"/>
  <c r="I19" i="4"/>
  <c r="L58" i="5"/>
  <c r="L59" i="5" s="1"/>
  <c r="J67" i="13" s="1"/>
  <c r="J71" i="13" s="1"/>
  <c r="M11" i="5"/>
  <c r="J30" i="7" s="1"/>
  <c r="L30" i="7" s="1"/>
  <c r="N30" i="7" s="1"/>
  <c r="O11" i="5"/>
  <c r="P44" i="4"/>
  <c r="J43" i="7"/>
  <c r="L43" i="7" s="1"/>
  <c r="N43" i="7" s="1"/>
  <c r="P46" i="4"/>
  <c r="J44" i="7"/>
  <c r="L44" i="7" s="1"/>
  <c r="N44" i="7" s="1"/>
  <c r="I9" i="4"/>
  <c r="O9" i="4"/>
  <c r="P62" i="4"/>
  <c r="N34" i="5"/>
  <c r="N17" i="5"/>
  <c r="M30" i="7" s="1"/>
  <c r="P42" i="4"/>
  <c r="J42" i="7"/>
  <c r="L42" i="7" s="1"/>
  <c r="N42" i="7" s="1"/>
  <c r="N14" i="5"/>
  <c r="M28" i="7" s="1"/>
  <c r="I11" i="4"/>
  <c r="I7" i="4"/>
  <c r="N6" i="5"/>
  <c r="M20" i="7" s="1"/>
  <c r="I5" i="4"/>
  <c r="P9" i="4"/>
  <c r="C11" i="13" s="1"/>
  <c r="M58" i="5"/>
  <c r="M59" i="5" s="1"/>
  <c r="N5" i="5"/>
  <c r="N21" i="5"/>
  <c r="N34" i="7" s="1"/>
  <c r="P36" i="4"/>
  <c r="O36" i="4" s="1"/>
  <c r="N22" i="5"/>
  <c r="N35" i="7" s="1"/>
  <c r="P38" i="4"/>
  <c r="O38" i="4" s="1"/>
  <c r="N23" i="5"/>
  <c r="N36" i="7" s="1"/>
  <c r="P40" i="4"/>
  <c r="O40" i="4" s="1"/>
  <c r="N19" i="5"/>
  <c r="N32" i="7" s="1"/>
  <c r="P32" i="4"/>
  <c r="O32" i="4" s="1"/>
  <c r="N20" i="5"/>
  <c r="P34" i="4"/>
  <c r="O34" i="4" s="1"/>
  <c r="P11" i="4"/>
  <c r="N10" i="5"/>
  <c r="M24" i="7" s="1"/>
  <c r="N8" i="5"/>
  <c r="M22" i="7" s="1"/>
  <c r="P30" i="4"/>
  <c r="O30" i="4" s="1"/>
  <c r="P28" i="4"/>
  <c r="O26" i="4" s="1"/>
  <c r="E24" i="7"/>
  <c r="P13" i="4"/>
  <c r="P7" i="4"/>
  <c r="P23" i="4"/>
  <c r="N12" i="5"/>
  <c r="M26" i="7" s="1"/>
  <c r="N28" i="5"/>
  <c r="N41" i="7" s="1"/>
  <c r="N27" i="5"/>
  <c r="N40" i="7" s="1"/>
  <c r="N26" i="5"/>
  <c r="N39" i="7" s="1"/>
  <c r="N25" i="5"/>
  <c r="N38" i="7" s="1"/>
  <c r="E26" i="7"/>
  <c r="N24" i="5"/>
  <c r="N37" i="7" s="1"/>
  <c r="N18" i="7"/>
  <c r="N16" i="7"/>
  <c r="N28" i="7"/>
  <c r="P70" i="4"/>
  <c r="N8" i="7"/>
  <c r="N13" i="5"/>
  <c r="M27" i="7" s="1"/>
  <c r="P5" i="4"/>
  <c r="C10" i="13" s="1"/>
  <c r="N18" i="5"/>
  <c r="N15" i="5"/>
  <c r="M29" i="7" s="1"/>
  <c r="N11" i="5"/>
  <c r="M25" i="7" s="1"/>
  <c r="N7" i="5"/>
  <c r="M21" i="7" s="1"/>
  <c r="N9" i="5"/>
  <c r="M23" i="7" s="1"/>
  <c r="O58" i="5" l="1"/>
  <c r="O59" i="5" s="1"/>
  <c r="M60" i="5" s="1"/>
  <c r="P54" i="4" s="1"/>
  <c r="C61" i="13"/>
  <c r="P98" i="4"/>
  <c r="N20" i="7"/>
  <c r="N58" i="5"/>
  <c r="M19" i="7"/>
  <c r="N22" i="7"/>
  <c r="N10" i="7"/>
  <c r="M31" i="7"/>
  <c r="N24" i="7"/>
  <c r="N12" i="7"/>
  <c r="O14" i="4"/>
  <c r="N26" i="7"/>
  <c r="N14" i="7"/>
  <c r="O23" i="4"/>
  <c r="N17" i="7"/>
  <c r="N29" i="7"/>
  <c r="N15" i="7"/>
  <c r="N27" i="7"/>
  <c r="N13" i="7"/>
  <c r="N25" i="7"/>
  <c r="N23" i="7"/>
  <c r="N9" i="7"/>
  <c r="N21" i="7"/>
  <c r="N11" i="7"/>
  <c r="N19" i="7"/>
  <c r="N31" i="7"/>
  <c r="N7" i="7"/>
  <c r="N33" i="7"/>
  <c r="AC11" i="4"/>
  <c r="AC13" i="4" s="1"/>
  <c r="AB25" i="4"/>
  <c r="AB26" i="4" s="1"/>
  <c r="AF37" i="7"/>
  <c r="AE37" i="7"/>
  <c r="AD37" i="7"/>
  <c r="Q40" i="2"/>
  <c r="AB37" i="7" s="1"/>
  <c r="P40" i="2"/>
  <c r="AC37" i="7" s="1"/>
  <c r="AF36" i="7"/>
  <c r="AE36" i="7"/>
  <c r="AD36" i="7"/>
  <c r="Q39" i="2"/>
  <c r="AB36" i="7" s="1"/>
  <c r="P39" i="2"/>
  <c r="AC36" i="7" s="1"/>
  <c r="AF35" i="7"/>
  <c r="AE35" i="7"/>
  <c r="AD35" i="7"/>
  <c r="Q38" i="2"/>
  <c r="AB35" i="7" s="1"/>
  <c r="AC35" i="7"/>
  <c r="AF34" i="7"/>
  <c r="AE34" i="7"/>
  <c r="AD34" i="7"/>
  <c r="Q37" i="2"/>
  <c r="AB34" i="7" s="1"/>
  <c r="P37" i="2"/>
  <c r="AC34" i="7" s="1"/>
  <c r="AF33" i="7"/>
  <c r="AE33" i="7"/>
  <c r="AD33" i="7"/>
  <c r="Q36" i="2"/>
  <c r="AB33" i="7" s="1"/>
  <c r="P36" i="2"/>
  <c r="AC33" i="7" s="1"/>
  <c r="O36" i="2"/>
  <c r="AF32" i="7"/>
  <c r="AE32" i="7"/>
  <c r="AD32" i="7"/>
  <c r="Q35" i="2"/>
  <c r="AB32" i="7" s="1"/>
  <c r="P35" i="2"/>
  <c r="AC32" i="7" s="1"/>
  <c r="O35" i="2"/>
  <c r="AF31" i="7"/>
  <c r="AE31" i="7"/>
  <c r="AD31" i="7"/>
  <c r="Q34" i="2"/>
  <c r="AB31" i="7" s="1"/>
  <c r="P34" i="2"/>
  <c r="AC31" i="7" s="1"/>
  <c r="O34" i="2"/>
  <c r="T33" i="2"/>
  <c r="AF30" i="7" s="1"/>
  <c r="AE30" i="7"/>
  <c r="AD30" i="7"/>
  <c r="Q33" i="2"/>
  <c r="AB30" i="7" s="1"/>
  <c r="P33" i="2"/>
  <c r="AC30" i="7" s="1"/>
  <c r="O33" i="2"/>
  <c r="T32" i="2"/>
  <c r="AF29" i="7" s="1"/>
  <c r="AE29" i="7"/>
  <c r="AD29" i="7"/>
  <c r="Q32" i="2"/>
  <c r="AB29" i="7" s="1"/>
  <c r="P32" i="2"/>
  <c r="AC29" i="7" s="1"/>
  <c r="O32" i="2"/>
  <c r="T31" i="2"/>
  <c r="AF28" i="7" s="1"/>
  <c r="AE28" i="7"/>
  <c r="AD28" i="7"/>
  <c r="Q31" i="2"/>
  <c r="AB28" i="7" s="1"/>
  <c r="P31" i="2"/>
  <c r="AC28" i="7" s="1"/>
  <c r="O31" i="2"/>
  <c r="T30" i="2"/>
  <c r="AF27" i="7" s="1"/>
  <c r="AE27" i="7"/>
  <c r="AD27" i="7"/>
  <c r="Q30" i="2"/>
  <c r="AB27" i="7" s="1"/>
  <c r="P30" i="2"/>
  <c r="AC27" i="7" s="1"/>
  <c r="O30" i="2"/>
  <c r="T29" i="2"/>
  <c r="AF26" i="7" s="1"/>
  <c r="AE26" i="7"/>
  <c r="AD26" i="7"/>
  <c r="Q29" i="2"/>
  <c r="AB26" i="7" s="1"/>
  <c r="P29" i="2"/>
  <c r="AC26" i="7" s="1"/>
  <c r="O29" i="2"/>
  <c r="T28" i="2"/>
  <c r="AF25" i="7" s="1"/>
  <c r="AE25" i="7"/>
  <c r="AD25" i="7"/>
  <c r="Q28" i="2"/>
  <c r="AB25" i="7" s="1"/>
  <c r="P28" i="2"/>
  <c r="AC25" i="7" s="1"/>
  <c r="O28" i="2"/>
  <c r="T27" i="2"/>
  <c r="AF24" i="7" s="1"/>
  <c r="AE24" i="7"/>
  <c r="AD24" i="7"/>
  <c r="Q27" i="2"/>
  <c r="AB24" i="7" s="1"/>
  <c r="P27" i="2"/>
  <c r="AC24" i="7" s="1"/>
  <c r="T26" i="2"/>
  <c r="AF23" i="7" s="1"/>
  <c r="AE23" i="7"/>
  <c r="AD23" i="7"/>
  <c r="Q26" i="2"/>
  <c r="AB23" i="7" s="1"/>
  <c r="P26" i="2"/>
  <c r="AC23" i="7" s="1"/>
  <c r="O26" i="2"/>
  <c r="T25" i="2"/>
  <c r="AF22" i="7" s="1"/>
  <c r="AE22" i="7"/>
  <c r="AD22" i="7"/>
  <c r="Q25" i="2"/>
  <c r="AB22" i="7" s="1"/>
  <c r="P25" i="2"/>
  <c r="AC22" i="7" s="1"/>
  <c r="O25" i="2"/>
  <c r="T24" i="2"/>
  <c r="AF21" i="7" s="1"/>
  <c r="AE21" i="7"/>
  <c r="AD21" i="7"/>
  <c r="Q24" i="2"/>
  <c r="AB21" i="7" s="1"/>
  <c r="P24" i="2"/>
  <c r="AC21" i="7" s="1"/>
  <c r="O24" i="2"/>
  <c r="T23" i="2"/>
  <c r="AF20" i="7" s="1"/>
  <c r="AE20" i="7"/>
  <c r="AD20" i="7"/>
  <c r="Q23" i="2"/>
  <c r="AB20" i="7" s="1"/>
  <c r="P23" i="2"/>
  <c r="AC20" i="7" s="1"/>
  <c r="O23" i="2"/>
  <c r="T22" i="2"/>
  <c r="AF19" i="7" s="1"/>
  <c r="AE19" i="7"/>
  <c r="AD19" i="7"/>
  <c r="Q22" i="2"/>
  <c r="AB19" i="7" s="1"/>
  <c r="P22" i="2"/>
  <c r="AC19" i="7" s="1"/>
  <c r="O22" i="2"/>
  <c r="T21" i="2"/>
  <c r="AF18" i="7" s="1"/>
  <c r="AE18" i="7"/>
  <c r="AD18" i="7"/>
  <c r="Q21" i="2"/>
  <c r="AB18" i="7" s="1"/>
  <c r="P21" i="2"/>
  <c r="AC18" i="7" s="1"/>
  <c r="O21" i="2"/>
  <c r="T19" i="2"/>
  <c r="AF17" i="7" s="1"/>
  <c r="AE17" i="7"/>
  <c r="AD17" i="7"/>
  <c r="Q19" i="2"/>
  <c r="AB17" i="7" s="1"/>
  <c r="P19" i="2"/>
  <c r="AC17" i="7" s="1"/>
  <c r="O19" i="2"/>
  <c r="T18" i="2"/>
  <c r="AF16" i="7" s="1"/>
  <c r="AE16" i="7"/>
  <c r="AD16" i="7"/>
  <c r="Q18" i="2"/>
  <c r="AB16" i="7" s="1"/>
  <c r="P18" i="2"/>
  <c r="AC16" i="7" s="1"/>
  <c r="O18" i="2"/>
  <c r="T17" i="2"/>
  <c r="AF15" i="7" s="1"/>
  <c r="AE15" i="7"/>
  <c r="AD15" i="7"/>
  <c r="Q17" i="2"/>
  <c r="AB15" i="7" s="1"/>
  <c r="AC15" i="7"/>
  <c r="O17" i="2"/>
  <c r="T16" i="2"/>
  <c r="AF14" i="7" s="1"/>
  <c r="AE14" i="7"/>
  <c r="AD14" i="7"/>
  <c r="Q16" i="2"/>
  <c r="AB14" i="7" s="1"/>
  <c r="P16" i="2"/>
  <c r="AC14" i="7" s="1"/>
  <c r="O16" i="2"/>
  <c r="T15" i="2"/>
  <c r="AF13" i="7" s="1"/>
  <c r="AE13" i="7"/>
  <c r="AD13" i="7"/>
  <c r="Q15" i="2"/>
  <c r="AB13" i="7" s="1"/>
  <c r="P15" i="2"/>
  <c r="AC13" i="7" s="1"/>
  <c r="O15" i="2"/>
  <c r="T13" i="2"/>
  <c r="AF12" i="7" s="1"/>
  <c r="AE12" i="7"/>
  <c r="AD12" i="7"/>
  <c r="Q13" i="2"/>
  <c r="AB12" i="7" s="1"/>
  <c r="P13" i="2"/>
  <c r="AC12" i="7" s="1"/>
  <c r="T11" i="2"/>
  <c r="AF11" i="7" s="1"/>
  <c r="AE11" i="7"/>
  <c r="AD11" i="7"/>
  <c r="Q11" i="2"/>
  <c r="AB11" i="7" s="1"/>
  <c r="P11" i="2"/>
  <c r="AC11" i="7" s="1"/>
  <c r="O11" i="2"/>
  <c r="T10" i="2"/>
  <c r="AF10" i="7" s="1"/>
  <c r="AE10" i="7"/>
  <c r="AD10" i="7"/>
  <c r="Q10" i="2"/>
  <c r="AB10" i="7" s="1"/>
  <c r="P10" i="2"/>
  <c r="AC10" i="7" s="1"/>
  <c r="T9" i="2"/>
  <c r="AF9" i="7" s="1"/>
  <c r="AE9" i="7"/>
  <c r="AD9" i="7"/>
  <c r="Q9" i="2"/>
  <c r="AB9" i="7" s="1"/>
  <c r="P9" i="2"/>
  <c r="T8" i="2"/>
  <c r="Q8" i="2"/>
  <c r="AC8" i="7"/>
  <c r="AD7" i="7"/>
  <c r="AB7" i="7"/>
  <c r="AC7" i="7"/>
  <c r="L62" i="1"/>
  <c r="K63" i="1"/>
  <c r="M63" i="1" s="1"/>
  <c r="L6" i="1"/>
  <c r="I86" i="1"/>
  <c r="L61" i="1"/>
  <c r="K60" i="1"/>
  <c r="M60" i="1" s="1"/>
  <c r="L59" i="1"/>
  <c r="L58" i="1"/>
  <c r="M57" i="1"/>
  <c r="L56" i="1"/>
  <c r="L55" i="1"/>
  <c r="L54" i="1"/>
  <c r="L53" i="1"/>
  <c r="L51" i="1"/>
  <c r="M50" i="1"/>
  <c r="L49" i="1"/>
  <c r="L48" i="1"/>
  <c r="L47" i="1"/>
  <c r="M46" i="1"/>
  <c r="M45" i="1"/>
  <c r="M44" i="1"/>
  <c r="L43" i="1"/>
  <c r="M42" i="1"/>
  <c r="M41" i="1"/>
  <c r="L40" i="1"/>
  <c r="L39" i="1"/>
  <c r="L38" i="1"/>
  <c r="L37" i="1"/>
  <c r="L36" i="1"/>
  <c r="N36" i="1" s="1"/>
  <c r="L35" i="1"/>
  <c r="M34" i="1"/>
  <c r="L33" i="1"/>
  <c r="L32" i="1"/>
  <c r="M31" i="1"/>
  <c r="L30" i="1"/>
  <c r="L29" i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L22" i="1"/>
  <c r="I19" i="1"/>
  <c r="K19" i="1" s="1"/>
  <c r="M19" i="1" s="1"/>
  <c r="I18" i="1"/>
  <c r="L18" i="1" s="1"/>
  <c r="I17" i="1"/>
  <c r="K17" i="1" s="1"/>
  <c r="M17" i="1" s="1"/>
  <c r="I16" i="1"/>
  <c r="I15" i="1"/>
  <c r="K15" i="1" s="1"/>
  <c r="M15" i="1" s="1"/>
  <c r="I14" i="1"/>
  <c r="I13" i="1"/>
  <c r="I12" i="1"/>
  <c r="K12" i="1" s="1"/>
  <c r="I11" i="1"/>
  <c r="I10" i="1"/>
  <c r="I9" i="1"/>
  <c r="K9" i="1" s="1"/>
  <c r="AC14" i="4" l="1"/>
  <c r="AC15" i="4" s="1"/>
  <c r="I67" i="13"/>
  <c r="R67" i="13" s="1"/>
  <c r="J76" i="13" s="1"/>
  <c r="C60" i="13"/>
  <c r="L11" i="1"/>
  <c r="K11" i="1"/>
  <c r="M11" i="1" s="1"/>
  <c r="L13" i="1"/>
  <c r="K13" i="1"/>
  <c r="M13" i="1" s="1"/>
  <c r="L14" i="1"/>
  <c r="K14" i="1"/>
  <c r="M14" i="1" s="1"/>
  <c r="L10" i="1"/>
  <c r="K10" i="1"/>
  <c r="M10" i="1" s="1"/>
  <c r="L12" i="1"/>
  <c r="L9" i="1"/>
  <c r="N8" i="1" s="1"/>
  <c r="C8" i="7" s="1"/>
  <c r="M9" i="1"/>
  <c r="N24" i="1"/>
  <c r="C16" i="7" s="1"/>
  <c r="E16" i="7" s="1"/>
  <c r="N26" i="1"/>
  <c r="M51" i="7"/>
  <c r="N51" i="7"/>
  <c r="N6" i="1"/>
  <c r="I68" i="13"/>
  <c r="M67" i="13" s="1"/>
  <c r="J75" i="13" s="1"/>
  <c r="J77" i="13"/>
  <c r="K67" i="13"/>
  <c r="J74" i="13" s="1"/>
  <c r="J70" i="13"/>
  <c r="N22" i="1"/>
  <c r="C15" i="7" s="1"/>
  <c r="E27" i="7"/>
  <c r="AD8" i="7"/>
  <c r="R54" i="2"/>
  <c r="AB8" i="2" s="1"/>
  <c r="AB11" i="2" s="1"/>
  <c r="AB8" i="7"/>
  <c r="AB51" i="7" s="1"/>
  <c r="Q54" i="2"/>
  <c r="O54" i="2"/>
  <c r="AE8" i="7"/>
  <c r="S54" i="2"/>
  <c r="AF8" i="7"/>
  <c r="AF50" i="7" s="1"/>
  <c r="T54" i="2"/>
  <c r="AC9" i="7"/>
  <c r="AC51" i="7" s="1"/>
  <c r="P54" i="2"/>
  <c r="L51" i="7"/>
  <c r="AC19" i="4"/>
  <c r="E25" i="7"/>
  <c r="K16" i="1"/>
  <c r="M16" i="1" s="1"/>
  <c r="L16" i="1"/>
  <c r="E23" i="7"/>
  <c r="Z31" i="7"/>
  <c r="Z19" i="7"/>
  <c r="Z10" i="7"/>
  <c r="Z14" i="7"/>
  <c r="Z18" i="7"/>
  <c r="Z22" i="7"/>
  <c r="Z26" i="7"/>
  <c r="Z30" i="7"/>
  <c r="Z34" i="7"/>
  <c r="Z15" i="7"/>
  <c r="Z27" i="7"/>
  <c r="Z9" i="7"/>
  <c r="Z13" i="7"/>
  <c r="Z17" i="7"/>
  <c r="Z21" i="7"/>
  <c r="Z25" i="7"/>
  <c r="Z29" i="7"/>
  <c r="Z33" i="7"/>
  <c r="Z35" i="7"/>
  <c r="Z23" i="7"/>
  <c r="Z8" i="7"/>
  <c r="Z12" i="7"/>
  <c r="Z16" i="7"/>
  <c r="Z20" i="7"/>
  <c r="Z28" i="7"/>
  <c r="Z32" i="7"/>
  <c r="Z36" i="7"/>
  <c r="Z11" i="7"/>
  <c r="K62" i="1"/>
  <c r="M62" i="1" s="1"/>
  <c r="M52" i="1"/>
  <c r="L50" i="1"/>
  <c r="L63" i="1"/>
  <c r="N62" i="1" s="1"/>
  <c r="L44" i="1"/>
  <c r="K59" i="1"/>
  <c r="M59" i="1" s="1"/>
  <c r="K24" i="1"/>
  <c r="M24" i="1" s="1"/>
  <c r="M35" i="1"/>
  <c r="M33" i="1"/>
  <c r="L42" i="1"/>
  <c r="N42" i="1" s="1"/>
  <c r="C43" i="7" s="1"/>
  <c r="E43" i="7" s="1"/>
  <c r="L31" i="1"/>
  <c r="N30" i="1" s="1"/>
  <c r="M58" i="1"/>
  <c r="N28" i="1"/>
  <c r="C18" i="7" s="1"/>
  <c r="L19" i="1"/>
  <c r="M51" i="1"/>
  <c r="L15" i="1"/>
  <c r="M49" i="1"/>
  <c r="L57" i="1"/>
  <c r="N56" i="1" s="1"/>
  <c r="L60" i="1"/>
  <c r="N60" i="1" s="1"/>
  <c r="N38" i="1"/>
  <c r="N58" i="1"/>
  <c r="C33" i="7" s="1"/>
  <c r="E33" i="7" s="1"/>
  <c r="K22" i="1"/>
  <c r="M22" i="1" s="1"/>
  <c r="K26" i="1"/>
  <c r="M26" i="1" s="1"/>
  <c r="N48" i="1"/>
  <c r="C49" i="7" s="1"/>
  <c r="E49" i="7" s="1"/>
  <c r="L17" i="1"/>
  <c r="N32" i="1"/>
  <c r="C20" i="7" s="1"/>
  <c r="E20" i="7" s="1"/>
  <c r="L34" i="1"/>
  <c r="N34" i="1" s="1"/>
  <c r="C21" i="7" s="1"/>
  <c r="M53" i="1"/>
  <c r="N54" i="1"/>
  <c r="L46" i="1"/>
  <c r="N46" i="1" s="1"/>
  <c r="C47" i="7" s="1"/>
  <c r="E47" i="7" s="1"/>
  <c r="M48" i="1"/>
  <c r="M55" i="1"/>
  <c r="K6" i="1"/>
  <c r="M30" i="1"/>
  <c r="M32" i="1"/>
  <c r="L41" i="1"/>
  <c r="N40" i="1" s="1"/>
  <c r="C41" i="7" s="1"/>
  <c r="E41" i="7" s="1"/>
  <c r="L52" i="1"/>
  <c r="N52" i="1" s="1"/>
  <c r="C30" i="7" s="1"/>
  <c r="E30" i="7" s="1"/>
  <c r="M54" i="1"/>
  <c r="K61" i="1"/>
  <c r="M61" i="1" s="1"/>
  <c r="M12" i="1"/>
  <c r="M39" i="1"/>
  <c r="K18" i="1"/>
  <c r="M18" i="1" s="1"/>
  <c r="K23" i="1"/>
  <c r="M23" i="1" s="1"/>
  <c r="K25" i="1"/>
  <c r="M25" i="1" s="1"/>
  <c r="M38" i="1"/>
  <c r="L45" i="1"/>
  <c r="M47" i="1"/>
  <c r="M56" i="1"/>
  <c r="K28" i="1"/>
  <c r="M28" i="1" s="1"/>
  <c r="M43" i="1"/>
  <c r="K27" i="1"/>
  <c r="M27" i="1" s="1"/>
  <c r="M29" i="1"/>
  <c r="M40" i="1"/>
  <c r="O56" i="2" l="1"/>
  <c r="X24" i="2"/>
  <c r="Y11" i="2"/>
  <c r="P56" i="2"/>
  <c r="Y24" i="2"/>
  <c r="AA8" i="2"/>
  <c r="AA11" i="2" s="1"/>
  <c r="Z24" i="2"/>
  <c r="T56" i="2"/>
  <c r="Z8" i="2"/>
  <c r="Z11" i="2" s="1"/>
  <c r="Q56" i="2"/>
  <c r="AA24" i="2"/>
  <c r="E21" i="7"/>
  <c r="G21" i="7"/>
  <c r="E37" i="7"/>
  <c r="C7" i="7"/>
  <c r="G7" i="7" s="1"/>
  <c r="G8" i="7"/>
  <c r="E8" i="7"/>
  <c r="C17" i="7"/>
  <c r="N12" i="1"/>
  <c r="C10" i="7" s="1"/>
  <c r="E10" i="7" s="1"/>
  <c r="N10" i="1"/>
  <c r="C22" i="7" s="1"/>
  <c r="N14" i="1"/>
  <c r="N16" i="1"/>
  <c r="C12" i="7" s="1"/>
  <c r="G12" i="7" s="1"/>
  <c r="AF51" i="7"/>
  <c r="E7" i="7"/>
  <c r="C31" i="7"/>
  <c r="E31" i="7" s="1"/>
  <c r="J72" i="13"/>
  <c r="J73" i="13" s="1"/>
  <c r="Z50" i="7"/>
  <c r="AC50" i="7"/>
  <c r="AB50" i="7"/>
  <c r="E29" i="7"/>
  <c r="U54" i="2"/>
  <c r="X8" i="2" s="1"/>
  <c r="X11" i="2" s="1"/>
  <c r="Y8" i="2"/>
  <c r="G16" i="7"/>
  <c r="H16" i="7" s="1"/>
  <c r="N18" i="1"/>
  <c r="C13" i="7" s="1"/>
  <c r="G13" i="7" s="1"/>
  <c r="G15" i="7"/>
  <c r="H15" i="7" s="1"/>
  <c r="Z51" i="7"/>
  <c r="L86" i="1"/>
  <c r="K86" i="1"/>
  <c r="N50" i="1"/>
  <c r="N44" i="1"/>
  <c r="C45" i="7" s="1"/>
  <c r="E45" i="7" s="1"/>
  <c r="M6" i="1"/>
  <c r="M86" i="1" s="1"/>
  <c r="E39" i="7" l="1"/>
  <c r="G39" i="7"/>
  <c r="E22" i="7"/>
  <c r="G22" i="7"/>
  <c r="H22" i="7" s="1"/>
  <c r="H50" i="7" s="1"/>
  <c r="E35" i="7"/>
  <c r="G35" i="7"/>
  <c r="N86" i="1"/>
  <c r="G17" i="7"/>
  <c r="H17" i="7" s="1"/>
  <c r="E17" i="7"/>
  <c r="C11" i="7"/>
  <c r="D7" i="7"/>
  <c r="D8" i="7" s="1"/>
  <c r="G10" i="7"/>
  <c r="H10" i="7" s="1"/>
  <c r="C14" i="7"/>
  <c r="C9" i="7"/>
  <c r="H12" i="7"/>
  <c r="E12" i="7"/>
  <c r="AN68" i="13"/>
  <c r="AN70" i="13"/>
  <c r="AN69" i="13"/>
  <c r="AN67" i="13"/>
  <c r="M95" i="13"/>
  <c r="M99" i="13" s="1"/>
  <c r="E18" i="7"/>
  <c r="V60" i="13"/>
  <c r="AJ11" i="13"/>
  <c r="E19" i="7"/>
  <c r="H13" i="7"/>
  <c r="E13" i="7"/>
  <c r="G11" i="7"/>
  <c r="E11" i="7"/>
  <c r="E15" i="7"/>
  <c r="H7" i="7"/>
  <c r="E9" i="7" l="1"/>
  <c r="C50" i="7"/>
  <c r="G14" i="7"/>
  <c r="H14" i="7" s="1"/>
  <c r="C51" i="7"/>
  <c r="X61" i="7" s="1"/>
  <c r="E14" i="7"/>
  <c r="E51" i="7" s="1"/>
  <c r="X62" i="7" s="1"/>
  <c r="G9" i="7"/>
  <c r="H11" i="7"/>
  <c r="AR11" i="13"/>
  <c r="BA11" i="13"/>
  <c r="D9" i="7"/>
  <c r="D10" i="7" s="1"/>
  <c r="H9" i="7" l="1"/>
  <c r="G50" i="7"/>
  <c r="G51" i="7"/>
  <c r="AR60" i="13"/>
  <c r="AW15" i="13"/>
  <c r="BA61" i="13"/>
  <c r="AW11" i="13"/>
  <c r="BE13" i="13"/>
  <c r="BE14" i="13" s="1"/>
  <c r="AX13" i="13"/>
  <c r="D11" i="7"/>
  <c r="D12" i="7" s="1"/>
  <c r="H51" i="7" l="1"/>
  <c r="BC61" i="13"/>
  <c r="D13" i="7"/>
  <c r="D14" i="7" l="1"/>
  <c r="D15" i="7" s="1"/>
  <c r="AZ65" i="13"/>
  <c r="BE62" i="13"/>
  <c r="BC62" i="13"/>
  <c r="BD62" i="13"/>
  <c r="D16" i="7" l="1"/>
  <c r="D17" i="7" l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<sst xmlns="http://schemas.openxmlformats.org/spreadsheetml/2006/main" count="1288" uniqueCount="538">
  <si>
    <t>Data Crushing February 2025</t>
  </si>
  <si>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</si>
  <si>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</si>
  <si>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</si>
  <si>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</si>
  <si>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</si>
  <si>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</si>
  <si>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</si>
  <si>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</si>
  <si>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</si>
  <si>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</si>
  <si>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</si>
  <si>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</si>
  <si>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</si>
  <si>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</si>
  <si>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</si>
  <si>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</si>
  <si>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</si>
  <si>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</si>
  <si>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</si>
  <si>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</si>
  <si>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</si>
  <si>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</si>
  <si>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</si>
  <si>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</si>
  <si>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</si>
  <si>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</si>
  <si>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</si>
  <si>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</si>
  <si>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</si>
  <si>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</si>
  <si>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</si>
  <si>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</si>
  <si>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</si>
  <si>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</si>
  <si>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</si>
  <si>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</si>
  <si>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</si>
  <si>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</si>
  <si>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</si>
  <si>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</si>
  <si>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</si>
  <si>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</si>
  <si>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</si>
  <si>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</si>
  <si>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</si>
  <si>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</si>
  <si>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</si>
  <si>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</si>
  <si>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</si>
  <si>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</si>
  <si>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</si>
  <si>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</si>
  <si>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</si>
  <si>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</si>
  <si>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</si>
  <si>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</si>
  <si>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</si>
  <si>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</si>
  <si>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</si>
  <si>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</si>
  <si>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</si>
  <si>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</si>
  <si>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</si>
  <si>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</si>
  <si>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</si>
  <si>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</si>
  <si>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</si>
  <si>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</si>
  <si>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</si>
  <si>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</si>
  <si>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</si>
  <si>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</si>
  <si>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</si>
  <si>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</si>
  <si>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</si>
  <si>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</si>
  <si>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</si>
  <si>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</si>
  <si>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</si>
  <si>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</si>
  <si>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</si>
  <si>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</si>
  <si>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</si>
  <si>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</si>
  <si>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</si>
  <si>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</si>
  <si>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</si>
  <si>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</si>
  <si>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</si>
  <si>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</si>
  <si>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</si>
  <si>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</si>
  <si>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</si>
  <si>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</si>
  <si>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</si>
  <si>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</si>
  <si>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</si>
  <si>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</si>
  <si>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</si>
  <si>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</si>
  <si>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</si>
  <si>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</si>
  <si>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</si>
  <si>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</si>
  <si>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</si>
  <si>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</si>
  <si>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</si>
  <si>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</si>
  <si>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</si>
  <si>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</si>
  <si>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</si>
  <si>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</si>
  <si>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</si>
  <si>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</si>
  <si>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</si>
  <si>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</si>
  <si>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</si>
  <si>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</si>
  <si>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</si>
  <si>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</si>
  <si>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</si>
  <si>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</si>
  <si>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</si>
  <si>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</si>
  <si>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</si>
  <si>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</si>
  <si>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</si>
  <si>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</si>
  <si>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</si>
  <si>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</si>
  <si>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</si>
  <si>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</si>
  <si>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</si>
  <si>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</si>
  <si>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</si>
  <si>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</si>
  <si>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</si>
  <si>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</si>
  <si>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</si>
  <si>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</si>
  <si>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</si>
  <si>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</si>
  <si>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</si>
  <si>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</si>
  <si>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</si>
  <si>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</si>
  <si>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</si>
  <si>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</si>
  <si>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</si>
  <si>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</si>
  <si>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</si>
  <si>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</si>
  <si>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</si>
  <si>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</si>
  <si>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</si>
  <si>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</si>
  <si>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</si>
  <si>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</si>
  <si>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</si>
  <si>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</si>
  <si>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</si>
  <si>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</si>
  <si>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</si>
  <si>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</si>
  <si>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</si>
  <si>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</si>
  <si>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</si>
  <si>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</si>
  <si>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</si>
  <si>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</si>
  <si>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</si>
  <si>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</si>
  <si>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</si>
  <si>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</si>
  <si>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</si>
  <si>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</si>
  <si>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</si>
  <si>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</si>
  <si>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</si>
  <si>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</si>
  <si>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</si>
  <si>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</si>
  <si>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</si>
  <si>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</si>
  <si>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</si>
  <si>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</si>
  <si>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</si>
  <si>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</si>
  <si>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</si>
  <si>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</si>
  <si>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</si>
  <si>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</si>
  <si>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</si>
  <si>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</si>
  <si>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</si>
  <si>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</si>
  <si>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</si>
  <si>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</si>
  <si>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</si>
  <si>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</si>
  <si>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</si>
  <si>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</si>
  <si>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</si>
  <si>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</si>
  <si>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</si>
  <si>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</si>
  <si>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</si>
  <si>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</si>
  <si>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</si>
  <si>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</si>
  <si>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</si>
  <si>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</si>
  <si>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</si>
  <si>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</si>
  <si>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</si>
  <si>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</si>
  <si>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</si>
  <si>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</si>
  <si>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</si>
  <si>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</si>
  <si>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</si>
  <si>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</si>
  <si>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</si>
  <si>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</si>
  <si>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</si>
  <si>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</si>
  <si>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</si>
  <si>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</si>
  <si>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</si>
  <si>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</si>
  <si>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</si>
  <si>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</si>
  <si>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</si>
  <si>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</si>
  <si>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</si>
  <si>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</si>
  <si>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</si>
  <si>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</si>
  <si>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</si>
  <si>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</si>
  <si>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</si>
  <si>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</si>
  <si>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</si>
  <si>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</si>
  <si>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</si>
  <si>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</si>
  <si>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</si>
  <si>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</si>
  <si>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</si>
  <si>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</si>
  <si>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</si>
  <si>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</si>
  <si>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</si>
  <si>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</si>
  <si>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</si>
  <si>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</si>
  <si>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</si>
  <si>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</si>
  <si>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</si>
  <si>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</si>
  <si>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</si>
  <si>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</si>
  <si>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</si>
  <si>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</si>
  <si>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</si>
  <si>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</si>
  <si>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</si>
  <si>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</si>
  <si>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</si>
  <si>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</si>
  <si>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</si>
  <si>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</si>
  <si>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</si>
  <si>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</si>
  <si>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</si>
  <si>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</si>
  <si>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</si>
  <si>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%Au</t>
  </si>
  <si>
    <t>%Ag</t>
  </si>
  <si>
    <t>%Cu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</si>
  <si>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</si>
  <si>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</si>
  <si>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</si>
  <si>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</si>
  <si>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</si>
  <si>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</si>
  <si>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</si>
  <si>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</si>
  <si>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</si>
  <si>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</si>
  <si>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</si>
  <si>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</si>
  <si>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</si>
  <si>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</si>
  <si>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</si>
  <si>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</si>
  <si>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</si>
  <si>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</si>
  <si>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</si>
  <si>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</si>
  <si>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</si>
  <si>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</si>
  <si>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Lab AAS Loaded Carbon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</si>
  <si>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</si>
  <si>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</si>
  <si>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</si>
  <si>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</si>
  <si>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</si>
  <si>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</si>
  <si>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</si>
  <si>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</si>
  <si>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</si>
  <si>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</si>
  <si>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</si>
  <si>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</si>
  <si>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</si>
  <si>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</si>
  <si>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</si>
  <si>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</si>
  <si>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</si>
  <si>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</si>
  <si>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</si>
  <si>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No Tank</t>
  </si>
  <si>
    <t>Material Solid (Ton)</t>
  </si>
  <si>
    <t xml:space="preserve">Thickener Tank </t>
  </si>
  <si>
    <t>hcl 1 file 35 kg/30 Liter</t>
  </si>
  <si>
    <t>Hours Milling</t>
  </si>
  <si>
    <t>x</t>
  </si>
  <si>
    <t>Siklus Pengolahan</t>
  </si>
  <si>
    <t>Assay Lab Result Fresh Ore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</si>
  <si>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</si>
  <si>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</si>
  <si>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</si>
  <si>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</si>
  <si>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</si>
  <si>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</si>
  <si>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</si>
  <si>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</si>
  <si>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</si>
  <si>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</si>
  <si>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</si>
  <si>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</si>
  <si>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</si>
  <si>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</si>
  <si>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</si>
  <si>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</si>
  <si>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</si>
  <si>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</si>
  <si>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</si>
  <si>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</si>
  <si>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</si>
  <si>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</si>
  <si>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</si>
  <si>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</si>
  <si>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</si>
  <si>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</si>
  <si>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</si>
  <si>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</si>
  <si>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</si>
  <si>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</si>
  <si>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</si>
  <si>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</si>
  <si>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</si>
  <si>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</si>
  <si>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</si>
  <si>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</si>
  <si>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</si>
  <si>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</si>
  <si>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</si>
  <si>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</si>
  <si>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</si>
  <si>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</si>
  <si>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</si>
  <si>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</si>
  <si>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</si>
  <si>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</si>
  <si>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</si>
  <si>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</si>
  <si>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</si>
  <si>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Tonage by survey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</si>
  <si>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</si>
  <si>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</si>
  <si>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</si>
  <si>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</si>
  <si>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</si>
  <si>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</si>
  <si>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</si>
  <si>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</si>
  <si>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</si>
  <si>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</si>
  <si>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</si>
  <si>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</si>
  <si>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</si>
  <si>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</si>
  <si>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</si>
  <si>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</si>
  <si>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</si>
  <si>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</si>
  <si>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</si>
  <si>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</si>
  <si>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</si>
  <si>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</si>
  <si>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</si>
  <si>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</si>
  <si>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</si>
  <si>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</si>
  <si>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</si>
  <si>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</si>
  <si>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</si>
  <si>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</si>
  <si>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</si>
  <si>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</si>
  <si>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</si>
  <si>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</si>
  <si>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</si>
  <si>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</si>
  <si>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</si>
  <si>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</si>
  <si>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</si>
  <si>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Stock ROM CIL APRIL-Agustus 2026</t>
  </si>
  <si>
    <t>Averge</t>
  </si>
  <si>
    <t>Availability (%)</t>
  </si>
  <si>
    <t>Untuk Grafik Line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</si>
  <si>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</si>
  <si>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</si>
  <si>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</si>
  <si>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</si>
  <si>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</si>
  <si>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</si>
  <si>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</si>
  <si>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</si>
  <si>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</si>
  <si>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</si>
  <si>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</si>
  <si>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</si>
  <si>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</si>
  <si>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</si>
  <si>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</si>
  <si>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</si>
  <si>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</si>
  <si>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</si>
  <si>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</si>
  <si>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</si>
  <si>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</si>
  <si>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</si>
  <si>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</si>
  <si>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</si>
  <si>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</si>
  <si>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</si>
  <si>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</si>
  <si>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</si>
  <si>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</si>
  <si>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</si>
  <si>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</si>
  <si>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</si>
  <si>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</si>
  <si>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</si>
  <si>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</si>
  <si>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</si>
  <si>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</si>
  <si>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</si>
  <si>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</si>
  <si>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</si>
  <si>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</si>
  <si>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</si>
  <si>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</si>
  <si>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</si>
  <si>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</si>
  <si>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</si>
  <si>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</si>
  <si>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</si>
  <si>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</si>
  <si>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</si>
  <si>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</si>
  <si>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</si>
  <si>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</si>
  <si>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</si>
  <si>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</si>
  <si>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</si>
  <si>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</si>
  <si>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</si>
  <si>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</si>
  <si>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</si>
  <si>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</si>
  <si>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</si>
  <si>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</si>
  <si>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</si>
  <si>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</si>
  <si>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</si>
  <si>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</si>
  <si>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</si>
  <si>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</si>
  <si>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</si>
  <si>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</si>
  <si>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</si>
  <si>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</si>
  <si>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</si>
  <si>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</si>
  <si>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</si>
  <si>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</si>
  <si>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</si>
  <si>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</si>
  <si>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</si>
  <si>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</si>
  <si>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</si>
  <si>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</si>
  <si>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</si>
  <si>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</si>
  <si>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</si>
  <si>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</si>
  <si>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</si>
  <si>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</si>
  <si>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</si>
  <si>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</si>
  <si>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</si>
  <si>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</si>
  <si>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</si>
  <si>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</si>
  <si>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</si>
  <si>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</si>
  <si>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</si>
  <si>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</si>
  <si>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</si>
  <si>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</si>
  <si>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</si>
  <si>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</si>
  <si>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</si>
  <si>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</si>
  <si>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</si>
  <si>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 xml:space="preserve"> </t>
  </si>
  <si>
    <t>Shift malam ada kebocoran pada ball mill 3 jam 06:30, jalan ball mill 1 dan 2</t>
  </si>
  <si>
    <t>Ball mill 3 yang baru start jam 09:15, pada jam 13:40 ball mill baru kapasitas 300 tpd mati jam 08:37-09:45</t>
  </si>
  <si>
    <t xml:space="preserve">Start ball mill 19:30 jalan 2 ball mill no 1 dan 2, jam 21:30 jalan 3 ball mill, no 3 ball mill baru jalan sampai jam 01:45. dari jam 02:25 jalan hanya 1 ball mill, ball mill no 1, karena genset 750 rusak, hanya pakai genset 300 </t>
  </si>
  <si>
    <t>Batch 4 tank 3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</si>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</sst>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</numFmts>
  <fonts count="6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164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3" fillId="0" borderId="0" applyFont="0" applyFill="0" applyBorder="0" applyAlignment="0" applyProtection="0"/>
  </cellStyleXfs>
  <cellXfs count="833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43" fillId="2" borderId="12" xfId="0" applyFont="1" applyFill="1" applyBorder="1"/>
    <xf numFmtId="0" fontId="0" fillId="2" borderId="12" xfId="0" applyFill="1" applyBorder="1"/>
    <xf numFmtId="0" fontId="43" fillId="2" borderId="15" xfId="0" applyFont="1" applyFill="1" applyBorder="1" applyAlignment="1">
      <alignment vertical="center"/>
    </xf>
    <xf numFmtId="0" fontId="43" fillId="2" borderId="0" xfId="0" applyFont="1" applyFill="1"/>
    <xf numFmtId="14" fontId="43" fillId="2" borderId="10" xfId="0" applyNumberFormat="1" applyFont="1" applyFill="1" applyBorder="1" applyAlignment="1">
      <alignment horizontal="center" vertical="center"/>
    </xf>
    <xf numFmtId="14" fontId="43" fillId="2" borderId="17" xfId="0" applyNumberFormat="1" applyFont="1" applyFill="1" applyBorder="1" applyAlignment="1">
      <alignment horizontal="center" vertical="center"/>
    </xf>
    <xf numFmtId="164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164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44" fillId="4" borderId="12" xfId="0" applyFont="1" applyFill="1" applyBorder="1" applyAlignment="1">
      <alignment horizontal="center"/>
    </xf>
    <xf numFmtId="0" fontId="44" fillId="3" borderId="12" xfId="0" applyFont="1" applyFill="1" applyBorder="1" applyAlignment="1">
      <alignment horizontal="center"/>
    </xf>
    <xf numFmtId="0" fontId="43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44" fillId="3" borderId="12" xfId="0" applyFont="1" applyFill="1" applyBorder="1"/>
    <xf numFmtId="0" fontId="0" fillId="3" borderId="12" xfId="0" applyFill="1" applyBorder="1"/>
    <xf numFmtId="0" fontId="44" fillId="3" borderId="31" xfId="0" applyFont="1" applyFill="1" applyBorder="1" applyAlignment="1">
      <alignment horizontal="center"/>
    </xf>
    <xf numFmtId="0" fontId="44" fillId="3" borderId="20" xfId="0" applyFont="1" applyFill="1" applyBorder="1" applyAlignment="1">
      <alignment horizontal="center"/>
    </xf>
    <xf numFmtId="0" fontId="43" fillId="2" borderId="10" xfId="0" applyFont="1" applyFill="1" applyBorder="1" applyAlignment="1">
      <alignment horizontal="center"/>
    </xf>
    <xf numFmtId="9" fontId="0" fillId="2" borderId="10" xfId="2" applyFon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5" fillId="5" borderId="0" xfId="0" applyFont="1" applyFill="1"/>
    <xf numFmtId="0" fontId="46" fillId="5" borderId="0" xfId="0" applyFont="1" applyFill="1"/>
    <xf numFmtId="0" fontId="43" fillId="2" borderId="17" xfId="0" applyFont="1" applyFill="1" applyBorder="1" applyAlignment="1">
      <alignment horizontal="center"/>
    </xf>
    <xf numFmtId="9" fontId="0" fillId="2" borderId="17" xfId="2" applyFon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9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0" fontId="47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47" fillId="2" borderId="0" xfId="3" applyNumberFormat="1" applyFont="1" applyFill="1"/>
    <xf numFmtId="170" fontId="47" fillId="5" borderId="0" xfId="3" applyNumberFormat="1" applyFont="1" applyFill="1"/>
    <xf numFmtId="14" fontId="43" fillId="2" borderId="28" xfId="0" applyNumberFormat="1" applyFont="1" applyFill="1" applyBorder="1" applyAlignment="1">
      <alignment horizontal="center" vertical="center"/>
    </xf>
    <xf numFmtId="0" fontId="43" fillId="2" borderId="28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43" fillId="2" borderId="12" xfId="0" applyNumberFormat="1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48" fillId="5" borderId="0" xfId="2" applyNumberFormat="1" applyFont="1" applyFill="1"/>
    <xf numFmtId="172" fontId="47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49" fillId="6" borderId="12" xfId="0" applyFont="1" applyFill="1" applyBorder="1" applyAlignment="1">
      <alignment horizontal="center" vertical="center"/>
    </xf>
    <xf numFmtId="0" fontId="49" fillId="2" borderId="12" xfId="0" applyFont="1" applyFill="1" applyBorder="1" applyAlignment="1">
      <alignment horizontal="center" vertical="center"/>
    </xf>
    <xf numFmtId="0" fontId="49" fillId="8" borderId="12" xfId="0" applyFont="1" applyFill="1" applyBorder="1" applyAlignment="1">
      <alignment horizontal="center" vertical="center"/>
    </xf>
    <xf numFmtId="0" fontId="49" fillId="9" borderId="12" xfId="0" applyFont="1" applyFill="1" applyBorder="1" applyAlignment="1">
      <alignment horizontal="center" vertical="center"/>
    </xf>
    <xf numFmtId="14" fontId="49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49" fillId="7" borderId="20" xfId="0" applyNumberFormat="1" applyFont="1" applyFill="1" applyBorder="1" applyAlignment="1">
      <alignment horizontal="center" vertical="center"/>
    </xf>
    <xf numFmtId="14" fontId="49" fillId="7" borderId="21" xfId="0" applyNumberFormat="1" applyFont="1" applyFill="1" applyBorder="1" applyAlignment="1">
      <alignment horizontal="center" vertical="center"/>
    </xf>
    <xf numFmtId="14" fontId="49" fillId="7" borderId="28" xfId="0" applyNumberFormat="1" applyFont="1" applyFill="1" applyBorder="1" applyAlignment="1">
      <alignment horizontal="center" vertical="center"/>
    </xf>
    <xf numFmtId="0" fontId="44" fillId="10" borderId="12" xfId="0" applyFont="1" applyFill="1" applyBorder="1" applyAlignment="1">
      <alignment horizontal="center"/>
    </xf>
    <xf numFmtId="0" fontId="51" fillId="11" borderId="12" xfId="0" applyFont="1" applyFill="1" applyBorder="1" applyAlignment="1">
      <alignment horizontal="center" vertical="center"/>
    </xf>
    <xf numFmtId="0" fontId="44" fillId="10" borderId="12" xfId="0" applyFont="1" applyFill="1" applyBorder="1" applyAlignment="1">
      <alignment horizontal="center" vertical="center"/>
    </xf>
    <xf numFmtId="14" fontId="51" fillId="12" borderId="12" xfId="0" applyNumberFormat="1" applyFont="1" applyFill="1" applyBorder="1" applyAlignment="1">
      <alignment horizontal="center" vertical="center"/>
    </xf>
    <xf numFmtId="0" fontId="51" fillId="13" borderId="12" xfId="0" applyFont="1" applyFill="1" applyBorder="1" applyAlignment="1">
      <alignment horizontal="center" vertical="center"/>
    </xf>
    <xf numFmtId="0" fontId="43" fillId="0" borderId="7" xfId="0" applyFont="1" applyBorder="1" applyAlignment="1">
      <alignment horizontal="center"/>
    </xf>
    <xf numFmtId="20" fontId="43" fillId="2" borderId="28" xfId="0" applyNumberFormat="1" applyFont="1" applyFill="1" applyBorder="1" applyAlignment="1">
      <alignment horizontal="center" vertical="center"/>
    </xf>
    <xf numFmtId="1" fontId="43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43" fillId="2" borderId="12" xfId="0" applyFont="1" applyFill="1" applyBorder="1" applyAlignment="1">
      <alignment vertical="center"/>
    </xf>
    <xf numFmtId="0" fontId="43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43" fillId="2" borderId="12" xfId="0" applyNumberFormat="1" applyFont="1" applyFill="1" applyBorder="1" applyAlignment="1">
      <alignment horizontal="center" vertical="center"/>
    </xf>
    <xf numFmtId="0" fontId="44" fillId="3" borderId="12" xfId="0" applyFont="1" applyFill="1" applyBorder="1" applyAlignment="1">
      <alignment horizontal="right"/>
    </xf>
    <xf numFmtId="1" fontId="44" fillId="3" borderId="20" xfId="0" applyNumberFormat="1" applyFont="1" applyFill="1" applyBorder="1" applyAlignment="1">
      <alignment horizontal="right"/>
    </xf>
    <xf numFmtId="9" fontId="44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54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49" fillId="0" borderId="0" xfId="0" applyFont="1"/>
    <xf numFmtId="1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0" fontId="49" fillId="0" borderId="38" xfId="0" applyFont="1" applyBorder="1"/>
    <xf numFmtId="1" fontId="49" fillId="0" borderId="38" xfId="0" applyNumberFormat="1" applyFont="1" applyBorder="1" applyAlignment="1">
      <alignment horizontal="center"/>
    </xf>
    <xf numFmtId="0" fontId="49" fillId="0" borderId="38" xfId="0" applyFont="1" applyBorder="1" applyAlignment="1">
      <alignment horizontal="center"/>
    </xf>
    <xf numFmtId="164" fontId="49" fillId="0" borderId="38" xfId="1" applyFont="1" applyBorder="1" applyAlignment="1">
      <alignment horizontal="center"/>
    </xf>
    <xf numFmtId="0" fontId="49" fillId="0" borderId="39" xfId="0" applyFont="1" applyBorder="1"/>
    <xf numFmtId="0" fontId="51" fillId="0" borderId="0" xfId="0" applyFont="1" applyAlignment="1">
      <alignment wrapText="1"/>
    </xf>
    <xf numFmtId="0" fontId="51" fillId="3" borderId="45" xfId="0" applyFont="1" applyFill="1" applyBorder="1" applyAlignment="1">
      <alignment horizontal="center" vertical="center" wrapText="1"/>
    </xf>
    <xf numFmtId="0" fontId="49" fillId="0" borderId="47" xfId="0" applyFont="1" applyBorder="1"/>
    <xf numFmtId="173" fontId="49" fillId="0" borderId="48" xfId="0" applyNumberFormat="1" applyFont="1" applyBorder="1" applyAlignment="1">
      <alignment horizontal="center"/>
    </xf>
    <xf numFmtId="1" fontId="49" fillId="0" borderId="48" xfId="0" applyNumberFormat="1" applyFont="1" applyBorder="1" applyAlignment="1">
      <alignment horizontal="center"/>
    </xf>
    <xf numFmtId="174" fontId="49" fillId="0" borderId="48" xfId="0" applyNumberFormat="1" applyFont="1" applyBorder="1" applyAlignment="1">
      <alignment horizontal="center"/>
    </xf>
    <xf numFmtId="0" fontId="49" fillId="0" borderId="48" xfId="0" applyFont="1" applyBorder="1"/>
    <xf numFmtId="9" fontId="49" fillId="0" borderId="48" xfId="0" applyNumberFormat="1" applyFont="1" applyBorder="1" applyAlignment="1">
      <alignment horizontal="center"/>
    </xf>
    <xf numFmtId="0" fontId="49" fillId="0" borderId="48" xfId="0" applyFont="1" applyBorder="1" applyAlignment="1">
      <alignment horizontal="center"/>
    </xf>
    <xf numFmtId="9" fontId="49" fillId="0" borderId="48" xfId="2" applyFont="1" applyBorder="1" applyAlignment="1">
      <alignment horizontal="center" vertical="center"/>
    </xf>
    <xf numFmtId="9" fontId="49" fillId="0" borderId="49" xfId="0" applyNumberFormat="1" applyFont="1" applyBorder="1" applyAlignment="1">
      <alignment horizontal="center"/>
    </xf>
    <xf numFmtId="0" fontId="49" fillId="0" borderId="12" xfId="0" applyFont="1" applyBorder="1"/>
    <xf numFmtId="0" fontId="49" fillId="0" borderId="49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50" fillId="2" borderId="12" xfId="0" applyFont="1" applyFill="1" applyBorder="1"/>
    <xf numFmtId="14" fontId="49" fillId="2" borderId="12" xfId="0" applyNumberFormat="1" applyFont="1" applyFill="1" applyBorder="1" applyAlignment="1">
      <alignment horizontal="center" vertical="center"/>
    </xf>
    <xf numFmtId="0" fontId="44" fillId="10" borderId="20" xfId="0" applyFont="1" applyFill="1" applyBorder="1"/>
    <xf numFmtId="0" fontId="44" fillId="10" borderId="28" xfId="0" applyFont="1" applyFill="1" applyBorder="1"/>
    <xf numFmtId="14" fontId="49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44" fillId="16" borderId="12" xfId="0" applyFont="1" applyFill="1" applyBorder="1" applyAlignment="1">
      <alignment horizontal="center"/>
    </xf>
    <xf numFmtId="0" fontId="44" fillId="10" borderId="7" xfId="0" applyFont="1" applyFill="1" applyBorder="1" applyAlignment="1">
      <alignment horizontal="center"/>
    </xf>
    <xf numFmtId="9" fontId="49" fillId="0" borderId="47" xfId="0" applyNumberFormat="1" applyFont="1" applyBorder="1" applyAlignment="1">
      <alignment horizontal="center"/>
    </xf>
    <xf numFmtId="9" fontId="49" fillId="0" borderId="12" xfId="0" applyNumberFormat="1" applyFont="1" applyBorder="1" applyAlignment="1">
      <alignment horizontal="center"/>
    </xf>
    <xf numFmtId="0" fontId="44" fillId="17" borderId="12" xfId="0" applyFont="1" applyFill="1" applyBorder="1" applyAlignment="1">
      <alignment horizontal="center"/>
    </xf>
    <xf numFmtId="0" fontId="44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44" fillId="3" borderId="0" xfId="0" applyFont="1" applyFill="1" applyAlignment="1">
      <alignment horizontal="center"/>
    </xf>
    <xf numFmtId="0" fontId="44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44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59" fillId="18" borderId="12" xfId="0" applyNumberFormat="1" applyFont="1" applyFill="1" applyBorder="1" applyAlignment="1">
      <alignment horizontal="center"/>
    </xf>
    <xf numFmtId="2" fontId="59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44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44" fillId="3" borderId="20" xfId="0" applyNumberFormat="1" applyFont="1" applyFill="1" applyBorder="1" applyAlignment="1">
      <alignment horizontal="right"/>
    </xf>
    <xf numFmtId="0" fontId="59" fillId="18" borderId="7" xfId="0" applyFont="1" applyFill="1" applyBorder="1"/>
    <xf numFmtId="0" fontId="59" fillId="18" borderId="29" xfId="0" applyFont="1" applyFill="1" applyBorder="1"/>
    <xf numFmtId="174" fontId="59" fillId="18" borderId="29" xfId="0" applyNumberFormat="1" applyFont="1" applyFill="1" applyBorder="1" applyAlignment="1">
      <alignment horizontal="center"/>
    </xf>
    <xf numFmtId="0" fontId="60" fillId="2" borderId="0" xfId="0" applyFont="1" applyFill="1"/>
    <xf numFmtId="0" fontId="49" fillId="0" borderId="50" xfId="0" applyFont="1" applyBorder="1" applyAlignment="1">
      <alignment horizontal="center"/>
    </xf>
    <xf numFmtId="176" fontId="49" fillId="0" borderId="48" xfId="0" applyNumberFormat="1" applyFont="1" applyBorder="1" applyAlignment="1">
      <alignment horizontal="center"/>
    </xf>
    <xf numFmtId="176" fontId="49" fillId="0" borderId="50" xfId="0" applyNumberFormat="1" applyFont="1" applyBorder="1" applyAlignment="1">
      <alignment horizontal="center"/>
    </xf>
    <xf numFmtId="0" fontId="43" fillId="2" borderId="7" xfId="0" applyFont="1" applyFill="1" applyBorder="1" applyAlignment="1">
      <alignment horizontal="center" vertical="center"/>
    </xf>
    <xf numFmtId="0" fontId="44" fillId="18" borderId="12" xfId="0" applyFont="1" applyFill="1" applyBorder="1" applyAlignment="1">
      <alignment horizontal="center"/>
    </xf>
    <xf numFmtId="0" fontId="49" fillId="0" borderId="49" xfId="0" applyFont="1" applyBorder="1" applyAlignment="1">
      <alignment horizontal="center"/>
    </xf>
    <xf numFmtId="0" fontId="49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44" fillId="2" borderId="0" xfId="0" applyFont="1" applyFill="1" applyAlignment="1">
      <alignment horizontal="center"/>
    </xf>
    <xf numFmtId="0" fontId="43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41" fillId="2" borderId="28" xfId="0" applyFont="1" applyFill="1" applyBorder="1" applyAlignment="1">
      <alignment horizontal="center" vertical="center"/>
    </xf>
    <xf numFmtId="2" fontId="49" fillId="0" borderId="48" xfId="0" applyNumberFormat="1" applyFont="1" applyBorder="1" applyAlignment="1">
      <alignment horizontal="center"/>
    </xf>
    <xf numFmtId="9" fontId="59" fillId="18" borderId="29" xfId="2" applyFont="1" applyFill="1" applyBorder="1" applyAlignment="1">
      <alignment horizontal="center"/>
    </xf>
    <xf numFmtId="0" fontId="44" fillId="20" borderId="12" xfId="0" applyFont="1" applyFill="1" applyBorder="1"/>
    <xf numFmtId="9" fontId="49" fillId="0" borderId="0" xfId="2" applyFont="1" applyAlignment="1">
      <alignment horizontal="center"/>
    </xf>
    <xf numFmtId="0" fontId="44" fillId="0" borderId="12" xfId="0" applyFont="1" applyBorder="1"/>
    <xf numFmtId="176" fontId="0" fillId="0" borderId="12" xfId="0" applyNumberFormat="1" applyBorder="1"/>
    <xf numFmtId="1" fontId="62" fillId="2" borderId="12" xfId="0" applyNumberFormat="1" applyFont="1" applyFill="1" applyBorder="1"/>
    <xf numFmtId="9" fontId="62" fillId="2" borderId="12" xfId="0" applyNumberFormat="1" applyFont="1" applyFill="1" applyBorder="1"/>
    <xf numFmtId="0" fontId="54" fillId="2" borderId="12" xfId="0" applyFont="1" applyFill="1" applyBorder="1"/>
    <xf numFmtId="1" fontId="51" fillId="3" borderId="45" xfId="0" applyNumberFormat="1" applyFont="1" applyFill="1" applyBorder="1" applyAlignment="1">
      <alignment horizontal="center" vertical="center" wrapText="1"/>
    </xf>
    <xf numFmtId="164" fontId="51" fillId="3" borderId="45" xfId="1" applyFont="1" applyFill="1" applyBorder="1" applyAlignment="1">
      <alignment horizontal="center" vertical="center" wrapText="1"/>
    </xf>
    <xf numFmtId="0" fontId="44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40" fillId="2" borderId="28" xfId="0" applyFont="1" applyFill="1" applyBorder="1" applyAlignment="1">
      <alignment vertical="center"/>
    </xf>
    <xf numFmtId="20" fontId="40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39" fillId="2" borderId="12" xfId="0" applyFont="1" applyFill="1" applyBorder="1" applyAlignment="1">
      <alignment vertical="center"/>
    </xf>
    <xf numFmtId="0" fontId="39" fillId="2" borderId="12" xfId="0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vertical="center"/>
    </xf>
    <xf numFmtId="0" fontId="38" fillId="2" borderId="12" xfId="0" applyFon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49" fillId="8" borderId="20" xfId="0" applyFont="1" applyFill="1" applyBorder="1" applyAlignment="1">
      <alignment horizontal="center" vertical="center"/>
    </xf>
    <xf numFmtId="14" fontId="49" fillId="7" borderId="12" xfId="0" applyNumberFormat="1" applyFont="1" applyFill="1" applyBorder="1" applyAlignment="1">
      <alignment horizontal="center" vertical="center"/>
    </xf>
    <xf numFmtId="20" fontId="37" fillId="2" borderId="28" xfId="0" applyNumberFormat="1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vertical="center"/>
    </xf>
    <xf numFmtId="9" fontId="49" fillId="8" borderId="12" xfId="0" applyNumberFormat="1" applyFont="1" applyFill="1" applyBorder="1" applyAlignment="1">
      <alignment horizontal="center" vertical="center"/>
    </xf>
    <xf numFmtId="1" fontId="49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36" fillId="2" borderId="12" xfId="0" applyFont="1" applyFill="1" applyBorder="1" applyAlignment="1">
      <alignment vertical="center"/>
    </xf>
    <xf numFmtId="14" fontId="49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49" fillId="2" borderId="20" xfId="0" applyFont="1" applyFill="1" applyBorder="1" applyAlignment="1">
      <alignment horizontal="center" vertical="center"/>
    </xf>
    <xf numFmtId="14" fontId="49" fillId="7" borderId="28" xfId="0" applyNumberFormat="1" applyFont="1" applyFill="1" applyBorder="1" applyAlignment="1">
      <alignment vertical="center"/>
    </xf>
    <xf numFmtId="0" fontId="50" fillId="2" borderId="28" xfId="0" applyFont="1" applyFill="1" applyBorder="1"/>
    <xf numFmtId="0" fontId="49" fillId="2" borderId="28" xfId="0" applyFont="1" applyFill="1" applyBorder="1" applyAlignment="1">
      <alignment horizontal="center" vertical="center"/>
    </xf>
    <xf numFmtId="14" fontId="49" fillId="7" borderId="10" xfId="0" applyNumberFormat="1" applyFont="1" applyFill="1" applyBorder="1" applyAlignment="1">
      <alignment vertical="center"/>
    </xf>
    <xf numFmtId="14" fontId="49" fillId="7" borderId="10" xfId="0" applyNumberFormat="1" applyFont="1" applyFill="1" applyBorder="1" applyAlignment="1">
      <alignment horizontal="center" vertical="center"/>
    </xf>
    <xf numFmtId="14" fontId="49" fillId="2" borderId="10" xfId="0" applyNumberFormat="1" applyFont="1" applyFill="1" applyBorder="1" applyAlignment="1">
      <alignment vertical="center"/>
    </xf>
    <xf numFmtId="14" fontId="49" fillId="2" borderId="10" xfId="0" applyNumberFormat="1" applyFont="1" applyFill="1" applyBorder="1" applyAlignment="1">
      <alignment horizontal="center" vertical="center"/>
    </xf>
    <xf numFmtId="0" fontId="49" fillId="2" borderId="10" xfId="0" applyFont="1" applyFill="1" applyBorder="1" applyAlignment="1">
      <alignment horizontal="center" vertical="center"/>
    </xf>
    <xf numFmtId="1" fontId="49" fillId="8" borderId="10" xfId="0" applyNumberFormat="1" applyFont="1" applyFill="1" applyBorder="1" applyAlignment="1">
      <alignment horizontal="center" vertical="center"/>
    </xf>
    <xf numFmtId="0" fontId="49" fillId="8" borderId="10" xfId="0" applyFont="1" applyFill="1" applyBorder="1" applyAlignment="1">
      <alignment horizontal="center" vertical="center"/>
    </xf>
    <xf numFmtId="14" fontId="49" fillId="7" borderId="17" xfId="0" applyNumberFormat="1" applyFont="1" applyFill="1" applyBorder="1" applyAlignment="1">
      <alignment vertical="center"/>
    </xf>
    <xf numFmtId="14" fontId="49" fillId="2" borderId="17" xfId="0" applyNumberFormat="1" applyFont="1" applyFill="1" applyBorder="1" applyAlignment="1">
      <alignment vertical="center"/>
    </xf>
    <xf numFmtId="14" fontId="49" fillId="2" borderId="17" xfId="0" applyNumberFormat="1" applyFont="1" applyFill="1" applyBorder="1" applyAlignment="1">
      <alignment horizontal="center" vertical="center"/>
    </xf>
    <xf numFmtId="0" fontId="49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49" fillId="9" borderId="28" xfId="0" applyFont="1" applyFill="1" applyBorder="1" applyAlignment="1">
      <alignment horizontal="center" vertical="center"/>
    </xf>
    <xf numFmtId="0" fontId="50" fillId="2" borderId="10" xfId="0" applyFont="1" applyFill="1" applyBorder="1"/>
    <xf numFmtId="0" fontId="50" fillId="2" borderId="17" xfId="0" applyFont="1" applyFill="1" applyBorder="1"/>
    <xf numFmtId="0" fontId="0" fillId="2" borderId="17" xfId="0" applyFill="1" applyBorder="1"/>
    <xf numFmtId="0" fontId="49" fillId="9" borderId="17" xfId="0" applyFont="1" applyFill="1" applyBorder="1" applyAlignment="1">
      <alignment horizontal="center" vertical="center"/>
    </xf>
    <xf numFmtId="0" fontId="35" fillId="2" borderId="12" xfId="0" applyFont="1" applyFill="1" applyBorder="1" applyAlignment="1">
      <alignment vertical="center"/>
    </xf>
    <xf numFmtId="0" fontId="35" fillId="2" borderId="12" xfId="0" applyFont="1" applyFill="1" applyBorder="1" applyAlignment="1">
      <alignment horizontal="center" vertical="center"/>
    </xf>
    <xf numFmtId="9" fontId="49" fillId="2" borderId="12" xfId="0" applyNumberFormat="1" applyFont="1" applyFill="1" applyBorder="1" applyAlignment="1">
      <alignment horizontal="center" vertical="center"/>
    </xf>
    <xf numFmtId="1" fontId="49" fillId="8" borderId="28" xfId="0" applyNumberFormat="1" applyFont="1" applyFill="1" applyBorder="1" applyAlignment="1">
      <alignment horizontal="center" vertical="center"/>
    </xf>
    <xf numFmtId="0" fontId="44" fillId="18" borderId="28" xfId="0" applyFont="1" applyFill="1" applyBorder="1" applyAlignment="1">
      <alignment horizontal="center" vertical="center"/>
    </xf>
    <xf numFmtId="0" fontId="44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14" fontId="36" fillId="2" borderId="20" xfId="0" applyNumberFormat="1" applyFont="1" applyFill="1" applyBorder="1" applyAlignment="1">
      <alignment horizontal="center" vertical="center"/>
    </xf>
    <xf numFmtId="0" fontId="43" fillId="2" borderId="20" xfId="0" applyFont="1" applyFill="1" applyBorder="1" applyAlignment="1">
      <alignment horizontal="center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 vertical="center"/>
    </xf>
    <xf numFmtId="176" fontId="0" fillId="2" borderId="52" xfId="0" applyNumberFormat="1" applyFill="1" applyBorder="1" applyAlignment="1">
      <alignment horizontal="center" vertical="center"/>
    </xf>
    <xf numFmtId="176" fontId="0" fillId="2" borderId="30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 vertical="center"/>
    </xf>
    <xf numFmtId="14" fontId="35" fillId="2" borderId="17" xfId="0" applyNumberFormat="1" applyFon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49" fillId="0" borderId="47" xfId="0" applyNumberFormat="1" applyFont="1" applyBorder="1" applyAlignment="1">
      <alignment horizontal="center"/>
    </xf>
    <xf numFmtId="174" fontId="49" fillId="0" borderId="47" xfId="0" applyNumberFormat="1" applyFont="1" applyBorder="1" applyAlignment="1">
      <alignment horizontal="center"/>
    </xf>
    <xf numFmtId="9" fontId="49" fillId="0" borderId="47" xfId="2" applyFont="1" applyBorder="1" applyAlignment="1">
      <alignment horizontal="center" vertical="center"/>
    </xf>
    <xf numFmtId="1" fontId="49" fillId="0" borderId="12" xfId="0" applyNumberFormat="1" applyFont="1" applyBorder="1" applyAlignment="1">
      <alignment horizontal="center"/>
    </xf>
    <xf numFmtId="174" fontId="49" fillId="0" borderId="12" xfId="0" applyNumberFormat="1" applyFont="1" applyBorder="1" applyAlignment="1">
      <alignment horizontal="center"/>
    </xf>
    <xf numFmtId="0" fontId="49" fillId="0" borderId="12" xfId="0" applyFont="1" applyBorder="1" applyAlignment="1">
      <alignment horizontal="center"/>
    </xf>
    <xf numFmtId="9" fontId="49" fillId="0" borderId="12" xfId="2" applyFont="1" applyBorder="1" applyAlignment="1">
      <alignment horizontal="center" vertical="center"/>
    </xf>
    <xf numFmtId="0" fontId="0" fillId="2" borderId="7" xfId="0" applyFill="1" applyBorder="1"/>
    <xf numFmtId="0" fontId="0" fillId="18" borderId="7" xfId="0" applyFill="1" applyBorder="1"/>
    <xf numFmtId="14" fontId="43" fillId="2" borderId="20" xfId="0" applyNumberFormat="1" applyFont="1" applyFill="1" applyBorder="1" applyAlignment="1">
      <alignment horizontal="center" vertical="center"/>
    </xf>
    <xf numFmtId="0" fontId="49" fillId="2" borderId="12" xfId="0" applyFont="1" applyFill="1" applyBorder="1" applyAlignment="1">
      <alignment vertical="top" wrapText="1"/>
    </xf>
    <xf numFmtId="0" fontId="44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44" fillId="18" borderId="30" xfId="0" applyFont="1" applyFill="1" applyBorder="1" applyAlignment="1">
      <alignment horizontal="center" vertical="center"/>
    </xf>
    <xf numFmtId="0" fontId="44" fillId="18" borderId="22" xfId="0" applyFont="1" applyFill="1" applyBorder="1" applyAlignment="1">
      <alignment horizontal="center" vertical="center"/>
    </xf>
    <xf numFmtId="1" fontId="44" fillId="18" borderId="12" xfId="0" applyNumberFormat="1" applyFont="1" applyFill="1" applyBorder="1"/>
    <xf numFmtId="2" fontId="0" fillId="2" borderId="0" xfId="0" applyNumberFormat="1" applyFill="1" applyAlignment="1">
      <alignment horizontal="center"/>
    </xf>
    <xf numFmtId="0" fontId="33" fillId="2" borderId="12" xfId="0" applyFont="1" applyFill="1" applyBorder="1" applyAlignment="1">
      <alignment vertical="center"/>
    </xf>
    <xf numFmtId="14" fontId="34" fillId="2" borderId="17" xfId="0" applyNumberFormat="1" applyFont="1" applyFill="1" applyBorder="1" applyAlignment="1">
      <alignment horizontal="center" vertical="center"/>
    </xf>
    <xf numFmtId="176" fontId="0" fillId="2" borderId="17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/>
    </xf>
    <xf numFmtId="0" fontId="44" fillId="20" borderId="12" xfId="0" applyFont="1" applyFill="1" applyBorder="1" applyAlignment="1">
      <alignment horizontal="center"/>
    </xf>
    <xf numFmtId="0" fontId="44" fillId="18" borderId="20" xfId="0" applyFont="1" applyFill="1" applyBorder="1" applyAlignment="1">
      <alignment horizontal="center" vertical="center"/>
    </xf>
    <xf numFmtId="0" fontId="44" fillId="18" borderId="21" xfId="0" applyFon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2" fontId="0" fillId="2" borderId="12" xfId="0" applyNumberFormat="1" applyFill="1" applyBorder="1"/>
    <xf numFmtId="164" fontId="44" fillId="18" borderId="12" xfId="1" applyFont="1" applyFill="1" applyBorder="1" applyAlignment="1">
      <alignment horizontal="center"/>
    </xf>
    <xf numFmtId="164" fontId="0" fillId="2" borderId="12" xfId="1" applyFont="1" applyFill="1" applyBorder="1"/>
    <xf numFmtId="164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0" fontId="32" fillId="2" borderId="12" xfId="0" applyFont="1" applyFill="1" applyBorder="1" applyAlignment="1">
      <alignment vertical="center"/>
    </xf>
    <xf numFmtId="14" fontId="32" fillId="2" borderId="17" xfId="0" applyNumberFormat="1" applyFont="1" applyFill="1" applyBorder="1" applyAlignment="1">
      <alignment horizontal="center" vertical="center"/>
    </xf>
    <xf numFmtId="165" fontId="0" fillId="2" borderId="12" xfId="1" applyNumberFormat="1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44" fillId="4" borderId="12" xfId="0" applyNumberFormat="1" applyFont="1" applyFill="1" applyBorder="1" applyAlignment="1">
      <alignment horizontal="center"/>
    </xf>
    <xf numFmtId="0" fontId="28" fillId="2" borderId="12" xfId="0" applyFont="1" applyFill="1" applyBorder="1" applyAlignment="1">
      <alignment vertical="center"/>
    </xf>
    <xf numFmtId="0" fontId="27" fillId="2" borderId="12" xfId="0" applyFont="1" applyFill="1" applyBorder="1" applyAlignment="1">
      <alignment vertical="center"/>
    </xf>
    <xf numFmtId="14" fontId="27" fillId="2" borderId="12" xfId="0" applyNumberFormat="1" applyFont="1" applyFill="1" applyBorder="1" applyAlignment="1">
      <alignment horizontal="center" vertical="center"/>
    </xf>
    <xf numFmtId="14" fontId="29" fillId="2" borderId="12" xfId="0" applyNumberFormat="1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vertic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44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0" fontId="25" fillId="2" borderId="12" xfId="0" applyFont="1" applyFill="1" applyBorder="1" applyAlignment="1">
      <alignment vertical="center"/>
    </xf>
    <xf numFmtId="1" fontId="0" fillId="2" borderId="15" xfId="0" applyNumberFormat="1" applyFill="1" applyBorder="1"/>
    <xf numFmtId="176" fontId="0" fillId="2" borderId="0" xfId="0" applyNumberFormat="1" applyFill="1" applyAlignment="1">
      <alignment horizontal="center"/>
    </xf>
    <xf numFmtId="0" fontId="24" fillId="2" borderId="12" xfId="0" applyFont="1" applyFill="1" applyBorder="1" applyAlignment="1">
      <alignment vertical="center"/>
    </xf>
    <xf numFmtId="177" fontId="0" fillId="0" borderId="0" xfId="0" applyNumberFormat="1"/>
    <xf numFmtId="0" fontId="23" fillId="2" borderId="12" xfId="0" applyFont="1" applyFill="1" applyBorder="1" applyAlignment="1">
      <alignment vertical="center"/>
    </xf>
    <xf numFmtId="0" fontId="22" fillId="2" borderId="12" xfId="0" applyFont="1" applyFill="1" applyBorder="1" applyAlignment="1">
      <alignment vertical="center"/>
    </xf>
    <xf numFmtId="14" fontId="22" fillId="2" borderId="12" xfId="0" applyNumberFormat="1" applyFont="1" applyFill="1" applyBorder="1" applyAlignment="1">
      <alignment horizontal="center" vertical="center"/>
    </xf>
    <xf numFmtId="0" fontId="44" fillId="2" borderId="7" xfId="0" applyFont="1" applyFill="1" applyBorder="1" applyAlignment="1">
      <alignment horizontal="center"/>
    </xf>
    <xf numFmtId="1" fontId="44" fillId="2" borderId="12" xfId="0" applyNumberFormat="1" applyFont="1" applyFill="1" applyBorder="1" applyAlignment="1">
      <alignment horizontal="center"/>
    </xf>
    <xf numFmtId="0" fontId="44" fillId="18" borderId="30" xfId="0" applyFont="1" applyFill="1" applyBorder="1" applyAlignment="1">
      <alignment horizontal="center"/>
    </xf>
    <xf numFmtId="0" fontId="44" fillId="18" borderId="32" xfId="0" applyFont="1" applyFill="1" applyBorder="1" applyAlignment="1">
      <alignment horizontal="center"/>
    </xf>
    <xf numFmtId="0" fontId="44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44" fillId="4" borderId="12" xfId="0" applyFont="1" applyFill="1" applyBorder="1"/>
    <xf numFmtId="0" fontId="44" fillId="18" borderId="12" xfId="0" applyFont="1" applyFill="1" applyBorder="1"/>
    <xf numFmtId="0" fontId="44" fillId="18" borderId="12" xfId="0" applyFont="1" applyFill="1" applyBorder="1" applyAlignment="1">
      <alignment horizontal="left"/>
    </xf>
    <xf numFmtId="0" fontId="19" fillId="2" borderId="12" xfId="0" applyFont="1" applyFill="1" applyBorder="1"/>
    <xf numFmtId="0" fontId="43" fillId="3" borderId="0" xfId="0" applyFont="1" applyFill="1" applyAlignment="1">
      <alignment horizontal="center"/>
    </xf>
    <xf numFmtId="0" fontId="43" fillId="3" borderId="19" xfId="0" applyFont="1" applyFill="1" applyBorder="1" applyAlignment="1">
      <alignment horizontal="center"/>
    </xf>
    <xf numFmtId="0" fontId="43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9" fillId="2" borderId="28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164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164" fontId="0" fillId="2" borderId="0" xfId="1" applyFont="1" applyFill="1" applyBorder="1" applyAlignment="1">
      <alignment horizontal="center" vertical="center"/>
    </xf>
    <xf numFmtId="0" fontId="59" fillId="3" borderId="19" xfId="0" applyFont="1" applyFill="1" applyBorder="1" applyAlignment="1">
      <alignment horizontal="center" vertical="center"/>
    </xf>
    <xf numFmtId="165" fontId="59" fillId="3" borderId="21" xfId="1" applyNumberFormat="1" applyFont="1" applyFill="1" applyBorder="1" applyAlignment="1">
      <alignment horizontal="center" vertical="center"/>
    </xf>
    <xf numFmtId="166" fontId="59" fillId="3" borderId="21" xfId="0" applyNumberFormat="1" applyFont="1" applyFill="1" applyBorder="1" applyAlignment="1">
      <alignment horizontal="center" vertical="center"/>
    </xf>
    <xf numFmtId="9" fontId="59" fillId="3" borderId="21" xfId="2" applyFont="1" applyFill="1" applyBorder="1" applyAlignment="1">
      <alignment horizontal="center" vertical="center"/>
    </xf>
    <xf numFmtId="9" fontId="59" fillId="3" borderId="22" xfId="2" applyFont="1" applyFill="1" applyBorder="1" applyAlignment="1">
      <alignment horizontal="center" vertical="center" wrapText="1"/>
    </xf>
    <xf numFmtId="14" fontId="64" fillId="2" borderId="9" xfId="0" applyNumberFormat="1" applyFont="1" applyFill="1" applyBorder="1" applyAlignment="1">
      <alignment horizontal="center" vertical="center"/>
    </xf>
    <xf numFmtId="0" fontId="64" fillId="2" borderId="10" xfId="0" applyFont="1" applyFill="1" applyBorder="1" applyAlignment="1">
      <alignment vertical="center"/>
    </xf>
    <xf numFmtId="165" fontId="64" fillId="2" borderId="10" xfId="1" applyNumberFormat="1" applyFont="1" applyFill="1" applyBorder="1" applyAlignment="1">
      <alignment horizontal="center" vertical="center"/>
    </xf>
    <xf numFmtId="166" fontId="64" fillId="2" borderId="10" xfId="0" applyNumberFormat="1" applyFont="1" applyFill="1" applyBorder="1" applyAlignment="1">
      <alignment horizontal="center" vertical="center"/>
    </xf>
    <xf numFmtId="9" fontId="64" fillId="2" borderId="10" xfId="2" applyFont="1" applyFill="1" applyBorder="1" applyAlignment="1">
      <alignment horizontal="center" vertical="center"/>
    </xf>
    <xf numFmtId="167" fontId="64" fillId="2" borderId="11" xfId="1" applyNumberFormat="1" applyFont="1" applyFill="1" applyBorder="1" applyAlignment="1">
      <alignment horizontal="center" vertical="center"/>
    </xf>
    <xf numFmtId="0" fontId="64" fillId="2" borderId="11" xfId="0" applyFont="1" applyFill="1" applyBorder="1" applyAlignment="1">
      <alignment horizontal="center" vertical="center"/>
    </xf>
    <xf numFmtId="1" fontId="64" fillId="2" borderId="11" xfId="0" applyNumberFormat="1" applyFont="1" applyFill="1" applyBorder="1" applyAlignment="1">
      <alignment horizontal="center" vertical="center"/>
    </xf>
    <xf numFmtId="165" fontId="64" fillId="2" borderId="10" xfId="0" applyNumberFormat="1" applyFont="1" applyFill="1" applyBorder="1" applyAlignment="1">
      <alignment horizontal="center" vertical="center"/>
    </xf>
    <xf numFmtId="0" fontId="64" fillId="2" borderId="12" xfId="0" applyFont="1" applyFill="1" applyBorder="1"/>
    <xf numFmtId="14" fontId="64" fillId="2" borderId="14" xfId="0" applyNumberFormat="1" applyFont="1" applyFill="1" applyBorder="1" applyAlignment="1">
      <alignment horizontal="center" vertical="center"/>
    </xf>
    <xf numFmtId="0" fontId="64" fillId="2" borderId="15" xfId="0" applyFont="1" applyFill="1" applyBorder="1" applyAlignment="1">
      <alignment vertical="center"/>
    </xf>
    <xf numFmtId="165" fontId="64" fillId="2" borderId="15" xfId="1" applyNumberFormat="1" applyFont="1" applyFill="1" applyBorder="1" applyAlignment="1">
      <alignment horizontal="center" vertical="center"/>
    </xf>
    <xf numFmtId="166" fontId="64" fillId="2" borderId="15" xfId="0" applyNumberFormat="1" applyFont="1" applyFill="1" applyBorder="1" applyAlignment="1">
      <alignment horizontal="center" vertical="center"/>
    </xf>
    <xf numFmtId="9" fontId="64" fillId="2" borderId="15" xfId="2" applyFont="1" applyFill="1" applyBorder="1" applyAlignment="1">
      <alignment horizontal="center" vertical="center"/>
    </xf>
    <xf numFmtId="165" fontId="64" fillId="2" borderId="17" xfId="1" applyNumberFormat="1" applyFont="1" applyFill="1" applyBorder="1" applyAlignment="1">
      <alignment horizontal="center" vertical="center"/>
    </xf>
    <xf numFmtId="167" fontId="64" fillId="2" borderId="16" xfId="1" applyNumberFormat="1" applyFont="1" applyFill="1" applyBorder="1" applyAlignment="1">
      <alignment horizontal="center" vertical="center"/>
    </xf>
    <xf numFmtId="165" fontId="64" fillId="2" borderId="12" xfId="0" applyNumberFormat="1" applyFont="1" applyFill="1" applyBorder="1"/>
    <xf numFmtId="168" fontId="64" fillId="2" borderId="12" xfId="0" applyNumberFormat="1" applyFont="1" applyFill="1" applyBorder="1"/>
    <xf numFmtId="165" fontId="64" fillId="2" borderId="15" xfId="0" applyNumberFormat="1" applyFont="1" applyFill="1" applyBorder="1" applyAlignment="1">
      <alignment horizontal="center" vertical="center"/>
    </xf>
    <xf numFmtId="165" fontId="64" fillId="2" borderId="17" xfId="0" applyNumberFormat="1" applyFont="1" applyFill="1" applyBorder="1" applyAlignment="1">
      <alignment horizontal="center" vertical="center"/>
    </xf>
    <xf numFmtId="167" fontId="64" fillId="2" borderId="12" xfId="0" applyNumberFormat="1" applyFont="1" applyFill="1" applyBorder="1"/>
    <xf numFmtId="0" fontId="64" fillId="2" borderId="17" xfId="0" applyFont="1" applyFill="1" applyBorder="1" applyAlignment="1">
      <alignment vertical="center"/>
    </xf>
    <xf numFmtId="1" fontId="64" fillId="2" borderId="16" xfId="0" applyNumberFormat="1" applyFont="1" applyFill="1" applyBorder="1" applyAlignment="1">
      <alignment horizontal="center" vertical="center"/>
    </xf>
    <xf numFmtId="14" fontId="64" fillId="2" borderId="19" xfId="0" applyNumberFormat="1" applyFont="1" applyFill="1" applyBorder="1" applyAlignment="1">
      <alignment horizontal="center" vertical="center"/>
    </xf>
    <xf numFmtId="0" fontId="64" fillId="2" borderId="20" xfId="0" applyFont="1" applyFill="1" applyBorder="1" applyAlignment="1">
      <alignment vertical="center"/>
    </xf>
    <xf numFmtId="165" fontId="64" fillId="2" borderId="20" xfId="1" applyNumberFormat="1" applyFont="1" applyFill="1" applyBorder="1" applyAlignment="1">
      <alignment horizontal="center" vertical="center"/>
    </xf>
    <xf numFmtId="166" fontId="64" fillId="2" borderId="21" xfId="0" applyNumberFormat="1" applyFont="1" applyFill="1" applyBorder="1" applyAlignment="1">
      <alignment horizontal="center" vertical="center"/>
    </xf>
    <xf numFmtId="9" fontId="64" fillId="2" borderId="21" xfId="2" applyFont="1" applyFill="1" applyBorder="1" applyAlignment="1">
      <alignment horizontal="center" vertical="center"/>
    </xf>
    <xf numFmtId="167" fontId="64" fillId="2" borderId="22" xfId="1" applyNumberFormat="1" applyFont="1" applyFill="1" applyBorder="1" applyAlignment="1">
      <alignment horizontal="center" vertical="center"/>
    </xf>
    <xf numFmtId="1" fontId="64" fillId="2" borderId="22" xfId="0" applyNumberFormat="1" applyFont="1" applyFill="1" applyBorder="1" applyAlignment="1">
      <alignment horizontal="center" vertical="center"/>
    </xf>
    <xf numFmtId="165" fontId="64" fillId="2" borderId="21" xfId="0" applyNumberFormat="1" applyFont="1" applyFill="1" applyBorder="1" applyAlignment="1">
      <alignment horizontal="center" vertical="center"/>
    </xf>
    <xf numFmtId="165" fontId="64" fillId="2" borderId="20" xfId="0" applyNumberFormat="1" applyFont="1" applyFill="1" applyBorder="1" applyAlignment="1">
      <alignment horizontal="center" vertical="center"/>
    </xf>
    <xf numFmtId="165" fontId="64" fillId="2" borderId="23" xfId="0" applyNumberFormat="1" applyFont="1" applyFill="1" applyBorder="1" applyAlignment="1">
      <alignment horizontal="center" vertical="center"/>
    </xf>
    <xf numFmtId="165" fontId="64" fillId="2" borderId="25" xfId="0" applyNumberFormat="1" applyFont="1" applyFill="1" applyBorder="1" applyAlignment="1">
      <alignment horizontal="center" vertical="center"/>
    </xf>
    <xf numFmtId="0" fontId="64" fillId="2" borderId="16" xfId="0" applyFont="1" applyFill="1" applyBorder="1" applyAlignment="1">
      <alignment horizontal="center" vertical="center"/>
    </xf>
    <xf numFmtId="0" fontId="64" fillId="2" borderId="27" xfId="0" applyFont="1" applyFill="1" applyBorder="1" applyAlignment="1">
      <alignment vertical="center"/>
    </xf>
    <xf numFmtId="165" fontId="64" fillId="2" borderId="27" xfId="1" applyNumberFormat="1" applyFont="1" applyFill="1" applyBorder="1" applyAlignment="1">
      <alignment horizontal="center" vertical="center"/>
    </xf>
    <xf numFmtId="166" fontId="64" fillId="2" borderId="27" xfId="0" applyNumberFormat="1" applyFont="1" applyFill="1" applyBorder="1" applyAlignment="1">
      <alignment horizontal="center" vertical="center"/>
    </xf>
    <xf numFmtId="9" fontId="64" fillId="2" borderId="27" xfId="2" applyFont="1" applyFill="1" applyBorder="1" applyAlignment="1">
      <alignment horizontal="center" vertical="center"/>
    </xf>
    <xf numFmtId="165" fontId="64" fillId="2" borderId="15" xfId="0" applyNumberFormat="1" applyFont="1" applyFill="1" applyBorder="1" applyAlignment="1">
      <alignment vertical="center"/>
    </xf>
    <xf numFmtId="165" fontId="64" fillId="2" borderId="17" xfId="0" applyNumberFormat="1" applyFont="1" applyFill="1" applyBorder="1" applyAlignment="1">
      <alignment vertical="center"/>
    </xf>
    <xf numFmtId="175" fontId="64" fillId="2" borderId="27" xfId="2" applyNumberFormat="1" applyFont="1" applyFill="1" applyBorder="1" applyAlignment="1">
      <alignment horizontal="center" vertical="center"/>
    </xf>
    <xf numFmtId="14" fontId="59" fillId="4" borderId="19" xfId="0" applyNumberFormat="1" applyFont="1" applyFill="1" applyBorder="1" applyAlignment="1">
      <alignment horizontal="center" vertical="center"/>
    </xf>
    <xf numFmtId="0" fontId="59" fillId="4" borderId="21" xfId="0" applyFont="1" applyFill="1" applyBorder="1" applyAlignment="1">
      <alignment vertical="center"/>
    </xf>
    <xf numFmtId="165" fontId="59" fillId="4" borderId="21" xfId="1" applyNumberFormat="1" applyFont="1" applyFill="1" applyBorder="1" applyAlignment="1">
      <alignment horizontal="center" vertical="center"/>
    </xf>
    <xf numFmtId="166" fontId="59" fillId="4" borderId="21" xfId="0" applyNumberFormat="1" applyFont="1" applyFill="1" applyBorder="1" applyAlignment="1">
      <alignment horizontal="center" vertical="center"/>
    </xf>
    <xf numFmtId="9" fontId="59" fillId="4" borderId="21" xfId="2" applyFont="1" applyFill="1" applyBorder="1" applyAlignment="1">
      <alignment horizontal="center" vertical="center"/>
    </xf>
    <xf numFmtId="167" fontId="59" fillId="4" borderId="22" xfId="1" applyNumberFormat="1" applyFont="1" applyFill="1" applyBorder="1" applyAlignment="1">
      <alignment horizontal="center" vertical="center"/>
    </xf>
    <xf numFmtId="0" fontId="59" fillId="4" borderId="22" xfId="0" applyFont="1" applyFill="1" applyBorder="1" applyAlignment="1">
      <alignment horizontal="center" vertical="center"/>
    </xf>
    <xf numFmtId="1" fontId="59" fillId="4" borderId="22" xfId="0" applyNumberFormat="1" applyFont="1" applyFill="1" applyBorder="1" applyAlignment="1">
      <alignment horizontal="center" vertical="center"/>
    </xf>
    <xf numFmtId="165" fontId="59" fillId="4" borderId="21" xfId="0" applyNumberFormat="1" applyFont="1" applyFill="1" applyBorder="1" applyAlignment="1">
      <alignment horizontal="center" vertical="center"/>
    </xf>
    <xf numFmtId="165" fontId="64" fillId="4" borderId="28" xfId="0" applyNumberFormat="1" applyFont="1" applyFill="1" applyBorder="1" applyAlignment="1">
      <alignment horizontal="center" vertical="center"/>
    </xf>
    <xf numFmtId="0" fontId="59" fillId="4" borderId="17" xfId="0" applyFont="1" applyFill="1" applyBorder="1"/>
    <xf numFmtId="165" fontId="59" fillId="4" borderId="17" xfId="1" applyNumberFormat="1" applyFont="1" applyFill="1" applyBorder="1" applyAlignment="1">
      <alignment horizontal="center" vertical="center"/>
    </xf>
    <xf numFmtId="9" fontId="59" fillId="4" borderId="17" xfId="2" applyFont="1" applyFill="1" applyBorder="1" applyAlignment="1">
      <alignment horizontal="center" vertical="center"/>
    </xf>
    <xf numFmtId="1" fontId="59" fillId="4" borderId="17" xfId="0" applyNumberFormat="1" applyFont="1" applyFill="1" applyBorder="1" applyAlignment="1">
      <alignment horizontal="center"/>
    </xf>
    <xf numFmtId="165" fontId="59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59" fillId="4" borderId="6" xfId="0" applyNumberFormat="1" applyFont="1" applyFill="1" applyBorder="1" applyAlignment="1">
      <alignment horizontal="center" vertical="center"/>
    </xf>
    <xf numFmtId="165" fontId="59" fillId="4" borderId="54" xfId="0" applyNumberFormat="1" applyFont="1" applyFill="1" applyBorder="1" applyAlignment="1">
      <alignment vertical="center"/>
    </xf>
    <xf numFmtId="0" fontId="59" fillId="3" borderId="22" xfId="0" applyFont="1" applyFill="1" applyBorder="1" applyAlignment="1">
      <alignment horizontal="center" vertical="center" wrapText="1"/>
    </xf>
    <xf numFmtId="0" fontId="59" fillId="3" borderId="21" xfId="0" applyFont="1" applyFill="1" applyBorder="1" applyAlignment="1">
      <alignment horizontal="center" vertical="center"/>
    </xf>
    <xf numFmtId="0" fontId="59" fillId="3" borderId="21" xfId="0" applyFont="1" applyFill="1" applyBorder="1" applyAlignment="1">
      <alignment horizontal="center" vertical="center" wrapText="1"/>
    </xf>
    <xf numFmtId="0" fontId="59" fillId="20" borderId="28" xfId="0" applyFont="1" applyFill="1" applyBorder="1" applyAlignment="1">
      <alignment horizontal="center" vertical="center"/>
    </xf>
    <xf numFmtId="14" fontId="64" fillId="17" borderId="9" xfId="0" applyNumberFormat="1" applyFont="1" applyFill="1" applyBorder="1" applyAlignment="1">
      <alignment horizontal="center" vertical="center"/>
    </xf>
    <xf numFmtId="0" fontId="64" fillId="17" borderId="10" xfId="0" applyFont="1" applyFill="1" applyBorder="1" applyAlignment="1">
      <alignment vertical="center"/>
    </xf>
    <xf numFmtId="165" fontId="64" fillId="17" borderId="10" xfId="1" applyNumberFormat="1" applyFont="1" applyFill="1" applyBorder="1" applyAlignment="1">
      <alignment horizontal="center" vertical="center"/>
    </xf>
    <xf numFmtId="166" fontId="64" fillId="17" borderId="10" xfId="0" applyNumberFormat="1" applyFont="1" applyFill="1" applyBorder="1" applyAlignment="1">
      <alignment horizontal="center" vertical="center"/>
    </xf>
    <xf numFmtId="9" fontId="64" fillId="17" borderId="10" xfId="2" applyFont="1" applyFill="1" applyBorder="1" applyAlignment="1">
      <alignment horizontal="center" vertical="center"/>
    </xf>
    <xf numFmtId="167" fontId="64" fillId="17" borderId="11" xfId="1" applyNumberFormat="1" applyFont="1" applyFill="1" applyBorder="1" applyAlignment="1">
      <alignment horizontal="center" vertical="center"/>
    </xf>
    <xf numFmtId="1" fontId="64" fillId="17" borderId="11" xfId="0" applyNumberFormat="1" applyFont="1" applyFill="1" applyBorder="1" applyAlignment="1">
      <alignment horizontal="center" vertical="center"/>
    </xf>
    <xf numFmtId="165" fontId="64" fillId="17" borderId="10" xfId="0" applyNumberFormat="1" applyFont="1" applyFill="1" applyBorder="1" applyAlignment="1">
      <alignment horizontal="center" vertical="center"/>
    </xf>
    <xf numFmtId="0" fontId="64" fillId="17" borderId="12" xfId="0" applyFont="1" applyFill="1" applyBorder="1"/>
    <xf numFmtId="14" fontId="64" fillId="17" borderId="14" xfId="0" applyNumberFormat="1" applyFont="1" applyFill="1" applyBorder="1" applyAlignment="1">
      <alignment horizontal="center" vertical="center"/>
    </xf>
    <xf numFmtId="0" fontId="64" fillId="17" borderId="15" xfId="0" applyFont="1" applyFill="1" applyBorder="1" applyAlignment="1">
      <alignment vertical="center"/>
    </xf>
    <xf numFmtId="165" fontId="64" fillId="17" borderId="17" xfId="1" applyNumberFormat="1" applyFont="1" applyFill="1" applyBorder="1" applyAlignment="1">
      <alignment horizontal="center" vertical="center"/>
    </xf>
    <xf numFmtId="9" fontId="64" fillId="17" borderId="15" xfId="2" applyFont="1" applyFill="1" applyBorder="1" applyAlignment="1">
      <alignment horizontal="center" vertical="center"/>
    </xf>
    <xf numFmtId="167" fontId="64" fillId="17" borderId="16" xfId="1" applyNumberFormat="1" applyFont="1" applyFill="1" applyBorder="1" applyAlignment="1">
      <alignment horizontal="center" vertical="center"/>
    </xf>
    <xf numFmtId="165" fontId="64" fillId="17" borderId="15" xfId="0" applyNumberFormat="1" applyFont="1" applyFill="1" applyBorder="1" applyAlignment="1">
      <alignment horizontal="center" vertical="center"/>
    </xf>
    <xf numFmtId="165" fontId="64" fillId="17" borderId="12" xfId="0" applyNumberFormat="1" applyFont="1" applyFill="1" applyBorder="1"/>
    <xf numFmtId="165" fontId="64" fillId="17" borderId="17" xfId="0" applyNumberFormat="1" applyFont="1" applyFill="1" applyBorder="1" applyAlignment="1">
      <alignment horizontal="center" vertical="center"/>
    </xf>
    <xf numFmtId="0" fontId="64" fillId="17" borderId="17" xfId="0" applyFont="1" applyFill="1" applyBorder="1" applyAlignment="1">
      <alignment vertical="center"/>
    </xf>
    <xf numFmtId="1" fontId="64" fillId="17" borderId="16" xfId="0" applyNumberFormat="1" applyFont="1" applyFill="1" applyBorder="1" applyAlignment="1">
      <alignment horizontal="center" vertical="center"/>
    </xf>
    <xf numFmtId="0" fontId="54" fillId="4" borderId="12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44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44" fillId="18" borderId="12" xfId="0" applyFont="1" applyFill="1" applyBorder="1" applyAlignment="1">
      <alignment horizontal="center" wrapText="1"/>
    </xf>
    <xf numFmtId="0" fontId="0" fillId="18" borderId="12" xfId="0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18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44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18" fillId="2" borderId="12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1" fontId="49" fillId="0" borderId="50" xfId="0" applyNumberFormat="1" applyFont="1" applyBorder="1" applyAlignment="1">
      <alignment horizontal="center"/>
    </xf>
    <xf numFmtId="0" fontId="14" fillId="2" borderId="1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/>
    </xf>
    <xf numFmtId="0" fontId="64" fillId="2" borderId="12" xfId="0" applyFont="1" applyFill="1" applyBorder="1" applyAlignment="1">
      <alignment wrapText="1"/>
    </xf>
    <xf numFmtId="0" fontId="14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44" fillId="4" borderId="12" xfId="0" applyFont="1" applyFill="1" applyBorder="1" applyAlignment="1">
      <alignment horizontal="center" wrapText="1"/>
    </xf>
    <xf numFmtId="166" fontId="65" fillId="17" borderId="10" xfId="0" applyNumberFormat="1" applyFont="1" applyFill="1" applyBorder="1" applyAlignment="1">
      <alignment horizontal="center" vertical="center"/>
    </xf>
    <xf numFmtId="166" fontId="65" fillId="2" borderId="21" xfId="0" applyNumberFormat="1" applyFont="1" applyFill="1" applyBorder="1" applyAlignment="1">
      <alignment horizontal="center" vertical="center"/>
    </xf>
    <xf numFmtId="166" fontId="65" fillId="17" borderId="15" xfId="0" applyNumberFormat="1" applyFont="1" applyFill="1" applyBorder="1" applyAlignment="1">
      <alignment horizontal="center" vertical="center"/>
    </xf>
    <xf numFmtId="166" fontId="65" fillId="2" borderId="15" xfId="0" applyNumberFormat="1" applyFont="1" applyFill="1" applyBorder="1" applyAlignment="1">
      <alignment horizontal="center" vertical="center"/>
    </xf>
    <xf numFmtId="166" fontId="65" fillId="2" borderId="10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vertical="center"/>
    </xf>
    <xf numFmtId="0" fontId="13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49" fillId="18" borderId="12" xfId="0" applyFont="1" applyFill="1" applyBorder="1" applyAlignment="1">
      <alignment horizontal="center"/>
    </xf>
    <xf numFmtId="0" fontId="44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44" fillId="18" borderId="12" xfId="0" applyNumberFormat="1" applyFont="1" applyFill="1" applyBorder="1" applyAlignment="1">
      <alignment horizontal="center" wrapText="1"/>
    </xf>
    <xf numFmtId="0" fontId="44" fillId="2" borderId="12" xfId="0" applyFont="1" applyFill="1" applyBorder="1"/>
    <xf numFmtId="14" fontId="12" fillId="2" borderId="12" xfId="0" applyNumberFormat="1" applyFont="1" applyFill="1" applyBorder="1"/>
    <xf numFmtId="0" fontId="11" fillId="2" borderId="12" xfId="0" applyFont="1" applyFill="1" applyBorder="1" applyAlignment="1">
      <alignment vertical="center"/>
    </xf>
    <xf numFmtId="0" fontId="11" fillId="2" borderId="12" xfId="0" applyFont="1" applyFill="1" applyBorder="1" applyAlignment="1">
      <alignment horizontal="center" vertical="center"/>
    </xf>
    <xf numFmtId="173" fontId="49" fillId="0" borderId="47" xfId="0" applyNumberFormat="1" applyFont="1" applyBorder="1" applyAlignment="1">
      <alignment horizontal="center"/>
    </xf>
    <xf numFmtId="1" fontId="49" fillId="0" borderId="20" xfId="0" applyNumberFormat="1" applyFont="1" applyBorder="1" applyAlignment="1">
      <alignment horizontal="center"/>
    </xf>
    <xf numFmtId="174" fontId="49" fillId="0" borderId="20" xfId="0" applyNumberFormat="1" applyFont="1" applyBorder="1" applyAlignment="1">
      <alignment horizontal="center"/>
    </xf>
    <xf numFmtId="0" fontId="49" fillId="0" borderId="20" xfId="0" applyFont="1" applyBorder="1"/>
    <xf numFmtId="9" fontId="49" fillId="0" borderId="20" xfId="0" applyNumberFormat="1" applyFont="1" applyBorder="1" applyAlignment="1">
      <alignment horizontal="center"/>
    </xf>
    <xf numFmtId="0" fontId="49" fillId="0" borderId="20" xfId="0" applyFont="1" applyBorder="1" applyAlignment="1">
      <alignment horizontal="center"/>
    </xf>
    <xf numFmtId="9" fontId="49" fillId="0" borderId="20" xfId="2" applyFont="1" applyBorder="1" applyAlignment="1">
      <alignment horizontal="center" vertical="center"/>
    </xf>
    <xf numFmtId="173" fontId="49" fillId="14" borderId="12" xfId="0" applyNumberFormat="1" applyFont="1" applyFill="1" applyBorder="1" applyAlignment="1">
      <alignment horizontal="center"/>
    </xf>
    <xf numFmtId="164" fontId="49" fillId="14" borderId="12" xfId="1" applyFont="1" applyFill="1" applyBorder="1" applyAlignment="1">
      <alignment horizontal="center"/>
    </xf>
    <xf numFmtId="0" fontId="49" fillId="21" borderId="12" xfId="0" applyFont="1" applyFill="1" applyBorder="1" applyAlignment="1">
      <alignment horizontal="center"/>
    </xf>
    <xf numFmtId="0" fontId="49" fillId="14" borderId="12" xfId="0" applyFont="1" applyFill="1" applyBorder="1"/>
    <xf numFmtId="1" fontId="49" fillId="21" borderId="12" xfId="0" applyNumberFormat="1" applyFont="1" applyFill="1" applyBorder="1" applyAlignment="1">
      <alignment horizontal="center"/>
    </xf>
    <xf numFmtId="2" fontId="49" fillId="21" borderId="12" xfId="0" applyNumberFormat="1" applyFont="1" applyFill="1" applyBorder="1" applyAlignment="1">
      <alignment horizontal="center"/>
    </xf>
    <xf numFmtId="176" fontId="49" fillId="21" borderId="12" xfId="0" applyNumberFormat="1" applyFont="1" applyFill="1" applyBorder="1" applyAlignment="1">
      <alignment horizontal="center"/>
    </xf>
    <xf numFmtId="9" fontId="49" fillId="21" borderId="12" xfId="0" applyNumberFormat="1" applyFont="1" applyFill="1" applyBorder="1" applyAlignment="1">
      <alignment horizontal="center"/>
    </xf>
    <xf numFmtId="0" fontId="49" fillId="14" borderId="12" xfId="0" applyFont="1" applyFill="1" applyBorder="1" applyAlignment="1">
      <alignment horizontal="center"/>
    </xf>
    <xf numFmtId="0" fontId="51" fillId="21" borderId="12" xfId="0" applyFont="1" applyFill="1" applyBorder="1" applyAlignment="1">
      <alignment horizontal="center" wrapText="1"/>
    </xf>
    <xf numFmtId="164" fontId="49" fillId="21" borderId="12" xfId="1" applyFont="1" applyFill="1" applyBorder="1" applyAlignment="1">
      <alignment horizontal="center"/>
    </xf>
    <xf numFmtId="1" fontId="49" fillId="14" borderId="48" xfId="0" applyNumberFormat="1" applyFont="1" applyFill="1" applyBorder="1" applyAlignment="1">
      <alignment horizontal="center"/>
    </xf>
    <xf numFmtId="14" fontId="34" fillId="2" borderId="10" xfId="0" applyNumberFormat="1" applyFont="1" applyFill="1" applyBorder="1" applyAlignment="1">
      <alignment horizontal="center" vertical="center"/>
    </xf>
    <xf numFmtId="14" fontId="35" fillId="2" borderId="10" xfId="0" applyNumberFormat="1" applyFont="1" applyFill="1" applyBorder="1" applyAlignment="1">
      <alignment horizontal="center" vertical="center"/>
    </xf>
    <xf numFmtId="14" fontId="33" fillId="2" borderId="10" xfId="0" applyNumberFormat="1" applyFont="1" applyFill="1" applyBorder="1" applyAlignment="1">
      <alignment horizontal="center" vertical="center"/>
    </xf>
    <xf numFmtId="14" fontId="34" fillId="2" borderId="27" xfId="0" applyNumberFormat="1" applyFont="1" applyFill="1" applyBorder="1" applyAlignment="1">
      <alignment horizontal="center" vertical="center"/>
    </xf>
    <xf numFmtId="14" fontId="31" fillId="2" borderId="10" xfId="0" applyNumberFormat="1" applyFont="1" applyFill="1" applyBorder="1" applyAlignment="1">
      <alignment horizontal="center" vertical="center"/>
    </xf>
    <xf numFmtId="0" fontId="0" fillId="2" borderId="23" xfId="0" applyFill="1" applyBorder="1"/>
    <xf numFmtId="1" fontId="0" fillId="2" borderId="66" xfId="0" applyNumberFormat="1" applyFill="1" applyBorder="1" applyAlignment="1">
      <alignment vertical="center"/>
    </xf>
    <xf numFmtId="1" fontId="0" fillId="2" borderId="32" xfId="0" applyNumberFormat="1" applyFill="1" applyBorder="1" applyAlignment="1">
      <alignment vertical="center"/>
    </xf>
    <xf numFmtId="0" fontId="0" fillId="2" borderId="25" xfId="0" applyFill="1" applyBorder="1"/>
    <xf numFmtId="14" fontId="44" fillId="2" borderId="12" xfId="0" applyNumberFormat="1" applyFont="1" applyFill="1" applyBorder="1" applyAlignment="1">
      <alignment horizontal="center" vertical="center"/>
    </xf>
    <xf numFmtId="0" fontId="44" fillId="2" borderId="12" xfId="0" applyFont="1" applyFill="1" applyBorder="1" applyAlignment="1">
      <alignment horizontal="center"/>
    </xf>
    <xf numFmtId="9" fontId="44" fillId="2" borderId="12" xfId="0" applyNumberFormat="1" applyFont="1" applyFill="1" applyBorder="1" applyAlignment="1">
      <alignment horizontal="center"/>
    </xf>
    <xf numFmtId="1" fontId="44" fillId="2" borderId="27" xfId="0" applyNumberFormat="1" applyFont="1" applyFill="1" applyBorder="1" applyAlignment="1">
      <alignment horizontal="center" vertical="center"/>
    </xf>
    <xf numFmtId="176" fontId="44" fillId="2" borderId="23" xfId="0" applyNumberFormat="1" applyFont="1" applyFill="1" applyBorder="1" applyAlignment="1">
      <alignment horizontal="center" vertical="center"/>
    </xf>
    <xf numFmtId="176" fontId="44" fillId="2" borderId="11" xfId="0" applyNumberFormat="1" applyFont="1" applyFill="1" applyBorder="1" applyAlignment="1">
      <alignment horizontal="center" vertical="center"/>
    </xf>
    <xf numFmtId="176" fontId="44" fillId="2" borderId="25" xfId="0" applyNumberFormat="1" applyFont="1" applyFill="1" applyBorder="1" applyAlignment="1">
      <alignment horizontal="center" vertical="center"/>
    </xf>
    <xf numFmtId="176" fontId="44" fillId="2" borderId="54" xfId="0" applyNumberFormat="1" applyFont="1" applyFill="1" applyBorder="1" applyAlignment="1">
      <alignment horizontal="center" vertical="center"/>
    </xf>
    <xf numFmtId="0" fontId="0" fillId="2" borderId="34" xfId="0" applyFill="1" applyBorder="1"/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10" fillId="2" borderId="7" xfId="0" applyFont="1" applyFill="1" applyBorder="1" applyAlignment="1">
      <alignment vertical="center"/>
    </xf>
    <xf numFmtId="0" fontId="44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4" fontId="9" fillId="2" borderId="10" xfId="0" applyNumberFormat="1" applyFont="1" applyFill="1" applyBorder="1" applyAlignment="1">
      <alignment horizontal="center" vertical="center"/>
    </xf>
    <xf numFmtId="180" fontId="0" fillId="2" borderId="17" xfId="0" applyNumberFormat="1" applyFill="1" applyBorder="1" applyAlignment="1">
      <alignment horizontal="center"/>
    </xf>
    <xf numFmtId="1" fontId="0" fillId="2" borderId="21" xfId="0" applyNumberFormat="1" applyFill="1" applyBorder="1" applyAlignment="1">
      <alignment horizontal="center"/>
    </xf>
    <xf numFmtId="180" fontId="0" fillId="2" borderId="10" xfId="0" applyNumberFormat="1" applyFill="1" applyBorder="1" applyAlignment="1">
      <alignment horizontal="center"/>
    </xf>
    <xf numFmtId="14" fontId="8" fillId="2" borderId="10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164" fontId="0" fillId="2" borderId="17" xfId="1" applyFont="1" applyFill="1" applyBorder="1" applyAlignment="1">
      <alignment vertical="center"/>
    </xf>
    <xf numFmtId="14" fontId="9" fillId="16" borderId="10" xfId="0" applyNumberFormat="1" applyFont="1" applyFill="1" applyBorder="1" applyAlignment="1">
      <alignment horizontal="center" vertical="center"/>
    </xf>
    <xf numFmtId="0" fontId="43" fillId="16" borderId="10" xfId="0" applyFont="1" applyFill="1" applyBorder="1" applyAlignment="1">
      <alignment horizontal="center"/>
    </xf>
    <xf numFmtId="9" fontId="0" fillId="16" borderId="10" xfId="0" applyNumberFormat="1" applyFill="1" applyBorder="1" applyAlignment="1">
      <alignment horizontal="center"/>
    </xf>
    <xf numFmtId="164" fontId="0" fillId="16" borderId="10" xfId="0" applyNumberFormat="1" applyFill="1" applyBorder="1" applyAlignment="1">
      <alignment horizontal="center" vertical="center"/>
    </xf>
    <xf numFmtId="1" fontId="0" fillId="16" borderId="10" xfId="0" applyNumberFormat="1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1" fontId="0" fillId="16" borderId="21" xfId="0" applyNumberFormat="1" applyFill="1" applyBorder="1" applyAlignment="1">
      <alignment horizontal="center"/>
    </xf>
    <xf numFmtId="1" fontId="0" fillId="16" borderId="12" xfId="0" applyNumberFormat="1" applyFill="1" applyBorder="1"/>
    <xf numFmtId="174" fontId="0" fillId="16" borderId="12" xfId="0" applyNumberFormat="1" applyFill="1" applyBorder="1" applyAlignment="1">
      <alignment horizontal="center" vertical="center"/>
    </xf>
    <xf numFmtId="1" fontId="0" fillId="16" borderId="12" xfId="0" applyNumberFormat="1" applyFill="1" applyBorder="1" applyAlignment="1">
      <alignment vertical="center"/>
    </xf>
    <xf numFmtId="0" fontId="47" fillId="16" borderId="0" xfId="0" applyFont="1" applyFill="1"/>
    <xf numFmtId="0" fontId="0" fillId="16" borderId="0" xfId="0" applyFill="1"/>
    <xf numFmtId="14" fontId="8" fillId="16" borderId="10" xfId="0" applyNumberFormat="1" applyFont="1" applyFill="1" applyBorder="1" applyAlignment="1">
      <alignment horizontal="center" vertical="center"/>
    </xf>
    <xf numFmtId="0" fontId="43" fillId="16" borderId="17" xfId="0" applyFont="1" applyFill="1" applyBorder="1" applyAlignment="1">
      <alignment horizontal="center"/>
    </xf>
    <xf numFmtId="9" fontId="0" fillId="16" borderId="17" xfId="0" applyNumberFormat="1" applyFill="1" applyBorder="1" applyAlignment="1">
      <alignment horizontal="center"/>
    </xf>
    <xf numFmtId="1" fontId="0" fillId="16" borderId="17" xfId="0" applyNumberFormat="1" applyFill="1" applyBorder="1" applyAlignment="1">
      <alignment horizontal="center" vertical="center"/>
    </xf>
    <xf numFmtId="0" fontId="0" fillId="16" borderId="17" xfId="0" applyFill="1" applyBorder="1" applyAlignment="1">
      <alignment horizontal="center"/>
    </xf>
    <xf numFmtId="176" fontId="0" fillId="16" borderId="25" xfId="0" applyNumberFormat="1" applyFill="1" applyBorder="1" applyAlignment="1">
      <alignment horizontal="center" vertical="center"/>
    </xf>
    <xf numFmtId="180" fontId="47" fillId="16" borderId="0" xfId="3" applyNumberFormat="1" applyFont="1" applyFill="1"/>
    <xf numFmtId="0" fontId="44" fillId="0" borderId="0" xfId="0" applyFont="1" applyAlignment="1">
      <alignment horizontal="center"/>
    </xf>
    <xf numFmtId="0" fontId="8" fillId="2" borderId="28" xfId="0" applyFont="1" applyFill="1" applyBorder="1" applyAlignment="1">
      <alignment horizontal="left" vertical="top" wrapText="1"/>
    </xf>
    <xf numFmtId="0" fontId="44" fillId="18" borderId="7" xfId="0" applyFont="1" applyFill="1" applyBorder="1" applyAlignment="1">
      <alignment horizontal="center"/>
    </xf>
    <xf numFmtId="0" fontId="44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16" borderId="23" xfId="0" applyNumberFormat="1" applyFill="1" applyBorder="1" applyAlignment="1">
      <alignment horizontal="center" vertical="center"/>
    </xf>
    <xf numFmtId="165" fontId="0" fillId="2" borderId="12" xfId="1" applyNumberFormat="1" applyFon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/>
    </xf>
    <xf numFmtId="1" fontId="0" fillId="16" borderId="17" xfId="0" applyNumberFormat="1" applyFill="1" applyBorder="1" applyAlignment="1">
      <alignment horizontal="center"/>
    </xf>
    <xf numFmtId="171" fontId="47" fillId="16" borderId="0" xfId="0" applyNumberFormat="1" applyFont="1" applyFill="1"/>
    <xf numFmtId="14" fontId="7" fillId="16" borderId="58" xfId="0" applyNumberFormat="1" applyFont="1" applyFill="1" applyBorder="1" applyAlignment="1">
      <alignment horizontal="center" vertical="center"/>
    </xf>
    <xf numFmtId="9" fontId="0" fillId="16" borderId="17" xfId="2" applyFont="1" applyFill="1" applyBorder="1" applyAlignment="1">
      <alignment horizontal="center"/>
    </xf>
    <xf numFmtId="176" fontId="0" fillId="16" borderId="25" xfId="0" applyNumberFormat="1" applyFill="1" applyBorder="1" applyAlignment="1">
      <alignment vertical="center"/>
    </xf>
    <xf numFmtId="176" fontId="0" fillId="16" borderId="54" xfId="0" applyNumberFormat="1" applyFill="1" applyBorder="1" applyAlignment="1">
      <alignment vertical="center"/>
    </xf>
    <xf numFmtId="0" fontId="0" fillId="2" borderId="12" xfId="0" applyFill="1" applyBorder="1" applyAlignment="1">
      <alignment horizontal="left" wrapText="1"/>
    </xf>
    <xf numFmtId="14" fontId="7" fillId="16" borderId="9" xfId="0" applyNumberFormat="1" applyFont="1" applyFill="1" applyBorder="1" applyAlignment="1">
      <alignment horizontal="center" vertical="center"/>
    </xf>
    <xf numFmtId="14" fontId="44" fillId="4" borderId="12" xfId="0" applyNumberFormat="1" applyFont="1" applyFill="1" applyBorder="1" applyAlignment="1">
      <alignment horizontal="center"/>
    </xf>
    <xf numFmtId="1" fontId="0" fillId="16" borderId="15" xfId="0" applyNumberFormat="1" applyFill="1" applyBorder="1" applyAlignment="1">
      <alignment horizontal="center"/>
    </xf>
    <xf numFmtId="0" fontId="0" fillId="4" borderId="0" xfId="0" applyFill="1"/>
    <xf numFmtId="0" fontId="0" fillId="4" borderId="12" xfId="0" applyFill="1" applyBorder="1"/>
    <xf numFmtId="0" fontId="7" fillId="2" borderId="12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 wrapText="1"/>
    </xf>
    <xf numFmtId="0" fontId="32" fillId="2" borderId="12" xfId="0" applyFont="1" applyFill="1" applyBorder="1" applyAlignment="1">
      <alignment horizontal="left" vertical="center"/>
    </xf>
    <xf numFmtId="0" fontId="31" fillId="2" borderId="12" xfId="0" applyFont="1" applyFill="1" applyBorder="1" applyAlignment="1">
      <alignment horizontal="left" vertical="center"/>
    </xf>
    <xf numFmtId="0" fontId="30" fillId="2" borderId="12" xfId="0" applyFont="1" applyFill="1" applyBorder="1" applyAlignment="1">
      <alignment horizontal="left" vertical="center"/>
    </xf>
    <xf numFmtId="0" fontId="29" fillId="2" borderId="12" xfId="0" applyFont="1" applyFill="1" applyBorder="1" applyAlignment="1">
      <alignment horizontal="left" vertical="center"/>
    </xf>
    <xf numFmtId="0" fontId="28" fillId="2" borderId="12" xfId="0" applyFont="1" applyFill="1" applyBorder="1" applyAlignment="1">
      <alignment horizontal="left" vertical="center"/>
    </xf>
    <xf numFmtId="0" fontId="27" fillId="2" borderId="12" xfId="0" applyFont="1" applyFill="1" applyBorder="1" applyAlignment="1">
      <alignment horizontal="left" vertical="center"/>
    </xf>
    <xf numFmtId="0" fontId="21" fillId="2" borderId="12" xfId="0" applyFont="1" applyFill="1" applyBorder="1" applyAlignment="1">
      <alignment horizontal="left" vertical="center"/>
    </xf>
    <xf numFmtId="0" fontId="25" fillId="2" borderId="12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left" vertical="center"/>
    </xf>
    <xf numFmtId="0" fontId="22" fillId="2" borderId="12" xfId="0" applyFont="1" applyFill="1" applyBorder="1" applyAlignment="1">
      <alignment horizontal="left" vertical="center"/>
    </xf>
    <xf numFmtId="0" fontId="43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174" fontId="0" fillId="2" borderId="20" xfId="0" applyNumberFormat="1" applyFill="1" applyBorder="1" applyAlignment="1">
      <alignment horizontal="center" vertical="center"/>
    </xf>
    <xf numFmtId="1" fontId="0" fillId="2" borderId="20" xfId="0" applyNumberFormat="1" applyFill="1" applyBorder="1" applyAlignment="1">
      <alignment vertical="center"/>
    </xf>
    <xf numFmtId="176" fontId="0" fillId="2" borderId="66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vertical="center"/>
    </xf>
    <xf numFmtId="14" fontId="9" fillId="2" borderId="10" xfId="0" applyNumberFormat="1" applyFont="1" applyFill="1" applyBorder="1" applyAlignment="1">
      <alignment horizontal="left" vertical="center"/>
    </xf>
    <xf numFmtId="14" fontId="9" fillId="2" borderId="17" xfId="0" applyNumberFormat="1" applyFont="1" applyFill="1" applyBorder="1" applyAlignment="1">
      <alignment horizontal="left" vertical="center"/>
    </xf>
    <xf numFmtId="14" fontId="9" fillId="16" borderId="10" xfId="0" applyNumberFormat="1" applyFont="1" applyFill="1" applyBorder="1" applyAlignment="1">
      <alignment horizontal="left" vertical="center"/>
    </xf>
    <xf numFmtId="14" fontId="8" fillId="16" borderId="17" xfId="0" applyNumberFormat="1" applyFont="1" applyFill="1" applyBorder="1" applyAlignment="1">
      <alignment horizontal="left" vertical="center"/>
    </xf>
    <xf numFmtId="14" fontId="8" fillId="2" borderId="10" xfId="0" applyNumberFormat="1" applyFont="1" applyFill="1" applyBorder="1" applyAlignment="1">
      <alignment horizontal="left" vertical="center"/>
    </xf>
    <xf numFmtId="14" fontId="8" fillId="2" borderId="17" xfId="0" applyNumberFormat="1" applyFont="1" applyFill="1" applyBorder="1" applyAlignment="1">
      <alignment horizontal="left" vertical="center"/>
    </xf>
    <xf numFmtId="14" fontId="8" fillId="16" borderId="10" xfId="0" applyNumberFormat="1" applyFont="1" applyFill="1" applyBorder="1" applyAlignment="1">
      <alignment horizontal="left" vertical="center"/>
    </xf>
    <xf numFmtId="0" fontId="43" fillId="16" borderId="12" xfId="0" applyFont="1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1" fontId="0" fillId="16" borderId="12" xfId="0" applyNumberFormat="1" applyFill="1" applyBorder="1" applyAlignment="1">
      <alignment horizontal="center"/>
    </xf>
    <xf numFmtId="9" fontId="0" fillId="16" borderId="12" xfId="0" applyNumberFormat="1" applyFill="1" applyBorder="1" applyAlignment="1">
      <alignment horizontal="center"/>
    </xf>
    <xf numFmtId="176" fontId="0" fillId="16" borderId="12" xfId="0" applyNumberFormat="1" applyFill="1" applyBorder="1" applyAlignment="1">
      <alignment horizontal="center" vertical="center"/>
    </xf>
    <xf numFmtId="14" fontId="5" fillId="16" borderId="12" xfId="0" applyNumberFormat="1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" fontId="0" fillId="16" borderId="12" xfId="0" applyNumberFormat="1" applyFill="1" applyBorder="1" applyAlignment="1">
      <alignment horizontal="center" vertical="center"/>
    </xf>
    <xf numFmtId="1" fontId="44" fillId="2" borderId="5" xfId="0" applyNumberFormat="1" applyFont="1" applyFill="1" applyBorder="1" applyAlignment="1">
      <alignment horizontal="center"/>
    </xf>
    <xf numFmtId="1" fontId="44" fillId="2" borderId="15" xfId="0" applyNumberFormat="1" applyFont="1" applyFill="1" applyBorder="1" applyAlignment="1">
      <alignment horizontal="center"/>
    </xf>
    <xf numFmtId="1" fontId="0" fillId="16" borderId="14" xfId="0" applyNumberFormat="1" applyFill="1" applyBorder="1" applyAlignment="1">
      <alignment horizontal="center"/>
    </xf>
    <xf numFmtId="14" fontId="43" fillId="2" borderId="33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vertical="center"/>
    </xf>
    <xf numFmtId="14" fontId="2" fillId="16" borderId="12" xfId="0" applyNumberFormat="1" applyFont="1" applyFill="1" applyBorder="1" applyAlignment="1">
      <alignment horizontal="left" vertical="center" wrapText="1"/>
    </xf>
    <xf numFmtId="14" fontId="2" fillId="2" borderId="28" xfId="0" applyNumberFormat="1" applyFont="1" applyFill="1" applyBorder="1" applyAlignment="1">
      <alignment horizontal="center" vertical="center"/>
    </xf>
    <xf numFmtId="14" fontId="2" fillId="2" borderId="17" xfId="0" applyNumberFormat="1" applyFont="1" applyFill="1" applyBorder="1" applyAlignment="1">
      <alignment horizontal="center" vertical="center"/>
    </xf>
    <xf numFmtId="182" fontId="0" fillId="2" borderId="0" xfId="0" applyNumberFormat="1" applyFill="1"/>
    <xf numFmtId="0" fontId="2" fillId="3" borderId="37" xfId="0" applyFont="1" applyFill="1" applyBorder="1" applyAlignment="1">
      <alignment horizontal="center"/>
    </xf>
    <xf numFmtId="0" fontId="2" fillId="2" borderId="12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left" vertical="center" wrapText="1"/>
    </xf>
    <xf numFmtId="1" fontId="0" fillId="16" borderId="19" xfId="0" applyNumberFormat="1" applyFill="1" applyBorder="1" applyAlignment="1">
      <alignment horizontal="center"/>
    </xf>
    <xf numFmtId="14" fontId="6" fillId="2" borderId="12" xfId="0" applyNumberFormat="1" applyFont="1" applyFill="1" applyBorder="1" applyAlignment="1">
      <alignment horizontal="left" vertical="center"/>
    </xf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43" fillId="2" borderId="13" xfId="0" applyNumberFormat="1" applyFont="1" applyFill="1" applyBorder="1" applyAlignment="1">
      <alignment vertical="center"/>
    </xf>
    <xf numFmtId="14" fontId="43" fillId="2" borderId="14" xfId="0" applyNumberFormat="1" applyFont="1" applyFill="1" applyBorder="1" applyAlignment="1">
      <alignment vertical="center"/>
    </xf>
    <xf numFmtId="14" fontId="2" fillId="2" borderId="12" xfId="0" applyNumberFormat="1" applyFont="1" applyFill="1" applyBorder="1" applyAlignment="1">
      <alignment horizontal="center" vertical="center"/>
    </xf>
    <xf numFmtId="1" fontId="0" fillId="16" borderId="20" xfId="0" applyNumberFormat="1" applyFill="1" applyBorder="1"/>
    <xf numFmtId="1" fontId="59" fillId="18" borderId="29" xfId="2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left" vertical="center" wrapText="1"/>
    </xf>
    <xf numFmtId="14" fontId="1" fillId="2" borderId="12" xfId="0" applyNumberFormat="1" applyFont="1" applyFill="1" applyBorder="1" applyAlignment="1">
      <alignment horizontal="center" vertical="center"/>
    </xf>
    <xf numFmtId="14" fontId="2" fillId="22" borderId="28" xfId="0" applyNumberFormat="1" applyFont="1" applyFill="1" applyBorder="1" applyAlignment="1">
      <alignment horizontal="center" vertical="center"/>
    </xf>
    <xf numFmtId="14" fontId="1" fillId="22" borderId="28" xfId="0" applyNumberFormat="1" applyFont="1" applyFill="1" applyBorder="1" applyAlignment="1">
      <alignment horizontal="center" vertical="center"/>
    </xf>
    <xf numFmtId="0" fontId="43" fillId="22" borderId="28" xfId="0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" borderId="21" xfId="0" applyNumberFormat="1" applyFill="1" applyBorder="1"/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44" fillId="4" borderId="12" xfId="0" applyFont="1" applyFill="1" applyBorder="1" applyAlignment="1">
      <alignment horizontal="center"/>
    </xf>
    <xf numFmtId="0" fontId="44" fillId="18" borderId="0" xfId="0" applyFont="1" applyFill="1" applyAlignment="1">
      <alignment horizontal="center"/>
    </xf>
    <xf numFmtId="0" fontId="44" fillId="20" borderId="12" xfId="0" applyFont="1" applyFill="1" applyBorder="1" applyAlignment="1">
      <alignment horizontal="center"/>
    </xf>
    <xf numFmtId="0" fontId="51" fillId="3" borderId="41" xfId="0" applyFont="1" applyFill="1" applyBorder="1" applyAlignment="1">
      <alignment horizontal="center" vertical="center" wrapText="1"/>
    </xf>
    <xf numFmtId="0" fontId="50" fillId="3" borderId="42" xfId="0" applyFont="1" applyFill="1" applyBorder="1" applyAlignment="1">
      <alignment vertical="center"/>
    </xf>
    <xf numFmtId="0" fontId="50" fillId="3" borderId="43" xfId="0" applyFont="1" applyFill="1" applyBorder="1" applyAlignment="1">
      <alignment vertical="center"/>
    </xf>
    <xf numFmtId="0" fontId="56" fillId="15" borderId="51" xfId="0" applyFont="1" applyFill="1" applyBorder="1" applyAlignment="1">
      <alignment horizontal="center"/>
    </xf>
    <xf numFmtId="0" fontId="57" fillId="15" borderId="0" xfId="0" applyFont="1" applyFill="1" applyAlignment="1">
      <alignment horizontal="center"/>
    </xf>
    <xf numFmtId="0" fontId="61" fillId="3" borderId="42" xfId="0" applyFont="1" applyFill="1" applyBorder="1" applyAlignment="1">
      <alignment horizontal="center" vertical="center"/>
    </xf>
    <xf numFmtId="0" fontId="61" fillId="3" borderId="43" xfId="0" applyFont="1" applyFill="1" applyBorder="1" applyAlignment="1">
      <alignment horizontal="center" vertical="center"/>
    </xf>
    <xf numFmtId="0" fontId="51" fillId="3" borderId="42" xfId="0" applyFont="1" applyFill="1" applyBorder="1" applyAlignment="1">
      <alignment horizontal="center" vertical="center" wrapText="1"/>
    </xf>
    <xf numFmtId="0" fontId="51" fillId="3" borderId="43" xfId="0" applyFont="1" applyFill="1" applyBorder="1" applyAlignment="1">
      <alignment horizontal="center" vertical="center" wrapText="1"/>
    </xf>
    <xf numFmtId="0" fontId="51" fillId="3" borderId="40" xfId="0" applyFont="1" applyFill="1" applyBorder="1" applyAlignment="1">
      <alignment horizontal="center" vertical="center" wrapText="1"/>
    </xf>
    <xf numFmtId="0" fontId="50" fillId="3" borderId="44" xfId="0" applyFont="1" applyFill="1" applyBorder="1" applyAlignment="1">
      <alignment vertical="center"/>
    </xf>
    <xf numFmtId="1" fontId="51" fillId="3" borderId="41" xfId="0" applyNumberFormat="1" applyFont="1" applyFill="1" applyBorder="1" applyAlignment="1">
      <alignment horizontal="center" vertical="center" wrapText="1"/>
    </xf>
    <xf numFmtId="1" fontId="51" fillId="3" borderId="40" xfId="0" applyNumberFormat="1" applyFont="1" applyFill="1" applyBorder="1" applyAlignment="1">
      <alignment horizontal="center" vertical="center" wrapText="1"/>
    </xf>
    <xf numFmtId="0" fontId="50" fillId="3" borderId="46" xfId="0" applyFont="1" applyFill="1" applyBorder="1" applyAlignment="1">
      <alignment vertical="center"/>
    </xf>
    <xf numFmtId="1" fontId="51" fillId="3" borderId="44" xfId="0" applyNumberFormat="1" applyFont="1" applyFill="1" applyBorder="1" applyAlignment="1">
      <alignment horizontal="center" vertical="center" wrapText="1"/>
    </xf>
    <xf numFmtId="0" fontId="59" fillId="18" borderId="0" xfId="0" applyFont="1" applyFill="1" applyAlignment="1">
      <alignment horizontal="center"/>
    </xf>
    <xf numFmtId="0" fontId="44" fillId="18" borderId="12" xfId="0" applyFont="1" applyFill="1" applyBorder="1" applyAlignment="1">
      <alignment horizontal="center"/>
    </xf>
    <xf numFmtId="0" fontId="44" fillId="3" borderId="7" xfId="0" applyFont="1" applyFill="1" applyBorder="1" applyAlignment="1">
      <alignment horizontal="center"/>
    </xf>
    <xf numFmtId="0" fontId="44" fillId="3" borderId="8" xfId="0" applyFont="1" applyFill="1" applyBorder="1" applyAlignment="1">
      <alignment horizontal="center"/>
    </xf>
    <xf numFmtId="0" fontId="44" fillId="3" borderId="29" xfId="0" applyFont="1" applyFill="1" applyBorder="1" applyAlignment="1">
      <alignment horizontal="center"/>
    </xf>
    <xf numFmtId="0" fontId="44" fillId="3" borderId="0" xfId="0" applyFont="1" applyFill="1" applyAlignment="1">
      <alignment horizontal="center"/>
    </xf>
    <xf numFmtId="14" fontId="64" fillId="2" borderId="1" xfId="0" applyNumberFormat="1" applyFont="1" applyFill="1" applyBorder="1" applyAlignment="1">
      <alignment horizontal="center" vertical="center"/>
    </xf>
    <xf numFmtId="14" fontId="64" fillId="2" borderId="4" xfId="0" applyNumberFormat="1" applyFont="1" applyFill="1" applyBorder="1" applyAlignment="1">
      <alignment horizontal="center" vertical="center"/>
    </xf>
    <xf numFmtId="14" fontId="64" fillId="2" borderId="13" xfId="0" applyNumberFormat="1" applyFont="1" applyFill="1" applyBorder="1" applyAlignment="1">
      <alignment horizontal="center" vertical="center"/>
    </xf>
    <xf numFmtId="14" fontId="64" fillId="2" borderId="14" xfId="0" applyNumberFormat="1" applyFont="1" applyFill="1" applyBorder="1" applyAlignment="1">
      <alignment horizontal="center" vertical="center"/>
    </xf>
    <xf numFmtId="0" fontId="59" fillId="3" borderId="36" xfId="0" applyFont="1" applyFill="1" applyBorder="1" applyAlignment="1">
      <alignment horizontal="center"/>
    </xf>
    <xf numFmtId="0" fontId="59" fillId="3" borderId="55" xfId="0" applyFont="1" applyFill="1" applyBorder="1" applyAlignment="1">
      <alignment horizontal="center"/>
    </xf>
    <xf numFmtId="0" fontId="59" fillId="3" borderId="56" xfId="0" applyFont="1" applyFill="1" applyBorder="1" applyAlignment="1">
      <alignment horizontal="center"/>
    </xf>
    <xf numFmtId="165" fontId="64" fillId="2" borderId="0" xfId="0" applyNumberFormat="1" applyFont="1" applyFill="1" applyAlignment="1">
      <alignment horizontal="center" vertical="center"/>
    </xf>
    <xf numFmtId="0" fontId="64" fillId="2" borderId="53" xfId="0" applyFont="1" applyFill="1" applyBorder="1" applyAlignment="1">
      <alignment horizontal="center" vertical="center"/>
    </xf>
    <xf numFmtId="14" fontId="64" fillId="17" borderId="1" xfId="0" applyNumberFormat="1" applyFont="1" applyFill="1" applyBorder="1" applyAlignment="1">
      <alignment horizontal="center" vertical="center"/>
    </xf>
    <xf numFmtId="14" fontId="64" fillId="17" borderId="4" xfId="0" applyNumberFormat="1" applyFont="1" applyFill="1" applyBorder="1" applyAlignment="1">
      <alignment horizontal="center" vertical="center"/>
    </xf>
    <xf numFmtId="14" fontId="64" fillId="17" borderId="13" xfId="0" applyNumberFormat="1" applyFont="1" applyFill="1" applyBorder="1" applyAlignment="1">
      <alignment horizontal="center" vertical="center"/>
    </xf>
    <xf numFmtId="14" fontId="64" fillId="17" borderId="14" xfId="0" applyNumberFormat="1" applyFont="1" applyFill="1" applyBorder="1" applyAlignment="1">
      <alignment horizontal="center" vertical="center"/>
    </xf>
    <xf numFmtId="165" fontId="64" fillId="17" borderId="5" xfId="0" applyNumberFormat="1" applyFont="1" applyFill="1" applyBorder="1" applyAlignment="1">
      <alignment horizontal="center" vertical="center"/>
    </xf>
    <xf numFmtId="165" fontId="64" fillId="17" borderId="15" xfId="0" applyNumberFormat="1" applyFont="1" applyFill="1" applyBorder="1" applyAlignment="1">
      <alignment horizontal="center" vertical="center"/>
    </xf>
    <xf numFmtId="165" fontId="64" fillId="2" borderId="6" xfId="0" applyNumberFormat="1" applyFont="1" applyFill="1" applyBorder="1" applyAlignment="1">
      <alignment horizontal="center" vertical="center"/>
    </xf>
    <xf numFmtId="0" fontId="64" fillId="2" borderId="16" xfId="0" applyFont="1" applyFill="1" applyBorder="1" applyAlignment="1">
      <alignment horizontal="center" vertical="center"/>
    </xf>
    <xf numFmtId="0" fontId="59" fillId="3" borderId="18" xfId="0" applyFont="1" applyFill="1" applyBorder="1" applyAlignment="1">
      <alignment horizontal="center" vertical="center"/>
    </xf>
    <xf numFmtId="0" fontId="59" fillId="3" borderId="19" xfId="0" applyFont="1" applyFill="1" applyBorder="1" applyAlignment="1">
      <alignment horizontal="center" vertical="center"/>
    </xf>
    <xf numFmtId="165" fontId="64" fillId="2" borderId="5" xfId="0" applyNumberFormat="1" applyFont="1" applyFill="1" applyBorder="1" applyAlignment="1">
      <alignment horizontal="center" vertical="center"/>
    </xf>
    <xf numFmtId="165" fontId="64" fillId="2" borderId="15" xfId="0" applyNumberFormat="1" applyFont="1" applyFill="1" applyBorder="1" applyAlignment="1">
      <alignment horizontal="center" vertical="center"/>
    </xf>
    <xf numFmtId="165" fontId="64" fillId="2" borderId="21" xfId="0" applyNumberFormat="1" applyFont="1" applyFill="1" applyBorder="1" applyAlignment="1">
      <alignment horizontal="center" vertical="center"/>
    </xf>
    <xf numFmtId="14" fontId="59" fillId="4" borderId="18" xfId="0" applyNumberFormat="1" applyFont="1" applyFill="1" applyBorder="1" applyAlignment="1">
      <alignment horizontal="center" vertical="center"/>
    </xf>
    <xf numFmtId="14" fontId="59" fillId="4" borderId="19" xfId="0" applyNumberFormat="1" applyFont="1" applyFill="1" applyBorder="1" applyAlignment="1">
      <alignment horizontal="center" vertical="center"/>
    </xf>
    <xf numFmtId="0" fontId="59" fillId="4" borderId="24" xfId="0" applyFont="1" applyFill="1" applyBorder="1" applyAlignment="1">
      <alignment horizontal="center"/>
    </xf>
    <xf numFmtId="0" fontId="59" fillId="4" borderId="17" xfId="0" applyFont="1" applyFill="1" applyBorder="1" applyAlignment="1">
      <alignment horizontal="center"/>
    </xf>
    <xf numFmtId="0" fontId="64" fillId="2" borderId="20" xfId="0" applyFont="1" applyFill="1" applyBorder="1" applyAlignment="1">
      <alignment horizontal="left" wrapText="1"/>
    </xf>
    <xf numFmtId="0" fontId="64" fillId="2" borderId="28" xfId="0" applyFont="1" applyFill="1" applyBorder="1" applyAlignment="1">
      <alignment horizontal="left" wrapText="1"/>
    </xf>
    <xf numFmtId="0" fontId="54" fillId="16" borderId="36" xfId="0" applyFont="1" applyFill="1" applyBorder="1" applyAlignment="1">
      <alignment horizontal="center"/>
    </xf>
    <xf numFmtId="0" fontId="54" fillId="16" borderId="55" xfId="0" applyFont="1" applyFill="1" applyBorder="1" applyAlignment="1">
      <alignment horizontal="center"/>
    </xf>
    <xf numFmtId="0" fontId="54" fillId="16" borderId="56" xfId="0" applyFont="1" applyFill="1" applyBorder="1" applyAlignment="1">
      <alignment horizontal="center"/>
    </xf>
    <xf numFmtId="0" fontId="44" fillId="4" borderId="1" xfId="0" applyFont="1" applyFill="1" applyBorder="1" applyAlignment="1">
      <alignment horizontal="center"/>
    </xf>
    <xf numFmtId="0" fontId="44" fillId="4" borderId="2" xfId="0" applyFont="1" applyFill="1" applyBorder="1" applyAlignment="1">
      <alignment horizontal="center"/>
    </xf>
    <xf numFmtId="0" fontId="44" fillId="4" borderId="3" xfId="0" applyFont="1" applyFill="1" applyBorder="1" applyAlignment="1">
      <alignment horizontal="center"/>
    </xf>
    <xf numFmtId="0" fontId="44" fillId="4" borderId="18" xfId="0" applyFont="1" applyFill="1" applyBorder="1" applyAlignment="1">
      <alignment horizontal="center"/>
    </xf>
    <xf numFmtId="0" fontId="44" fillId="4" borderId="0" xfId="0" applyFont="1" applyFill="1" applyAlignment="1">
      <alignment horizontal="center"/>
    </xf>
    <xf numFmtId="0" fontId="44" fillId="4" borderId="67" xfId="0" applyFont="1" applyFill="1" applyBorder="1" applyAlignment="1">
      <alignment horizontal="center"/>
    </xf>
    <xf numFmtId="0" fontId="59" fillId="4" borderId="0" xfId="0" applyFont="1" applyFill="1" applyAlignment="1">
      <alignment horizontal="center"/>
    </xf>
    <xf numFmtId="0" fontId="44" fillId="18" borderId="7" xfId="0" applyFont="1" applyFill="1" applyBorder="1" applyAlignment="1">
      <alignment horizontal="center"/>
    </xf>
    <xf numFmtId="0" fontId="44" fillId="18" borderId="29" xfId="0" applyFont="1" applyFill="1" applyBorder="1" applyAlignment="1">
      <alignment horizontal="center"/>
    </xf>
    <xf numFmtId="0" fontId="44" fillId="18" borderId="8" xfId="0" applyFont="1" applyFill="1" applyBorder="1" applyAlignment="1">
      <alignment horizontal="center"/>
    </xf>
    <xf numFmtId="0" fontId="44" fillId="18" borderId="12" xfId="0" applyFont="1" applyFill="1" applyBorder="1" applyAlignment="1">
      <alignment horizontal="center" vertical="center"/>
    </xf>
    <xf numFmtId="0" fontId="63" fillId="4" borderId="36" xfId="0" applyFont="1" applyFill="1" applyBorder="1" applyAlignment="1">
      <alignment horizontal="center"/>
    </xf>
    <xf numFmtId="0" fontId="63" fillId="4" borderId="55" xfId="0" applyFont="1" applyFill="1" applyBorder="1" applyAlignment="1">
      <alignment horizontal="center"/>
    </xf>
    <xf numFmtId="0" fontId="63" fillId="4" borderId="56" xfId="0" applyFont="1" applyFill="1" applyBorder="1" applyAlignment="1">
      <alignment horizontal="center"/>
    </xf>
    <xf numFmtId="0" fontId="44" fillId="18" borderId="20" xfId="0" applyFont="1" applyFill="1" applyBorder="1" applyAlignment="1">
      <alignment horizontal="center" vertical="center"/>
    </xf>
    <xf numFmtId="0" fontId="44" fillId="18" borderId="21" xfId="0" applyFont="1" applyFill="1" applyBorder="1" applyAlignment="1">
      <alignment horizontal="center" vertical="center"/>
    </xf>
    <xf numFmtId="0" fontId="44" fillId="18" borderId="28" xfId="0" applyFont="1" applyFill="1" applyBorder="1" applyAlignment="1">
      <alignment horizontal="center" vertical="center"/>
    </xf>
    <xf numFmtId="17" fontId="63" fillId="4" borderId="36" xfId="0" applyNumberFormat="1" applyFont="1" applyFill="1" applyBorder="1" applyAlignment="1">
      <alignment horizontal="center"/>
    </xf>
    <xf numFmtId="17" fontId="63" fillId="4" borderId="55" xfId="0" applyNumberFormat="1" applyFont="1" applyFill="1" applyBorder="1" applyAlignment="1">
      <alignment horizontal="center"/>
    </xf>
    <xf numFmtId="17" fontId="63" fillId="4" borderId="56" xfId="0" applyNumberFormat="1" applyFont="1" applyFill="1" applyBorder="1" applyAlignment="1">
      <alignment horizontal="center"/>
    </xf>
    <xf numFmtId="0" fontId="44" fillId="18" borderId="30" xfId="0" applyFont="1" applyFill="1" applyBorder="1" applyAlignment="1">
      <alignment horizontal="center" vertical="center"/>
    </xf>
    <xf numFmtId="0" fontId="44" fillId="18" borderId="34" xfId="0" applyFont="1" applyFill="1" applyBorder="1" applyAlignment="1">
      <alignment horizontal="center" vertical="center"/>
    </xf>
    <xf numFmtId="0" fontId="44" fillId="18" borderId="31" xfId="0" applyFont="1" applyFill="1" applyBorder="1" applyAlignment="1">
      <alignment horizontal="center" vertical="center"/>
    </xf>
    <xf numFmtId="0" fontId="44" fillId="18" borderId="32" xfId="0" applyFont="1" applyFill="1" applyBorder="1" applyAlignment="1">
      <alignment horizontal="center" vertical="center"/>
    </xf>
    <xf numFmtId="0" fontId="44" fillId="18" borderId="53" xfId="0" applyFont="1" applyFill="1" applyBorder="1" applyAlignment="1">
      <alignment horizontal="center" vertical="center"/>
    </xf>
    <xf numFmtId="0" fontId="44" fillId="18" borderId="33" xfId="0" applyFont="1" applyFill="1" applyBorder="1" applyAlignment="1">
      <alignment horizontal="center" vertical="center"/>
    </xf>
    <xf numFmtId="14" fontId="43" fillId="2" borderId="1" xfId="0" applyNumberFormat="1" applyFont="1" applyFill="1" applyBorder="1" applyAlignment="1">
      <alignment horizontal="center" vertical="center"/>
    </xf>
    <xf numFmtId="14" fontId="43" fillId="2" borderId="4" xfId="0" applyNumberFormat="1" applyFont="1" applyFill="1" applyBorder="1" applyAlignment="1">
      <alignment horizontal="center" vertical="center"/>
    </xf>
    <xf numFmtId="14" fontId="43" fillId="2" borderId="13" xfId="0" applyNumberFormat="1" applyFont="1" applyFill="1" applyBorder="1" applyAlignment="1">
      <alignment horizontal="center" vertical="center"/>
    </xf>
    <xf numFmtId="14" fontId="43" fillId="2" borderId="14" xfId="0" applyNumberFormat="1" applyFont="1" applyFill="1" applyBorder="1" applyAlignment="1">
      <alignment horizontal="center" vertical="center"/>
    </xf>
    <xf numFmtId="14" fontId="43" fillId="2" borderId="18" xfId="0" applyNumberFormat="1" applyFont="1" applyFill="1" applyBorder="1" applyAlignment="1">
      <alignment horizontal="center" vertical="center"/>
    </xf>
    <xf numFmtId="14" fontId="43" fillId="2" borderId="19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44" fillId="2" borderId="5" xfId="0" applyNumberFormat="1" applyFont="1" applyFill="1" applyBorder="1" applyAlignment="1">
      <alignment horizontal="center"/>
    </xf>
    <xf numFmtId="1" fontId="44" fillId="2" borderId="15" xfId="0" applyNumberFormat="1" applyFont="1" applyFill="1" applyBorder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/>
    </xf>
    <xf numFmtId="1" fontId="0" fillId="2" borderId="28" xfId="0" applyNumberFormat="1" applyFill="1" applyBorder="1" applyAlignment="1">
      <alignment horizont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0" fontId="44" fillId="3" borderId="30" xfId="0" applyFont="1" applyFill="1" applyBorder="1" applyAlignment="1">
      <alignment horizontal="center"/>
    </xf>
    <xf numFmtId="0" fontId="44" fillId="3" borderId="31" xfId="0" applyFont="1" applyFill="1" applyBorder="1" applyAlignment="1">
      <alignment horizontal="center"/>
    </xf>
    <xf numFmtId="14" fontId="43" fillId="16" borderId="1" xfId="0" applyNumberFormat="1" applyFont="1" applyFill="1" applyBorder="1" applyAlignment="1">
      <alignment horizontal="center" vertical="center"/>
    </xf>
    <xf numFmtId="14" fontId="43" fillId="16" borderId="4" xfId="0" applyNumberFormat="1" applyFont="1" applyFill="1" applyBorder="1" applyAlignment="1">
      <alignment horizontal="center" vertical="center"/>
    </xf>
    <xf numFmtId="14" fontId="43" fillId="16" borderId="13" xfId="0" applyNumberFormat="1" applyFont="1" applyFill="1" applyBorder="1" applyAlignment="1">
      <alignment horizontal="center" vertical="center"/>
    </xf>
    <xf numFmtId="14" fontId="43" fillId="16" borderId="14" xfId="0" applyNumberFormat="1" applyFont="1" applyFill="1" applyBorder="1" applyAlignment="1">
      <alignment horizontal="center" vertical="center"/>
    </xf>
    <xf numFmtId="1" fontId="0" fillId="16" borderId="21" xfId="0" applyNumberFormat="1" applyFill="1" applyBorder="1" applyAlignment="1">
      <alignment horizontal="center"/>
    </xf>
    <xf numFmtId="1" fontId="0" fillId="16" borderId="15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0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4" fontId="6" fillId="2" borderId="5" xfId="0" applyNumberFormat="1" applyFont="1" applyFill="1" applyBorder="1" applyAlignment="1">
      <alignment horizontal="left" vertical="center" wrapText="1"/>
    </xf>
    <xf numFmtId="14" fontId="43" fillId="2" borderId="21" xfId="0" applyNumberFormat="1" applyFont="1" applyFill="1" applyBorder="1" applyAlignment="1">
      <alignment horizontal="left" vertical="center" wrapText="1"/>
    </xf>
    <xf numFmtId="0" fontId="0" fillId="2" borderId="28" xfId="0" applyFill="1" applyBorder="1" applyAlignment="1">
      <alignment horizontal="center"/>
    </xf>
    <xf numFmtId="1" fontId="0" fillId="2" borderId="21" xfId="0" applyNumberFormat="1" applyFill="1" applyBorder="1" applyAlignment="1">
      <alignment horizontal="center" vertical="center"/>
    </xf>
    <xf numFmtId="1" fontId="44" fillId="2" borderId="5" xfId="0" applyNumberFormat="1" applyFont="1" applyFill="1" applyBorder="1" applyAlignment="1">
      <alignment horizontal="center" vertical="center"/>
    </xf>
    <xf numFmtId="1" fontId="44" fillId="2" borderId="15" xfId="0" applyNumberFormat="1" applyFont="1" applyFill="1" applyBorder="1" applyAlignment="1">
      <alignment horizontal="center" vertical="center"/>
    </xf>
    <xf numFmtId="1" fontId="0" fillId="16" borderId="5" xfId="0" applyNumberFormat="1" applyFill="1" applyBorder="1" applyAlignment="1">
      <alignment horizontal="center" vertical="center"/>
    </xf>
    <xf numFmtId="1" fontId="0" fillId="16" borderId="15" xfId="0" applyNumberFormat="1" applyFill="1" applyBorder="1" applyAlignment="1">
      <alignment horizontal="center" vertical="center"/>
    </xf>
    <xf numFmtId="1" fontId="0" fillId="16" borderId="4" xfId="0" applyNumberFormat="1" applyFill="1" applyBorder="1" applyAlignment="1">
      <alignment horizontal="center"/>
    </xf>
    <xf numFmtId="1" fontId="0" fillId="16" borderId="14" xfId="0" applyNumberFormat="1" applyFill="1" applyBorder="1" applyAlignment="1">
      <alignment horizontal="center"/>
    </xf>
    <xf numFmtId="0" fontId="0" fillId="2" borderId="28" xfId="0" applyFill="1" applyBorder="1" applyAlignment="1">
      <alignment horizontal="center" vertical="center"/>
    </xf>
    <xf numFmtId="14" fontId="43" fillId="16" borderId="12" xfId="0" applyNumberFormat="1" applyFont="1" applyFill="1" applyBorder="1" applyAlignment="1">
      <alignment horizontal="center" vertical="center"/>
    </xf>
    <xf numFmtId="0" fontId="54" fillId="20" borderId="7" xfId="0" applyFont="1" applyFill="1" applyBorder="1" applyAlignment="1">
      <alignment horizontal="center"/>
    </xf>
    <xf numFmtId="0" fontId="54" fillId="20" borderId="8" xfId="0" applyFont="1" applyFill="1" applyBorder="1" applyAlignment="1">
      <alignment horizontal="center"/>
    </xf>
    <xf numFmtId="0" fontId="44" fillId="2" borderId="0" xfId="0" applyFont="1" applyFill="1" applyAlignment="1">
      <alignment horizontal="center"/>
    </xf>
    <xf numFmtId="14" fontId="41" fillId="2" borderId="32" xfId="0" applyNumberFormat="1" applyFont="1" applyFill="1" applyBorder="1" applyAlignment="1">
      <alignment horizontal="center" vertical="center"/>
    </xf>
    <xf numFmtId="14" fontId="43" fillId="2" borderId="33" xfId="0" applyNumberFormat="1" applyFont="1" applyFill="1" applyBorder="1" applyAlignment="1">
      <alignment horizontal="center" vertical="center"/>
    </xf>
    <xf numFmtId="0" fontId="44" fillId="3" borderId="34" xfId="0" applyFont="1" applyFill="1" applyBorder="1" applyAlignment="1">
      <alignment horizontal="center"/>
    </xf>
    <xf numFmtId="0" fontId="43" fillId="3" borderId="36" xfId="0" applyFont="1" applyFill="1" applyBorder="1" applyAlignment="1">
      <alignment horizontal="center"/>
    </xf>
    <xf numFmtId="0" fontId="43" fillId="3" borderId="37" xfId="0" applyFont="1" applyFill="1" applyBorder="1" applyAlignment="1">
      <alignment horizontal="center"/>
    </xf>
    <xf numFmtId="0" fontId="59" fillId="2" borderId="0" xfId="0" applyFont="1" applyFill="1" applyAlignment="1">
      <alignment horizontal="center"/>
    </xf>
    <xf numFmtId="14" fontId="20" fillId="2" borderId="32" xfId="0" applyNumberFormat="1" applyFont="1" applyFill="1" applyBorder="1" applyAlignment="1">
      <alignment horizontal="center" vertical="center"/>
    </xf>
    <xf numFmtId="14" fontId="43" fillId="2" borderId="32" xfId="0" applyNumberFormat="1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8" fillId="4" borderId="2" xfId="0" applyFont="1" applyFill="1" applyBorder="1" applyAlignment="1">
      <alignment horizontal="center" vertical="center"/>
    </xf>
    <xf numFmtId="0" fontId="58" fillId="4" borderId="3" xfId="0" applyFont="1" applyFill="1" applyBorder="1" applyAlignment="1">
      <alignment horizontal="center" vertical="center"/>
    </xf>
    <xf numFmtId="0" fontId="58" fillId="4" borderId="13" xfId="0" applyFont="1" applyFill="1" applyBorder="1" applyAlignment="1">
      <alignment horizontal="center" vertical="center"/>
    </xf>
    <xf numFmtId="0" fontId="58" fillId="4" borderId="51" xfId="0" applyFont="1" applyFill="1" applyBorder="1" applyAlignment="1">
      <alignment horizontal="center" vertical="center"/>
    </xf>
    <xf numFmtId="0" fontId="58" fillId="4" borderId="26" xfId="0" applyFont="1" applyFill="1" applyBorder="1" applyAlignment="1">
      <alignment horizontal="center" vertical="center"/>
    </xf>
    <xf numFmtId="0" fontId="49" fillId="8" borderId="12" xfId="0" applyFont="1" applyFill="1" applyBorder="1" applyAlignment="1">
      <alignment horizontal="center" vertical="center"/>
    </xf>
    <xf numFmtId="0" fontId="49" fillId="8" borderId="20" xfId="0" applyFont="1" applyFill="1" applyBorder="1" applyAlignment="1">
      <alignment horizontal="center" vertical="center"/>
    </xf>
    <xf numFmtId="0" fontId="49" fillId="8" borderId="21" xfId="0" applyFont="1" applyFill="1" applyBorder="1" applyAlignment="1">
      <alignment horizontal="center" vertical="center"/>
    </xf>
    <xf numFmtId="0" fontId="49" fillId="8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50" fillId="2" borderId="20" xfId="0" applyFont="1" applyFill="1" applyBorder="1" applyAlignment="1">
      <alignment horizontal="center"/>
    </xf>
    <xf numFmtId="0" fontId="50" fillId="2" borderId="21" xfId="0" applyFont="1" applyFill="1" applyBorder="1" applyAlignment="1">
      <alignment horizontal="center"/>
    </xf>
    <xf numFmtId="0" fontId="50" fillId="2" borderId="28" xfId="0" applyFont="1" applyFill="1" applyBorder="1" applyAlignment="1">
      <alignment horizontal="center"/>
    </xf>
    <xf numFmtId="0" fontId="49" fillId="2" borderId="59" xfId="0" applyFont="1" applyFill="1" applyBorder="1" applyAlignment="1">
      <alignment horizontal="center" vertical="top" wrapText="1"/>
    </xf>
    <xf numFmtId="0" fontId="49" fillId="2" borderId="61" xfId="0" applyFont="1" applyFill="1" applyBorder="1" applyAlignment="1">
      <alignment horizontal="center" vertical="top" wrapText="1"/>
    </xf>
    <xf numFmtId="0" fontId="49" fillId="2" borderId="62" xfId="0" applyFont="1" applyFill="1" applyBorder="1" applyAlignment="1">
      <alignment horizontal="center" vertical="top" wrapText="1"/>
    </xf>
    <xf numFmtId="0" fontId="49" fillId="2" borderId="63" xfId="0" applyFont="1" applyFill="1" applyBorder="1" applyAlignment="1">
      <alignment horizontal="center" vertical="top" wrapText="1"/>
    </xf>
    <xf numFmtId="0" fontId="49" fillId="2" borderId="64" xfId="0" applyFont="1" applyFill="1" applyBorder="1" applyAlignment="1">
      <alignment horizontal="center" vertical="top" wrapText="1"/>
    </xf>
    <xf numFmtId="0" fontId="49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49" fillId="2" borderId="12" xfId="0" applyFont="1" applyFill="1" applyBorder="1" applyAlignment="1">
      <alignment horizontal="left" vertical="top" wrapText="1"/>
    </xf>
    <xf numFmtId="0" fontId="0" fillId="2" borderId="12" xfId="0" applyFill="1" applyBorder="1"/>
    <xf numFmtId="0" fontId="50" fillId="2" borderId="12" xfId="0" applyFont="1" applyFill="1" applyBorder="1"/>
    <xf numFmtId="14" fontId="49" fillId="7" borderId="12" xfId="0" applyNumberFormat="1" applyFont="1" applyFill="1" applyBorder="1" applyAlignment="1">
      <alignment horizontal="center" vertical="center"/>
    </xf>
    <xf numFmtId="14" fontId="49" fillId="2" borderId="12" xfId="0" applyNumberFormat="1" applyFont="1" applyFill="1" applyBorder="1" applyAlignment="1">
      <alignment horizontal="center" vertical="center"/>
    </xf>
    <xf numFmtId="0" fontId="44" fillId="10" borderId="12" xfId="0" applyFont="1" applyFill="1" applyBorder="1" applyAlignment="1">
      <alignment horizontal="center" vertical="center"/>
    </xf>
    <xf numFmtId="14" fontId="49" fillId="7" borderId="20" xfId="0" applyNumberFormat="1" applyFont="1" applyFill="1" applyBorder="1" applyAlignment="1">
      <alignment horizontal="center" vertical="center"/>
    </xf>
    <xf numFmtId="14" fontId="49" fillId="7" borderId="21" xfId="0" applyNumberFormat="1" applyFont="1" applyFill="1" applyBorder="1" applyAlignment="1">
      <alignment horizontal="center" vertical="center"/>
    </xf>
    <xf numFmtId="0" fontId="44" fillId="10" borderId="12" xfId="0" applyFont="1" applyFill="1" applyBorder="1" applyAlignment="1">
      <alignment horizontal="center"/>
    </xf>
    <xf numFmtId="14" fontId="49" fillId="7" borderId="57" xfId="0" applyNumberFormat="1" applyFont="1" applyFill="1" applyBorder="1" applyAlignment="1">
      <alignment horizontal="center" vertical="center"/>
    </xf>
    <xf numFmtId="14" fontId="49" fillId="7" borderId="60" xfId="0" applyNumberFormat="1" applyFont="1" applyFill="1" applyBorder="1" applyAlignment="1">
      <alignment horizontal="center" vertical="center"/>
    </xf>
    <xf numFmtId="14" fontId="49" fillId="7" borderId="24" xfId="0" applyNumberFormat="1" applyFont="1" applyFill="1" applyBorder="1" applyAlignment="1">
      <alignment horizontal="center" vertical="center"/>
    </xf>
    <xf numFmtId="14" fontId="49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50" fillId="2" borderId="20" xfId="0" applyFont="1" applyFill="1" applyBorder="1" applyAlignment="1">
      <alignment horizontal="center" vertical="center"/>
    </xf>
    <xf numFmtId="0" fontId="50" fillId="2" borderId="21" xfId="0" applyFont="1" applyFill="1" applyBorder="1" applyAlignment="1">
      <alignment horizontal="center" vertical="center"/>
    </xf>
    <xf numFmtId="0" fontId="50" fillId="2" borderId="28" xfId="0" applyFont="1" applyFill="1" applyBorder="1" applyAlignment="1">
      <alignment horizontal="center" vertical="center"/>
    </xf>
    <xf numFmtId="0" fontId="51" fillId="11" borderId="7" xfId="0" applyFont="1" applyFill="1" applyBorder="1" applyAlignment="1">
      <alignment horizontal="center" vertical="center"/>
    </xf>
    <xf numFmtId="0" fontId="51" fillId="11" borderId="29" xfId="0" applyFont="1" applyFill="1" applyBorder="1" applyAlignment="1">
      <alignment horizontal="center" vertical="center"/>
    </xf>
    <xf numFmtId="0" fontId="51" fillId="11" borderId="8" xfId="0" applyFont="1" applyFill="1" applyBorder="1" applyAlignment="1">
      <alignment horizontal="center" vertical="center"/>
    </xf>
    <xf numFmtId="20" fontId="51" fillId="11" borderId="7" xfId="0" applyNumberFormat="1" applyFont="1" applyFill="1" applyBorder="1" applyAlignment="1">
      <alignment horizontal="center" vertical="center"/>
    </xf>
    <xf numFmtId="20" fontId="51" fillId="11" borderId="29" xfId="0" applyNumberFormat="1" applyFont="1" applyFill="1" applyBorder="1" applyAlignment="1">
      <alignment horizontal="center" vertical="center"/>
    </xf>
    <xf numFmtId="20" fontId="51" fillId="11" borderId="8" xfId="0" applyNumberFormat="1" applyFont="1" applyFill="1" applyBorder="1" applyAlignment="1">
      <alignment horizontal="center" vertical="center"/>
    </xf>
    <xf numFmtId="20" fontId="53" fillId="10" borderId="7" xfId="0" applyNumberFormat="1" applyFont="1" applyFill="1" applyBorder="1" applyAlignment="1">
      <alignment horizontal="center"/>
    </xf>
    <xf numFmtId="20" fontId="53" fillId="10" borderId="29" xfId="0" applyNumberFormat="1" applyFont="1" applyFill="1" applyBorder="1" applyAlignment="1">
      <alignment horizontal="center"/>
    </xf>
    <xf numFmtId="20" fontId="53" fillId="10" borderId="8" xfId="0" applyNumberFormat="1" applyFont="1" applyFill="1" applyBorder="1" applyAlignment="1">
      <alignment horizontal="center"/>
    </xf>
    <xf numFmtId="14" fontId="49" fillId="7" borderId="5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3" borderId="12" xfId="0" applyFill="1" applyBorder="1"/>
    <xf numFmtId="0" fontId="0" fillId="24" borderId="12" xfId="0" applyFill="1" applyBorder="1"/>
    <xf numFmtId="1" fontId="49" fillId="24" borderId="48" xfId="0" applyNumberFormat="1" applyFont="1" applyFill="1" applyBorder="1" applyAlignment="1">
      <alignment horizontal="center"/>
    </xf>
    <xf numFmtId="174" fontId="49" fillId="24" borderId="48" xfId="0" applyNumberFormat="1" applyFont="1" applyFill="1" applyBorder="1" applyAlignment="1">
      <alignment horizontal="center"/>
    </xf>
    <xf numFmtId="176" fontId="49" fillId="24" borderId="48" xfId="0" applyNumberFormat="1" applyFont="1" applyFill="1" applyBorder="1" applyAlignment="1">
      <alignment horizontal="center"/>
    </xf>
    <xf numFmtId="0" fontId="49" fillId="24" borderId="48" xfId="0" applyFont="1" applyFill="1" applyBorder="1" applyAlignment="1">
      <alignment horizont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1125</c:v>
                </c:pt>
                <c:pt idx="1">
                  <c:v>2250</c:v>
                </c:pt>
                <c:pt idx="2">
                  <c:v>2000</c:v>
                </c:pt>
                <c:pt idx="3">
                  <c:v>50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Consumption'!$X$13:$AC$13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1.1551941765891429</c:v>
                </c:pt>
                <c:pt idx="1">
                  <c:v>2.3103883531782858</c:v>
                </c:pt>
                <c:pt idx="2">
                  <c:v>2.053678536158476</c:v>
                </c:pt>
                <c:pt idx="3">
                  <c:v>5.1341963403961903E-2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5</xdr:row>
      <xdr:rowOff>166276</xdr:rowOff>
    </xdr:from>
    <xdr:to>
      <xdr:col>49</xdr:col>
      <xdr:colOff>392759</xdr:colOff>
      <xdr:row>39</xdr:row>
      <xdr:rowOff>91721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17</xdr:row>
      <xdr:rowOff>177306</xdr:rowOff>
    </xdr:from>
    <xdr:to>
      <xdr:col>28</xdr:col>
      <xdr:colOff>163951</xdr:colOff>
      <xdr:row>36</xdr:row>
      <xdr:rowOff>80536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67428" y="3552966"/>
              <a:ext cx="4836783" cy="3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21804062"/>
          <a:ext cx="9526380" cy="5259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36</xdr:row>
      <xdr:rowOff>127506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14"/>
  <sheetViews>
    <sheetView zoomScale="85" zoomScaleNormal="85" workbookViewId="0">
      <pane xSplit="2" topLeftCell="C1" activePane="topRight" state="frozen"/>
      <selection activeCell="A2" sqref="A2"/>
      <selection pane="topRight" activeCell="H41" sqref="H41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61"/>
    <col min="21" max="21" width="14.44140625" style="89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85"/>
      <c r="B1" s="85"/>
      <c r="C1" s="86"/>
      <c r="D1" s="87"/>
      <c r="E1" s="87"/>
      <c r="F1" s="85"/>
      <c r="G1" s="87"/>
      <c r="H1" s="636" t="s">
        <v>125</v>
      </c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85"/>
      <c r="AL1" s="85"/>
      <c r="AM1" s="85"/>
      <c r="AN1" s="85"/>
      <c r="AO1" s="85"/>
      <c r="AP1" s="85"/>
      <c r="AQ1" s="85"/>
      <c r="AR1" s="85"/>
      <c r="AS1" s="85"/>
    </row>
    <row r="2" spans="1:45" ht="14.4" x14ac:dyDescent="0.3">
      <c r="A2" s="85"/>
      <c r="B2" s="85"/>
      <c r="C2" s="86"/>
      <c r="D2" s="87"/>
      <c r="E2" s="87"/>
      <c r="F2" s="85"/>
      <c r="G2" s="85"/>
      <c r="H2" s="637" t="s">
        <v>126</v>
      </c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7"/>
      <c r="W2" s="637"/>
      <c r="X2" s="637"/>
      <c r="Y2" s="637"/>
      <c r="Z2" s="637"/>
      <c r="AA2" s="637"/>
      <c r="AB2" s="637"/>
      <c r="AC2" s="637"/>
      <c r="AD2" s="637"/>
      <c r="AE2" s="637"/>
      <c r="AF2" s="637"/>
      <c r="AG2" s="637"/>
      <c r="AH2" s="637"/>
      <c r="AI2" s="637"/>
      <c r="AJ2" s="637"/>
      <c r="AK2" s="85"/>
      <c r="AL2" s="85"/>
      <c r="AM2" s="85"/>
      <c r="AN2" s="85"/>
      <c r="AO2" s="85"/>
      <c r="AP2" s="85"/>
      <c r="AQ2" s="85"/>
      <c r="AR2" s="85"/>
      <c r="AS2" s="85"/>
    </row>
    <row r="3" spans="1:45" ht="25.8" x14ac:dyDescent="0.5">
      <c r="A3" s="85"/>
      <c r="B3" s="85"/>
      <c r="C3" s="86"/>
      <c r="D3" s="87"/>
      <c r="E3" s="87"/>
      <c r="F3" s="85"/>
      <c r="G3" s="85"/>
      <c r="H3" s="88"/>
      <c r="AK3" s="85"/>
      <c r="AL3" s="85"/>
      <c r="AM3" s="85"/>
      <c r="AN3" s="85"/>
      <c r="AO3" s="85"/>
      <c r="AP3" s="85"/>
      <c r="AQ3" s="85"/>
      <c r="AR3" s="85"/>
      <c r="AS3" s="85"/>
    </row>
    <row r="4" spans="1:45" thickBot="1" x14ac:dyDescent="0.35">
      <c r="A4" s="85"/>
      <c r="B4" s="90"/>
      <c r="C4" s="91"/>
      <c r="D4" s="92"/>
      <c r="E4" s="92"/>
      <c r="F4" s="90"/>
      <c r="G4" s="90"/>
      <c r="H4" s="90"/>
      <c r="I4" s="91"/>
      <c r="J4" s="91"/>
      <c r="K4" s="92"/>
      <c r="L4" s="92"/>
      <c r="M4" s="92"/>
      <c r="N4" s="90"/>
      <c r="O4" s="90"/>
      <c r="P4" s="90"/>
      <c r="Q4" s="90"/>
      <c r="R4" s="90"/>
      <c r="S4" s="90"/>
      <c r="T4" s="92"/>
      <c r="U4" s="93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85"/>
      <c r="AK4" s="85"/>
      <c r="AL4" s="85"/>
      <c r="AM4" s="85"/>
      <c r="AN4" s="85"/>
      <c r="AO4" s="85"/>
      <c r="AP4" s="85"/>
      <c r="AQ4" s="85"/>
      <c r="AR4" s="85"/>
      <c r="AS4" s="85"/>
    </row>
    <row r="5" spans="1:45" ht="29.4" thickBot="1" x14ac:dyDescent="0.35">
      <c r="A5" s="94"/>
      <c r="B5" s="642" t="s">
        <v>73</v>
      </c>
      <c r="C5" s="644" t="s">
        <v>74</v>
      </c>
      <c r="D5" s="634"/>
      <c r="E5" s="634"/>
      <c r="F5" s="634"/>
      <c r="G5" s="634"/>
      <c r="H5" s="635"/>
      <c r="I5" s="645" t="s">
        <v>444</v>
      </c>
      <c r="J5" s="645" t="s">
        <v>327</v>
      </c>
      <c r="K5" s="633" t="s">
        <v>75</v>
      </c>
      <c r="L5" s="634"/>
      <c r="M5" s="634"/>
      <c r="N5" s="642" t="s">
        <v>76</v>
      </c>
      <c r="O5" s="638" t="s">
        <v>178</v>
      </c>
      <c r="P5" s="638"/>
      <c r="Q5" s="638"/>
      <c r="R5" s="638"/>
      <c r="S5" s="638"/>
      <c r="T5" s="638"/>
      <c r="U5" s="638"/>
      <c r="V5" s="638"/>
      <c r="W5" s="638"/>
      <c r="X5" s="638"/>
      <c r="Y5" s="639"/>
      <c r="Z5" s="633" t="s">
        <v>77</v>
      </c>
      <c r="AA5" s="640"/>
      <c r="AB5" s="640"/>
      <c r="AC5" s="640"/>
      <c r="AD5" s="640"/>
      <c r="AE5" s="640"/>
      <c r="AF5" s="640"/>
      <c r="AG5" s="641"/>
      <c r="AH5" s="633" t="s">
        <v>78</v>
      </c>
      <c r="AI5" s="635"/>
      <c r="AJ5" s="633" t="s">
        <v>79</v>
      </c>
      <c r="AK5" s="634"/>
      <c r="AL5" s="634"/>
      <c r="AM5" s="634"/>
      <c r="AN5" s="634"/>
      <c r="AO5" s="635"/>
      <c r="AP5" s="633" t="s">
        <v>80</v>
      </c>
      <c r="AQ5" s="635"/>
      <c r="AR5" s="85"/>
      <c r="AS5" s="95" t="s">
        <v>81</v>
      </c>
    </row>
    <row r="6" spans="1:45" ht="29.4" thickBot="1" x14ac:dyDescent="0.35">
      <c r="A6" s="94"/>
      <c r="B6" s="643"/>
      <c r="C6" s="168" t="s">
        <v>82</v>
      </c>
      <c r="D6" s="96" t="s">
        <v>83</v>
      </c>
      <c r="E6" s="96" t="s">
        <v>84</v>
      </c>
      <c r="F6" s="96" t="s">
        <v>85</v>
      </c>
      <c r="G6" s="96" t="s">
        <v>171</v>
      </c>
      <c r="H6" s="96" t="s">
        <v>86</v>
      </c>
      <c r="I6" s="643"/>
      <c r="J6" s="647"/>
      <c r="K6" s="96" t="s">
        <v>87</v>
      </c>
      <c r="L6" s="96" t="s">
        <v>88</v>
      </c>
      <c r="M6" s="96" t="s">
        <v>127</v>
      </c>
      <c r="N6" s="646"/>
      <c r="O6" s="96" t="s">
        <v>89</v>
      </c>
      <c r="P6" s="96" t="s">
        <v>90</v>
      </c>
      <c r="Q6" s="96" t="s">
        <v>91</v>
      </c>
      <c r="R6" s="96" t="s">
        <v>92</v>
      </c>
      <c r="S6" s="96" t="s">
        <v>93</v>
      </c>
      <c r="T6" s="96" t="s">
        <v>94</v>
      </c>
      <c r="U6" s="169" t="s">
        <v>95</v>
      </c>
      <c r="V6" s="96" t="s">
        <v>96</v>
      </c>
      <c r="W6" s="96" t="s">
        <v>97</v>
      </c>
      <c r="X6" s="96" t="s">
        <v>98</v>
      </c>
      <c r="Y6" s="96" t="s">
        <v>99</v>
      </c>
      <c r="Z6" s="96" t="s">
        <v>322</v>
      </c>
      <c r="AA6" s="96" t="s">
        <v>124</v>
      </c>
      <c r="AB6" s="96" t="s">
        <v>101</v>
      </c>
      <c r="AC6" s="96" t="s">
        <v>102</v>
      </c>
      <c r="AD6" s="96" t="s">
        <v>103</v>
      </c>
      <c r="AE6" s="96" t="s">
        <v>104</v>
      </c>
      <c r="AF6" s="96" t="s">
        <v>105</v>
      </c>
      <c r="AG6" s="96" t="s">
        <v>132</v>
      </c>
      <c r="AH6" s="96" t="s">
        <v>106</v>
      </c>
      <c r="AI6" s="96" t="s">
        <v>107</v>
      </c>
      <c r="AJ6" s="96" t="s">
        <v>100</v>
      </c>
      <c r="AK6" s="96" t="s">
        <v>101</v>
      </c>
      <c r="AL6" s="96" t="s">
        <v>102</v>
      </c>
      <c r="AM6" s="96" t="s">
        <v>103</v>
      </c>
      <c r="AN6" s="96" t="s">
        <v>104</v>
      </c>
      <c r="AO6" s="96" t="s">
        <v>105</v>
      </c>
      <c r="AP6" s="96" t="s">
        <v>108</v>
      </c>
      <c r="AQ6" s="96" t="s">
        <v>109</v>
      </c>
      <c r="AR6" s="85"/>
      <c r="AS6" s="85" t="s">
        <v>110</v>
      </c>
    </row>
    <row r="7" spans="1:45" ht="14.4" x14ac:dyDescent="0.3">
      <c r="A7" s="97"/>
      <c r="B7" s="98">
        <v>46174</v>
      </c>
      <c r="C7" s="99">
        <f>Crushing!N6</f>
        <v>0</v>
      </c>
      <c r="D7" s="99">
        <f>C7</f>
        <v>0</v>
      </c>
      <c r="E7" s="99" t="e">
        <f>C7/I7</f>
        <v>#DIV/0!</v>
      </c>
      <c r="F7" s="103"/>
      <c r="G7" s="100">
        <f>C7*F7</f>
        <v>0</v>
      </c>
      <c r="H7" s="144">
        <f>G7/1000</f>
        <v>0</v>
      </c>
      <c r="I7" s="99"/>
      <c r="J7" s="99">
        <v>0</v>
      </c>
      <c r="K7" s="102"/>
      <c r="L7" s="102">
        <f>J7/24</f>
        <v>0</v>
      </c>
      <c r="M7" s="102">
        <v>1</v>
      </c>
      <c r="N7" s="102">
        <f>IF(L7=100%,I7/24*100%,L7)</f>
        <v>0</v>
      </c>
      <c r="O7" s="149"/>
      <c r="P7" s="149"/>
      <c r="Q7" s="103"/>
      <c r="R7" s="103"/>
      <c r="S7" s="103"/>
      <c r="T7" s="103">
        <f>(O7*R7)-(S7*O7)</f>
        <v>0</v>
      </c>
      <c r="U7" s="104" t="e">
        <f>((R7-S7)/R7)</f>
        <v>#DIV/0!</v>
      </c>
      <c r="V7" s="101"/>
      <c r="W7" s="101"/>
      <c r="X7" s="101"/>
      <c r="Y7" s="101"/>
      <c r="Z7" s="103">
        <f>'Reagent Consumption'!O7</f>
        <v>0</v>
      </c>
      <c r="AA7" s="99">
        <f>'Fuel Consumption'!F4</f>
        <v>0</v>
      </c>
      <c r="AB7" s="103">
        <f>'Reagent Consumption'!Q7</f>
        <v>0</v>
      </c>
      <c r="AC7" s="103">
        <f>'Reagent Consumption'!P7</f>
        <v>0</v>
      </c>
      <c r="AD7" s="103">
        <f>'Reagent Consumption'!R7</f>
        <v>0</v>
      </c>
      <c r="AE7" s="103">
        <f>'Reagent Consumption'!S7</f>
        <v>0</v>
      </c>
      <c r="AF7" s="103">
        <f>'Reagent Consumption'!T7</f>
        <v>0</v>
      </c>
      <c r="AG7" s="103">
        <f>'Fuel Consumption'!F4</f>
        <v>0</v>
      </c>
      <c r="AH7" s="103"/>
      <c r="AI7" s="103"/>
      <c r="AJ7" s="103"/>
      <c r="AK7" s="103"/>
      <c r="AL7" s="103"/>
      <c r="AM7" s="103"/>
      <c r="AN7" s="103"/>
      <c r="AO7" s="103"/>
      <c r="AP7" s="103"/>
      <c r="AQ7" s="101"/>
      <c r="AR7" s="85"/>
      <c r="AS7" s="85" t="s">
        <v>111</v>
      </c>
    </row>
    <row r="8" spans="1:45" ht="14.4" x14ac:dyDescent="0.3">
      <c r="A8" s="97"/>
      <c r="B8" s="98">
        <v>46175</v>
      </c>
      <c r="C8" s="99">
        <f>Crushing!N8</f>
        <v>78.043500000000009</v>
      </c>
      <c r="D8" s="99">
        <f t="shared" ref="D8:D13" si="0">D7+C8</f>
        <v>78.043500000000009</v>
      </c>
      <c r="E8" s="99">
        <f t="shared" ref="E8:E11" si="1">C8/I8</f>
        <v>7.0734290030211486</v>
      </c>
      <c r="F8" s="103">
        <v>1.45</v>
      </c>
      <c r="G8" s="99">
        <f>C8*F8</f>
        <v>113.16307500000001</v>
      </c>
      <c r="H8" s="144">
        <f>G8/1000</f>
        <v>0.113163075</v>
      </c>
      <c r="I8" s="99">
        <f>'Crushing Down Time Hours'!L7</f>
        <v>11.033333333333333</v>
      </c>
      <c r="J8" s="99">
        <v>0</v>
      </c>
      <c r="K8" s="102"/>
      <c r="L8" s="102">
        <f t="shared" ref="L8:L45" si="2">J8/24</f>
        <v>0</v>
      </c>
      <c r="M8" s="102">
        <v>1</v>
      </c>
      <c r="N8" s="102">
        <f>IF(L8=100%,I8/24*100%,L8)</f>
        <v>0</v>
      </c>
      <c r="O8" s="106"/>
      <c r="P8" s="106"/>
      <c r="Q8" s="101"/>
      <c r="R8" s="101"/>
      <c r="S8" s="101"/>
      <c r="T8" s="103">
        <f t="shared" ref="T8:T37" si="3">(P8*R8)-(S8*P8)</f>
        <v>0</v>
      </c>
      <c r="U8" s="104" t="e">
        <f t="shared" ref="U8:U37" si="4">((R8-S8)/R8)</f>
        <v>#DIV/0!</v>
      </c>
      <c r="V8" s="101"/>
      <c r="W8" s="101"/>
      <c r="X8" s="101"/>
      <c r="Y8" s="101"/>
      <c r="Z8" s="103">
        <f>'Reagent Consumption'!O8</f>
        <v>0</v>
      </c>
      <c r="AA8" s="99">
        <f>'Fuel Consumption'!F5</f>
        <v>0</v>
      </c>
      <c r="AB8" s="103">
        <f>'Reagent Consumption'!Q8</f>
        <v>0</v>
      </c>
      <c r="AC8" s="103">
        <f>'Reagent Consumption'!P8</f>
        <v>0</v>
      </c>
      <c r="AD8" s="103">
        <f>'Reagent Consumption'!R8</f>
        <v>0</v>
      </c>
      <c r="AE8" s="103">
        <f>'Reagent Consumption'!S8</f>
        <v>0</v>
      </c>
      <c r="AF8" s="103">
        <f>'Reagent Consumption'!T8</f>
        <v>0</v>
      </c>
      <c r="AG8" s="103">
        <f>'Fuel Consumption'!F5</f>
        <v>0</v>
      </c>
      <c r="AH8" s="103"/>
      <c r="AI8" s="103"/>
      <c r="AJ8" s="103"/>
      <c r="AK8" s="103"/>
      <c r="AL8" s="103"/>
      <c r="AM8" s="103"/>
      <c r="AN8" s="103"/>
      <c r="AO8" s="103"/>
      <c r="AP8" s="103"/>
      <c r="AQ8" s="101"/>
      <c r="AR8" s="85"/>
      <c r="AS8" s="85" t="s">
        <v>112</v>
      </c>
    </row>
    <row r="9" spans="1:45" ht="14.4" x14ac:dyDescent="0.3">
      <c r="A9" s="97"/>
      <c r="B9" s="98">
        <v>46176</v>
      </c>
      <c r="C9" s="99">
        <f>Crushing!N10</f>
        <v>17.712000000000003</v>
      </c>
      <c r="D9" s="99">
        <f t="shared" si="0"/>
        <v>95.755500000000012</v>
      </c>
      <c r="E9" s="99">
        <f t="shared" si="1"/>
        <v>1.6053172205438069</v>
      </c>
      <c r="F9" s="143">
        <v>1.45</v>
      </c>
      <c r="G9" s="438">
        <f t="shared" ref="G9:G16" si="5">F9*C9</f>
        <v>25.682400000000005</v>
      </c>
      <c r="H9" s="145">
        <f t="shared" ref="H9:H17" si="6">G9/1000</f>
        <v>2.5682400000000005E-2</v>
      </c>
      <c r="I9" s="99">
        <f>'Crushing Down Time Hours'!L8</f>
        <v>11.033333333333333</v>
      </c>
      <c r="J9" s="99">
        <v>0</v>
      </c>
      <c r="K9" s="102"/>
      <c r="L9" s="102">
        <f t="shared" si="2"/>
        <v>0</v>
      </c>
      <c r="M9" s="102">
        <v>1</v>
      </c>
      <c r="N9" s="102">
        <f>IF(L9=100%,(I9/24),L9)</f>
        <v>0</v>
      </c>
      <c r="O9" s="106"/>
      <c r="P9" s="106"/>
      <c r="Q9" s="101"/>
      <c r="R9" s="101"/>
      <c r="S9" s="101"/>
      <c r="T9" s="103">
        <f t="shared" si="3"/>
        <v>0</v>
      </c>
      <c r="U9" s="104" t="e">
        <f>((R9-S9)/R9)</f>
        <v>#DIV/0!</v>
      </c>
      <c r="V9" s="101"/>
      <c r="W9" s="101"/>
      <c r="X9" s="101"/>
      <c r="Y9" s="101"/>
      <c r="Z9" s="103">
        <f>'Reagent Consumption'!O9</f>
        <v>0</v>
      </c>
      <c r="AA9" s="99">
        <f>'Fuel Consumption'!F6</f>
        <v>0</v>
      </c>
      <c r="AB9" s="103">
        <f>'Reagent Consumption'!Q9</f>
        <v>0</v>
      </c>
      <c r="AC9" s="103">
        <f>'Reagent Consumption'!P9</f>
        <v>0</v>
      </c>
      <c r="AD9" s="103">
        <f>'Reagent Consumption'!R9</f>
        <v>0</v>
      </c>
      <c r="AE9" s="103">
        <f>'Reagent Consumption'!S9</f>
        <v>0</v>
      </c>
      <c r="AF9" s="103">
        <f>'Reagent Consumption'!T9</f>
        <v>0</v>
      </c>
      <c r="AG9" s="103">
        <f>'Fuel Consumption'!F6</f>
        <v>0</v>
      </c>
      <c r="AH9" s="103"/>
      <c r="AI9" s="103"/>
      <c r="AJ9" s="103"/>
      <c r="AK9" s="103"/>
      <c r="AL9" s="103"/>
      <c r="AM9" s="103"/>
      <c r="AN9" s="103"/>
      <c r="AO9" s="103"/>
      <c r="AP9" s="103"/>
      <c r="AQ9" s="101"/>
      <c r="AR9" s="85"/>
      <c r="AS9" s="85" t="s">
        <v>113</v>
      </c>
    </row>
    <row r="10" spans="1:45" ht="14.4" x14ac:dyDescent="0.3">
      <c r="A10" s="97"/>
      <c r="B10" s="98">
        <v>46177</v>
      </c>
      <c r="C10" s="99">
        <f>Crushing!N12</f>
        <v>157.9905</v>
      </c>
      <c r="D10" s="99">
        <f t="shared" si="0"/>
        <v>253.74600000000001</v>
      </c>
      <c r="E10" s="99">
        <f t="shared" si="1"/>
        <v>16.74810954063604</v>
      </c>
      <c r="F10" s="103">
        <v>1.45</v>
      </c>
      <c r="G10" s="438">
        <f t="shared" si="5"/>
        <v>229.08622499999998</v>
      </c>
      <c r="H10" s="145">
        <f t="shared" si="6"/>
        <v>0.22908622499999998</v>
      </c>
      <c r="I10" s="99">
        <f>'Crushing Down Time Hours'!L9</f>
        <v>9.4333333333333353</v>
      </c>
      <c r="J10" s="99">
        <v>0</v>
      </c>
      <c r="K10" s="102"/>
      <c r="L10" s="102">
        <f t="shared" si="2"/>
        <v>0</v>
      </c>
      <c r="M10" s="102">
        <v>1</v>
      </c>
      <c r="N10" s="102">
        <f t="shared" ref="N10:N45" si="7">IF(L10=100%,I10/24*100%,L10)</f>
        <v>0</v>
      </c>
      <c r="O10" s="21"/>
      <c r="P10" s="106"/>
      <c r="Q10" s="101"/>
      <c r="R10" s="97"/>
      <c r="S10" s="101"/>
      <c r="T10" s="103">
        <f t="shared" si="3"/>
        <v>0</v>
      </c>
      <c r="U10" s="104" t="e">
        <f>((R10-S10)/R10)</f>
        <v>#DIV/0!</v>
      </c>
      <c r="V10" s="101"/>
      <c r="W10" s="101"/>
      <c r="X10" s="101"/>
      <c r="Y10" s="101"/>
      <c r="Z10" s="103">
        <f>'Reagent Consumption'!O10</f>
        <v>150</v>
      </c>
      <c r="AA10" s="99">
        <f>'Fuel Consumption'!F7</f>
        <v>0</v>
      </c>
      <c r="AB10" s="103">
        <f>'Reagent Consumption'!Q10</f>
        <v>0</v>
      </c>
      <c r="AC10" s="103">
        <f>'Reagent Consumption'!P10</f>
        <v>250</v>
      </c>
      <c r="AD10" s="103">
        <f>'Reagent Consumption'!R10</f>
        <v>0</v>
      </c>
      <c r="AE10" s="103">
        <f>'Reagent Consumption'!S10</f>
        <v>0</v>
      </c>
      <c r="AF10" s="103">
        <f>'Reagent Consumption'!T10</f>
        <v>0</v>
      </c>
      <c r="AG10" s="103">
        <f>'Fuel Consumption'!F7</f>
        <v>0</v>
      </c>
      <c r="AH10" s="103"/>
      <c r="AI10" s="103"/>
      <c r="AJ10" s="103"/>
      <c r="AK10" s="103"/>
      <c r="AL10" s="103"/>
      <c r="AM10" s="103"/>
      <c r="AN10" s="103"/>
      <c r="AO10" s="103"/>
      <c r="AP10" s="103"/>
      <c r="AQ10" s="101"/>
      <c r="AR10" s="85"/>
      <c r="AS10" s="85" t="s">
        <v>114</v>
      </c>
    </row>
    <row r="11" spans="1:45" ht="14.4" x14ac:dyDescent="0.3">
      <c r="A11" s="97"/>
      <c r="B11" s="98">
        <v>46252</v>
      </c>
      <c r="C11" s="99">
        <f>Crushing!N14</f>
        <v>37.919199999999996</v>
      </c>
      <c r="D11" s="99">
        <f t="shared" si="0"/>
        <v>291.66520000000003</v>
      </c>
      <c r="E11" s="99">
        <f t="shared" si="1"/>
        <v>18.648786885245901</v>
      </c>
      <c r="F11" s="103">
        <v>0.77</v>
      </c>
      <c r="G11" s="438">
        <f t="shared" si="5"/>
        <v>29.197783999999999</v>
      </c>
      <c r="H11" s="145">
        <f t="shared" si="6"/>
        <v>2.9197783999999997E-2</v>
      </c>
      <c r="I11" s="99">
        <f>'Crushing Down Time Hours'!L6</f>
        <v>2.0333333333333332</v>
      </c>
      <c r="J11" s="99">
        <v>0</v>
      </c>
      <c r="K11" s="102">
        <f>'Crushing Down Time Hours'!M6</f>
        <v>0.16944444444444443</v>
      </c>
      <c r="L11" s="102">
        <f t="shared" si="2"/>
        <v>0</v>
      </c>
      <c r="M11" s="102">
        <v>1</v>
      </c>
      <c r="N11" s="102">
        <f t="shared" si="7"/>
        <v>0</v>
      </c>
      <c r="O11" s="101"/>
      <c r="P11" s="101"/>
      <c r="Q11" s="107"/>
      <c r="R11" s="21"/>
      <c r="S11" s="101"/>
      <c r="T11" s="103">
        <f t="shared" si="3"/>
        <v>0</v>
      </c>
      <c r="U11" s="104" t="e">
        <f>((Q12-S11)/Q12)</f>
        <v>#DIV/0!</v>
      </c>
      <c r="V11" s="101"/>
      <c r="W11" s="101"/>
      <c r="X11" s="101"/>
      <c r="Y11" s="101"/>
      <c r="Z11" s="103">
        <f>'Reagent Consumption'!O11</f>
        <v>225</v>
      </c>
      <c r="AA11" s="99">
        <f>'Fuel Consumption'!F8</f>
        <v>0</v>
      </c>
      <c r="AB11" s="103">
        <f>'Reagent Consumption'!Q11</f>
        <v>1000</v>
      </c>
      <c r="AC11" s="103">
        <f>'Reagent Consumption'!P11</f>
        <v>1250</v>
      </c>
      <c r="AD11" s="103">
        <f>'Reagent Consumption'!R11</f>
        <v>0</v>
      </c>
      <c r="AE11" s="103">
        <f>'Reagent Consumption'!S11</f>
        <v>0</v>
      </c>
      <c r="AF11" s="103">
        <f>'Reagent Consumption'!T11</f>
        <v>25</v>
      </c>
      <c r="AG11" s="103">
        <f>'Fuel Consumption'!F8</f>
        <v>0</v>
      </c>
      <c r="AH11" s="103"/>
      <c r="AI11" s="103"/>
      <c r="AJ11" s="103"/>
      <c r="AK11" s="103"/>
      <c r="AL11" s="103"/>
      <c r="AM11" s="103"/>
      <c r="AN11" s="103"/>
      <c r="AO11" s="103"/>
      <c r="AP11" s="103"/>
      <c r="AQ11" s="101"/>
      <c r="AR11" s="85"/>
      <c r="AS11" s="85" t="s">
        <v>115</v>
      </c>
    </row>
    <row r="12" spans="1:45" ht="14.4" x14ac:dyDescent="0.3">
      <c r="A12" s="97"/>
      <c r="B12" s="98">
        <v>46253</v>
      </c>
      <c r="C12" s="99">
        <f>Crushing!N16</f>
        <v>283.17079999999999</v>
      </c>
      <c r="D12" s="99">
        <f t="shared" si="0"/>
        <v>574.83600000000001</v>
      </c>
      <c r="E12" s="99">
        <f>C12/I12</f>
        <v>25.665027190332324</v>
      </c>
      <c r="F12" s="148">
        <v>1.0209999999999999</v>
      </c>
      <c r="G12" s="438">
        <f>F12*C12</f>
        <v>289.11738679999996</v>
      </c>
      <c r="H12" s="145">
        <f t="shared" si="6"/>
        <v>0.28911738679999999</v>
      </c>
      <c r="I12" s="99">
        <f>'Crushing Down Time Hours'!L7</f>
        <v>11.033333333333333</v>
      </c>
      <c r="J12" s="99">
        <v>0</v>
      </c>
      <c r="K12" s="102">
        <f>'Crushing Down Time Hours'!M7</f>
        <v>0.9194444444444444</v>
      </c>
      <c r="L12" s="102">
        <f t="shared" si="2"/>
        <v>0</v>
      </c>
      <c r="M12" s="102">
        <v>1</v>
      </c>
      <c r="N12" s="102">
        <f t="shared" si="7"/>
        <v>0</v>
      </c>
      <c r="O12" s="101"/>
      <c r="P12" s="101"/>
      <c r="Q12" s="107"/>
      <c r="R12" s="21"/>
      <c r="S12" s="101"/>
      <c r="T12" s="103">
        <f t="shared" si="3"/>
        <v>0</v>
      </c>
      <c r="U12" s="104" t="e">
        <f>((Q13-S12)/Q13)</f>
        <v>#DIV/0!</v>
      </c>
      <c r="V12" s="101"/>
      <c r="W12" s="101"/>
      <c r="X12" s="101"/>
      <c r="Y12" s="101"/>
      <c r="Z12" s="103">
        <f>'Reagent Consumption'!O13</f>
        <v>275</v>
      </c>
      <c r="AA12" s="99">
        <f>'Fuel Consumption'!F9</f>
        <v>0</v>
      </c>
      <c r="AB12" s="103">
        <f>'Reagent Consumption'!Q13</f>
        <v>1000</v>
      </c>
      <c r="AC12" s="103">
        <f>'Reagent Consumption'!P13</f>
        <v>0</v>
      </c>
      <c r="AD12" s="103">
        <f>'Reagent Consumption'!R13</f>
        <v>0</v>
      </c>
      <c r="AE12" s="103">
        <f>'Reagent Consumption'!S13</f>
        <v>0</v>
      </c>
      <c r="AF12" s="103">
        <f>'Reagent Consumption'!T13</f>
        <v>25</v>
      </c>
      <c r="AG12" s="103">
        <f>'Fuel Consumption'!F9</f>
        <v>0</v>
      </c>
      <c r="AH12" s="103"/>
      <c r="AI12" s="103"/>
      <c r="AJ12" s="103"/>
      <c r="AK12" s="103"/>
      <c r="AL12" s="103"/>
      <c r="AM12" s="103"/>
      <c r="AN12" s="103"/>
      <c r="AO12" s="103"/>
      <c r="AP12" s="103"/>
      <c r="AQ12" s="101"/>
      <c r="AR12" s="85"/>
      <c r="AS12" s="85" t="s">
        <v>116</v>
      </c>
    </row>
    <row r="13" spans="1:45" ht="14.4" x14ac:dyDescent="0.3">
      <c r="A13" s="97"/>
      <c r="B13" s="98">
        <v>46254</v>
      </c>
      <c r="C13" s="99">
        <f>Crushing!N18</f>
        <v>337.14449999999999</v>
      </c>
      <c r="D13" s="99">
        <f t="shared" si="0"/>
        <v>911.98050000000001</v>
      </c>
      <c r="E13" s="100">
        <f t="shared" ref="E13:E36" si="8">C13/I13</f>
        <v>33.658352745424288</v>
      </c>
      <c r="F13" s="103">
        <v>0.60399999999999998</v>
      </c>
      <c r="G13" s="99">
        <f>F13*C13</f>
        <v>203.635278</v>
      </c>
      <c r="H13" s="144">
        <f t="shared" si="6"/>
        <v>0.203635278</v>
      </c>
      <c r="I13" s="99">
        <f>'Crushing Down Time Hours'!L12</f>
        <v>10.016666666666667</v>
      </c>
      <c r="J13" s="99">
        <v>0</v>
      </c>
      <c r="K13" s="102">
        <f>'Crushing Down Time Hours'!M8</f>
        <v>0.9194444444444444</v>
      </c>
      <c r="L13" s="102">
        <f t="shared" si="2"/>
        <v>0</v>
      </c>
      <c r="M13" s="102">
        <v>1</v>
      </c>
      <c r="N13" s="102">
        <f t="shared" si="7"/>
        <v>0</v>
      </c>
      <c r="O13" s="101"/>
      <c r="P13" s="101"/>
      <c r="Q13" s="107"/>
      <c r="R13" s="21"/>
      <c r="S13" s="101"/>
      <c r="T13" s="103">
        <f t="shared" si="3"/>
        <v>0</v>
      </c>
      <c r="U13" s="104" t="e">
        <f>((Q14-S13)/Q14)</f>
        <v>#DIV/0!</v>
      </c>
      <c r="V13" s="101" t="s">
        <v>117</v>
      </c>
      <c r="W13" s="101"/>
      <c r="X13" s="101"/>
      <c r="Y13" s="101"/>
      <c r="Z13" s="103">
        <f>'Reagent Consumption'!O15</f>
        <v>100</v>
      </c>
      <c r="AA13" s="99">
        <f>'Fuel Consumption'!F10</f>
        <v>0</v>
      </c>
      <c r="AB13" s="103">
        <f>'Reagent Consumption'!Q15</f>
        <v>0</v>
      </c>
      <c r="AC13" s="103">
        <f>'Reagent Consumption'!P15</f>
        <v>0</v>
      </c>
      <c r="AD13" s="103">
        <f>'Reagent Consumption'!R15</f>
        <v>0</v>
      </c>
      <c r="AE13" s="103">
        <f>'Reagent Consumption'!S15</f>
        <v>0</v>
      </c>
      <c r="AF13" s="103">
        <f>'Reagent Consumption'!T15</f>
        <v>0</v>
      </c>
      <c r="AG13" s="103">
        <f>'Fuel Consumption'!F10</f>
        <v>0</v>
      </c>
      <c r="AH13" s="103"/>
      <c r="AI13" s="103"/>
      <c r="AJ13" s="103"/>
      <c r="AK13" s="103"/>
      <c r="AL13" s="103"/>
      <c r="AM13" s="103"/>
      <c r="AN13" s="103"/>
      <c r="AO13" s="103"/>
      <c r="AP13" s="103"/>
      <c r="AQ13" s="101"/>
      <c r="AR13" s="85"/>
      <c r="AS13" s="85" t="s">
        <v>118</v>
      </c>
    </row>
    <row r="14" spans="1:45" ht="14.4" x14ac:dyDescent="0.3">
      <c r="A14" s="97"/>
      <c r="B14" s="98">
        <v>46255</v>
      </c>
      <c r="C14" s="99">
        <f>Crushing!N20</f>
        <v>287.10449999999997</v>
      </c>
      <c r="D14" s="99">
        <f>D13+C14</f>
        <v>1199.085</v>
      </c>
      <c r="E14" s="100">
        <f t="shared" si="8"/>
        <v>30.43510600706713</v>
      </c>
      <c r="F14" s="103">
        <v>0.442</v>
      </c>
      <c r="G14" s="99">
        <f>F14*C14</f>
        <v>126.90018899999998</v>
      </c>
      <c r="H14" s="144">
        <f t="shared" si="6"/>
        <v>0.126900189</v>
      </c>
      <c r="I14" s="99">
        <f>'Crushing Down Time Hours'!L9</f>
        <v>9.4333333333333353</v>
      </c>
      <c r="J14" s="99">
        <v>0</v>
      </c>
      <c r="K14" s="102">
        <f>'Crushing Down Time Hours'!M9</f>
        <v>0.78611111111111132</v>
      </c>
      <c r="L14" s="102">
        <f t="shared" si="2"/>
        <v>0</v>
      </c>
      <c r="M14" s="102">
        <v>1</v>
      </c>
      <c r="N14" s="102">
        <f t="shared" si="7"/>
        <v>0</v>
      </c>
      <c r="O14" s="101"/>
      <c r="P14" s="101"/>
      <c r="Q14" s="107"/>
      <c r="R14" s="106"/>
      <c r="S14" s="101"/>
      <c r="T14" s="103">
        <f t="shared" si="3"/>
        <v>0</v>
      </c>
      <c r="U14" s="104" t="e">
        <f t="shared" si="4"/>
        <v>#DIV/0!</v>
      </c>
      <c r="V14" s="101"/>
      <c r="W14" s="101"/>
      <c r="X14" s="101"/>
      <c r="Y14" s="101"/>
      <c r="Z14" s="103">
        <f>'Reagent Consumption'!O16</f>
        <v>0</v>
      </c>
      <c r="AA14" s="99">
        <f>'Fuel Consumption'!F11</f>
        <v>0</v>
      </c>
      <c r="AB14" s="103">
        <f>'Reagent Consumption'!Q16</f>
        <v>0</v>
      </c>
      <c r="AC14" s="103">
        <f>'Reagent Consumption'!P16</f>
        <v>0</v>
      </c>
      <c r="AD14" s="103">
        <f>'Reagent Consumption'!R16</f>
        <v>0</v>
      </c>
      <c r="AE14" s="103">
        <f>'Reagent Consumption'!S16</f>
        <v>0</v>
      </c>
      <c r="AF14" s="103">
        <f>'Reagent Consumption'!T16</f>
        <v>0</v>
      </c>
      <c r="AG14" s="103">
        <f>'Fuel Consumption'!F11</f>
        <v>0</v>
      </c>
      <c r="AH14" s="103"/>
      <c r="AI14" s="103"/>
      <c r="AJ14" s="103"/>
      <c r="AK14" s="103"/>
      <c r="AL14" s="103"/>
      <c r="AM14" s="103"/>
      <c r="AN14" s="103"/>
      <c r="AO14" s="103"/>
      <c r="AP14" s="103"/>
      <c r="AQ14" s="101"/>
      <c r="AR14" s="85"/>
      <c r="AS14" s="85" t="s">
        <v>119</v>
      </c>
    </row>
    <row r="15" spans="1:45" ht="14.4" x14ac:dyDescent="0.3">
      <c r="A15" s="97"/>
      <c r="B15" s="98">
        <v>46256</v>
      </c>
      <c r="C15" s="99">
        <f>Crushing!N22</f>
        <v>197.0325</v>
      </c>
      <c r="D15" s="99">
        <f t="shared" ref="D15:D36" si="9">D14+C15</f>
        <v>1396.1175000000001</v>
      </c>
      <c r="E15" s="100">
        <f t="shared" si="8"/>
        <v>21.852033271719037</v>
      </c>
      <c r="F15" s="144">
        <f>AVERAGE('Rom File Inventory'!T93:T101)</f>
        <v>0.62933333333333319</v>
      </c>
      <c r="G15" s="99">
        <f t="shared" si="5"/>
        <v>123.99911999999998</v>
      </c>
      <c r="H15" s="144">
        <f t="shared" si="6"/>
        <v>0.12399911999999998</v>
      </c>
      <c r="I15" s="99">
        <f>'Crushing Down Time Hours'!L10</f>
        <v>9.0166666666666675</v>
      </c>
      <c r="J15" s="99">
        <v>0</v>
      </c>
      <c r="K15" s="102">
        <f>'Crushing Down Time Hours'!M10</f>
        <v>0.75138888888888899</v>
      </c>
      <c r="L15" s="102">
        <f t="shared" si="2"/>
        <v>0</v>
      </c>
      <c r="M15" s="102">
        <v>1</v>
      </c>
      <c r="N15" s="118">
        <f t="shared" si="7"/>
        <v>0</v>
      </c>
      <c r="O15" s="97"/>
      <c r="P15" s="97"/>
      <c r="Q15" s="101"/>
      <c r="R15" s="101"/>
      <c r="S15" s="101"/>
      <c r="T15" s="103">
        <f t="shared" si="3"/>
        <v>0</v>
      </c>
      <c r="U15" s="104" t="e">
        <f t="shared" si="4"/>
        <v>#DIV/0!</v>
      </c>
      <c r="V15" s="101"/>
      <c r="W15" s="101"/>
      <c r="X15" s="101"/>
      <c r="Y15" s="101"/>
      <c r="Z15" s="103">
        <f>'Reagent Consumption'!O17</f>
        <v>50</v>
      </c>
      <c r="AA15" s="99">
        <f>'Fuel Consumption'!F12</f>
        <v>0</v>
      </c>
      <c r="AB15" s="103">
        <f>'Reagent Consumption'!Q17</f>
        <v>0</v>
      </c>
      <c r="AC15" s="103">
        <f>'Reagent Consumption'!P17</f>
        <v>0</v>
      </c>
      <c r="AD15" s="103">
        <f>'Reagent Consumption'!R17</f>
        <v>0</v>
      </c>
      <c r="AE15" s="103">
        <f>'Reagent Consumption'!S17</f>
        <v>0</v>
      </c>
      <c r="AF15" s="103">
        <f>'Reagent Consumption'!T17</f>
        <v>0</v>
      </c>
      <c r="AG15" s="103">
        <f>'Fuel Consumption'!F12</f>
        <v>0</v>
      </c>
      <c r="AH15" s="103"/>
      <c r="AI15" s="103"/>
      <c r="AJ15" s="103"/>
      <c r="AK15" s="103"/>
      <c r="AL15" s="103"/>
      <c r="AM15" s="103"/>
      <c r="AN15" s="103"/>
      <c r="AO15" s="103"/>
      <c r="AP15" s="103"/>
      <c r="AQ15" s="101"/>
      <c r="AR15" s="85"/>
      <c r="AS15" s="85" t="s">
        <v>120</v>
      </c>
    </row>
    <row r="16" spans="1:45" ht="14.4" x14ac:dyDescent="0.3">
      <c r="A16" s="97"/>
      <c r="B16" s="98">
        <v>46257</v>
      </c>
      <c r="C16" s="99">
        <f>Crushing!N24</f>
        <v>0</v>
      </c>
      <c r="D16" s="99">
        <f t="shared" si="9"/>
        <v>1396.1175000000001</v>
      </c>
      <c r="E16" s="100">
        <f>C16/I16</f>
        <v>0</v>
      </c>
      <c r="F16" s="144"/>
      <c r="G16" s="99">
        <f t="shared" si="5"/>
        <v>0</v>
      </c>
      <c r="H16" s="144">
        <f t="shared" si="6"/>
        <v>0</v>
      </c>
      <c r="I16" s="99">
        <f>'Crushing Down Time Hours'!L11</f>
        <v>3.3333333333333333E-2</v>
      </c>
      <c r="J16" s="99">
        <v>0</v>
      </c>
      <c r="K16" s="102">
        <f>'Crushing Down Time Hours'!M11</f>
        <v>2.7777777777777779E-3</v>
      </c>
      <c r="L16" s="102">
        <f t="shared" si="2"/>
        <v>0</v>
      </c>
      <c r="M16" s="105">
        <v>1</v>
      </c>
      <c r="N16" s="119">
        <f t="shared" si="7"/>
        <v>0</v>
      </c>
      <c r="O16" s="106"/>
      <c r="P16" s="106"/>
      <c r="Q16" s="101"/>
      <c r="R16" s="101"/>
      <c r="S16" s="101"/>
      <c r="T16" s="103">
        <f t="shared" si="3"/>
        <v>0</v>
      </c>
      <c r="U16" s="104" t="e">
        <f t="shared" si="4"/>
        <v>#DIV/0!</v>
      </c>
      <c r="V16" s="101"/>
      <c r="W16" s="101"/>
      <c r="X16" s="101"/>
      <c r="Y16" s="101"/>
      <c r="Z16" s="103">
        <f>'Reagent Consumption'!O18</f>
        <v>175</v>
      </c>
      <c r="AA16" s="99">
        <f>'Fuel Consumption'!F13</f>
        <v>0</v>
      </c>
      <c r="AB16" s="103">
        <f>'Reagent Consumption'!Q18</f>
        <v>0</v>
      </c>
      <c r="AC16" s="103">
        <f>'Reagent Consumption'!P18</f>
        <v>500</v>
      </c>
      <c r="AD16" s="103">
        <f>'Reagent Consumption'!R18</f>
        <v>0</v>
      </c>
      <c r="AE16" s="103">
        <f>'Reagent Consumption'!S18</f>
        <v>0</v>
      </c>
      <c r="AF16" s="103">
        <f>'Reagent Consumption'!T18</f>
        <v>0</v>
      </c>
      <c r="AG16" s="103">
        <f>'Fuel Consumption'!F13</f>
        <v>0</v>
      </c>
      <c r="AH16" s="103"/>
      <c r="AI16" s="103"/>
      <c r="AJ16" s="103"/>
      <c r="AK16" s="103"/>
      <c r="AL16" s="103"/>
      <c r="AM16" s="103"/>
      <c r="AN16" s="103"/>
      <c r="AO16" s="103"/>
      <c r="AP16" s="103"/>
      <c r="AQ16" s="101"/>
      <c r="AR16" s="85"/>
      <c r="AS16" s="85" t="s">
        <v>121</v>
      </c>
    </row>
    <row r="17" spans="1:45" ht="14.4" x14ac:dyDescent="0.3">
      <c r="A17" s="97"/>
      <c r="B17" s="98">
        <v>46258</v>
      </c>
      <c r="C17" s="99">
        <f>Crushing!N26</f>
        <v>162.00449999999998</v>
      </c>
      <c r="D17" s="99">
        <f>D16+C17</f>
        <v>1558.1220000000001</v>
      </c>
      <c r="E17" s="100">
        <f>C17/I17</f>
        <v>16.17349417637271</v>
      </c>
      <c r="F17" s="159">
        <f>AVERAGE('Rom File Inventory'!T102:T110)</f>
        <v>1.0302222222222222</v>
      </c>
      <c r="G17" s="99">
        <f>F17*C17</f>
        <v>166.90063599999996</v>
      </c>
      <c r="H17" s="144">
        <f t="shared" si="6"/>
        <v>0.16690063599999996</v>
      </c>
      <c r="I17" s="99">
        <f>'Crushing Down Time Hours'!L12</f>
        <v>10.016666666666667</v>
      </c>
      <c r="J17" s="99">
        <v>0</v>
      </c>
      <c r="K17" s="102">
        <f>'Crushing Down Time Hours'!M12</f>
        <v>0.83472222222222225</v>
      </c>
      <c r="L17" s="102">
        <f t="shared" si="2"/>
        <v>0</v>
      </c>
      <c r="M17" s="105">
        <v>1</v>
      </c>
      <c r="N17" s="119">
        <f t="shared" si="7"/>
        <v>0</v>
      </c>
      <c r="O17" s="106"/>
      <c r="P17" s="106"/>
      <c r="Q17" s="101"/>
      <c r="R17" s="101"/>
      <c r="S17" s="101"/>
      <c r="T17" s="103">
        <f t="shared" si="3"/>
        <v>0</v>
      </c>
      <c r="U17" s="104" t="e">
        <f t="shared" si="4"/>
        <v>#DIV/0!</v>
      </c>
      <c r="V17" s="101"/>
      <c r="W17" s="101"/>
      <c r="X17" s="101"/>
      <c r="Y17" s="101"/>
      <c r="Z17" s="103">
        <f>'Reagent Consumption'!O19</f>
        <v>150</v>
      </c>
      <c r="AA17" s="99">
        <f>'Fuel Consumption'!F14</f>
        <v>0</v>
      </c>
      <c r="AB17" s="103">
        <f>'Reagent Consumption'!Q19</f>
        <v>0</v>
      </c>
      <c r="AC17" s="103">
        <f>'Reagent Consumption'!P19</f>
        <v>250</v>
      </c>
      <c r="AD17" s="103">
        <f>'Reagent Consumption'!R19</f>
        <v>0</v>
      </c>
      <c r="AE17" s="103">
        <f>'Reagent Consumption'!S19</f>
        <v>0</v>
      </c>
      <c r="AF17" s="103">
        <f>'Reagent Consumption'!T19</f>
        <v>0</v>
      </c>
      <c r="AG17" s="103">
        <f>'Fuel Consumption'!F14</f>
        <v>0</v>
      </c>
      <c r="AH17" s="103"/>
      <c r="AI17" s="103"/>
      <c r="AJ17" s="103"/>
      <c r="AK17" s="103"/>
      <c r="AL17" s="103"/>
      <c r="AM17" s="103"/>
      <c r="AN17" s="103"/>
      <c r="AO17" s="103"/>
      <c r="AP17" s="103"/>
      <c r="AQ17" s="101"/>
      <c r="AR17" s="85"/>
      <c r="AS17" s="85"/>
    </row>
    <row r="18" spans="1:45" ht="14.4" x14ac:dyDescent="0.3">
      <c r="A18" s="97"/>
      <c r="B18" s="98">
        <v>46259</v>
      </c>
      <c r="C18" s="99">
        <f>Crushing!N28</f>
        <v>0</v>
      </c>
      <c r="D18" s="99">
        <f>D17+C18</f>
        <v>1558.1220000000001</v>
      </c>
      <c r="E18" s="100">
        <f t="shared" si="8"/>
        <v>0</v>
      </c>
      <c r="F18" s="144"/>
      <c r="G18" s="99">
        <f t="shared" ref="G18:G49" si="10">F18*C18</f>
        <v>0</v>
      </c>
      <c r="H18" s="144">
        <f t="shared" ref="H18:H49" si="11">G18/1000</f>
        <v>0</v>
      </c>
      <c r="I18" s="99">
        <f>'Crushing Down Time Hours'!L13</f>
        <v>3.3333333333333333E-2</v>
      </c>
      <c r="J18" s="99">
        <v>0</v>
      </c>
      <c r="K18" s="102">
        <f>'Crushing Down Time Hours'!M13</f>
        <v>2.7777777777777779E-3</v>
      </c>
      <c r="L18" s="102">
        <f t="shared" si="2"/>
        <v>0</v>
      </c>
      <c r="M18" s="105">
        <v>1</v>
      </c>
      <c r="N18" s="119">
        <f t="shared" si="7"/>
        <v>0</v>
      </c>
      <c r="O18" s="106"/>
      <c r="P18" s="106"/>
      <c r="Q18" s="101"/>
      <c r="R18" s="101"/>
      <c r="S18" s="101"/>
      <c r="T18" s="103">
        <f t="shared" si="3"/>
        <v>0</v>
      </c>
      <c r="U18" s="104" t="e">
        <f t="shared" si="4"/>
        <v>#DIV/0!</v>
      </c>
      <c r="V18" s="101"/>
      <c r="W18" s="101"/>
      <c r="X18" s="101"/>
      <c r="Y18" s="101"/>
      <c r="Z18" s="103">
        <f>'Reagent Consumption'!O21</f>
        <v>0</v>
      </c>
      <c r="AA18" s="99">
        <f>'Fuel Consumption'!F15</f>
        <v>0</v>
      </c>
      <c r="AB18" s="103">
        <f>'Reagent Consumption'!Q21</f>
        <v>0</v>
      </c>
      <c r="AC18" s="103">
        <f>'Reagent Consumption'!P21</f>
        <v>0</v>
      </c>
      <c r="AD18" s="103">
        <f>'Reagent Consumption'!R21</f>
        <v>0</v>
      </c>
      <c r="AE18" s="103">
        <f>'Reagent Consumption'!S21</f>
        <v>0</v>
      </c>
      <c r="AF18" s="103">
        <f>'Reagent Consumption'!T21</f>
        <v>0</v>
      </c>
      <c r="AG18" s="103">
        <f>'Fuel Consumption'!F15</f>
        <v>0</v>
      </c>
      <c r="AH18" s="103"/>
      <c r="AI18" s="103"/>
      <c r="AJ18" s="103"/>
      <c r="AK18" s="103"/>
      <c r="AL18" s="103"/>
      <c r="AM18" s="103"/>
      <c r="AN18" s="103"/>
      <c r="AO18" s="103"/>
      <c r="AP18" s="103"/>
      <c r="AQ18" s="101"/>
      <c r="AR18" s="85"/>
      <c r="AS18" s="85"/>
    </row>
    <row r="19" spans="1:45" ht="14.4" x14ac:dyDescent="0.3">
      <c r="A19" s="97"/>
      <c r="B19" s="98">
        <v>46260</v>
      </c>
      <c r="C19" s="99">
        <v>0</v>
      </c>
      <c r="D19" s="99">
        <f t="shared" si="9"/>
        <v>1558.1220000000001</v>
      </c>
      <c r="E19" s="100">
        <f t="shared" si="8"/>
        <v>0</v>
      </c>
      <c r="F19" s="101"/>
      <c r="G19" s="99">
        <f t="shared" si="10"/>
        <v>0</v>
      </c>
      <c r="H19" s="144">
        <f t="shared" si="11"/>
        <v>0</v>
      </c>
      <c r="I19" s="99">
        <f>'Crushing Down Time Hours'!L14</f>
        <v>3.3333333333333333E-2</v>
      </c>
      <c r="J19" s="99">
        <v>0</v>
      </c>
      <c r="K19" s="102">
        <f>'Crushing Down Time Hours'!M14</f>
        <v>2.7777777777777779E-3</v>
      </c>
      <c r="L19" s="102">
        <f t="shared" si="2"/>
        <v>0</v>
      </c>
      <c r="M19" s="105">
        <f>'Milling Down Time Hours'!N5</f>
        <v>0.93472222222222223</v>
      </c>
      <c r="N19" s="119">
        <f t="shared" si="7"/>
        <v>0</v>
      </c>
      <c r="O19" s="106"/>
      <c r="P19" s="106"/>
      <c r="Q19" s="101"/>
      <c r="R19" s="101"/>
      <c r="S19" s="101"/>
      <c r="T19" s="103">
        <f t="shared" si="3"/>
        <v>0</v>
      </c>
      <c r="U19" s="104" t="e">
        <f t="shared" si="4"/>
        <v>#DIV/0!</v>
      </c>
      <c r="V19" s="101"/>
      <c r="W19" s="101"/>
      <c r="X19" s="101"/>
      <c r="Y19" s="101"/>
      <c r="Z19" s="103">
        <f>'Reagent Consumption'!O22</f>
        <v>0</v>
      </c>
      <c r="AA19" s="99">
        <f>'Fuel Consumption'!F16</f>
        <v>0</v>
      </c>
      <c r="AB19" s="103">
        <f>'Reagent Consumption'!Q22</f>
        <v>0</v>
      </c>
      <c r="AC19" s="103">
        <f>'Reagent Consumption'!P22</f>
        <v>0</v>
      </c>
      <c r="AD19" s="103">
        <f>'Reagent Consumption'!R22</f>
        <v>0</v>
      </c>
      <c r="AE19" s="103">
        <f>'Reagent Consumption'!S22</f>
        <v>0</v>
      </c>
      <c r="AF19" s="103">
        <f>'Reagent Consumption'!T22</f>
        <v>0</v>
      </c>
      <c r="AG19" s="103">
        <f>'Fuel Consumption'!F16</f>
        <v>0</v>
      </c>
      <c r="AH19" s="103"/>
      <c r="AI19" s="103"/>
      <c r="AJ19" s="103"/>
      <c r="AK19" s="103"/>
      <c r="AL19" s="103"/>
      <c r="AM19" s="103"/>
      <c r="AN19" s="103"/>
      <c r="AO19" s="103"/>
      <c r="AP19" s="103"/>
      <c r="AQ19" s="101"/>
      <c r="AR19" s="85"/>
      <c r="AS19" s="85"/>
    </row>
    <row r="20" spans="1:45" ht="14.4" x14ac:dyDescent="0.3">
      <c r="A20" s="97"/>
      <c r="B20" s="98">
        <v>46261</v>
      </c>
      <c r="C20" s="829">
        <f>Crushing!N32</f>
        <v>124.94709999999999</v>
      </c>
      <c r="D20" s="829">
        <f t="shared" si="9"/>
        <v>1683.0691000000002</v>
      </c>
      <c r="E20" s="830">
        <f t="shared" si="8"/>
        <v>23.724132911392402</v>
      </c>
      <c r="F20" s="831">
        <f>AVERAGE('Rom File Inventory'!T111:T117)</f>
        <v>0.751142857142857</v>
      </c>
      <c r="G20" s="99">
        <f t="shared" si="10"/>
        <v>93.853121685714257</v>
      </c>
      <c r="H20" s="144">
        <f t="shared" si="11"/>
        <v>9.3853121685714261E-2</v>
      </c>
      <c r="I20" s="99">
        <f>'Crushing Down Time Hours'!L15</f>
        <v>5.2666666666666666</v>
      </c>
      <c r="J20" s="99">
        <v>0</v>
      </c>
      <c r="K20" s="102">
        <f>'Crushing Down Time Hours'!M15</f>
        <v>0.43888888888888888</v>
      </c>
      <c r="L20" s="102">
        <f t="shared" si="2"/>
        <v>0</v>
      </c>
      <c r="M20" s="105">
        <f>'Milling Down Time Hours'!N6</f>
        <v>0.95416666666666661</v>
      </c>
      <c r="N20" s="119">
        <f t="shared" si="7"/>
        <v>0</v>
      </c>
      <c r="O20" s="106"/>
      <c r="P20" s="21"/>
      <c r="Q20" s="101"/>
      <c r="R20" s="101"/>
      <c r="S20" s="101"/>
      <c r="T20" s="103">
        <f t="shared" si="3"/>
        <v>0</v>
      </c>
      <c r="U20" s="104" t="e">
        <f t="shared" si="4"/>
        <v>#DIV/0!</v>
      </c>
      <c r="V20" s="101"/>
      <c r="W20" s="101"/>
      <c r="X20" s="101"/>
      <c r="Y20" s="101"/>
      <c r="Z20" s="103">
        <f>'Reagent Consumption'!O23</f>
        <v>0</v>
      </c>
      <c r="AA20" s="99">
        <f>'Fuel Consumption'!F17</f>
        <v>0</v>
      </c>
      <c r="AB20" s="103">
        <f>'Reagent Consumption'!Q23</f>
        <v>0</v>
      </c>
      <c r="AC20" s="103">
        <f>'Reagent Consumption'!P23</f>
        <v>0</v>
      </c>
      <c r="AD20" s="103">
        <f>'Reagent Consumption'!R23</f>
        <v>0</v>
      </c>
      <c r="AE20" s="103">
        <f>'Reagent Consumption'!S23</f>
        <v>0</v>
      </c>
      <c r="AF20" s="103">
        <f>'Reagent Consumption'!T23</f>
        <v>0</v>
      </c>
      <c r="AG20" s="103">
        <f>'Fuel Consumption'!F17</f>
        <v>0</v>
      </c>
      <c r="AH20" s="103"/>
      <c r="AI20" s="103"/>
      <c r="AJ20" s="103"/>
      <c r="AK20" s="103"/>
      <c r="AL20" s="103"/>
      <c r="AM20" s="103"/>
      <c r="AN20" s="103"/>
      <c r="AO20" s="103"/>
      <c r="AP20" s="103"/>
      <c r="AQ20" s="101"/>
      <c r="AR20" s="85"/>
      <c r="AS20" s="85"/>
    </row>
    <row r="21" spans="1:45" ht="14.4" x14ac:dyDescent="0.3">
      <c r="A21" s="97"/>
      <c r="B21" s="98">
        <v>46262</v>
      </c>
      <c r="C21" s="829">
        <f>Crushing!N34</f>
        <v>167.76500000000001</v>
      </c>
      <c r="D21" s="829">
        <f t="shared" si="9"/>
        <v>1850.8341000000003</v>
      </c>
      <c r="E21" s="830">
        <f>C21/I21</f>
        <v>20.927027027027027</v>
      </c>
      <c r="F21" s="831">
        <f>AVERAGE('Rom File Inventory'!T118:T126)</f>
        <v>0.6641111111111111</v>
      </c>
      <c r="G21" s="99">
        <f t="shared" si="10"/>
        <v>111.41460055555557</v>
      </c>
      <c r="H21" s="144">
        <f t="shared" si="11"/>
        <v>0.11141460055555556</v>
      </c>
      <c r="I21" s="99">
        <f>'Crushing Down Time Hours'!L16</f>
        <v>8.0166666666666675</v>
      </c>
      <c r="J21" s="99">
        <v>0</v>
      </c>
      <c r="K21" s="102">
        <f>'Crushing Down Time Hours'!M16</f>
        <v>0.66805555555555562</v>
      </c>
      <c r="L21" s="102">
        <f t="shared" si="2"/>
        <v>0</v>
      </c>
      <c r="M21" s="105">
        <f>'Milling Down Time Hours'!N7</f>
        <v>0.91666666666666663</v>
      </c>
      <c r="N21" s="119">
        <f t="shared" si="7"/>
        <v>0</v>
      </c>
      <c r="O21" s="106"/>
      <c r="P21" s="106"/>
      <c r="Q21" s="101"/>
      <c r="R21" s="101"/>
      <c r="S21" s="101"/>
      <c r="T21" s="103">
        <f t="shared" si="3"/>
        <v>0</v>
      </c>
      <c r="U21" s="104" t="e">
        <f t="shared" si="4"/>
        <v>#DIV/0!</v>
      </c>
      <c r="V21" s="101"/>
      <c r="W21" s="101"/>
      <c r="X21" s="101"/>
      <c r="Y21" s="101"/>
      <c r="Z21" s="103">
        <f>'Reagent Consumption'!O24</f>
        <v>0</v>
      </c>
      <c r="AA21" s="99">
        <f>'Fuel Consumption'!F18</f>
        <v>0</v>
      </c>
      <c r="AB21" s="103">
        <f>'Reagent Consumption'!Q24</f>
        <v>0</v>
      </c>
      <c r="AC21" s="103">
        <f>'Reagent Consumption'!P24</f>
        <v>0</v>
      </c>
      <c r="AD21" s="103">
        <f>'Reagent Consumption'!R24</f>
        <v>0</v>
      </c>
      <c r="AE21" s="103">
        <f>'Reagent Consumption'!S24</f>
        <v>0</v>
      </c>
      <c r="AF21" s="103">
        <f>'Reagent Consumption'!T24</f>
        <v>0</v>
      </c>
      <c r="AG21" s="103">
        <f>'Fuel Consumption'!F18</f>
        <v>0</v>
      </c>
      <c r="AH21" s="103"/>
      <c r="AI21" s="103"/>
      <c r="AJ21" s="103"/>
      <c r="AK21" s="103"/>
      <c r="AL21" s="103"/>
      <c r="AM21" s="103"/>
      <c r="AN21" s="103"/>
      <c r="AO21" s="103"/>
      <c r="AP21" s="103"/>
      <c r="AQ21" s="101"/>
      <c r="AR21" s="85"/>
      <c r="AS21" s="85"/>
    </row>
    <row r="22" spans="1:45" ht="14.4" x14ac:dyDescent="0.3">
      <c r="A22" s="97"/>
      <c r="B22" s="98">
        <v>46263</v>
      </c>
      <c r="C22" s="829">
        <f>Crushing!N36</f>
        <v>240.43500000000003</v>
      </c>
      <c r="D22" s="829">
        <f t="shared" si="9"/>
        <v>2091.2691000000004</v>
      </c>
      <c r="E22" s="830">
        <f t="shared" si="8"/>
        <v>24.003494176372712</v>
      </c>
      <c r="F22" s="832">
        <f>AVERAGE('Rom File Inventory'!T127:T137)</f>
        <v>0.872</v>
      </c>
      <c r="G22" s="99">
        <f t="shared" si="10"/>
        <v>209.65932000000004</v>
      </c>
      <c r="H22" s="144">
        <f t="shared" si="11"/>
        <v>0.20965932000000004</v>
      </c>
      <c r="I22" s="99">
        <f>'Crushing Down Time Hours'!L17</f>
        <v>10.016666666666667</v>
      </c>
      <c r="J22" s="99">
        <v>0</v>
      </c>
      <c r="K22" s="102">
        <f>'Crushing Down Time Hours'!M17</f>
        <v>0.83472222222222225</v>
      </c>
      <c r="L22" s="102">
        <f t="shared" si="2"/>
        <v>0</v>
      </c>
      <c r="M22" s="105">
        <f>'Milling Down Time Hours'!N8</f>
        <v>0.45902777777777781</v>
      </c>
      <c r="N22" s="119">
        <f t="shared" si="7"/>
        <v>0</v>
      </c>
      <c r="O22" s="106"/>
      <c r="P22" s="106"/>
      <c r="Q22" s="101"/>
      <c r="R22" s="101"/>
      <c r="S22" s="101"/>
      <c r="T22" s="103">
        <f t="shared" si="3"/>
        <v>0</v>
      </c>
      <c r="U22" s="104" t="e">
        <f t="shared" si="4"/>
        <v>#DIV/0!</v>
      </c>
      <c r="V22" s="101"/>
      <c r="W22" s="101"/>
      <c r="X22" s="101"/>
      <c r="Y22" s="101"/>
      <c r="Z22" s="103">
        <f>'Reagent Consumption'!O25</f>
        <v>0</v>
      </c>
      <c r="AA22" s="99">
        <f>'Fuel Consumption'!F19</f>
        <v>0</v>
      </c>
      <c r="AB22" s="103">
        <f>'Reagent Consumption'!Q25</f>
        <v>0</v>
      </c>
      <c r="AC22" s="103">
        <f>'Reagent Consumption'!P25</f>
        <v>0</v>
      </c>
      <c r="AD22" s="103">
        <f>'Reagent Consumption'!R25</f>
        <v>0</v>
      </c>
      <c r="AE22" s="103">
        <f>'Reagent Consumption'!S25</f>
        <v>0</v>
      </c>
      <c r="AF22" s="103">
        <f>'Reagent Consumption'!T25</f>
        <v>0</v>
      </c>
      <c r="AG22" s="103">
        <f>'Fuel Consumption'!F19</f>
        <v>0</v>
      </c>
      <c r="AH22" s="103"/>
      <c r="AI22" s="103"/>
      <c r="AJ22" s="103"/>
      <c r="AK22" s="103"/>
      <c r="AL22" s="103"/>
      <c r="AM22" s="103"/>
      <c r="AN22" s="103"/>
      <c r="AO22" s="103"/>
      <c r="AP22" s="103"/>
      <c r="AQ22" s="101"/>
      <c r="AR22" s="85"/>
      <c r="AS22" s="85"/>
    </row>
    <row r="23" spans="1:45" ht="14.4" x14ac:dyDescent="0.3">
      <c r="A23" s="97"/>
      <c r="B23" s="98">
        <v>46264</v>
      </c>
      <c r="C23" s="829">
        <f>Crushing!N38</f>
        <v>53.820000000000007</v>
      </c>
      <c r="D23" s="829">
        <f t="shared" si="9"/>
        <v>2145.0891000000006</v>
      </c>
      <c r="E23" s="830">
        <f t="shared" si="8"/>
        <v>26.4688524590164</v>
      </c>
      <c r="F23" s="832">
        <f>AVERAGE('Rom File Inventory'!T138:T141)</f>
        <v>0.98899999999999999</v>
      </c>
      <c r="G23" s="99">
        <f t="shared" si="10"/>
        <v>53.227980000000009</v>
      </c>
      <c r="H23" s="144">
        <f t="shared" si="11"/>
        <v>5.3227980000000008E-2</v>
      </c>
      <c r="I23" s="99">
        <f>'Crushing Down Time Hours'!L18</f>
        <v>2.0333333333333332</v>
      </c>
      <c r="J23" s="99">
        <v>0</v>
      </c>
      <c r="K23" s="102">
        <f>'Crushing Down Time Hours'!M18</f>
        <v>0.16944444444444443</v>
      </c>
      <c r="L23" s="102">
        <f t="shared" si="2"/>
        <v>0</v>
      </c>
      <c r="M23" s="105">
        <f>'Milling Down Time Hours'!N9</f>
        <v>1.3888888888888889E-3</v>
      </c>
      <c r="N23" s="102">
        <f t="shared" si="7"/>
        <v>0</v>
      </c>
      <c r="O23" s="101"/>
      <c r="P23" s="101"/>
      <c r="Q23" s="101"/>
      <c r="R23" s="101"/>
      <c r="S23" s="101"/>
      <c r="T23" s="103">
        <f t="shared" si="3"/>
        <v>0</v>
      </c>
      <c r="U23" s="104" t="e">
        <f t="shared" si="4"/>
        <v>#DIV/0!</v>
      </c>
      <c r="V23" s="101"/>
      <c r="W23" s="101"/>
      <c r="X23" s="101"/>
      <c r="Y23" s="101"/>
      <c r="Z23" s="103">
        <f>'Reagent Consumption'!O26</f>
        <v>0</v>
      </c>
      <c r="AA23" s="99">
        <f>'Fuel Consumption'!F20</f>
        <v>0</v>
      </c>
      <c r="AB23" s="103">
        <f>'Reagent Consumption'!Q26</f>
        <v>0</v>
      </c>
      <c r="AC23" s="103">
        <f>'Reagent Consumption'!P26</f>
        <v>0</v>
      </c>
      <c r="AD23" s="103">
        <f>'Reagent Consumption'!R26</f>
        <v>0</v>
      </c>
      <c r="AE23" s="103">
        <f>'Reagent Consumption'!S26</f>
        <v>0</v>
      </c>
      <c r="AF23" s="103">
        <f>'Reagent Consumption'!T26</f>
        <v>0</v>
      </c>
      <c r="AG23" s="103">
        <f>'Fuel Consumption'!F20</f>
        <v>0</v>
      </c>
      <c r="AH23" s="103"/>
      <c r="AI23" s="103"/>
      <c r="AJ23" s="103"/>
      <c r="AK23" s="103"/>
      <c r="AL23" s="103"/>
      <c r="AM23" s="103"/>
      <c r="AN23" s="103"/>
      <c r="AO23" s="103"/>
      <c r="AP23" s="103"/>
      <c r="AQ23" s="101"/>
      <c r="AR23" s="85"/>
      <c r="AS23" s="85"/>
    </row>
    <row r="24" spans="1:45" ht="14.4" x14ac:dyDescent="0.3">
      <c r="A24" s="97"/>
      <c r="B24" s="98">
        <v>46265</v>
      </c>
      <c r="C24" s="99">
        <v>0</v>
      </c>
      <c r="D24" s="99">
        <f t="shared" si="9"/>
        <v>2145.0891000000006</v>
      </c>
      <c r="E24" s="100" t="e">
        <f t="shared" si="8"/>
        <v>#DIV/0!</v>
      </c>
      <c r="F24" s="101"/>
      <c r="G24" s="99">
        <f t="shared" si="10"/>
        <v>0</v>
      </c>
      <c r="H24" s="144">
        <f t="shared" si="11"/>
        <v>0</v>
      </c>
      <c r="I24" s="99">
        <f>'Crushing Down Time Hours'!L19</f>
        <v>0</v>
      </c>
      <c r="J24" s="99">
        <f>'Milling Down Time Hours'!M5</f>
        <v>22.433333333333334</v>
      </c>
      <c r="K24" s="102">
        <f>'Crushing Down Time Hours'!M24</f>
        <v>0</v>
      </c>
      <c r="L24" s="102">
        <f t="shared" si="2"/>
        <v>0.93472222222222223</v>
      </c>
      <c r="M24" s="105">
        <f>'Milling Down Time Hours'!N10</f>
        <v>0.45902777777777781</v>
      </c>
      <c r="N24" s="102">
        <f t="shared" si="7"/>
        <v>0.93472222222222223</v>
      </c>
      <c r="O24" s="101"/>
      <c r="P24" s="101"/>
      <c r="Q24" s="101"/>
      <c r="R24" s="101"/>
      <c r="S24" s="101"/>
      <c r="T24" s="103">
        <f t="shared" si="3"/>
        <v>0</v>
      </c>
      <c r="U24" s="104" t="e">
        <f t="shared" si="4"/>
        <v>#DIV/0!</v>
      </c>
      <c r="V24" s="101"/>
      <c r="W24" s="101"/>
      <c r="X24" s="101"/>
      <c r="Y24" s="101"/>
      <c r="Z24" s="103">
        <f>'Reagent Consumption'!O27</f>
        <v>0</v>
      </c>
      <c r="AA24" s="99">
        <f>'Fuel Consumption'!F21</f>
        <v>0</v>
      </c>
      <c r="AB24" s="103">
        <f>'Reagent Consumption'!Q27</f>
        <v>0</v>
      </c>
      <c r="AC24" s="103">
        <f>'Reagent Consumption'!P27</f>
        <v>0</v>
      </c>
      <c r="AD24" s="103">
        <f>'Reagent Consumption'!R27</f>
        <v>0</v>
      </c>
      <c r="AE24" s="103">
        <f>'Reagent Consumption'!S27</f>
        <v>0</v>
      </c>
      <c r="AF24" s="103">
        <f>'Reagent Consumption'!T27</f>
        <v>0</v>
      </c>
      <c r="AG24" s="103">
        <f>'Fuel Consumption'!F21</f>
        <v>0</v>
      </c>
      <c r="AH24" s="103"/>
      <c r="AI24" s="103"/>
      <c r="AJ24" s="103"/>
      <c r="AK24" s="103"/>
      <c r="AL24" s="103"/>
      <c r="AM24" s="103"/>
      <c r="AN24" s="103"/>
      <c r="AO24" s="103"/>
      <c r="AP24" s="103"/>
      <c r="AQ24" s="101"/>
      <c r="AR24" s="85"/>
      <c r="AS24" s="85"/>
    </row>
    <row r="25" spans="1:45" ht="14.4" x14ac:dyDescent="0.3">
      <c r="A25" s="97"/>
      <c r="B25" s="98">
        <v>46266</v>
      </c>
      <c r="C25" s="99">
        <v>0</v>
      </c>
      <c r="D25" s="99">
        <f t="shared" si="9"/>
        <v>2145.0891000000006</v>
      </c>
      <c r="E25" s="100" t="e">
        <f t="shared" si="8"/>
        <v>#DIV/0!</v>
      </c>
      <c r="F25" s="101"/>
      <c r="G25" s="99">
        <f t="shared" si="10"/>
        <v>0</v>
      </c>
      <c r="H25" s="144">
        <f t="shared" si="11"/>
        <v>0</v>
      </c>
      <c r="I25" s="99">
        <f>'Crushing Down Time Hours'!L20</f>
        <v>0</v>
      </c>
      <c r="J25" s="99">
        <f>'Milling Down Time Hours'!M6</f>
        <v>22.9</v>
      </c>
      <c r="K25" s="102">
        <f>'Crushing Down Time Hours'!M25</f>
        <v>0</v>
      </c>
      <c r="L25" s="102">
        <f t="shared" si="2"/>
        <v>0.95416666666666661</v>
      </c>
      <c r="M25" s="105">
        <f>'Milling Down Time Hours'!N11</f>
        <v>0.90972222222222221</v>
      </c>
      <c r="N25" s="102">
        <f t="shared" si="7"/>
        <v>0.95416666666666661</v>
      </c>
      <c r="O25" s="101"/>
      <c r="P25" s="101"/>
      <c r="Q25" s="101"/>
      <c r="R25" s="101"/>
      <c r="S25" s="101"/>
      <c r="T25" s="103">
        <f t="shared" si="3"/>
        <v>0</v>
      </c>
      <c r="U25" s="104" t="e">
        <f t="shared" si="4"/>
        <v>#DIV/0!</v>
      </c>
      <c r="V25" s="101"/>
      <c r="W25" s="101"/>
      <c r="X25" s="101"/>
      <c r="Y25" s="101"/>
      <c r="Z25" s="103">
        <f>'Reagent Consumption'!O28</f>
        <v>0</v>
      </c>
      <c r="AA25" s="99">
        <f>'Fuel Consumption'!F22</f>
        <v>0</v>
      </c>
      <c r="AB25" s="103">
        <f>'Reagent Consumption'!Q28</f>
        <v>0</v>
      </c>
      <c r="AC25" s="103">
        <f>'Reagent Consumption'!P28</f>
        <v>0</v>
      </c>
      <c r="AD25" s="103">
        <f>'Reagent Consumption'!R28</f>
        <v>0</v>
      </c>
      <c r="AE25" s="103">
        <f>'Reagent Consumption'!S28</f>
        <v>0</v>
      </c>
      <c r="AF25" s="103">
        <f>'Reagent Consumption'!T28</f>
        <v>0</v>
      </c>
      <c r="AG25" s="103">
        <f>'Fuel Consumption'!F22</f>
        <v>0</v>
      </c>
      <c r="AH25" s="103"/>
      <c r="AI25" s="103"/>
      <c r="AJ25" s="103"/>
      <c r="AK25" s="103"/>
      <c r="AL25" s="103"/>
      <c r="AM25" s="103"/>
      <c r="AN25" s="103"/>
      <c r="AO25" s="103"/>
      <c r="AP25" s="103"/>
      <c r="AQ25" s="101"/>
      <c r="AR25" s="85"/>
      <c r="AS25" s="85"/>
    </row>
    <row r="26" spans="1:45" ht="14.4" x14ac:dyDescent="0.3">
      <c r="A26" s="97"/>
      <c r="B26" s="98">
        <v>46267</v>
      </c>
      <c r="C26" s="99">
        <f>Crushing!N25</f>
        <v>0</v>
      </c>
      <c r="D26" s="99">
        <f t="shared" si="9"/>
        <v>2145.0891000000006</v>
      </c>
      <c r="E26" s="100" t="e">
        <f t="shared" si="8"/>
        <v>#DIV/0!</v>
      </c>
      <c r="F26" s="101"/>
      <c r="G26" s="99">
        <f t="shared" si="10"/>
        <v>0</v>
      </c>
      <c r="H26" s="144">
        <f t="shared" si="11"/>
        <v>0</v>
      </c>
      <c r="I26" s="99">
        <f>'Crushing Down Time Hours'!L21</f>
        <v>0</v>
      </c>
      <c r="J26" s="99">
        <f>'Milling Down Time Hours'!M7</f>
        <v>22</v>
      </c>
      <c r="K26" s="102">
        <f>'Crushing Down Time Hours'!M26</f>
        <v>0</v>
      </c>
      <c r="L26" s="102">
        <f t="shared" si="2"/>
        <v>0.91666666666666663</v>
      </c>
      <c r="M26" s="105">
        <f>'Milling Down Time Hours'!N12</f>
        <v>0.93541666666666667</v>
      </c>
      <c r="N26" s="102">
        <f t="shared" si="7"/>
        <v>0.91666666666666663</v>
      </c>
      <c r="O26" s="101"/>
      <c r="P26" s="101"/>
      <c r="Q26" s="101"/>
      <c r="R26" s="101"/>
      <c r="S26" s="101"/>
      <c r="T26" s="103">
        <f t="shared" si="3"/>
        <v>0</v>
      </c>
      <c r="U26" s="104" t="e">
        <f t="shared" si="4"/>
        <v>#DIV/0!</v>
      </c>
      <c r="V26" s="101"/>
      <c r="W26" s="101"/>
      <c r="X26" s="101"/>
      <c r="Y26" s="101"/>
      <c r="Z26" s="103">
        <f>'Reagent Consumption'!O29</f>
        <v>0</v>
      </c>
      <c r="AA26" s="99">
        <f>'Fuel Consumption'!F23</f>
        <v>0</v>
      </c>
      <c r="AB26" s="103">
        <f>'Reagent Consumption'!Q29</f>
        <v>0</v>
      </c>
      <c r="AC26" s="103">
        <f>'Reagent Consumption'!P29</f>
        <v>0</v>
      </c>
      <c r="AD26" s="103">
        <f>'Reagent Consumption'!R29</f>
        <v>0</v>
      </c>
      <c r="AE26" s="103">
        <f>'Reagent Consumption'!S29</f>
        <v>0</v>
      </c>
      <c r="AF26" s="103">
        <f>'Reagent Consumption'!T29</f>
        <v>0</v>
      </c>
      <c r="AG26" s="103">
        <f>'Fuel Consumption'!F23</f>
        <v>0</v>
      </c>
      <c r="AH26" s="103"/>
      <c r="AI26" s="103"/>
      <c r="AJ26" s="103"/>
      <c r="AK26" s="103"/>
      <c r="AL26" s="103"/>
      <c r="AM26" s="103"/>
      <c r="AN26" s="103"/>
      <c r="AO26" s="103"/>
      <c r="AP26" s="103"/>
      <c r="AQ26" s="101"/>
      <c r="AR26" s="85"/>
      <c r="AS26" s="85"/>
    </row>
    <row r="27" spans="1:45" ht="14.4" x14ac:dyDescent="0.3">
      <c r="A27" s="97"/>
      <c r="B27" s="98">
        <v>46268</v>
      </c>
      <c r="C27" s="99">
        <v>0</v>
      </c>
      <c r="D27" s="99">
        <f t="shared" si="9"/>
        <v>2145.0891000000006</v>
      </c>
      <c r="E27" s="100" t="e">
        <f t="shared" si="8"/>
        <v>#DIV/0!</v>
      </c>
      <c r="F27" s="101"/>
      <c r="G27" s="99">
        <f t="shared" si="10"/>
        <v>0</v>
      </c>
      <c r="H27" s="144">
        <f t="shared" si="11"/>
        <v>0</v>
      </c>
      <c r="I27" s="99">
        <f>'Crushing Down Time Hours'!L22</f>
        <v>0</v>
      </c>
      <c r="J27" s="99">
        <f>'Milling Down Time Hours'!M8</f>
        <v>11.016666666666667</v>
      </c>
      <c r="K27" s="102">
        <f>'Crushing Down Time Hours'!M27</f>
        <v>0</v>
      </c>
      <c r="L27" s="102">
        <f t="shared" si="2"/>
        <v>0.45902777777777781</v>
      </c>
      <c r="M27" s="105">
        <f>'Milling Down Time Hours'!N13</f>
        <v>0.9868055555555556</v>
      </c>
      <c r="N27" s="102">
        <f t="shared" si="7"/>
        <v>0.45902777777777781</v>
      </c>
      <c r="O27" s="101"/>
      <c r="P27" s="101"/>
      <c r="Q27" s="101"/>
      <c r="R27" s="101"/>
      <c r="S27" s="101"/>
      <c r="T27" s="103">
        <f t="shared" si="3"/>
        <v>0</v>
      </c>
      <c r="U27" s="104" t="e">
        <f t="shared" si="4"/>
        <v>#DIV/0!</v>
      </c>
      <c r="V27" s="101"/>
      <c r="W27" s="101"/>
      <c r="X27" s="101"/>
      <c r="Y27" s="101"/>
      <c r="Z27" s="103">
        <f>'Reagent Consumption'!O30</f>
        <v>0</v>
      </c>
      <c r="AA27" s="99">
        <f>'Fuel Consumption'!F24</f>
        <v>0</v>
      </c>
      <c r="AB27" s="103">
        <f>'Reagent Consumption'!Q30</f>
        <v>0</v>
      </c>
      <c r="AC27" s="103">
        <f>'Reagent Consumption'!P30</f>
        <v>0</v>
      </c>
      <c r="AD27" s="103">
        <f>'Reagent Consumption'!R30</f>
        <v>0</v>
      </c>
      <c r="AE27" s="103">
        <f>'Reagent Consumption'!S30</f>
        <v>0</v>
      </c>
      <c r="AF27" s="103">
        <f>'Reagent Consumption'!T30</f>
        <v>0</v>
      </c>
      <c r="AG27" s="103">
        <f>'Fuel Consumption'!F24</f>
        <v>0</v>
      </c>
      <c r="AH27" s="103"/>
      <c r="AI27" s="103"/>
      <c r="AJ27" s="103"/>
      <c r="AK27" s="103"/>
      <c r="AL27" s="103"/>
      <c r="AM27" s="103"/>
      <c r="AN27" s="103"/>
      <c r="AO27" s="103"/>
      <c r="AP27" s="103"/>
      <c r="AQ27" s="101"/>
      <c r="AR27" s="85"/>
      <c r="AS27" s="85"/>
    </row>
    <row r="28" spans="1:45" ht="14.4" x14ac:dyDescent="0.3">
      <c r="A28" s="97"/>
      <c r="B28" s="98">
        <v>46269</v>
      </c>
      <c r="C28" s="99">
        <f>Crushing!N27</f>
        <v>0</v>
      </c>
      <c r="D28" s="99">
        <f t="shared" si="9"/>
        <v>2145.0891000000006</v>
      </c>
      <c r="E28" s="100" t="e">
        <f t="shared" si="8"/>
        <v>#DIV/0!</v>
      </c>
      <c r="F28" s="101"/>
      <c r="G28" s="99">
        <f t="shared" si="10"/>
        <v>0</v>
      </c>
      <c r="H28" s="144">
        <f t="shared" si="11"/>
        <v>0</v>
      </c>
      <c r="I28" s="99">
        <f>'Crushing Down Time Hours'!L23</f>
        <v>0</v>
      </c>
      <c r="J28" s="99">
        <f>'Milling Down Time Hours'!M9</f>
        <v>3.3333333333333333E-2</v>
      </c>
      <c r="K28" s="102">
        <f>'Crushing Down Time Hours'!M28</f>
        <v>0</v>
      </c>
      <c r="L28" s="102">
        <f t="shared" si="2"/>
        <v>1.3888888888888889E-3</v>
      </c>
      <c r="M28" s="105">
        <f>'Milling Down Time Hours'!N14</f>
        <v>0.94861111111111107</v>
      </c>
      <c r="N28" s="102">
        <f t="shared" si="7"/>
        <v>1.3888888888888889E-3</v>
      </c>
      <c r="O28" s="101"/>
      <c r="P28" s="101"/>
      <c r="Q28" s="101"/>
      <c r="R28" s="101"/>
      <c r="S28" s="101"/>
      <c r="T28" s="103">
        <f t="shared" si="3"/>
        <v>0</v>
      </c>
      <c r="U28" s="104" t="e">
        <f t="shared" si="4"/>
        <v>#DIV/0!</v>
      </c>
      <c r="V28" s="101"/>
      <c r="W28" s="101"/>
      <c r="X28" s="101"/>
      <c r="Y28" s="101"/>
      <c r="Z28" s="103">
        <f>'Reagent Consumption'!O31</f>
        <v>0</v>
      </c>
      <c r="AA28" s="99">
        <f>'Fuel Consumption'!F25</f>
        <v>0</v>
      </c>
      <c r="AB28" s="103">
        <f>'Reagent Consumption'!Q31</f>
        <v>0</v>
      </c>
      <c r="AC28" s="103">
        <f>'Reagent Consumption'!P31</f>
        <v>0</v>
      </c>
      <c r="AD28" s="103">
        <f>'Reagent Consumption'!R31</f>
        <v>0</v>
      </c>
      <c r="AE28" s="103">
        <f>'Reagent Consumption'!S31</f>
        <v>0</v>
      </c>
      <c r="AF28" s="103">
        <f>'Reagent Consumption'!T31</f>
        <v>0</v>
      </c>
      <c r="AG28" s="103">
        <f>'Fuel Consumption'!F25</f>
        <v>0</v>
      </c>
      <c r="AH28" s="103"/>
      <c r="AI28" s="103"/>
      <c r="AJ28" s="103"/>
      <c r="AK28" s="103"/>
      <c r="AL28" s="103"/>
      <c r="AM28" s="103"/>
      <c r="AN28" s="103"/>
      <c r="AO28" s="103"/>
      <c r="AP28" s="103"/>
      <c r="AQ28" s="101"/>
      <c r="AR28" s="85"/>
      <c r="AS28" s="85"/>
    </row>
    <row r="29" spans="1:45" ht="14.4" x14ac:dyDescent="0.3">
      <c r="A29" s="97"/>
      <c r="B29" s="98">
        <v>46270</v>
      </c>
      <c r="C29" s="99">
        <v>0</v>
      </c>
      <c r="D29" s="99">
        <f t="shared" si="9"/>
        <v>2145.0891000000006</v>
      </c>
      <c r="E29" s="100" t="e">
        <f t="shared" si="8"/>
        <v>#DIV/0!</v>
      </c>
      <c r="F29" s="101"/>
      <c r="G29" s="99">
        <f t="shared" si="10"/>
        <v>0</v>
      </c>
      <c r="H29" s="144">
        <f t="shared" si="11"/>
        <v>0</v>
      </c>
      <c r="I29" s="99">
        <f>'Crushing Down Time Hours'!L24</f>
        <v>0</v>
      </c>
      <c r="J29" s="99">
        <f>'Milling Down Time Hours'!M10</f>
        <v>11.016666666666667</v>
      </c>
      <c r="K29" s="102">
        <f>'Crushing Down Time Hours'!M29</f>
        <v>0</v>
      </c>
      <c r="L29" s="102">
        <f t="shared" si="2"/>
        <v>0.45902777777777781</v>
      </c>
      <c r="M29" s="105">
        <f>'Milling Down Time Hours'!N15</f>
        <v>0.93055555555555547</v>
      </c>
      <c r="N29" s="102">
        <f t="shared" si="7"/>
        <v>0.45902777777777781</v>
      </c>
      <c r="O29" s="101"/>
      <c r="P29" s="101"/>
      <c r="Q29" s="101"/>
      <c r="R29" s="101"/>
      <c r="S29" s="101"/>
      <c r="T29" s="103">
        <f t="shared" si="3"/>
        <v>0</v>
      </c>
      <c r="U29" s="104" t="e">
        <f t="shared" si="4"/>
        <v>#DIV/0!</v>
      </c>
      <c r="V29" s="101"/>
      <c r="W29" s="101"/>
      <c r="X29" s="101"/>
      <c r="Y29" s="101"/>
      <c r="Z29" s="103">
        <f>'Reagent Consumption'!O32</f>
        <v>0</v>
      </c>
      <c r="AA29" s="99">
        <f>'Fuel Consumption'!F26</f>
        <v>0</v>
      </c>
      <c r="AB29" s="103">
        <f>'Reagent Consumption'!Q32</f>
        <v>0</v>
      </c>
      <c r="AC29" s="103">
        <f>'Reagent Consumption'!P32</f>
        <v>0</v>
      </c>
      <c r="AD29" s="103">
        <f>'Reagent Consumption'!R32</f>
        <v>0</v>
      </c>
      <c r="AE29" s="103">
        <f>'Reagent Consumption'!S32</f>
        <v>0</v>
      </c>
      <c r="AF29" s="103">
        <f>'Reagent Consumption'!T32</f>
        <v>0</v>
      </c>
      <c r="AG29" s="103">
        <f>'Fuel Consumption'!F26</f>
        <v>0</v>
      </c>
      <c r="AH29" s="103"/>
      <c r="AI29" s="103"/>
      <c r="AJ29" s="103"/>
      <c r="AK29" s="103"/>
      <c r="AL29" s="103"/>
      <c r="AM29" s="103"/>
      <c r="AN29" s="103"/>
      <c r="AO29" s="103"/>
      <c r="AP29" s="103"/>
      <c r="AQ29" s="101"/>
      <c r="AR29" s="85"/>
      <c r="AS29" s="85"/>
    </row>
    <row r="30" spans="1:45" ht="14.4" x14ac:dyDescent="0.3">
      <c r="A30" s="97"/>
      <c r="B30" s="98">
        <v>46271</v>
      </c>
      <c r="C30" s="99">
        <f>Crushing!N52</f>
        <v>0</v>
      </c>
      <c r="D30" s="99">
        <f t="shared" si="9"/>
        <v>2145.0891000000006</v>
      </c>
      <c r="E30" s="100" t="e">
        <f t="shared" si="8"/>
        <v>#DIV/0!</v>
      </c>
      <c r="F30" s="101"/>
      <c r="G30" s="99">
        <f t="shared" si="10"/>
        <v>0</v>
      </c>
      <c r="H30" s="144">
        <f t="shared" si="11"/>
        <v>0</v>
      </c>
      <c r="I30" s="99">
        <f>'Crushing Down Time Hours'!L25</f>
        <v>0</v>
      </c>
      <c r="J30" s="99">
        <f>'Milling Down Time Hours'!M11</f>
        <v>21.833333333333332</v>
      </c>
      <c r="K30" s="102">
        <f>'Crushing Down Time Hours'!M30</f>
        <v>0</v>
      </c>
      <c r="L30" s="102">
        <f t="shared" si="2"/>
        <v>0.90972222222222221</v>
      </c>
      <c r="M30" s="105">
        <f>'Milling Down Time Hours'!N17</f>
        <v>1</v>
      </c>
      <c r="N30" s="102">
        <f t="shared" si="7"/>
        <v>0.90972222222222221</v>
      </c>
      <c r="O30" s="101"/>
      <c r="P30" s="101"/>
      <c r="Q30" s="101"/>
      <c r="R30" s="101"/>
      <c r="S30" s="101"/>
      <c r="T30" s="103">
        <f t="shared" si="3"/>
        <v>0</v>
      </c>
      <c r="U30" s="104" t="e">
        <f t="shared" si="4"/>
        <v>#DIV/0!</v>
      </c>
      <c r="V30" s="101"/>
      <c r="W30" s="101"/>
      <c r="X30" s="101"/>
      <c r="Y30" s="101"/>
      <c r="Z30" s="103">
        <f>'Reagent Consumption'!O33</f>
        <v>0</v>
      </c>
      <c r="AA30" s="99">
        <f>'Fuel Consumption'!F27</f>
        <v>0</v>
      </c>
      <c r="AB30" s="103">
        <f>'Reagent Consumption'!Q33</f>
        <v>0</v>
      </c>
      <c r="AC30" s="103">
        <f>'Reagent Consumption'!P33</f>
        <v>0</v>
      </c>
      <c r="AD30" s="103">
        <f>'Reagent Consumption'!R33</f>
        <v>0</v>
      </c>
      <c r="AE30" s="103">
        <f>'Reagent Consumption'!S33</f>
        <v>0</v>
      </c>
      <c r="AF30" s="103">
        <f>'Reagent Consumption'!T33</f>
        <v>0</v>
      </c>
      <c r="AG30" s="103">
        <f>'Fuel Consumption'!F27</f>
        <v>0</v>
      </c>
      <c r="AH30" s="103"/>
      <c r="AI30" s="103"/>
      <c r="AJ30" s="103"/>
      <c r="AK30" s="103"/>
      <c r="AL30" s="103"/>
      <c r="AM30" s="103"/>
      <c r="AN30" s="103"/>
      <c r="AO30" s="103"/>
      <c r="AP30" s="103"/>
      <c r="AQ30" s="101"/>
      <c r="AR30" s="85"/>
      <c r="AS30" s="85"/>
    </row>
    <row r="31" spans="1:45" ht="14.4" x14ac:dyDescent="0.3">
      <c r="A31" s="97"/>
      <c r="B31" s="98">
        <v>46272</v>
      </c>
      <c r="C31" s="99">
        <f>Crushing!N30</f>
        <v>0</v>
      </c>
      <c r="D31" s="99">
        <f t="shared" si="9"/>
        <v>2145.0891000000006</v>
      </c>
      <c r="E31" s="100" t="e">
        <f t="shared" si="8"/>
        <v>#DIV/0!</v>
      </c>
      <c r="F31" s="101"/>
      <c r="G31" s="99">
        <f t="shared" si="10"/>
        <v>0</v>
      </c>
      <c r="H31" s="144">
        <f t="shared" si="11"/>
        <v>0</v>
      </c>
      <c r="I31" s="99">
        <f>'Crushing Down Time Hours'!L26</f>
        <v>0</v>
      </c>
      <c r="J31" s="99">
        <f>'Milling Down Time Hours'!M12</f>
        <v>22.45</v>
      </c>
      <c r="K31" s="102">
        <f>'Crushing Down Time Hours'!M31</f>
        <v>0</v>
      </c>
      <c r="L31" s="102">
        <f t="shared" si="2"/>
        <v>0.93541666666666667</v>
      </c>
      <c r="M31" s="105">
        <f>'Milling Down Time Hours'!N18</f>
        <v>1</v>
      </c>
      <c r="N31" s="102">
        <f t="shared" si="7"/>
        <v>0.93541666666666667</v>
      </c>
      <c r="O31" s="101"/>
      <c r="P31" s="101"/>
      <c r="Q31" s="101"/>
      <c r="R31" s="101"/>
      <c r="S31" s="101"/>
      <c r="T31" s="103">
        <f t="shared" si="3"/>
        <v>0</v>
      </c>
      <c r="U31" s="104" t="e">
        <f t="shared" si="4"/>
        <v>#DIV/0!</v>
      </c>
      <c r="V31" s="101"/>
      <c r="W31" s="101"/>
      <c r="X31" s="101"/>
      <c r="Y31" s="101"/>
      <c r="Z31" s="103">
        <f>'Reagent Consumption'!O34</f>
        <v>0</v>
      </c>
      <c r="AA31" s="99">
        <f>'Fuel Consumption'!F28</f>
        <v>0</v>
      </c>
      <c r="AB31" s="103">
        <f>'Reagent Consumption'!Q34</f>
        <v>0</v>
      </c>
      <c r="AC31" s="103">
        <f>'Reagent Consumption'!P34</f>
        <v>0</v>
      </c>
      <c r="AD31" s="103">
        <f>'Reagent Consumption'!R34</f>
        <v>0</v>
      </c>
      <c r="AE31" s="103">
        <f>'Reagent Consumption'!S34</f>
        <v>0</v>
      </c>
      <c r="AF31" s="103">
        <f>'Reagent Consumption'!T34</f>
        <v>0</v>
      </c>
      <c r="AG31" s="103">
        <f>'Fuel Consumption'!F28</f>
        <v>0</v>
      </c>
      <c r="AH31" s="103"/>
      <c r="AI31" s="103"/>
      <c r="AJ31" s="103"/>
      <c r="AK31" s="103"/>
      <c r="AL31" s="103"/>
      <c r="AM31" s="103"/>
      <c r="AN31" s="103"/>
      <c r="AO31" s="103"/>
      <c r="AP31" s="103"/>
      <c r="AQ31" s="101"/>
      <c r="AR31" s="85"/>
      <c r="AS31" s="85"/>
    </row>
    <row r="32" spans="1:45" ht="14.4" x14ac:dyDescent="0.3">
      <c r="A32" s="97"/>
      <c r="B32" s="98">
        <v>46273</v>
      </c>
      <c r="C32" s="99">
        <f>Crushing!N31</f>
        <v>0</v>
      </c>
      <c r="D32" s="99">
        <f t="shared" si="9"/>
        <v>2145.0891000000006</v>
      </c>
      <c r="E32" s="100" t="e">
        <f t="shared" si="8"/>
        <v>#DIV/0!</v>
      </c>
      <c r="F32" s="101"/>
      <c r="G32" s="99">
        <f t="shared" si="10"/>
        <v>0</v>
      </c>
      <c r="H32" s="144">
        <f t="shared" si="11"/>
        <v>0</v>
      </c>
      <c r="I32" s="99">
        <f>'Crushing Down Time Hours'!L27</f>
        <v>0</v>
      </c>
      <c r="J32" s="99">
        <f>'Milling Down Time Hours'!M13</f>
        <v>23.683333333333334</v>
      </c>
      <c r="K32" s="102">
        <f>'Crushing Down Time Hours'!M32</f>
        <v>0</v>
      </c>
      <c r="L32" s="102">
        <f t="shared" si="2"/>
        <v>0.9868055555555556</v>
      </c>
      <c r="M32" s="102">
        <v>1</v>
      </c>
      <c r="N32" s="102">
        <f t="shared" si="7"/>
        <v>0.9868055555555556</v>
      </c>
      <c r="O32" s="101"/>
      <c r="P32" s="101"/>
      <c r="Q32" s="101"/>
      <c r="R32" s="101"/>
      <c r="S32" s="101"/>
      <c r="T32" s="103">
        <f t="shared" si="3"/>
        <v>0</v>
      </c>
      <c r="U32" s="104" t="e">
        <f t="shared" si="4"/>
        <v>#DIV/0!</v>
      </c>
      <c r="V32" s="101"/>
      <c r="W32" s="101"/>
      <c r="X32" s="101"/>
      <c r="Y32" s="101"/>
      <c r="Z32" s="103">
        <f>'Reagent Consumption'!O35</f>
        <v>0</v>
      </c>
      <c r="AA32" s="99">
        <f>'Fuel Consumption'!F29</f>
        <v>0</v>
      </c>
      <c r="AB32" s="103">
        <f>'Reagent Consumption'!Q35</f>
        <v>0</v>
      </c>
      <c r="AC32" s="103">
        <f>'Reagent Consumption'!P35</f>
        <v>0</v>
      </c>
      <c r="AD32" s="103">
        <f>'Reagent Consumption'!R35</f>
        <v>0</v>
      </c>
      <c r="AE32" s="103">
        <f>'Reagent Consumption'!S35</f>
        <v>0</v>
      </c>
      <c r="AF32" s="103">
        <f>'Reagent Consumption'!T35</f>
        <v>0</v>
      </c>
      <c r="AG32" s="103">
        <f>'Fuel Consumption'!F29</f>
        <v>0</v>
      </c>
      <c r="AH32" s="103"/>
      <c r="AI32" s="103"/>
      <c r="AJ32" s="103"/>
      <c r="AK32" s="103"/>
      <c r="AL32" s="103"/>
      <c r="AM32" s="103"/>
      <c r="AN32" s="103"/>
      <c r="AO32" s="103"/>
      <c r="AP32" s="103"/>
      <c r="AQ32" s="101"/>
      <c r="AR32" s="85"/>
      <c r="AS32" s="85"/>
    </row>
    <row r="33" spans="1:45" ht="14.4" x14ac:dyDescent="0.3">
      <c r="A33" s="97"/>
      <c r="B33" s="98">
        <v>46274</v>
      </c>
      <c r="C33" s="99">
        <f>Crushing!N58</f>
        <v>0</v>
      </c>
      <c r="D33" s="99">
        <f>D32+C33</f>
        <v>2145.0891000000006</v>
      </c>
      <c r="E33" s="100" t="e">
        <f>C33/I33</f>
        <v>#DIV/0!</v>
      </c>
      <c r="F33" s="101"/>
      <c r="G33" s="99">
        <f t="shared" si="10"/>
        <v>0</v>
      </c>
      <c r="H33" s="144">
        <f t="shared" si="11"/>
        <v>0</v>
      </c>
      <c r="I33" s="99">
        <f>'Crushing Down Time Hours'!L28</f>
        <v>0</v>
      </c>
      <c r="J33" s="99">
        <f>'Milling Down Time Hours'!M14</f>
        <v>22.766666666666666</v>
      </c>
      <c r="K33" s="102">
        <f>'Crushing Down Time Hours'!M33</f>
        <v>0</v>
      </c>
      <c r="L33" s="102">
        <f t="shared" si="2"/>
        <v>0.94861111111111107</v>
      </c>
      <c r="M33" s="102">
        <v>1</v>
      </c>
      <c r="N33" s="102">
        <f t="shared" si="7"/>
        <v>0.94861111111111107</v>
      </c>
      <c r="O33" s="101"/>
      <c r="P33" s="101"/>
      <c r="Q33" s="101"/>
      <c r="R33" s="101"/>
      <c r="S33" s="101"/>
      <c r="T33" s="103">
        <f t="shared" si="3"/>
        <v>0</v>
      </c>
      <c r="U33" s="104" t="e">
        <f t="shared" si="4"/>
        <v>#DIV/0!</v>
      </c>
      <c r="V33" s="101"/>
      <c r="W33" s="101"/>
      <c r="X33" s="101"/>
      <c r="Y33" s="101"/>
      <c r="Z33" s="103">
        <f>'Reagent Consumption'!O36</f>
        <v>0</v>
      </c>
      <c r="AA33" s="99">
        <f>'Fuel Consumption'!F30</f>
        <v>0</v>
      </c>
      <c r="AB33" s="103">
        <f>'Reagent Consumption'!Q36</f>
        <v>0</v>
      </c>
      <c r="AC33" s="103">
        <f>'Reagent Consumption'!P36</f>
        <v>0</v>
      </c>
      <c r="AD33" s="103">
        <f>'Reagent Consumption'!R36</f>
        <v>0</v>
      </c>
      <c r="AE33" s="103">
        <f>'Reagent Consumption'!S36</f>
        <v>0</v>
      </c>
      <c r="AF33" s="103">
        <f>'Reagent Consumption'!T36</f>
        <v>0</v>
      </c>
      <c r="AG33" s="103">
        <f>'Fuel Consumption'!F30</f>
        <v>0</v>
      </c>
      <c r="AH33" s="103"/>
      <c r="AI33" s="103"/>
      <c r="AJ33" s="103"/>
      <c r="AK33" s="103"/>
      <c r="AL33" s="103"/>
      <c r="AM33" s="103"/>
      <c r="AN33" s="103"/>
      <c r="AO33" s="103"/>
      <c r="AP33" s="103"/>
      <c r="AQ33" s="101"/>
      <c r="AR33" s="85"/>
      <c r="AS33" s="85"/>
    </row>
    <row r="34" spans="1:45" ht="14.4" x14ac:dyDescent="0.3">
      <c r="A34" s="97"/>
      <c r="B34" s="98">
        <v>46275</v>
      </c>
      <c r="C34" s="99">
        <f>Crushing!N33</f>
        <v>0</v>
      </c>
      <c r="D34" s="99">
        <f t="shared" si="9"/>
        <v>2145.0891000000006</v>
      </c>
      <c r="E34" s="100" t="e">
        <f t="shared" si="8"/>
        <v>#DIV/0!</v>
      </c>
      <c r="F34" s="101"/>
      <c r="G34" s="99">
        <f t="shared" si="10"/>
        <v>0</v>
      </c>
      <c r="H34" s="144">
        <f t="shared" si="11"/>
        <v>0</v>
      </c>
      <c r="I34" s="99">
        <f>'Crushing Down Time Hours'!L29</f>
        <v>0</v>
      </c>
      <c r="J34" s="99">
        <f>'Milling Down Time Hours'!M15</f>
        <v>22.333333333333332</v>
      </c>
      <c r="K34" s="102">
        <f>'Crushing Down Time Hours'!M34</f>
        <v>0</v>
      </c>
      <c r="L34" s="102">
        <f t="shared" si="2"/>
        <v>0.93055555555555547</v>
      </c>
      <c r="M34" s="102">
        <v>1</v>
      </c>
      <c r="N34" s="102">
        <f t="shared" si="7"/>
        <v>0.93055555555555547</v>
      </c>
      <c r="O34" s="101"/>
      <c r="P34" s="101"/>
      <c r="Q34" s="101"/>
      <c r="R34" s="101"/>
      <c r="S34" s="101"/>
      <c r="T34" s="103">
        <f t="shared" si="3"/>
        <v>0</v>
      </c>
      <c r="U34" s="104" t="e">
        <f t="shared" si="4"/>
        <v>#DIV/0!</v>
      </c>
      <c r="V34" s="101"/>
      <c r="W34" s="101"/>
      <c r="X34" s="101"/>
      <c r="Y34" s="101"/>
      <c r="Z34" s="103">
        <f>'Reagent Consumption'!O37</f>
        <v>0</v>
      </c>
      <c r="AA34" s="99">
        <f>'Fuel Consumption'!F31</f>
        <v>0</v>
      </c>
      <c r="AB34" s="103">
        <f>'Reagent Consumption'!Q37</f>
        <v>0</v>
      </c>
      <c r="AC34" s="103">
        <f>'Reagent Consumption'!P37</f>
        <v>0</v>
      </c>
      <c r="AD34" s="103">
        <f>'Reagent Consumption'!R37</f>
        <v>0</v>
      </c>
      <c r="AE34" s="103">
        <f>'Reagent Consumption'!S37</f>
        <v>0</v>
      </c>
      <c r="AF34" s="103">
        <f>'Reagent Consumption'!T37</f>
        <v>0</v>
      </c>
      <c r="AG34" s="103">
        <f>'Fuel Consumption'!F31</f>
        <v>0</v>
      </c>
      <c r="AH34" s="103"/>
      <c r="AI34" s="103"/>
      <c r="AJ34" s="103"/>
      <c r="AK34" s="103"/>
      <c r="AL34" s="103"/>
      <c r="AM34" s="103"/>
      <c r="AN34" s="103"/>
      <c r="AO34" s="103"/>
      <c r="AP34" s="103"/>
      <c r="AQ34" s="101"/>
      <c r="AR34" s="85"/>
      <c r="AS34" s="85"/>
    </row>
    <row r="35" spans="1:45" ht="14.4" x14ac:dyDescent="0.3">
      <c r="A35" s="97"/>
      <c r="B35" s="98">
        <v>46276</v>
      </c>
      <c r="C35" s="99"/>
      <c r="D35" s="99">
        <f t="shared" si="9"/>
        <v>2145.0891000000006</v>
      </c>
      <c r="E35" s="100" t="e">
        <f t="shared" si="8"/>
        <v>#DIV/0!</v>
      </c>
      <c r="F35" s="101"/>
      <c r="G35" s="99">
        <f t="shared" si="10"/>
        <v>0</v>
      </c>
      <c r="H35" s="144">
        <f t="shared" si="11"/>
        <v>0</v>
      </c>
      <c r="I35" s="99">
        <f>'Crushing Down Time Hours'!L30</f>
        <v>0</v>
      </c>
      <c r="J35" s="99">
        <f>'Milling Down Time Hours'!M17</f>
        <v>24</v>
      </c>
      <c r="K35" s="102">
        <f>'Crushing Down Time Hours'!M35</f>
        <v>0</v>
      </c>
      <c r="L35" s="102">
        <f t="shared" si="2"/>
        <v>1</v>
      </c>
      <c r="M35" s="102">
        <v>1</v>
      </c>
      <c r="N35" s="102">
        <f t="shared" si="7"/>
        <v>0</v>
      </c>
      <c r="O35" s="101"/>
      <c r="P35" s="101"/>
      <c r="Q35" s="101"/>
      <c r="R35" s="101"/>
      <c r="S35" s="101"/>
      <c r="T35" s="103">
        <f t="shared" si="3"/>
        <v>0</v>
      </c>
      <c r="U35" s="104" t="e">
        <f t="shared" si="4"/>
        <v>#DIV/0!</v>
      </c>
      <c r="V35" s="101"/>
      <c r="W35" s="101"/>
      <c r="X35" s="101"/>
      <c r="Y35" s="101"/>
      <c r="Z35" s="103">
        <f>'Reagent Consumption'!O38</f>
        <v>0</v>
      </c>
      <c r="AA35" s="99">
        <f>'Fuel Consumption'!F32</f>
        <v>0</v>
      </c>
      <c r="AB35" s="103">
        <f>'Reagent Consumption'!Q38</f>
        <v>0</v>
      </c>
      <c r="AC35" s="103">
        <f>'Reagent Consumption'!P38</f>
        <v>0</v>
      </c>
      <c r="AD35" s="103">
        <f>'Reagent Consumption'!R38</f>
        <v>0</v>
      </c>
      <c r="AE35" s="103">
        <f>'Reagent Consumption'!S38</f>
        <v>0</v>
      </c>
      <c r="AF35" s="103">
        <f>'Reagent Consumption'!T38</f>
        <v>0</v>
      </c>
      <c r="AG35" s="103">
        <f>'Fuel Consumption'!F32</f>
        <v>0</v>
      </c>
      <c r="AH35" s="103"/>
      <c r="AI35" s="103"/>
      <c r="AJ35" s="103"/>
      <c r="AK35" s="103"/>
      <c r="AL35" s="103"/>
      <c r="AM35" s="103"/>
      <c r="AN35" s="103"/>
      <c r="AO35" s="103"/>
      <c r="AP35" s="103"/>
      <c r="AQ35" s="101"/>
      <c r="AR35" s="85"/>
      <c r="AS35" s="85"/>
    </row>
    <row r="36" spans="1:45" ht="14.4" x14ac:dyDescent="0.3">
      <c r="A36" s="97"/>
      <c r="B36" s="98">
        <v>46277</v>
      </c>
      <c r="C36" s="239">
        <f>Crushing!N35</f>
        <v>0</v>
      </c>
      <c r="D36" s="239">
        <f t="shared" si="9"/>
        <v>2145.0891000000006</v>
      </c>
      <c r="E36" s="240" t="e">
        <f t="shared" si="8"/>
        <v>#DIV/0!</v>
      </c>
      <c r="F36" s="97"/>
      <c r="G36" s="99">
        <f t="shared" si="10"/>
        <v>0</v>
      </c>
      <c r="H36" s="144">
        <f t="shared" si="11"/>
        <v>0</v>
      </c>
      <c r="I36" s="99">
        <f>'Crushing Down Time Hours'!L31</f>
        <v>0</v>
      </c>
      <c r="J36" s="99">
        <f>'Milling Down Time Hours'!M18</f>
        <v>24</v>
      </c>
      <c r="K36" s="102">
        <f>'Crushing Down Time Hours'!M36</f>
        <v>0</v>
      </c>
      <c r="L36" s="102">
        <f t="shared" si="2"/>
        <v>1</v>
      </c>
      <c r="M36" s="118">
        <v>1</v>
      </c>
      <c r="N36" s="118">
        <f t="shared" si="7"/>
        <v>0</v>
      </c>
      <c r="O36" s="97"/>
      <c r="P36" s="97"/>
      <c r="Q36" s="97"/>
      <c r="R36" s="97"/>
      <c r="S36" s="97"/>
      <c r="T36" s="149">
        <f t="shared" si="3"/>
        <v>0</v>
      </c>
      <c r="U36" s="241" t="e">
        <f t="shared" si="4"/>
        <v>#DIV/0!</v>
      </c>
      <c r="V36" s="97"/>
      <c r="W36" s="97"/>
      <c r="X36" s="97"/>
      <c r="Y36" s="97"/>
      <c r="Z36" s="149">
        <f>'Reagent Consumption'!O39</f>
        <v>0</v>
      </c>
      <c r="AA36" s="239">
        <f>'Fuel Consumption'!F33</f>
        <v>0</v>
      </c>
      <c r="AB36" s="149">
        <f>'Reagent Consumption'!Q39</f>
        <v>0</v>
      </c>
      <c r="AC36" s="149">
        <f>'Reagent Consumption'!P39</f>
        <v>0</v>
      </c>
      <c r="AD36" s="149">
        <f>'Reagent Consumption'!R39</f>
        <v>0</v>
      </c>
      <c r="AE36" s="149">
        <f>'Reagent Consumption'!S39</f>
        <v>0</v>
      </c>
      <c r="AF36" s="149">
        <f>'Reagent Consumption'!T39</f>
        <v>0</v>
      </c>
      <c r="AG36" s="149">
        <f>'Fuel Consumption'!F33</f>
        <v>0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97"/>
      <c r="AR36" s="85"/>
      <c r="AS36" s="85"/>
    </row>
    <row r="37" spans="1:45" ht="14.4" x14ac:dyDescent="0.3">
      <c r="A37" s="85"/>
      <c r="B37" s="98">
        <v>46278</v>
      </c>
      <c r="C37" s="242">
        <f>Crushing!N66</f>
        <v>0</v>
      </c>
      <c r="D37" s="242">
        <f>D36+C37</f>
        <v>2145.0891000000006</v>
      </c>
      <c r="E37" s="243" t="e">
        <f>C37/I37</f>
        <v>#DIV/0!</v>
      </c>
      <c r="F37" s="106"/>
      <c r="G37" s="99">
        <f t="shared" si="10"/>
        <v>0</v>
      </c>
      <c r="H37" s="144">
        <f t="shared" si="11"/>
        <v>0</v>
      </c>
      <c r="I37" s="99">
        <f>'Crushing Down Time Hours'!L32</f>
        <v>0</v>
      </c>
      <c r="J37" s="99">
        <f>'Milling Down Time Hours'!M19</f>
        <v>24</v>
      </c>
      <c r="K37" s="102">
        <f>'Crushing Down Time Hours'!M37</f>
        <v>0</v>
      </c>
      <c r="L37" s="102">
        <f t="shared" si="2"/>
        <v>1</v>
      </c>
      <c r="M37" s="119">
        <v>1</v>
      </c>
      <c r="N37" s="119">
        <f t="shared" si="7"/>
        <v>0</v>
      </c>
      <c r="O37" s="106"/>
      <c r="P37" s="106"/>
      <c r="Q37" s="106"/>
      <c r="R37" s="106"/>
      <c r="S37" s="106"/>
      <c r="T37" s="244">
        <f t="shared" si="3"/>
        <v>0</v>
      </c>
      <c r="U37" s="245" t="e">
        <f t="shared" si="4"/>
        <v>#DIV/0!</v>
      </c>
      <c r="V37" s="106"/>
      <c r="W37" s="106"/>
      <c r="X37" s="106"/>
      <c r="Y37" s="106"/>
      <c r="Z37" s="149">
        <f>'Reagent Consumption'!O40</f>
        <v>0</v>
      </c>
      <c r="AA37" s="239">
        <f>'Fuel Consumption'!F34</f>
        <v>0</v>
      </c>
      <c r="AB37" s="149">
        <f>'Reagent Consumption'!Q40</f>
        <v>0</v>
      </c>
      <c r="AC37" s="149">
        <f>'Reagent Consumption'!P40</f>
        <v>0</v>
      </c>
      <c r="AD37" s="149">
        <f>'Reagent Consumption'!R40</f>
        <v>0</v>
      </c>
      <c r="AE37" s="149">
        <f>'Reagent Consumption'!S40</f>
        <v>0</v>
      </c>
      <c r="AF37" s="149">
        <f>'Reagent Consumption'!T40</f>
        <v>0</v>
      </c>
      <c r="AG37" s="149">
        <f>'Fuel Consumption'!F34</f>
        <v>0</v>
      </c>
      <c r="AH37" s="149"/>
      <c r="AI37" s="149"/>
      <c r="AJ37" s="149"/>
      <c r="AK37" s="149"/>
      <c r="AL37" s="149"/>
      <c r="AM37" s="149"/>
      <c r="AN37" s="149"/>
      <c r="AO37" s="149"/>
      <c r="AP37" s="244"/>
      <c r="AQ37" s="106"/>
      <c r="AR37" s="85"/>
      <c r="AS37" s="85"/>
    </row>
    <row r="38" spans="1:45" ht="14.4" x14ac:dyDescent="0.3">
      <c r="A38" s="85"/>
      <c r="B38" s="98">
        <v>46279</v>
      </c>
      <c r="C38" s="242">
        <f>Crushing!N68</f>
        <v>0</v>
      </c>
      <c r="D38" s="242">
        <f>D37+C38</f>
        <v>2145.0891000000006</v>
      </c>
      <c r="E38" s="243" t="e">
        <f t="shared" ref="E38:E49" si="12">C38/I38</f>
        <v>#DIV/0!</v>
      </c>
      <c r="F38" s="106"/>
      <c r="G38" s="99">
        <f t="shared" si="10"/>
        <v>0</v>
      </c>
      <c r="H38" s="144">
        <f t="shared" si="11"/>
        <v>0</v>
      </c>
      <c r="I38" s="99">
        <f>'Crushing Down Time Hours'!L33</f>
        <v>0</v>
      </c>
      <c r="J38" s="99">
        <f>'Milling Down Time Hours'!M20</f>
        <v>24</v>
      </c>
      <c r="K38" s="102">
        <f>'Crushing Down Time Hours'!M38</f>
        <v>0</v>
      </c>
      <c r="L38" s="102">
        <f t="shared" si="2"/>
        <v>1</v>
      </c>
      <c r="M38" s="119">
        <v>2</v>
      </c>
      <c r="N38" s="119">
        <f t="shared" si="7"/>
        <v>0</v>
      </c>
      <c r="O38" s="106"/>
      <c r="P38" s="106"/>
      <c r="Q38" s="106"/>
      <c r="R38" s="106"/>
      <c r="S38" s="106"/>
      <c r="T38" s="244"/>
      <c r="U38" s="245"/>
      <c r="V38" s="106"/>
      <c r="W38" s="106"/>
      <c r="X38" s="106"/>
      <c r="Y38" s="106"/>
      <c r="Z38" s="149">
        <f>'Reagent Consumption'!O41</f>
        <v>0</v>
      </c>
      <c r="AA38" s="239">
        <f>'Fuel Consumption'!F35</f>
        <v>0</v>
      </c>
      <c r="AB38" s="149">
        <f>'Reagent Consumption'!Q41</f>
        <v>0</v>
      </c>
      <c r="AC38" s="149">
        <f>'Reagent Consumption'!P41</f>
        <v>0</v>
      </c>
      <c r="AD38" s="149">
        <f>'Reagent Consumption'!R41</f>
        <v>0</v>
      </c>
      <c r="AE38" s="149">
        <f>'Reagent Consumption'!S41</f>
        <v>0</v>
      </c>
      <c r="AF38" s="149">
        <f>'Reagent Consumption'!T41</f>
        <v>0</v>
      </c>
      <c r="AG38" s="149">
        <f>'Fuel Consumption'!F35</f>
        <v>0</v>
      </c>
      <c r="AH38" s="149"/>
      <c r="AI38" s="149"/>
      <c r="AJ38" s="149"/>
      <c r="AK38" s="149"/>
      <c r="AL38" s="149"/>
      <c r="AM38" s="149"/>
      <c r="AN38" s="149"/>
      <c r="AO38" s="149"/>
      <c r="AP38" s="244"/>
      <c r="AQ38" s="106"/>
      <c r="AR38" s="85"/>
      <c r="AS38" s="85"/>
    </row>
    <row r="39" spans="1:45" ht="14.4" x14ac:dyDescent="0.3">
      <c r="A39" s="85"/>
      <c r="B39" s="98">
        <v>46280</v>
      </c>
      <c r="C39" s="242"/>
      <c r="D39" s="242">
        <f t="shared" ref="D39:D49" si="13">D38+C39</f>
        <v>2145.0891000000006</v>
      </c>
      <c r="E39" s="243" t="e">
        <f t="shared" si="12"/>
        <v>#DIV/0!</v>
      </c>
      <c r="F39" s="106"/>
      <c r="G39" s="99">
        <f t="shared" si="10"/>
        <v>0</v>
      </c>
      <c r="H39" s="144">
        <f t="shared" si="11"/>
        <v>0</v>
      </c>
      <c r="I39" s="99">
        <f>'Crushing Down Time Hours'!L34</f>
        <v>0</v>
      </c>
      <c r="J39" s="99">
        <f>'Milling Down Time Hours'!M21</f>
        <v>24</v>
      </c>
      <c r="K39" s="102">
        <f>'Crushing Down Time Hours'!M39</f>
        <v>0</v>
      </c>
      <c r="L39" s="102">
        <f t="shared" si="2"/>
        <v>1</v>
      </c>
      <c r="M39" s="119">
        <v>3</v>
      </c>
      <c r="N39" s="119">
        <f t="shared" si="7"/>
        <v>0</v>
      </c>
      <c r="O39" s="106"/>
      <c r="P39" s="106"/>
      <c r="Q39" s="106"/>
      <c r="R39" s="106"/>
      <c r="S39" s="106"/>
      <c r="T39" s="244"/>
      <c r="U39" s="245"/>
      <c r="V39" s="106"/>
      <c r="W39" s="106"/>
      <c r="X39" s="106"/>
      <c r="Y39" s="106"/>
      <c r="Z39" s="149">
        <f>'Reagent Consumption'!O42</f>
        <v>0</v>
      </c>
      <c r="AA39" s="239">
        <f>'Fuel Consumption'!F36</f>
        <v>0</v>
      </c>
      <c r="AB39" s="149">
        <f>'Reagent Consumption'!Q42</f>
        <v>0</v>
      </c>
      <c r="AC39" s="149">
        <f>'Reagent Consumption'!P42</f>
        <v>0</v>
      </c>
      <c r="AD39" s="149">
        <f>'Reagent Consumption'!R42</f>
        <v>0</v>
      </c>
      <c r="AE39" s="149">
        <f>'Reagent Consumption'!S42</f>
        <v>0</v>
      </c>
      <c r="AF39" s="149">
        <f>'Reagent Consumption'!T42</f>
        <v>0</v>
      </c>
      <c r="AG39" s="149">
        <f>'Fuel Consumption'!F36</f>
        <v>0</v>
      </c>
      <c r="AH39" s="149"/>
      <c r="AI39" s="149"/>
      <c r="AJ39" s="149"/>
      <c r="AK39" s="149"/>
      <c r="AL39" s="149"/>
      <c r="AM39" s="149"/>
      <c r="AN39" s="149"/>
      <c r="AO39" s="149"/>
      <c r="AP39" s="244"/>
      <c r="AQ39" s="106"/>
      <c r="AR39" s="85"/>
      <c r="AS39" s="85"/>
    </row>
    <row r="40" spans="1:45" ht="14.4" x14ac:dyDescent="0.3">
      <c r="A40" s="85"/>
      <c r="B40" s="98">
        <v>46281</v>
      </c>
      <c r="C40" s="242">
        <f>Crushing!N39</f>
        <v>0</v>
      </c>
      <c r="D40" s="242">
        <f t="shared" si="13"/>
        <v>2145.0891000000006</v>
      </c>
      <c r="E40" s="243" t="e">
        <f t="shared" si="12"/>
        <v>#DIV/0!</v>
      </c>
      <c r="F40" s="106"/>
      <c r="G40" s="99">
        <f t="shared" si="10"/>
        <v>0</v>
      </c>
      <c r="H40" s="144">
        <f t="shared" si="11"/>
        <v>0</v>
      </c>
      <c r="I40" s="99">
        <f>'Crushing Down Time Hours'!L35</f>
        <v>0</v>
      </c>
      <c r="J40" s="99">
        <f>'Milling Down Time Hours'!M22</f>
        <v>24</v>
      </c>
      <c r="K40" s="102">
        <f>'Crushing Down Time Hours'!M40</f>
        <v>0</v>
      </c>
      <c r="L40" s="102">
        <f t="shared" si="2"/>
        <v>1</v>
      </c>
      <c r="M40" s="119">
        <v>4</v>
      </c>
      <c r="N40" s="119">
        <f t="shared" si="7"/>
        <v>0</v>
      </c>
      <c r="O40" s="106"/>
      <c r="P40" s="106"/>
      <c r="Q40" s="106"/>
      <c r="R40" s="106"/>
      <c r="S40" s="106"/>
      <c r="T40" s="244"/>
      <c r="U40" s="245"/>
      <c r="V40" s="106"/>
      <c r="W40" s="106"/>
      <c r="X40" s="106"/>
      <c r="Y40" s="106"/>
      <c r="Z40" s="149">
        <f>'Reagent Consumption'!O43</f>
        <v>0</v>
      </c>
      <c r="AA40" s="239">
        <f>'Fuel Consumption'!F37</f>
        <v>0</v>
      </c>
      <c r="AB40" s="149">
        <f>'Reagent Consumption'!Q43</f>
        <v>0</v>
      </c>
      <c r="AC40" s="149">
        <f>'Reagent Consumption'!P43</f>
        <v>0</v>
      </c>
      <c r="AD40" s="149">
        <f>'Reagent Consumption'!R43</f>
        <v>0</v>
      </c>
      <c r="AE40" s="149">
        <f>'Reagent Consumption'!S43</f>
        <v>0</v>
      </c>
      <c r="AF40" s="149">
        <f>'Reagent Consumption'!T43</f>
        <v>0</v>
      </c>
      <c r="AG40" s="149">
        <f>'Fuel Consumption'!F37</f>
        <v>0</v>
      </c>
      <c r="AH40" s="149"/>
      <c r="AI40" s="149"/>
      <c r="AJ40" s="149"/>
      <c r="AK40" s="149"/>
      <c r="AL40" s="149"/>
      <c r="AM40" s="149"/>
      <c r="AN40" s="149"/>
      <c r="AO40" s="149"/>
      <c r="AP40" s="244"/>
      <c r="AQ40" s="106"/>
      <c r="AR40" s="85"/>
      <c r="AS40" s="85"/>
    </row>
    <row r="41" spans="1:45" ht="14.4" x14ac:dyDescent="0.3">
      <c r="A41" s="85"/>
      <c r="B41" s="98">
        <v>46282</v>
      </c>
      <c r="C41" s="242">
        <f>Crushing!N40</f>
        <v>0</v>
      </c>
      <c r="D41" s="242">
        <f t="shared" si="13"/>
        <v>2145.0891000000006</v>
      </c>
      <c r="E41" s="243" t="e">
        <f t="shared" si="12"/>
        <v>#DIV/0!</v>
      </c>
      <c r="F41" s="106"/>
      <c r="G41" s="99">
        <f t="shared" si="10"/>
        <v>0</v>
      </c>
      <c r="H41" s="144">
        <f t="shared" si="11"/>
        <v>0</v>
      </c>
      <c r="I41" s="99">
        <f>'Crushing Down Time Hours'!L36</f>
        <v>0</v>
      </c>
      <c r="J41" s="99">
        <f>'Milling Down Time Hours'!M23</f>
        <v>24</v>
      </c>
      <c r="K41" s="102">
        <f>'Crushing Down Time Hours'!M41</f>
        <v>0</v>
      </c>
      <c r="L41" s="102">
        <f t="shared" si="2"/>
        <v>1</v>
      </c>
      <c r="M41" s="119">
        <v>5</v>
      </c>
      <c r="N41" s="119">
        <f t="shared" si="7"/>
        <v>0</v>
      </c>
      <c r="O41" s="106"/>
      <c r="P41" s="106"/>
      <c r="Q41" s="106"/>
      <c r="R41" s="106"/>
      <c r="S41" s="106"/>
      <c r="T41" s="244"/>
      <c r="U41" s="245"/>
      <c r="V41" s="106"/>
      <c r="W41" s="106"/>
      <c r="X41" s="106"/>
      <c r="Y41" s="106"/>
      <c r="Z41" s="149">
        <f>'Reagent Consumption'!O44</f>
        <v>0</v>
      </c>
      <c r="AA41" s="239">
        <f>'Fuel Consumption'!F38</f>
        <v>0</v>
      </c>
      <c r="AB41" s="149">
        <f>'Reagent Consumption'!Q44</f>
        <v>0</v>
      </c>
      <c r="AC41" s="149">
        <f>'Reagent Consumption'!P44</f>
        <v>0</v>
      </c>
      <c r="AD41" s="149">
        <f>'Reagent Consumption'!R44</f>
        <v>0</v>
      </c>
      <c r="AE41" s="149">
        <f>'Reagent Consumption'!S44</f>
        <v>0</v>
      </c>
      <c r="AF41" s="149">
        <f>'Reagent Consumption'!T44</f>
        <v>0</v>
      </c>
      <c r="AG41" s="149">
        <f>'Fuel Consumption'!F38</f>
        <v>0</v>
      </c>
      <c r="AH41" s="149"/>
      <c r="AI41" s="149"/>
      <c r="AJ41" s="149"/>
      <c r="AK41" s="149"/>
      <c r="AL41" s="149"/>
      <c r="AM41" s="149"/>
      <c r="AN41" s="149"/>
      <c r="AO41" s="149"/>
      <c r="AP41" s="244"/>
      <c r="AQ41" s="106"/>
      <c r="AR41" s="85"/>
      <c r="AS41" s="85"/>
    </row>
    <row r="42" spans="1:45" ht="14.4" x14ac:dyDescent="0.3">
      <c r="A42" s="85"/>
      <c r="B42" s="98">
        <v>46283</v>
      </c>
      <c r="C42" s="242">
        <f>Crushing!N41</f>
        <v>0</v>
      </c>
      <c r="D42" s="242">
        <f t="shared" si="13"/>
        <v>2145.0891000000006</v>
      </c>
      <c r="E42" s="243" t="e">
        <f>C42/I42</f>
        <v>#DIV/0!</v>
      </c>
      <c r="F42" s="106"/>
      <c r="G42" s="99">
        <f t="shared" si="10"/>
        <v>0</v>
      </c>
      <c r="H42" s="144">
        <f t="shared" si="11"/>
        <v>0</v>
      </c>
      <c r="I42" s="99">
        <f>'Crushing Down Time Hours'!L37</f>
        <v>0</v>
      </c>
      <c r="J42" s="99">
        <f>'Milling Down Time Hours'!M24</f>
        <v>24</v>
      </c>
      <c r="K42" s="102">
        <f>'Crushing Down Time Hours'!M42</f>
        <v>0</v>
      </c>
      <c r="L42" s="102">
        <f t="shared" si="2"/>
        <v>1</v>
      </c>
      <c r="M42" s="119">
        <v>6</v>
      </c>
      <c r="N42" s="119">
        <f t="shared" si="7"/>
        <v>0</v>
      </c>
      <c r="O42" s="106"/>
      <c r="P42" s="106"/>
      <c r="Q42" s="106"/>
      <c r="R42" s="106"/>
      <c r="S42" s="106"/>
      <c r="T42" s="244"/>
      <c r="U42" s="245"/>
      <c r="V42" s="106"/>
      <c r="W42" s="106"/>
      <c r="X42" s="106"/>
      <c r="Y42" s="106"/>
      <c r="Z42" s="149">
        <f>'Reagent Consumption'!O45</f>
        <v>0</v>
      </c>
      <c r="AA42" s="239">
        <f>'Fuel Consumption'!F39</f>
        <v>0</v>
      </c>
      <c r="AB42" s="149">
        <f>'Reagent Consumption'!Q45</f>
        <v>0</v>
      </c>
      <c r="AC42" s="149">
        <f>'Reagent Consumption'!P45</f>
        <v>0</v>
      </c>
      <c r="AD42" s="149">
        <f>'Reagent Consumption'!R45</f>
        <v>0</v>
      </c>
      <c r="AE42" s="149">
        <f>'Reagent Consumption'!S45</f>
        <v>0</v>
      </c>
      <c r="AF42" s="149">
        <f>'Reagent Consumption'!T45</f>
        <v>0</v>
      </c>
      <c r="AG42" s="149">
        <f>'Fuel Consumption'!F39</f>
        <v>0</v>
      </c>
      <c r="AH42" s="149"/>
      <c r="AI42" s="149"/>
      <c r="AJ42" s="149"/>
      <c r="AK42" s="149"/>
      <c r="AL42" s="149"/>
      <c r="AM42" s="149"/>
      <c r="AN42" s="149"/>
      <c r="AO42" s="149"/>
      <c r="AP42" s="244"/>
      <c r="AQ42" s="106"/>
      <c r="AR42" s="85"/>
      <c r="AS42" s="85"/>
    </row>
    <row r="43" spans="1:45" ht="14.4" x14ac:dyDescent="0.3">
      <c r="A43" s="85"/>
      <c r="B43" s="98">
        <v>46284</v>
      </c>
      <c r="C43" s="242">
        <f>Crushing!N42</f>
        <v>0</v>
      </c>
      <c r="D43" s="242">
        <f t="shared" si="13"/>
        <v>2145.0891000000006</v>
      </c>
      <c r="E43" s="243" t="e">
        <f t="shared" si="12"/>
        <v>#DIV/0!</v>
      </c>
      <c r="F43" s="106"/>
      <c r="G43" s="99">
        <f t="shared" si="10"/>
        <v>0</v>
      </c>
      <c r="H43" s="144">
        <f t="shared" si="11"/>
        <v>0</v>
      </c>
      <c r="I43" s="99">
        <f>'Crushing Down Time Hours'!L38</f>
        <v>0</v>
      </c>
      <c r="J43" s="99">
        <f>'Milling Down Time Hours'!M25</f>
        <v>24</v>
      </c>
      <c r="K43" s="102">
        <f>'Crushing Down Time Hours'!M43</f>
        <v>0.49962121212121213</v>
      </c>
      <c r="L43" s="102">
        <f t="shared" si="2"/>
        <v>1</v>
      </c>
      <c r="M43" s="119">
        <v>7</v>
      </c>
      <c r="N43" s="119">
        <f t="shared" si="7"/>
        <v>0</v>
      </c>
      <c r="O43" s="106"/>
      <c r="P43" s="106"/>
      <c r="Q43" s="106"/>
      <c r="R43" s="106"/>
      <c r="S43" s="106"/>
      <c r="T43" s="244"/>
      <c r="U43" s="245"/>
      <c r="V43" s="106"/>
      <c r="W43" s="106"/>
      <c r="X43" s="106"/>
      <c r="Y43" s="106"/>
      <c r="Z43" s="149">
        <f>'Reagent Consumption'!O46</f>
        <v>0</v>
      </c>
      <c r="AA43" s="239">
        <f>'Fuel Consumption'!F40</f>
        <v>0</v>
      </c>
      <c r="AB43" s="149">
        <f>'Reagent Consumption'!Q46</f>
        <v>0</v>
      </c>
      <c r="AC43" s="149">
        <f>'Reagent Consumption'!P46</f>
        <v>0</v>
      </c>
      <c r="AD43" s="149">
        <f>'Reagent Consumption'!R46</f>
        <v>0</v>
      </c>
      <c r="AE43" s="149">
        <f>'Reagent Consumption'!S46</f>
        <v>0</v>
      </c>
      <c r="AF43" s="149">
        <f>'Reagent Consumption'!T46</f>
        <v>0</v>
      </c>
      <c r="AG43" s="149">
        <f>'Fuel Consumption'!F40</f>
        <v>0</v>
      </c>
      <c r="AH43" s="149"/>
      <c r="AI43" s="149"/>
      <c r="AJ43" s="149"/>
      <c r="AK43" s="149"/>
      <c r="AL43" s="149"/>
      <c r="AM43" s="149"/>
      <c r="AN43" s="149"/>
      <c r="AO43" s="149"/>
      <c r="AP43" s="244"/>
      <c r="AQ43" s="106"/>
      <c r="AR43" s="85"/>
      <c r="AS43" s="85"/>
    </row>
    <row r="44" spans="1:45" ht="14.4" x14ac:dyDescent="0.3">
      <c r="A44" s="85"/>
      <c r="B44" s="98">
        <v>46285</v>
      </c>
      <c r="C44" s="242">
        <f>Crushing!N43</f>
        <v>0</v>
      </c>
      <c r="D44" s="242">
        <f t="shared" si="13"/>
        <v>2145.0891000000006</v>
      </c>
      <c r="E44" s="243" t="e">
        <f t="shared" si="12"/>
        <v>#DIV/0!</v>
      </c>
      <c r="F44" s="106"/>
      <c r="G44" s="99">
        <f t="shared" si="10"/>
        <v>0</v>
      </c>
      <c r="H44" s="144">
        <f t="shared" si="11"/>
        <v>0</v>
      </c>
      <c r="I44" s="99">
        <f>'Crushing Down Time Hours'!L39</f>
        <v>0</v>
      </c>
      <c r="J44" s="99">
        <f>'Milling Down Time Hours'!M26</f>
        <v>24</v>
      </c>
      <c r="K44" s="102">
        <f>'Crushing Down Time Hours'!M44</f>
        <v>0</v>
      </c>
      <c r="L44" s="102">
        <f t="shared" si="2"/>
        <v>1</v>
      </c>
      <c r="M44" s="119">
        <v>8</v>
      </c>
      <c r="N44" s="119">
        <f t="shared" si="7"/>
        <v>0</v>
      </c>
      <c r="O44" s="106"/>
      <c r="P44" s="106"/>
      <c r="Q44" s="106"/>
      <c r="R44" s="106"/>
      <c r="S44" s="106"/>
      <c r="T44" s="244"/>
      <c r="U44" s="245"/>
      <c r="V44" s="106"/>
      <c r="W44" s="106"/>
      <c r="X44" s="106"/>
      <c r="Y44" s="106"/>
      <c r="Z44" s="149">
        <f>'Reagent Consumption'!O47</f>
        <v>0</v>
      </c>
      <c r="AA44" s="239">
        <f>'Fuel Consumption'!F41</f>
        <v>0</v>
      </c>
      <c r="AB44" s="149">
        <f>'Reagent Consumption'!Q47</f>
        <v>0</v>
      </c>
      <c r="AC44" s="149">
        <f>'Reagent Consumption'!P47</f>
        <v>0</v>
      </c>
      <c r="AD44" s="149">
        <f>'Reagent Consumption'!R47</f>
        <v>0</v>
      </c>
      <c r="AE44" s="149">
        <f>'Reagent Consumption'!S47</f>
        <v>0</v>
      </c>
      <c r="AF44" s="149">
        <f>'Reagent Consumption'!T47</f>
        <v>0</v>
      </c>
      <c r="AG44" s="149">
        <f>'Fuel Consumption'!F41</f>
        <v>0</v>
      </c>
      <c r="AH44" s="149"/>
      <c r="AI44" s="149"/>
      <c r="AJ44" s="149"/>
      <c r="AK44" s="149"/>
      <c r="AL44" s="149"/>
      <c r="AM44" s="149"/>
      <c r="AN44" s="149"/>
      <c r="AO44" s="149"/>
      <c r="AP44" s="244"/>
      <c r="AQ44" s="106"/>
      <c r="AR44" s="85"/>
      <c r="AS44" s="85"/>
    </row>
    <row r="45" spans="1:45" ht="14.4" x14ac:dyDescent="0.3">
      <c r="A45" s="85"/>
      <c r="B45" s="98">
        <v>46286</v>
      </c>
      <c r="C45" s="242">
        <f>Crushing!N44</f>
        <v>0</v>
      </c>
      <c r="D45" s="242">
        <f t="shared" si="13"/>
        <v>2145.0891000000006</v>
      </c>
      <c r="E45" s="243" t="e">
        <f t="shared" si="12"/>
        <v>#DIV/0!</v>
      </c>
      <c r="F45" s="106"/>
      <c r="G45" s="99">
        <f t="shared" si="10"/>
        <v>0</v>
      </c>
      <c r="H45" s="144">
        <f t="shared" si="11"/>
        <v>0</v>
      </c>
      <c r="I45" s="99">
        <f>'Crushing Down Time Hours'!L40</f>
        <v>0</v>
      </c>
      <c r="J45" s="242"/>
      <c r="K45" s="102">
        <f>'Crushing Down Time Hours'!M45</f>
        <v>0</v>
      </c>
      <c r="L45" s="102">
        <f t="shared" si="2"/>
        <v>0</v>
      </c>
      <c r="M45" s="119">
        <v>9</v>
      </c>
      <c r="N45" s="119">
        <f t="shared" si="7"/>
        <v>0</v>
      </c>
      <c r="O45" s="106"/>
      <c r="P45" s="106"/>
      <c r="Q45" s="106"/>
      <c r="R45" s="106"/>
      <c r="S45" s="106"/>
      <c r="T45" s="244"/>
      <c r="U45" s="245"/>
      <c r="V45" s="106"/>
      <c r="W45" s="106"/>
      <c r="X45" s="106"/>
      <c r="Y45" s="106"/>
      <c r="Z45" s="149">
        <f>'Reagent Consumption'!O48</f>
        <v>0</v>
      </c>
      <c r="AA45" s="239">
        <f>'Fuel Consumption'!F42</f>
        <v>0</v>
      </c>
      <c r="AB45" s="149">
        <f>'Reagent Consumption'!Q48</f>
        <v>0</v>
      </c>
      <c r="AC45" s="149">
        <f>'Reagent Consumption'!P48</f>
        <v>0</v>
      </c>
      <c r="AD45" s="149">
        <f>'Reagent Consumption'!R48</f>
        <v>0</v>
      </c>
      <c r="AE45" s="149">
        <f>'Reagent Consumption'!S48</f>
        <v>0</v>
      </c>
      <c r="AF45" s="149">
        <f>'Reagent Consumption'!T48</f>
        <v>0</v>
      </c>
      <c r="AG45" s="149">
        <f>'Fuel Consumption'!F42</f>
        <v>0</v>
      </c>
      <c r="AH45" s="149"/>
      <c r="AI45" s="149"/>
      <c r="AJ45" s="149"/>
      <c r="AK45" s="149"/>
      <c r="AL45" s="149"/>
      <c r="AM45" s="149"/>
      <c r="AN45" s="149"/>
      <c r="AO45" s="149"/>
      <c r="AP45" s="244"/>
      <c r="AQ45" s="106"/>
      <c r="AR45" s="85"/>
      <c r="AS45" s="85"/>
    </row>
    <row r="46" spans="1:45" ht="14.4" x14ac:dyDescent="0.3">
      <c r="A46" s="85"/>
      <c r="B46" s="98">
        <v>46287</v>
      </c>
      <c r="C46" s="242">
        <f>Crushing!N45</f>
        <v>0</v>
      </c>
      <c r="D46" s="242">
        <f t="shared" si="13"/>
        <v>2145.0891000000006</v>
      </c>
      <c r="E46" s="243" t="e">
        <f t="shared" si="12"/>
        <v>#DIV/0!</v>
      </c>
      <c r="F46" s="106"/>
      <c r="G46" s="99">
        <f t="shared" si="10"/>
        <v>0</v>
      </c>
      <c r="H46" s="144">
        <f t="shared" si="11"/>
        <v>0</v>
      </c>
      <c r="I46" s="99">
        <f>'Crushing Down Time Hours'!L41</f>
        <v>0</v>
      </c>
      <c r="J46" s="242"/>
      <c r="K46" s="119"/>
      <c r="L46" s="119"/>
      <c r="M46" s="119"/>
      <c r="N46" s="119"/>
      <c r="O46" s="106"/>
      <c r="P46" s="106"/>
      <c r="Q46" s="106"/>
      <c r="R46" s="106"/>
      <c r="S46" s="106"/>
      <c r="T46" s="244"/>
      <c r="U46" s="245"/>
      <c r="V46" s="106"/>
      <c r="W46" s="106"/>
      <c r="X46" s="106"/>
      <c r="Y46" s="106"/>
      <c r="Z46" s="149">
        <f>'Reagent Consumption'!O49</f>
        <v>0</v>
      </c>
      <c r="AA46" s="239">
        <f>'Fuel Consumption'!F43</f>
        <v>0</v>
      </c>
      <c r="AB46" s="149">
        <f>'Reagent Consumption'!Q49</f>
        <v>0</v>
      </c>
      <c r="AC46" s="149">
        <f>'Reagent Consumption'!P49</f>
        <v>0</v>
      </c>
      <c r="AD46" s="149">
        <f>'Reagent Consumption'!R49</f>
        <v>0</v>
      </c>
      <c r="AE46" s="149">
        <f>'Reagent Consumption'!S49</f>
        <v>0</v>
      </c>
      <c r="AF46" s="149">
        <f>'Reagent Consumption'!T49</f>
        <v>0</v>
      </c>
      <c r="AG46" s="149">
        <f>'Fuel Consumption'!F43</f>
        <v>0</v>
      </c>
      <c r="AH46" s="149"/>
      <c r="AI46" s="149"/>
      <c r="AJ46" s="149"/>
      <c r="AK46" s="149"/>
      <c r="AL46" s="149"/>
      <c r="AM46" s="149"/>
      <c r="AN46" s="149"/>
      <c r="AO46" s="149"/>
      <c r="AP46" s="244"/>
      <c r="AQ46" s="106"/>
      <c r="AR46" s="85"/>
      <c r="AS46" s="85"/>
    </row>
    <row r="47" spans="1:45" ht="14.4" x14ac:dyDescent="0.3">
      <c r="A47" s="85"/>
      <c r="B47" s="98">
        <v>46288</v>
      </c>
      <c r="C47" s="242">
        <f>Crushing!N46</f>
        <v>0</v>
      </c>
      <c r="D47" s="242">
        <f t="shared" si="13"/>
        <v>2145.0891000000006</v>
      </c>
      <c r="E47" s="243" t="e">
        <f t="shared" si="12"/>
        <v>#DIV/0!</v>
      </c>
      <c r="F47" s="106"/>
      <c r="G47" s="99">
        <f t="shared" si="10"/>
        <v>0</v>
      </c>
      <c r="H47" s="144">
        <f t="shared" si="11"/>
        <v>0</v>
      </c>
      <c r="I47" s="99">
        <f>'Crushing Down Time Hours'!L42</f>
        <v>0</v>
      </c>
      <c r="J47" s="242"/>
      <c r="K47" s="119"/>
      <c r="L47" s="119"/>
      <c r="M47" s="119"/>
      <c r="N47" s="119"/>
      <c r="O47" s="106"/>
      <c r="P47" s="106"/>
      <c r="Q47" s="106"/>
      <c r="R47" s="106"/>
      <c r="S47" s="106"/>
      <c r="T47" s="244"/>
      <c r="U47" s="245"/>
      <c r="V47" s="106"/>
      <c r="W47" s="106"/>
      <c r="X47" s="106"/>
      <c r="Y47" s="106"/>
      <c r="Z47" s="149">
        <f>'Reagent Consumption'!O50</f>
        <v>0</v>
      </c>
      <c r="AA47" s="239">
        <f>'Fuel Consumption'!F44</f>
        <v>0</v>
      </c>
      <c r="AB47" s="149">
        <f>'Reagent Consumption'!Q50</f>
        <v>0</v>
      </c>
      <c r="AC47" s="149">
        <f>'Reagent Consumption'!P50</f>
        <v>0</v>
      </c>
      <c r="AD47" s="149">
        <f>'Reagent Consumption'!R50</f>
        <v>0</v>
      </c>
      <c r="AE47" s="149">
        <f>'Reagent Consumption'!S50</f>
        <v>0</v>
      </c>
      <c r="AF47" s="149">
        <f>'Reagent Consumption'!T50</f>
        <v>0</v>
      </c>
      <c r="AG47" s="149">
        <f>'Fuel Consumption'!F44</f>
        <v>0</v>
      </c>
      <c r="AH47" s="149"/>
      <c r="AI47" s="149"/>
      <c r="AJ47" s="149"/>
      <c r="AK47" s="149"/>
      <c r="AL47" s="149"/>
      <c r="AM47" s="149"/>
      <c r="AN47" s="149"/>
      <c r="AO47" s="149"/>
      <c r="AP47" s="244"/>
      <c r="AQ47" s="106"/>
      <c r="AR47" s="85"/>
      <c r="AS47" s="85"/>
    </row>
    <row r="48" spans="1:45" ht="14.4" x14ac:dyDescent="0.3">
      <c r="A48" s="85"/>
      <c r="B48" s="98">
        <v>46289</v>
      </c>
      <c r="C48" s="242">
        <f>Crushing!N47</f>
        <v>0</v>
      </c>
      <c r="D48" s="242">
        <f t="shared" si="13"/>
        <v>2145.0891000000006</v>
      </c>
      <c r="E48" s="243">
        <f t="shared" si="12"/>
        <v>0</v>
      </c>
      <c r="F48" s="106"/>
      <c r="G48" s="99">
        <f t="shared" si="10"/>
        <v>0</v>
      </c>
      <c r="H48" s="144">
        <f t="shared" si="11"/>
        <v>0</v>
      </c>
      <c r="I48" s="99">
        <f>'Crushing Down Time Hours'!L43</f>
        <v>65.95</v>
      </c>
      <c r="J48" s="242"/>
      <c r="K48" s="119"/>
      <c r="L48" s="119"/>
      <c r="M48" s="119"/>
      <c r="N48" s="119"/>
      <c r="O48" s="106"/>
      <c r="P48" s="106"/>
      <c r="Q48" s="106"/>
      <c r="R48" s="106"/>
      <c r="S48" s="106"/>
      <c r="T48" s="244"/>
      <c r="U48" s="245"/>
      <c r="V48" s="106"/>
      <c r="W48" s="106"/>
      <c r="X48" s="106"/>
      <c r="Y48" s="106"/>
      <c r="Z48" s="149">
        <f>'Reagent Consumption'!O51</f>
        <v>0</v>
      </c>
      <c r="AA48" s="239">
        <f>'Fuel Consumption'!F45</f>
        <v>0</v>
      </c>
      <c r="AB48" s="149">
        <f>'Reagent Consumption'!Q51</f>
        <v>0</v>
      </c>
      <c r="AC48" s="149">
        <f>'Reagent Consumption'!P51</f>
        <v>0</v>
      </c>
      <c r="AD48" s="149">
        <f>'Reagent Consumption'!R51</f>
        <v>0</v>
      </c>
      <c r="AE48" s="149">
        <f>'Reagent Consumption'!S51</f>
        <v>0</v>
      </c>
      <c r="AF48" s="149">
        <f>'Reagent Consumption'!T51</f>
        <v>0</v>
      </c>
      <c r="AG48" s="149">
        <f>'Fuel Consumption'!F45</f>
        <v>0</v>
      </c>
      <c r="AH48" s="149"/>
      <c r="AI48" s="149"/>
      <c r="AJ48" s="149"/>
      <c r="AK48" s="149"/>
      <c r="AL48" s="149"/>
      <c r="AM48" s="149"/>
      <c r="AN48" s="149"/>
      <c r="AO48" s="149"/>
      <c r="AP48" s="244"/>
      <c r="AQ48" s="106"/>
      <c r="AR48" s="85"/>
      <c r="AS48" s="85"/>
    </row>
    <row r="49" spans="1:45" ht="14.4" x14ac:dyDescent="0.3">
      <c r="A49" s="85"/>
      <c r="B49" s="462">
        <v>46290</v>
      </c>
      <c r="C49" s="463">
        <f>Crushing!N48</f>
        <v>0</v>
      </c>
      <c r="D49" s="463">
        <f t="shared" si="13"/>
        <v>2145.0891000000006</v>
      </c>
      <c r="E49" s="464">
        <f t="shared" si="12"/>
        <v>0</v>
      </c>
      <c r="F49" s="465"/>
      <c r="G49" s="239">
        <f t="shared" si="10"/>
        <v>0</v>
      </c>
      <c r="H49" s="144">
        <f t="shared" si="11"/>
        <v>0</v>
      </c>
      <c r="I49" s="99">
        <f>'Crushing Down Time Hours'!L44</f>
        <v>0.61064814814814816</v>
      </c>
      <c r="J49" s="463"/>
      <c r="K49" s="466"/>
      <c r="L49" s="466"/>
      <c r="M49" s="466"/>
      <c r="N49" s="466"/>
      <c r="O49" s="465"/>
      <c r="P49" s="465"/>
      <c r="Q49" s="465"/>
      <c r="R49" s="465"/>
      <c r="S49" s="465"/>
      <c r="T49" s="467"/>
      <c r="U49" s="468"/>
      <c r="V49" s="465"/>
      <c r="W49" s="465"/>
      <c r="X49" s="465"/>
      <c r="Y49" s="465"/>
      <c r="Z49" s="149">
        <f>'Reagent Consumption'!O52</f>
        <v>0</v>
      </c>
      <c r="AA49" s="239">
        <f>'Fuel Consumption'!F46</f>
        <v>0</v>
      </c>
      <c r="AB49" s="149">
        <f>'Reagent Consumption'!Q52</f>
        <v>0</v>
      </c>
      <c r="AC49" s="149">
        <f>'Reagent Consumption'!P52</f>
        <v>0</v>
      </c>
      <c r="AD49" s="149">
        <f>'Reagent Consumption'!R52</f>
        <v>0</v>
      </c>
      <c r="AE49" s="149">
        <f>'Reagent Consumption'!S52</f>
        <v>0</v>
      </c>
      <c r="AF49" s="149">
        <f>'Reagent Consumption'!T52</f>
        <v>0</v>
      </c>
      <c r="AG49" s="149">
        <f>'Fuel Consumption'!F46</f>
        <v>0</v>
      </c>
      <c r="AH49" s="149"/>
      <c r="AI49" s="149"/>
      <c r="AJ49" s="149"/>
      <c r="AK49" s="149"/>
      <c r="AL49" s="149"/>
      <c r="AM49" s="149"/>
      <c r="AN49" s="149"/>
      <c r="AO49" s="149"/>
      <c r="AP49" s="467"/>
      <c r="AQ49" s="465"/>
      <c r="AR49" s="85"/>
      <c r="AS49" s="85"/>
    </row>
    <row r="50" spans="1:45" ht="14.4" x14ac:dyDescent="0.3">
      <c r="A50" s="85"/>
      <c r="B50" s="469" t="s">
        <v>18</v>
      </c>
      <c r="C50" s="473">
        <f>SUM(C7:C49)</f>
        <v>2145.0891000000006</v>
      </c>
      <c r="D50" s="474"/>
      <c r="E50" s="474"/>
      <c r="F50" s="474"/>
      <c r="G50" s="473">
        <f>SUM(G7:G49)</f>
        <v>1775.8371160412696</v>
      </c>
      <c r="H50" s="475">
        <f>SUM(H7:H37)</f>
        <v>1.77583711604127</v>
      </c>
      <c r="I50" s="480">
        <f>'Crushing Down Time Hours'!L45</f>
        <v>0</v>
      </c>
      <c r="J50" s="473"/>
      <c r="K50" s="476"/>
      <c r="L50" s="471"/>
      <c r="M50" s="471"/>
      <c r="N50" s="476"/>
      <c r="O50" s="471">
        <f t="shared" ref="O50:Y50" si="14">SUM(O7:O36)</f>
        <v>0</v>
      </c>
      <c r="P50" s="471">
        <f>SUM(P7:P36)</f>
        <v>0</v>
      </c>
      <c r="Q50" s="471">
        <f t="shared" si="14"/>
        <v>0</v>
      </c>
      <c r="R50" s="471"/>
      <c r="S50" s="471"/>
      <c r="T50" s="477">
        <f t="shared" ref="T50" si="15">R50-S50</f>
        <v>0</v>
      </c>
      <c r="U50" s="470"/>
      <c r="V50" s="471">
        <f t="shared" si="14"/>
        <v>0</v>
      </c>
      <c r="W50" s="471">
        <f t="shared" si="14"/>
        <v>0</v>
      </c>
      <c r="X50" s="471">
        <f t="shared" si="14"/>
        <v>0</v>
      </c>
      <c r="Y50" s="471">
        <f t="shared" si="14"/>
        <v>0</v>
      </c>
      <c r="Z50" s="471">
        <f>SUM(Z7:Z49)</f>
        <v>1125</v>
      </c>
      <c r="AA50" s="471"/>
      <c r="AB50" s="472">
        <f>SUM(AB7:AB49)</f>
        <v>2000</v>
      </c>
      <c r="AC50" s="472">
        <f>SUM(AC7:AC49)</f>
        <v>2250</v>
      </c>
      <c r="AD50" s="472"/>
      <c r="AE50" s="472"/>
      <c r="AF50" s="471">
        <f>SUM(AF7:AF49)</f>
        <v>50</v>
      </c>
      <c r="AG50" s="471">
        <f>SUM(AG7:AG37)</f>
        <v>0</v>
      </c>
      <c r="AH50" s="471"/>
      <c r="AI50" s="471"/>
      <c r="AJ50" s="471"/>
      <c r="AK50" s="471"/>
      <c r="AL50" s="471"/>
      <c r="AM50" s="471"/>
      <c r="AN50" s="472"/>
      <c r="AO50" s="471"/>
      <c r="AP50" s="471"/>
      <c r="AQ50" s="471"/>
      <c r="AR50" s="85"/>
      <c r="AS50" s="85"/>
    </row>
    <row r="51" spans="1:45" ht="14.4" x14ac:dyDescent="0.3">
      <c r="A51" s="85"/>
      <c r="B51" s="478" t="s">
        <v>122</v>
      </c>
      <c r="C51" s="473">
        <f>AVERAGE(C7:C15)</f>
        <v>155.12416666666667</v>
      </c>
      <c r="D51" s="473"/>
      <c r="E51" s="473" t="e">
        <f>AVERAGE(E7:E15)</f>
        <v>#DIV/0!</v>
      </c>
      <c r="F51" s="475">
        <f>AVERAGE(F7:F49)</f>
        <v>0.93252380952380953</v>
      </c>
      <c r="G51" s="473">
        <f>AVERAGE(G7:G37)</f>
        <v>57.285068259395793</v>
      </c>
      <c r="H51" s="473">
        <f t="shared" ref="H51:AF51" si="16">AVERAGE(H8:H36)</f>
        <v>6.1235762622112763E-2</v>
      </c>
      <c r="I51" s="473">
        <f>AVERAGE(I7:I15)</f>
        <v>9.1291666666666664</v>
      </c>
      <c r="J51" s="473"/>
      <c r="K51" s="476">
        <f>AVERAGE(K7:K17)</f>
        <v>0.6261904761904763</v>
      </c>
      <c r="L51" s="476">
        <f t="shared" si="16"/>
        <v>0.35986590038314181</v>
      </c>
      <c r="M51" s="476">
        <f t="shared" si="16"/>
        <v>0.91159003831417618</v>
      </c>
      <c r="N51" s="476">
        <f>AVERAGE(N8:N45)</f>
        <v>0.2220029239766082</v>
      </c>
      <c r="O51" s="473" t="e">
        <f t="shared" si="16"/>
        <v>#DIV/0!</v>
      </c>
      <c r="P51" s="473" t="e">
        <f>AVERAGE(P8:P36)</f>
        <v>#DIV/0!</v>
      </c>
      <c r="Q51" s="473" t="e">
        <f t="shared" si="16"/>
        <v>#DIV/0!</v>
      </c>
      <c r="R51" s="473"/>
      <c r="S51" s="473"/>
      <c r="T51" s="473"/>
      <c r="U51" s="479"/>
      <c r="V51" s="473" t="e">
        <f t="shared" si="16"/>
        <v>#DIV/0!</v>
      </c>
      <c r="W51" s="473" t="e">
        <f t="shared" si="16"/>
        <v>#DIV/0!</v>
      </c>
      <c r="X51" s="473" t="e">
        <f t="shared" si="16"/>
        <v>#DIV/0!</v>
      </c>
      <c r="Y51" s="473" t="e">
        <f t="shared" si="16"/>
        <v>#DIV/0!</v>
      </c>
      <c r="Z51" s="474">
        <f t="shared" si="16"/>
        <v>38.793103448275865</v>
      </c>
      <c r="AA51" s="473">
        <f t="shared" si="16"/>
        <v>0</v>
      </c>
      <c r="AB51" s="473">
        <f t="shared" si="16"/>
        <v>68.965517241379317</v>
      </c>
      <c r="AC51" s="474">
        <f t="shared" si="16"/>
        <v>77.58620689655173</v>
      </c>
      <c r="AD51" s="474"/>
      <c r="AE51" s="474"/>
      <c r="AF51" s="473">
        <f t="shared" si="16"/>
        <v>1.7241379310344827</v>
      </c>
      <c r="AG51" s="473"/>
      <c r="AH51" s="473"/>
      <c r="AI51" s="473"/>
      <c r="AJ51" s="473"/>
      <c r="AK51" s="473"/>
      <c r="AL51" s="473"/>
      <c r="AM51" s="473"/>
      <c r="AN51" s="473"/>
      <c r="AO51" s="473"/>
      <c r="AP51" s="473"/>
      <c r="AQ51" s="473"/>
      <c r="AR51" s="85"/>
      <c r="AS51" s="85"/>
    </row>
    <row r="52" spans="1:45" ht="14.4" x14ac:dyDescent="0.3">
      <c r="C52" s="86"/>
      <c r="D52" s="87"/>
      <c r="E52" s="87"/>
      <c r="I52" s="86"/>
      <c r="J52" s="86"/>
      <c r="K52" s="87"/>
      <c r="L52" s="87"/>
      <c r="M52" s="87"/>
    </row>
    <row r="53" spans="1:45" ht="14.4" x14ac:dyDescent="0.3">
      <c r="C53" s="86"/>
      <c r="D53" s="87"/>
      <c r="E53" s="453" t="s">
        <v>202</v>
      </c>
      <c r="F53" s="452">
        <f>MEDIAN(F7:F49)</f>
        <v>0.872</v>
      </c>
      <c r="I53" s="86"/>
      <c r="J53" s="86"/>
      <c r="K53" s="87"/>
      <c r="L53" s="87"/>
      <c r="M53" s="87"/>
    </row>
    <row r="54" spans="1:45" ht="14.4" x14ac:dyDescent="0.3">
      <c r="C54" s="86"/>
      <c r="D54" s="87"/>
      <c r="E54" s="453" t="s">
        <v>203</v>
      </c>
      <c r="F54" s="134">
        <f>MAX(F7:F17)</f>
        <v>1.45</v>
      </c>
      <c r="I54" s="86"/>
      <c r="J54" s="86"/>
      <c r="K54" s="87"/>
      <c r="L54" s="87"/>
      <c r="M54" s="87"/>
      <c r="W54" s="632" t="s">
        <v>205</v>
      </c>
      <c r="X54" s="632"/>
    </row>
    <row r="55" spans="1:45" ht="14.4" x14ac:dyDescent="0.3">
      <c r="C55" s="86"/>
      <c r="D55" s="87"/>
      <c r="E55" s="453" t="s">
        <v>204</v>
      </c>
      <c r="F55" s="134">
        <f>MIN(F7,F9:F19)</f>
        <v>0.442</v>
      </c>
      <c r="I55" s="86"/>
      <c r="J55" s="86"/>
      <c r="K55" s="87"/>
      <c r="L55" s="87"/>
      <c r="M55" s="87"/>
      <c r="W55" s="163" t="s">
        <v>206</v>
      </c>
      <c r="X55" s="164">
        <f>F53</f>
        <v>0.872</v>
      </c>
    </row>
    <row r="56" spans="1:45" ht="43.2" x14ac:dyDescent="0.3">
      <c r="C56" s="86"/>
      <c r="D56" s="87"/>
      <c r="E56" s="87"/>
      <c r="G56" s="433" t="s">
        <v>196</v>
      </c>
      <c r="I56" s="86"/>
      <c r="J56" s="86"/>
      <c r="K56" s="87"/>
      <c r="L56" s="87"/>
      <c r="M56" s="87"/>
      <c r="W56" s="163" t="s">
        <v>122</v>
      </c>
      <c r="X56" s="164">
        <f>F51</f>
        <v>0.93252380952380953</v>
      </c>
      <c r="AI56">
        <f>0.6*1.4</f>
        <v>0.84</v>
      </c>
    </row>
    <row r="57" spans="1:45" ht="43.2" x14ac:dyDescent="0.3">
      <c r="C57" s="86"/>
      <c r="D57" s="87"/>
      <c r="E57" s="162"/>
      <c r="F57" s="454" t="s">
        <v>424</v>
      </c>
      <c r="G57" s="455">
        <f>G50/D49</f>
        <v>0.82786170329300968</v>
      </c>
      <c r="I57" s="86"/>
      <c r="J57" s="86"/>
      <c r="K57" s="87"/>
      <c r="L57" s="87"/>
      <c r="M57" s="87"/>
      <c r="W57" s="163" t="s">
        <v>204</v>
      </c>
      <c r="X57" s="164">
        <f>F55</f>
        <v>0.442</v>
      </c>
    </row>
    <row r="58" spans="1:45" ht="14.4" x14ac:dyDescent="0.3">
      <c r="C58" s="86"/>
      <c r="D58" s="87"/>
      <c r="E58" s="87"/>
      <c r="I58" s="86"/>
      <c r="J58" s="86"/>
      <c r="K58" s="87"/>
      <c r="L58" s="87"/>
      <c r="M58" s="87"/>
      <c r="W58" s="163" t="s">
        <v>203</v>
      </c>
      <c r="X58" s="164">
        <f>F54</f>
        <v>1.45</v>
      </c>
    </row>
    <row r="59" spans="1:45" ht="14.4" x14ac:dyDescent="0.3">
      <c r="C59" s="86"/>
      <c r="D59" s="87"/>
      <c r="E59" s="87"/>
      <c r="I59" s="86"/>
      <c r="J59" s="86"/>
      <c r="K59" s="87"/>
      <c r="L59" s="87"/>
      <c r="M59" s="87"/>
    </row>
    <row r="60" spans="1:45" ht="14.4" x14ac:dyDescent="0.3">
      <c r="C60" s="86"/>
      <c r="D60" s="162"/>
      <c r="E60" s="87"/>
      <c r="I60" s="86"/>
      <c r="J60" s="86"/>
      <c r="K60" s="87"/>
      <c r="L60" s="87"/>
      <c r="M60" s="87"/>
      <c r="W60" s="632" t="s">
        <v>207</v>
      </c>
      <c r="X60" s="632"/>
    </row>
    <row r="61" spans="1:45" ht="14.4" x14ac:dyDescent="0.3">
      <c r="C61" s="86"/>
      <c r="D61" s="87"/>
      <c r="E61" s="87"/>
      <c r="I61" s="86"/>
      <c r="J61" s="86"/>
      <c r="K61" s="87"/>
      <c r="L61" s="87"/>
      <c r="M61" s="87"/>
      <c r="W61" s="163" t="s">
        <v>208</v>
      </c>
      <c r="X61" s="127">
        <f>C51</f>
        <v>155.12416666666667</v>
      </c>
    </row>
    <row r="62" spans="1:45" ht="14.4" x14ac:dyDescent="0.3">
      <c r="C62" s="86"/>
      <c r="D62" s="87"/>
      <c r="E62" s="87"/>
      <c r="I62" s="86"/>
      <c r="J62" s="86"/>
      <c r="K62" s="87"/>
      <c r="L62" s="87"/>
      <c r="M62" s="87"/>
      <c r="W62" s="163" t="s">
        <v>37</v>
      </c>
      <c r="X62" s="127" t="e">
        <f>E51</f>
        <v>#DIV/0!</v>
      </c>
    </row>
    <row r="63" spans="1:45" ht="14.4" x14ac:dyDescent="0.3">
      <c r="C63" s="86"/>
      <c r="D63" s="87"/>
      <c r="E63" s="87"/>
      <c r="I63" s="86"/>
      <c r="J63" s="86"/>
      <c r="K63" s="87"/>
      <c r="L63" s="87"/>
      <c r="M63" s="87"/>
    </row>
    <row r="64" spans="1:45" ht="14.4" x14ac:dyDescent="0.3">
      <c r="C64" s="86"/>
      <c r="D64" s="87"/>
      <c r="E64" s="87"/>
      <c r="I64" s="86"/>
      <c r="J64" s="86"/>
      <c r="K64" s="87"/>
      <c r="L64" s="87"/>
      <c r="M64" s="87"/>
    </row>
    <row r="65" spans="3:13" ht="14.4" x14ac:dyDescent="0.3">
      <c r="C65" s="86"/>
      <c r="D65" s="87"/>
      <c r="E65" s="87"/>
      <c r="I65" s="86"/>
      <c r="J65" s="86"/>
      <c r="K65" s="87"/>
      <c r="L65" s="87"/>
      <c r="M65" s="87"/>
    </row>
    <row r="66" spans="3:13" ht="14.4" x14ac:dyDescent="0.3">
      <c r="C66" s="86"/>
      <c r="D66" s="87"/>
      <c r="E66" s="87"/>
      <c r="I66" s="86"/>
      <c r="J66" s="86"/>
      <c r="K66" s="87"/>
      <c r="L66" s="87"/>
      <c r="M66" s="87"/>
    </row>
    <row r="67" spans="3:13" ht="14.4" x14ac:dyDescent="0.3">
      <c r="C67" s="86"/>
      <c r="D67" s="87"/>
      <c r="E67" s="87"/>
      <c r="I67" s="86"/>
      <c r="J67" s="86"/>
      <c r="K67" s="87"/>
      <c r="L67" s="87"/>
      <c r="M67" s="87"/>
    </row>
    <row r="68" spans="3:13" ht="14.4" x14ac:dyDescent="0.3">
      <c r="C68" s="86"/>
      <c r="D68" s="87"/>
      <c r="E68" s="87"/>
      <c r="I68" s="86"/>
      <c r="J68" s="86"/>
      <c r="K68" s="87"/>
      <c r="L68" s="87"/>
      <c r="M68" s="87"/>
    </row>
    <row r="69" spans="3:13" ht="14.4" x14ac:dyDescent="0.3">
      <c r="C69" s="86"/>
      <c r="D69" s="87"/>
      <c r="E69" s="87"/>
      <c r="I69" s="86"/>
      <c r="J69" s="86"/>
      <c r="K69" s="87"/>
      <c r="L69" s="87"/>
      <c r="M69" s="87"/>
    </row>
    <row r="70" spans="3:13" ht="14.4" x14ac:dyDescent="0.3">
      <c r="C70" s="86"/>
      <c r="D70" s="87"/>
      <c r="E70" s="87"/>
      <c r="I70" s="86"/>
      <c r="J70" s="86"/>
      <c r="K70" s="87"/>
      <c r="L70" s="87"/>
      <c r="M70" s="87"/>
    </row>
    <row r="71" spans="3:13" ht="14.4" x14ac:dyDescent="0.3">
      <c r="C71" s="86"/>
      <c r="D71" s="87"/>
      <c r="E71" s="87"/>
      <c r="I71" s="86"/>
      <c r="J71" s="86"/>
      <c r="K71" s="87"/>
      <c r="L71" s="87"/>
      <c r="M71" s="87"/>
    </row>
    <row r="72" spans="3:13" ht="14.4" x14ac:dyDescent="0.3">
      <c r="C72" s="86"/>
      <c r="D72" s="87"/>
      <c r="E72" s="87"/>
      <c r="I72" s="86"/>
      <c r="J72" s="86"/>
      <c r="K72" s="87"/>
      <c r="L72" s="87"/>
      <c r="M72" s="87"/>
    </row>
    <row r="73" spans="3:13" ht="14.4" x14ac:dyDescent="0.3">
      <c r="C73" s="86"/>
      <c r="D73" s="87"/>
      <c r="E73" s="87"/>
      <c r="I73" s="86"/>
      <c r="J73" s="86"/>
      <c r="K73" s="87"/>
      <c r="L73" s="87"/>
      <c r="M73" s="87"/>
    </row>
    <row r="74" spans="3:13" ht="14.4" x14ac:dyDescent="0.3">
      <c r="C74" s="86"/>
      <c r="D74" s="87"/>
      <c r="E74" s="87"/>
      <c r="I74" s="86"/>
      <c r="J74" s="86"/>
      <c r="K74" s="87"/>
      <c r="L74" s="87"/>
      <c r="M74" s="87"/>
    </row>
    <row r="75" spans="3:13" ht="14.4" x14ac:dyDescent="0.3">
      <c r="C75" s="86"/>
      <c r="D75" s="87"/>
      <c r="E75" s="87"/>
      <c r="I75" s="86"/>
      <c r="J75" s="86"/>
      <c r="K75" s="87"/>
      <c r="L75" s="87"/>
      <c r="M75" s="87"/>
    </row>
    <row r="76" spans="3:13" ht="14.4" x14ac:dyDescent="0.3">
      <c r="C76" s="86"/>
      <c r="D76" s="87"/>
      <c r="E76" s="87"/>
      <c r="I76" s="86"/>
      <c r="J76" s="86"/>
      <c r="K76" s="87"/>
      <c r="L76" s="87"/>
      <c r="M76" s="87"/>
    </row>
    <row r="77" spans="3:13" ht="14.4" x14ac:dyDescent="0.3">
      <c r="C77" s="86"/>
      <c r="D77" s="87"/>
      <c r="E77" s="87"/>
      <c r="I77" s="86"/>
      <c r="J77" s="86"/>
      <c r="K77" s="87"/>
      <c r="L77" s="87"/>
      <c r="M77" s="87"/>
    </row>
    <row r="78" spans="3:13" ht="14.4" x14ac:dyDescent="0.3">
      <c r="C78" s="86"/>
      <c r="D78" s="87"/>
      <c r="E78" s="87"/>
      <c r="I78" s="86"/>
      <c r="J78" s="86"/>
      <c r="K78" s="87"/>
      <c r="L78" s="87"/>
      <c r="M78" s="87"/>
    </row>
    <row r="79" spans="3:13" ht="14.4" x14ac:dyDescent="0.3">
      <c r="C79" s="86"/>
      <c r="D79" s="87"/>
      <c r="E79" s="87"/>
      <c r="I79" s="86"/>
      <c r="J79" s="86"/>
      <c r="K79" s="87"/>
      <c r="L79" s="87"/>
      <c r="M79" s="87"/>
    </row>
    <row r="80" spans="3:13" ht="14.4" x14ac:dyDescent="0.3">
      <c r="C80" s="86"/>
      <c r="D80" s="87"/>
      <c r="E80" s="87"/>
      <c r="I80" s="86"/>
      <c r="J80" s="86"/>
      <c r="K80" s="87"/>
      <c r="L80" s="87"/>
      <c r="M80" s="87"/>
    </row>
    <row r="81" spans="3:13" ht="14.4" x14ac:dyDescent="0.3">
      <c r="C81" s="86"/>
      <c r="D81" s="87"/>
      <c r="E81" s="87"/>
      <c r="I81" s="86"/>
      <c r="J81" s="86"/>
      <c r="K81" s="87"/>
      <c r="L81" s="87"/>
      <c r="M81" s="87"/>
    </row>
    <row r="82" spans="3:13" ht="14.4" x14ac:dyDescent="0.3">
      <c r="C82" s="86"/>
      <c r="D82" s="87"/>
      <c r="E82" s="87"/>
      <c r="I82" s="86"/>
      <c r="J82" s="86"/>
      <c r="K82" s="87"/>
      <c r="L82" s="87"/>
      <c r="M82" s="87"/>
    </row>
    <row r="83" spans="3:13" ht="14.4" x14ac:dyDescent="0.3">
      <c r="C83" s="86"/>
      <c r="D83" s="87"/>
      <c r="E83" s="87"/>
      <c r="I83" s="86"/>
      <c r="J83" s="86"/>
      <c r="K83" s="87"/>
      <c r="L83" s="87"/>
      <c r="M83" s="87"/>
    </row>
    <row r="84" spans="3:13" ht="14.4" x14ac:dyDescent="0.3">
      <c r="C84" s="86"/>
      <c r="D84" s="87"/>
      <c r="E84" s="87"/>
      <c r="I84" s="86"/>
      <c r="J84" s="86"/>
      <c r="K84" s="87"/>
      <c r="L84" s="87"/>
      <c r="M84" s="87"/>
    </row>
    <row r="85" spans="3:13" ht="14.4" x14ac:dyDescent="0.3">
      <c r="C85" s="86"/>
      <c r="D85" s="87"/>
      <c r="E85" s="87"/>
      <c r="I85" s="86"/>
      <c r="J85" s="86"/>
      <c r="K85" s="87"/>
      <c r="L85" s="87"/>
      <c r="M85" s="87"/>
    </row>
    <row r="86" spans="3:13" ht="14.4" x14ac:dyDescent="0.3">
      <c r="C86" s="86"/>
      <c r="D86" s="87"/>
      <c r="E86" s="87"/>
      <c r="I86" s="86"/>
      <c r="J86" s="86"/>
      <c r="K86" s="87"/>
      <c r="L86" s="87"/>
      <c r="M86" s="87"/>
    </row>
    <row r="87" spans="3:13" ht="14.4" x14ac:dyDescent="0.3">
      <c r="C87" s="86"/>
      <c r="D87" s="87"/>
      <c r="E87" s="87"/>
      <c r="I87" s="86"/>
      <c r="J87" s="86"/>
      <c r="K87" s="87"/>
      <c r="L87" s="87"/>
      <c r="M87" s="87"/>
    </row>
    <row r="88" spans="3:13" ht="14.4" x14ac:dyDescent="0.3">
      <c r="C88" s="86"/>
      <c r="D88" s="87"/>
      <c r="E88" s="87"/>
      <c r="I88" s="86"/>
      <c r="J88" s="86"/>
      <c r="K88" s="87"/>
      <c r="L88" s="87"/>
      <c r="M88" s="87"/>
    </row>
    <row r="89" spans="3:13" ht="14.4" x14ac:dyDescent="0.3">
      <c r="C89" s="86"/>
      <c r="D89" s="87"/>
      <c r="E89" s="87"/>
      <c r="I89" s="86"/>
      <c r="J89" s="86"/>
      <c r="K89" s="87"/>
      <c r="L89" s="87"/>
      <c r="M89" s="87"/>
    </row>
    <row r="90" spans="3:13" ht="14.4" x14ac:dyDescent="0.3">
      <c r="C90" s="86"/>
      <c r="D90" s="87"/>
      <c r="E90" s="87"/>
      <c r="I90" s="86"/>
      <c r="J90" s="86"/>
      <c r="K90" s="87"/>
      <c r="L90" s="87"/>
      <c r="M90" s="87"/>
    </row>
    <row r="91" spans="3:13" ht="14.4" x14ac:dyDescent="0.3">
      <c r="C91" s="86"/>
      <c r="D91" s="87"/>
      <c r="E91" s="87"/>
      <c r="I91" s="86"/>
      <c r="J91" s="86"/>
      <c r="K91" s="87"/>
      <c r="L91" s="87"/>
      <c r="M91" s="87"/>
    </row>
    <row r="92" spans="3:13" ht="14.4" x14ac:dyDescent="0.3">
      <c r="C92" s="86"/>
      <c r="D92" s="87"/>
      <c r="E92" s="87"/>
      <c r="I92" s="86"/>
      <c r="J92" s="86"/>
      <c r="K92" s="87"/>
      <c r="L92" s="87"/>
      <c r="M92" s="87"/>
    </row>
    <row r="93" spans="3:13" ht="14.4" x14ac:dyDescent="0.3">
      <c r="C93" s="86"/>
      <c r="D93" s="87"/>
      <c r="E93" s="87"/>
      <c r="I93" s="86"/>
      <c r="J93" s="86"/>
      <c r="K93" s="87"/>
      <c r="L93" s="87"/>
      <c r="M93" s="87"/>
    </row>
    <row r="94" spans="3:13" ht="14.4" x14ac:dyDescent="0.3">
      <c r="C94" s="86"/>
      <c r="D94" s="87"/>
      <c r="E94" s="87"/>
      <c r="I94" s="86"/>
      <c r="J94" s="86"/>
      <c r="K94" s="87"/>
      <c r="L94" s="87"/>
      <c r="M94" s="87"/>
    </row>
    <row r="95" spans="3:13" ht="14.4" x14ac:dyDescent="0.3">
      <c r="C95" s="86"/>
      <c r="D95" s="87"/>
      <c r="E95" s="87"/>
      <c r="I95" s="86"/>
      <c r="J95" s="86"/>
      <c r="K95" s="87"/>
      <c r="L95" s="87"/>
      <c r="M95" s="87"/>
    </row>
    <row r="96" spans="3:13" ht="14.4" x14ac:dyDescent="0.3">
      <c r="C96" s="86"/>
      <c r="D96" s="87"/>
      <c r="E96" s="87"/>
      <c r="I96" s="86"/>
      <c r="J96" s="86"/>
      <c r="K96" s="87"/>
      <c r="L96" s="87"/>
      <c r="M96" s="87"/>
    </row>
    <row r="97" spans="3:13" ht="14.4" x14ac:dyDescent="0.3">
      <c r="C97" s="86"/>
      <c r="D97" s="87"/>
      <c r="E97" s="87"/>
      <c r="I97" s="86"/>
      <c r="J97" s="86"/>
      <c r="K97" s="87"/>
      <c r="L97" s="87"/>
      <c r="M97" s="87"/>
    </row>
    <row r="98" spans="3:13" ht="14.4" x14ac:dyDescent="0.3">
      <c r="C98" s="86"/>
      <c r="D98" s="87"/>
      <c r="E98" s="87"/>
      <c r="I98" s="86"/>
      <c r="J98" s="86"/>
      <c r="K98" s="87"/>
      <c r="L98" s="87"/>
      <c r="M98" s="87"/>
    </row>
    <row r="99" spans="3:13" ht="14.4" x14ac:dyDescent="0.3">
      <c r="C99" s="86"/>
      <c r="D99" s="87"/>
      <c r="E99" s="87"/>
      <c r="I99" s="86"/>
      <c r="J99" s="86"/>
      <c r="K99" s="87"/>
      <c r="L99" s="87"/>
      <c r="M99" s="87"/>
    </row>
    <row r="100" spans="3:13" ht="14.4" x14ac:dyDescent="0.3">
      <c r="C100" s="86"/>
      <c r="D100" s="87"/>
      <c r="E100" s="87"/>
      <c r="I100" s="86"/>
      <c r="J100" s="86"/>
      <c r="K100" s="87"/>
      <c r="L100" s="87"/>
      <c r="M100" s="87"/>
    </row>
    <row r="101" spans="3:13" ht="14.4" x14ac:dyDescent="0.3">
      <c r="C101" s="86"/>
      <c r="D101" s="87"/>
      <c r="E101" s="87"/>
      <c r="I101" s="86"/>
      <c r="J101" s="86"/>
      <c r="K101" s="87"/>
      <c r="L101" s="87"/>
      <c r="M101" s="87"/>
    </row>
    <row r="102" spans="3:13" ht="14.4" x14ac:dyDescent="0.3">
      <c r="C102" s="86"/>
      <c r="D102" s="87"/>
      <c r="E102" s="87"/>
      <c r="I102" s="86"/>
      <c r="J102" s="86"/>
      <c r="K102" s="87"/>
      <c r="L102" s="87"/>
      <c r="M102" s="87"/>
    </row>
    <row r="103" spans="3:13" ht="14.4" x14ac:dyDescent="0.3">
      <c r="C103" s="86"/>
      <c r="D103" s="87"/>
      <c r="E103" s="87"/>
      <c r="I103" s="86"/>
      <c r="J103" s="86"/>
      <c r="K103" s="87"/>
      <c r="L103" s="87"/>
      <c r="M103" s="87"/>
    </row>
    <row r="104" spans="3:13" ht="14.4" x14ac:dyDescent="0.3">
      <c r="C104" s="86"/>
      <c r="D104" s="87"/>
      <c r="E104" s="87"/>
      <c r="I104" s="86"/>
      <c r="J104" s="86"/>
      <c r="K104" s="87"/>
      <c r="L104" s="87"/>
      <c r="M104" s="87"/>
    </row>
    <row r="105" spans="3:13" ht="14.4" x14ac:dyDescent="0.3">
      <c r="C105" s="86"/>
      <c r="D105" s="87"/>
      <c r="E105" s="87"/>
      <c r="I105" s="86"/>
      <c r="J105" s="86"/>
      <c r="K105" s="87"/>
      <c r="L105" s="87"/>
      <c r="M105" s="87"/>
    </row>
    <row r="106" spans="3:13" ht="14.4" x14ac:dyDescent="0.3">
      <c r="C106" s="86"/>
      <c r="D106" s="87"/>
      <c r="E106" s="87"/>
      <c r="I106" s="86"/>
      <c r="J106" s="86"/>
      <c r="K106" s="87"/>
      <c r="L106" s="87"/>
      <c r="M106" s="87"/>
    </row>
    <row r="107" spans="3:13" ht="14.4" x14ac:dyDescent="0.3">
      <c r="C107" s="86"/>
      <c r="D107" s="87"/>
      <c r="E107" s="87"/>
      <c r="I107" s="86"/>
      <c r="J107" s="86"/>
      <c r="K107" s="87"/>
      <c r="L107" s="87"/>
      <c r="M107" s="87"/>
    </row>
    <row r="108" spans="3:13" ht="14.4" x14ac:dyDescent="0.3">
      <c r="C108" s="86"/>
      <c r="D108" s="87"/>
      <c r="E108" s="87"/>
      <c r="I108" s="86"/>
      <c r="J108" s="86"/>
      <c r="K108" s="87"/>
      <c r="L108" s="87"/>
      <c r="M108" s="87"/>
    </row>
    <row r="109" spans="3:13" ht="14.4" x14ac:dyDescent="0.3">
      <c r="C109" s="86"/>
      <c r="D109" s="87"/>
      <c r="E109" s="87"/>
      <c r="I109" s="86"/>
      <c r="J109" s="86"/>
      <c r="K109" s="87"/>
      <c r="L109" s="87"/>
      <c r="M109" s="87"/>
    </row>
    <row r="110" spans="3:13" ht="14.4" x14ac:dyDescent="0.3">
      <c r="C110" s="86"/>
      <c r="D110" s="87"/>
      <c r="E110" s="87"/>
      <c r="I110" s="86"/>
      <c r="J110" s="86"/>
      <c r="K110" s="87"/>
      <c r="L110" s="87"/>
      <c r="M110" s="87"/>
    </row>
    <row r="111" spans="3:13" ht="14.4" x14ac:dyDescent="0.3">
      <c r="C111" s="86"/>
      <c r="D111" s="87"/>
      <c r="E111" s="87"/>
      <c r="I111" s="86"/>
      <c r="J111" s="86"/>
      <c r="K111" s="87"/>
      <c r="L111" s="87"/>
      <c r="M111" s="87"/>
    </row>
    <row r="112" spans="3:13" ht="14.4" x14ac:dyDescent="0.3">
      <c r="C112" s="86"/>
      <c r="D112" s="87"/>
      <c r="E112" s="87"/>
      <c r="I112" s="86"/>
      <c r="J112" s="86"/>
      <c r="K112" s="87"/>
      <c r="L112" s="87"/>
      <c r="M112" s="87"/>
    </row>
    <row r="113" spans="3:13" ht="14.4" x14ac:dyDescent="0.3">
      <c r="C113" s="86"/>
      <c r="D113" s="87"/>
      <c r="E113" s="87"/>
      <c r="I113" s="86"/>
      <c r="J113" s="86"/>
      <c r="K113" s="87"/>
      <c r="L113" s="87"/>
      <c r="M113" s="87"/>
    </row>
    <row r="114" spans="3:13" ht="14.4" x14ac:dyDescent="0.3">
      <c r="C114" s="86"/>
      <c r="D114" s="87"/>
      <c r="E114" s="87"/>
      <c r="I114" s="86"/>
      <c r="J114" s="86"/>
      <c r="K114" s="87"/>
      <c r="L114" s="87"/>
      <c r="M114" s="87"/>
    </row>
    <row r="115" spans="3:13" ht="14.4" x14ac:dyDescent="0.3">
      <c r="C115" s="86"/>
      <c r="D115" s="87"/>
      <c r="E115" s="87"/>
      <c r="I115" s="86"/>
      <c r="J115" s="86"/>
      <c r="K115" s="87"/>
      <c r="L115" s="87"/>
      <c r="M115" s="87"/>
    </row>
    <row r="116" spans="3:13" ht="14.4" x14ac:dyDescent="0.3">
      <c r="C116" s="86"/>
      <c r="D116" s="87"/>
      <c r="E116" s="87"/>
      <c r="I116" s="86"/>
      <c r="J116" s="86"/>
      <c r="K116" s="87"/>
      <c r="L116" s="87"/>
      <c r="M116" s="87"/>
    </row>
    <row r="117" spans="3:13" ht="14.4" x14ac:dyDescent="0.3">
      <c r="C117" s="86"/>
      <c r="D117" s="87"/>
      <c r="E117" s="87"/>
      <c r="I117" s="86"/>
      <c r="J117" s="86"/>
      <c r="K117" s="87"/>
      <c r="L117" s="87"/>
      <c r="M117" s="87"/>
    </row>
    <row r="118" spans="3:13" ht="14.4" x14ac:dyDescent="0.3">
      <c r="C118" s="86"/>
      <c r="D118" s="87"/>
      <c r="E118" s="87"/>
      <c r="I118" s="86"/>
      <c r="J118" s="86"/>
      <c r="K118" s="87"/>
      <c r="L118" s="87"/>
      <c r="M118" s="87"/>
    </row>
    <row r="119" spans="3:13" ht="14.4" x14ac:dyDescent="0.3">
      <c r="C119" s="86"/>
      <c r="D119" s="87"/>
      <c r="E119" s="87"/>
      <c r="I119" s="86"/>
      <c r="J119" s="86"/>
      <c r="K119" s="87"/>
      <c r="L119" s="87"/>
      <c r="M119" s="87"/>
    </row>
    <row r="120" spans="3:13" ht="14.4" x14ac:dyDescent="0.3">
      <c r="C120" s="86"/>
      <c r="D120" s="87"/>
      <c r="E120" s="87"/>
      <c r="I120" s="86"/>
      <c r="J120" s="86"/>
      <c r="K120" s="87"/>
      <c r="L120" s="87"/>
      <c r="M120" s="87"/>
    </row>
    <row r="121" spans="3:13" ht="14.4" x14ac:dyDescent="0.3">
      <c r="C121" s="86"/>
      <c r="D121" s="87"/>
      <c r="E121" s="87"/>
      <c r="I121" s="86"/>
      <c r="J121" s="86"/>
      <c r="K121" s="87"/>
      <c r="L121" s="87"/>
      <c r="M121" s="87"/>
    </row>
    <row r="122" spans="3:13" ht="14.4" x14ac:dyDescent="0.3">
      <c r="C122" s="86"/>
      <c r="D122" s="87"/>
      <c r="E122" s="87"/>
      <c r="I122" s="86"/>
      <c r="J122" s="86"/>
      <c r="K122" s="87"/>
      <c r="L122" s="87"/>
      <c r="M122" s="87"/>
    </row>
    <row r="123" spans="3:13" ht="14.4" x14ac:dyDescent="0.3">
      <c r="C123" s="86"/>
      <c r="D123" s="87"/>
      <c r="E123" s="87"/>
      <c r="I123" s="86"/>
      <c r="J123" s="86"/>
      <c r="K123" s="87"/>
      <c r="L123" s="87"/>
      <c r="M123" s="87"/>
    </row>
    <row r="124" spans="3:13" ht="14.4" x14ac:dyDescent="0.3">
      <c r="C124" s="86"/>
      <c r="D124" s="87"/>
      <c r="E124" s="87"/>
      <c r="I124" s="86"/>
      <c r="J124" s="86"/>
      <c r="K124" s="87"/>
      <c r="L124" s="87"/>
      <c r="M124" s="87"/>
    </row>
    <row r="125" spans="3:13" ht="14.4" x14ac:dyDescent="0.3">
      <c r="C125" s="86"/>
      <c r="D125" s="87"/>
      <c r="E125" s="87"/>
      <c r="I125" s="86"/>
      <c r="J125" s="86"/>
      <c r="K125" s="87"/>
      <c r="L125" s="87"/>
      <c r="M125" s="87"/>
    </row>
    <row r="126" spans="3:13" ht="14.4" x14ac:dyDescent="0.3">
      <c r="C126" s="86"/>
      <c r="D126" s="87"/>
      <c r="E126" s="87"/>
      <c r="I126" s="86"/>
      <c r="J126" s="86"/>
      <c r="K126" s="87"/>
      <c r="L126" s="87"/>
      <c r="M126" s="87"/>
    </row>
    <row r="127" spans="3:13" ht="14.4" x14ac:dyDescent="0.3">
      <c r="C127" s="86"/>
      <c r="D127" s="87"/>
      <c r="E127" s="87"/>
      <c r="I127" s="86"/>
      <c r="J127" s="86"/>
      <c r="K127" s="87"/>
      <c r="L127" s="87"/>
      <c r="M127" s="87"/>
    </row>
    <row r="128" spans="3:13" ht="14.4" x14ac:dyDescent="0.3">
      <c r="C128" s="86"/>
      <c r="D128" s="87"/>
      <c r="E128" s="87"/>
      <c r="I128" s="86"/>
      <c r="J128" s="86"/>
      <c r="K128" s="87"/>
      <c r="L128" s="87"/>
      <c r="M128" s="87"/>
    </row>
    <row r="129" spans="3:13" ht="14.4" x14ac:dyDescent="0.3">
      <c r="C129" s="86"/>
      <c r="D129" s="87"/>
      <c r="E129" s="87"/>
      <c r="I129" s="86"/>
      <c r="J129" s="86"/>
      <c r="K129" s="87"/>
      <c r="L129" s="87"/>
      <c r="M129" s="87"/>
    </row>
    <row r="130" spans="3:13" ht="14.4" x14ac:dyDescent="0.3">
      <c r="C130" s="86"/>
      <c r="D130" s="87"/>
      <c r="E130" s="87"/>
      <c r="I130" s="86"/>
      <c r="J130" s="86"/>
      <c r="K130" s="87"/>
      <c r="L130" s="87"/>
      <c r="M130" s="87"/>
    </row>
    <row r="131" spans="3:13" ht="14.4" x14ac:dyDescent="0.3">
      <c r="C131" s="86"/>
      <c r="D131" s="87"/>
      <c r="E131" s="87"/>
      <c r="I131" s="86"/>
      <c r="J131" s="86"/>
      <c r="K131" s="87"/>
      <c r="L131" s="87"/>
      <c r="M131" s="87"/>
    </row>
    <row r="132" spans="3:13" ht="14.4" x14ac:dyDescent="0.3">
      <c r="C132" s="86"/>
      <c r="D132" s="87"/>
      <c r="E132" s="87"/>
      <c r="I132" s="86"/>
      <c r="J132" s="86"/>
      <c r="K132" s="87"/>
      <c r="L132" s="87"/>
      <c r="M132" s="87"/>
    </row>
    <row r="133" spans="3:13" ht="14.4" x14ac:dyDescent="0.3">
      <c r="C133" s="86"/>
      <c r="D133" s="87"/>
      <c r="E133" s="87"/>
      <c r="I133" s="86"/>
      <c r="J133" s="86"/>
      <c r="K133" s="87"/>
      <c r="L133" s="87"/>
      <c r="M133" s="87"/>
    </row>
    <row r="134" spans="3:13" ht="14.4" x14ac:dyDescent="0.3">
      <c r="C134" s="86"/>
      <c r="D134" s="87"/>
      <c r="E134" s="87"/>
      <c r="I134" s="86"/>
      <c r="J134" s="86"/>
      <c r="K134" s="87"/>
      <c r="L134" s="87"/>
      <c r="M134" s="87"/>
    </row>
    <row r="135" spans="3:13" ht="14.4" x14ac:dyDescent="0.3">
      <c r="C135" s="86"/>
      <c r="D135" s="87"/>
      <c r="E135" s="87"/>
      <c r="I135" s="86"/>
      <c r="J135" s="86"/>
      <c r="K135" s="87"/>
      <c r="L135" s="87"/>
      <c r="M135" s="87"/>
    </row>
    <row r="136" spans="3:13" ht="14.4" x14ac:dyDescent="0.3">
      <c r="C136" s="86"/>
      <c r="D136" s="87"/>
      <c r="E136" s="87"/>
      <c r="I136" s="86"/>
      <c r="J136" s="86"/>
      <c r="K136" s="87"/>
      <c r="L136" s="87"/>
      <c r="M136" s="87"/>
    </row>
    <row r="137" spans="3:13" ht="14.4" x14ac:dyDescent="0.3">
      <c r="C137" s="86"/>
      <c r="D137" s="87"/>
      <c r="E137" s="87"/>
      <c r="I137" s="86"/>
      <c r="J137" s="86"/>
      <c r="K137" s="87"/>
      <c r="L137" s="87"/>
      <c r="M137" s="87"/>
    </row>
    <row r="138" spans="3:13" ht="14.4" x14ac:dyDescent="0.3">
      <c r="C138" s="86"/>
      <c r="D138" s="87"/>
      <c r="E138" s="87"/>
      <c r="I138" s="86"/>
      <c r="J138" s="86"/>
      <c r="K138" s="87"/>
      <c r="L138" s="87"/>
      <c r="M138" s="87"/>
    </row>
    <row r="139" spans="3:13" ht="14.4" x14ac:dyDescent="0.3">
      <c r="C139" s="86"/>
      <c r="D139" s="87"/>
      <c r="E139" s="87"/>
      <c r="I139" s="86"/>
      <c r="J139" s="86"/>
      <c r="K139" s="87"/>
      <c r="L139" s="87"/>
      <c r="M139" s="87"/>
    </row>
    <row r="140" spans="3:13" ht="14.4" x14ac:dyDescent="0.3">
      <c r="C140" s="86"/>
      <c r="D140" s="87"/>
      <c r="E140" s="87"/>
      <c r="I140" s="86"/>
      <c r="J140" s="86"/>
      <c r="K140" s="87"/>
      <c r="L140" s="87"/>
      <c r="M140" s="87"/>
    </row>
    <row r="141" spans="3:13" ht="14.4" x14ac:dyDescent="0.3">
      <c r="C141" s="86"/>
      <c r="D141" s="87"/>
      <c r="E141" s="87"/>
      <c r="I141" s="86"/>
      <c r="J141" s="86"/>
      <c r="K141" s="87"/>
      <c r="L141" s="87"/>
      <c r="M141" s="87"/>
    </row>
    <row r="142" spans="3:13" ht="14.4" x14ac:dyDescent="0.3">
      <c r="C142" s="86"/>
      <c r="D142" s="87"/>
      <c r="E142" s="87"/>
      <c r="I142" s="86"/>
      <c r="J142" s="86"/>
      <c r="K142" s="87"/>
      <c r="L142" s="87"/>
      <c r="M142" s="87"/>
    </row>
    <row r="143" spans="3:13" ht="14.4" x14ac:dyDescent="0.3">
      <c r="C143" s="86"/>
      <c r="D143" s="87"/>
      <c r="E143" s="87"/>
      <c r="I143" s="86"/>
      <c r="J143" s="86"/>
      <c r="K143" s="87"/>
      <c r="L143" s="87"/>
      <c r="M143" s="87"/>
    </row>
    <row r="144" spans="3:13" ht="14.4" x14ac:dyDescent="0.3">
      <c r="C144" s="86"/>
      <c r="D144" s="87"/>
      <c r="E144" s="87"/>
      <c r="I144" s="86"/>
      <c r="J144" s="86"/>
      <c r="K144" s="87"/>
      <c r="L144" s="87"/>
      <c r="M144" s="87"/>
    </row>
    <row r="145" spans="3:13" ht="14.4" x14ac:dyDescent="0.3">
      <c r="C145" s="86"/>
      <c r="D145" s="87"/>
      <c r="E145" s="87"/>
      <c r="I145" s="86"/>
      <c r="J145" s="86"/>
      <c r="K145" s="87"/>
      <c r="L145" s="87"/>
      <c r="M145" s="87"/>
    </row>
    <row r="146" spans="3:13" ht="14.4" x14ac:dyDescent="0.3">
      <c r="C146" s="86"/>
      <c r="D146" s="87"/>
      <c r="E146" s="87"/>
      <c r="I146" s="86"/>
      <c r="J146" s="86"/>
      <c r="K146" s="87"/>
      <c r="L146" s="87"/>
      <c r="M146" s="87"/>
    </row>
    <row r="147" spans="3:13" ht="14.4" x14ac:dyDescent="0.3">
      <c r="C147" s="86"/>
      <c r="D147" s="87"/>
      <c r="E147" s="87"/>
      <c r="I147" s="86"/>
      <c r="J147" s="86"/>
      <c r="K147" s="87"/>
      <c r="L147" s="87"/>
      <c r="M147" s="87"/>
    </row>
    <row r="148" spans="3:13" ht="14.4" x14ac:dyDescent="0.3">
      <c r="C148" s="86"/>
      <c r="D148" s="87"/>
      <c r="E148" s="87"/>
      <c r="I148" s="86"/>
      <c r="J148" s="86"/>
      <c r="K148" s="87"/>
      <c r="L148" s="87"/>
      <c r="M148" s="87"/>
    </row>
    <row r="149" spans="3:13" ht="14.4" x14ac:dyDescent="0.3">
      <c r="C149" s="86"/>
      <c r="D149" s="87"/>
      <c r="E149" s="87"/>
      <c r="I149" s="86"/>
      <c r="J149" s="86"/>
      <c r="K149" s="87"/>
      <c r="L149" s="87"/>
      <c r="M149" s="87"/>
    </row>
    <row r="150" spans="3:13" ht="14.4" x14ac:dyDescent="0.3">
      <c r="C150" s="86"/>
      <c r="D150" s="87"/>
      <c r="E150" s="87"/>
      <c r="I150" s="86"/>
      <c r="J150" s="86"/>
      <c r="K150" s="87"/>
      <c r="L150" s="87"/>
      <c r="M150" s="87"/>
    </row>
    <row r="151" spans="3:13" ht="14.4" x14ac:dyDescent="0.3">
      <c r="C151" s="86"/>
      <c r="D151" s="87"/>
      <c r="E151" s="87"/>
      <c r="I151" s="86"/>
      <c r="J151" s="86"/>
      <c r="K151" s="87"/>
      <c r="L151" s="87"/>
      <c r="M151" s="87"/>
    </row>
    <row r="152" spans="3:13" ht="14.4" x14ac:dyDescent="0.3">
      <c r="C152" s="86"/>
      <c r="D152" s="87"/>
      <c r="E152" s="87"/>
      <c r="I152" s="86"/>
      <c r="J152" s="86"/>
      <c r="K152" s="87"/>
      <c r="L152" s="87"/>
      <c r="M152" s="87"/>
    </row>
    <row r="153" spans="3:13" ht="14.4" x14ac:dyDescent="0.3">
      <c r="C153" s="86"/>
      <c r="D153" s="87"/>
      <c r="E153" s="87"/>
      <c r="I153" s="86"/>
      <c r="J153" s="86"/>
      <c r="K153" s="87"/>
      <c r="L153" s="87"/>
      <c r="M153" s="87"/>
    </row>
    <row r="154" spans="3:13" ht="14.4" x14ac:dyDescent="0.3">
      <c r="C154" s="86"/>
      <c r="D154" s="87"/>
      <c r="E154" s="87"/>
      <c r="I154" s="86"/>
      <c r="J154" s="86"/>
      <c r="K154" s="87"/>
      <c r="L154" s="87"/>
      <c r="M154" s="87"/>
    </row>
    <row r="155" spans="3:13" ht="14.4" x14ac:dyDescent="0.3">
      <c r="C155" s="86"/>
      <c r="D155" s="87"/>
      <c r="E155" s="87"/>
      <c r="I155" s="86"/>
      <c r="J155" s="86"/>
      <c r="K155" s="87"/>
      <c r="L155" s="87"/>
      <c r="M155" s="87"/>
    </row>
    <row r="156" spans="3:13" ht="14.4" x14ac:dyDescent="0.3">
      <c r="C156" s="86"/>
      <c r="D156" s="87"/>
      <c r="E156" s="87"/>
      <c r="I156" s="86"/>
      <c r="J156" s="86"/>
      <c r="K156" s="87"/>
      <c r="L156" s="87"/>
      <c r="M156" s="87"/>
    </row>
    <row r="157" spans="3:13" ht="14.4" x14ac:dyDescent="0.3">
      <c r="C157" s="86"/>
      <c r="D157" s="87"/>
      <c r="E157" s="87"/>
      <c r="I157" s="86"/>
      <c r="J157" s="86"/>
      <c r="K157" s="87"/>
      <c r="L157" s="87"/>
      <c r="M157" s="87"/>
    </row>
    <row r="158" spans="3:13" ht="14.4" x14ac:dyDescent="0.3">
      <c r="C158" s="86"/>
      <c r="D158" s="87"/>
      <c r="E158" s="87"/>
      <c r="I158" s="86"/>
      <c r="J158" s="86"/>
      <c r="K158" s="87"/>
      <c r="L158" s="87"/>
      <c r="M158" s="87"/>
    </row>
    <row r="159" spans="3:13" ht="14.4" x14ac:dyDescent="0.3">
      <c r="C159" s="86"/>
      <c r="D159" s="87"/>
      <c r="E159" s="87"/>
      <c r="I159" s="86"/>
      <c r="J159" s="86"/>
      <c r="K159" s="87"/>
      <c r="L159" s="87"/>
      <c r="M159" s="87"/>
    </row>
    <row r="160" spans="3:13" ht="14.4" x14ac:dyDescent="0.3">
      <c r="C160" s="86"/>
      <c r="D160" s="87"/>
      <c r="E160" s="87"/>
      <c r="I160" s="86"/>
      <c r="J160" s="86"/>
      <c r="K160" s="87"/>
      <c r="L160" s="87"/>
      <c r="M160" s="87"/>
    </row>
    <row r="161" spans="3:13" ht="14.4" x14ac:dyDescent="0.3">
      <c r="C161" s="86"/>
      <c r="D161" s="87"/>
      <c r="E161" s="87"/>
      <c r="I161" s="86"/>
      <c r="J161" s="86"/>
      <c r="K161" s="87"/>
      <c r="L161" s="87"/>
      <c r="M161" s="87"/>
    </row>
    <row r="162" spans="3:13" ht="14.4" x14ac:dyDescent="0.3">
      <c r="C162" s="86"/>
      <c r="D162" s="87"/>
      <c r="E162" s="87"/>
      <c r="I162" s="86"/>
      <c r="J162" s="86"/>
      <c r="K162" s="87"/>
      <c r="L162" s="87"/>
      <c r="M162" s="87"/>
    </row>
    <row r="163" spans="3:13" ht="14.4" x14ac:dyDescent="0.3">
      <c r="C163" s="86"/>
      <c r="D163" s="87"/>
      <c r="E163" s="87"/>
      <c r="I163" s="86"/>
      <c r="J163" s="86"/>
      <c r="K163" s="87"/>
      <c r="L163" s="87"/>
      <c r="M163" s="87"/>
    </row>
    <row r="164" spans="3:13" ht="14.4" x14ac:dyDescent="0.3">
      <c r="C164" s="86"/>
      <c r="D164" s="87"/>
      <c r="E164" s="87"/>
      <c r="I164" s="86"/>
      <c r="J164" s="86"/>
      <c r="K164" s="87"/>
      <c r="L164" s="87"/>
      <c r="M164" s="87"/>
    </row>
    <row r="165" spans="3:13" ht="14.4" x14ac:dyDescent="0.3">
      <c r="C165" s="86"/>
      <c r="D165" s="87"/>
      <c r="E165" s="87"/>
      <c r="I165" s="86"/>
      <c r="J165" s="86"/>
      <c r="K165" s="87"/>
      <c r="L165" s="87"/>
      <c r="M165" s="87"/>
    </row>
    <row r="166" spans="3:13" ht="14.4" x14ac:dyDescent="0.3">
      <c r="C166" s="86"/>
      <c r="D166" s="87"/>
      <c r="E166" s="87"/>
      <c r="I166" s="86"/>
      <c r="J166" s="86"/>
      <c r="K166" s="87"/>
      <c r="L166" s="87"/>
      <c r="M166" s="87"/>
    </row>
    <row r="167" spans="3:13" ht="14.4" x14ac:dyDescent="0.3">
      <c r="C167" s="86"/>
      <c r="D167" s="87"/>
      <c r="E167" s="87"/>
      <c r="I167" s="86"/>
      <c r="J167" s="86"/>
      <c r="K167" s="87"/>
      <c r="L167" s="87"/>
      <c r="M167" s="87"/>
    </row>
    <row r="168" spans="3:13" ht="14.4" x14ac:dyDescent="0.3">
      <c r="C168" s="86"/>
      <c r="D168" s="87"/>
      <c r="E168" s="87"/>
      <c r="I168" s="86"/>
      <c r="J168" s="86"/>
      <c r="K168" s="87"/>
      <c r="L168" s="87"/>
      <c r="M168" s="87"/>
    </row>
    <row r="169" spans="3:13" ht="14.4" x14ac:dyDescent="0.3">
      <c r="C169" s="86"/>
      <c r="D169" s="87"/>
      <c r="E169" s="87"/>
      <c r="I169" s="86"/>
      <c r="J169" s="86"/>
      <c r="K169" s="87"/>
      <c r="L169" s="87"/>
      <c r="M169" s="87"/>
    </row>
    <row r="170" spans="3:13" ht="14.4" x14ac:dyDescent="0.3">
      <c r="C170" s="86"/>
      <c r="D170" s="87"/>
      <c r="E170" s="87"/>
      <c r="I170" s="86"/>
      <c r="J170" s="86"/>
      <c r="K170" s="87"/>
      <c r="L170" s="87"/>
      <c r="M170" s="87"/>
    </row>
    <row r="171" spans="3:13" ht="14.4" x14ac:dyDescent="0.3">
      <c r="C171" s="86"/>
      <c r="D171" s="87"/>
      <c r="E171" s="87"/>
      <c r="I171" s="86"/>
      <c r="J171" s="86"/>
      <c r="K171" s="87"/>
      <c r="L171" s="87"/>
      <c r="M171" s="87"/>
    </row>
    <row r="172" spans="3:13" ht="14.4" x14ac:dyDescent="0.3">
      <c r="C172" s="86"/>
      <c r="D172" s="87"/>
      <c r="E172" s="87"/>
      <c r="I172" s="86"/>
      <c r="J172" s="86"/>
      <c r="K172" s="87"/>
      <c r="L172" s="87"/>
      <c r="M172" s="87"/>
    </row>
    <row r="173" spans="3:13" ht="14.4" x14ac:dyDescent="0.3">
      <c r="C173" s="86"/>
      <c r="D173" s="87"/>
      <c r="E173" s="87"/>
      <c r="I173" s="86"/>
      <c r="J173" s="86"/>
      <c r="K173" s="87"/>
      <c r="L173" s="87"/>
      <c r="M173" s="87"/>
    </row>
    <row r="174" spans="3:13" ht="14.4" x14ac:dyDescent="0.3">
      <c r="C174" s="86"/>
      <c r="D174" s="87"/>
      <c r="E174" s="87"/>
      <c r="I174" s="86"/>
      <c r="J174" s="86"/>
      <c r="K174" s="87"/>
      <c r="L174" s="87"/>
      <c r="M174" s="87"/>
    </row>
    <row r="175" spans="3:13" ht="14.4" x14ac:dyDescent="0.3">
      <c r="C175" s="86"/>
      <c r="D175" s="87"/>
      <c r="E175" s="87"/>
      <c r="I175" s="86"/>
      <c r="J175" s="86"/>
      <c r="K175" s="87"/>
      <c r="L175" s="87"/>
      <c r="M175" s="87"/>
    </row>
    <row r="176" spans="3:13" ht="14.4" x14ac:dyDescent="0.3">
      <c r="C176" s="86"/>
      <c r="D176" s="87"/>
      <c r="E176" s="87"/>
      <c r="I176" s="86"/>
      <c r="J176" s="86"/>
      <c r="K176" s="87"/>
      <c r="L176" s="87"/>
      <c r="M176" s="87"/>
    </row>
    <row r="177" spans="3:13" ht="14.4" x14ac:dyDescent="0.3">
      <c r="C177" s="86"/>
      <c r="D177" s="87"/>
      <c r="E177" s="87"/>
      <c r="I177" s="86"/>
      <c r="J177" s="86"/>
      <c r="K177" s="87"/>
      <c r="L177" s="87"/>
      <c r="M177" s="87"/>
    </row>
    <row r="178" spans="3:13" ht="14.4" x14ac:dyDescent="0.3">
      <c r="C178" s="86"/>
      <c r="D178" s="87"/>
      <c r="E178" s="87"/>
      <c r="I178" s="86"/>
      <c r="J178" s="86"/>
      <c r="K178" s="87"/>
      <c r="L178" s="87"/>
      <c r="M178" s="87"/>
    </row>
    <row r="179" spans="3:13" ht="14.4" x14ac:dyDescent="0.3">
      <c r="C179" s="86"/>
      <c r="D179" s="87"/>
      <c r="E179" s="87"/>
      <c r="I179" s="86"/>
      <c r="J179" s="86"/>
      <c r="K179" s="87"/>
      <c r="L179" s="87"/>
      <c r="M179" s="87"/>
    </row>
    <row r="180" spans="3:13" ht="14.4" x14ac:dyDescent="0.3">
      <c r="C180" s="86"/>
      <c r="D180" s="87"/>
      <c r="E180" s="87"/>
      <c r="I180" s="86"/>
      <c r="J180" s="86"/>
      <c r="K180" s="87"/>
      <c r="L180" s="87"/>
      <c r="M180" s="87"/>
    </row>
    <row r="181" spans="3:13" ht="14.4" x14ac:dyDescent="0.3">
      <c r="C181" s="86"/>
      <c r="D181" s="87"/>
      <c r="E181" s="87"/>
      <c r="I181" s="86"/>
      <c r="J181" s="86"/>
      <c r="K181" s="87"/>
      <c r="L181" s="87"/>
      <c r="M181" s="87"/>
    </row>
    <row r="182" spans="3:13" ht="14.4" x14ac:dyDescent="0.3">
      <c r="C182" s="86"/>
      <c r="D182" s="87"/>
      <c r="E182" s="87"/>
      <c r="I182" s="86"/>
      <c r="J182" s="86"/>
      <c r="K182" s="87"/>
      <c r="L182" s="87"/>
      <c r="M182" s="87"/>
    </row>
    <row r="183" spans="3:13" ht="14.4" x14ac:dyDescent="0.3">
      <c r="C183" s="86"/>
      <c r="D183" s="87"/>
      <c r="E183" s="87"/>
      <c r="I183" s="86"/>
      <c r="J183" s="86"/>
      <c r="K183" s="87"/>
      <c r="L183" s="87"/>
      <c r="M183" s="87"/>
    </row>
    <row r="184" spans="3:13" ht="14.4" x14ac:dyDescent="0.3">
      <c r="C184" s="86"/>
      <c r="D184" s="87"/>
      <c r="E184" s="87"/>
      <c r="I184" s="86"/>
      <c r="J184" s="86"/>
      <c r="K184" s="87"/>
      <c r="L184" s="87"/>
      <c r="M184" s="87"/>
    </row>
    <row r="185" spans="3:13" ht="14.4" x14ac:dyDescent="0.3">
      <c r="C185" s="86"/>
      <c r="D185" s="87"/>
      <c r="E185" s="87"/>
      <c r="I185" s="86"/>
      <c r="J185" s="86"/>
      <c r="K185" s="87"/>
      <c r="L185" s="87"/>
      <c r="M185" s="87"/>
    </row>
    <row r="186" spans="3:13" ht="14.4" x14ac:dyDescent="0.3">
      <c r="C186" s="86"/>
      <c r="D186" s="87"/>
      <c r="E186" s="87"/>
      <c r="I186" s="86"/>
      <c r="J186" s="86"/>
      <c r="K186" s="87"/>
      <c r="L186" s="87"/>
      <c r="M186" s="87"/>
    </row>
    <row r="187" spans="3:13" ht="14.4" x14ac:dyDescent="0.3">
      <c r="C187" s="86"/>
      <c r="D187" s="87"/>
      <c r="E187" s="87"/>
      <c r="I187" s="86"/>
      <c r="J187" s="86"/>
      <c r="K187" s="87"/>
      <c r="L187" s="87"/>
      <c r="M187" s="87"/>
    </row>
    <row r="188" spans="3:13" ht="14.4" x14ac:dyDescent="0.3">
      <c r="C188" s="86"/>
      <c r="D188" s="87"/>
      <c r="E188" s="87"/>
      <c r="I188" s="86"/>
      <c r="J188" s="86"/>
      <c r="K188" s="87"/>
      <c r="L188" s="87"/>
      <c r="M188" s="87"/>
    </row>
    <row r="189" spans="3:13" ht="14.4" x14ac:dyDescent="0.3">
      <c r="C189" s="86"/>
      <c r="D189" s="87"/>
      <c r="E189" s="87"/>
      <c r="I189" s="86"/>
      <c r="J189" s="86"/>
      <c r="K189" s="87"/>
      <c r="L189" s="87"/>
      <c r="M189" s="87"/>
    </row>
    <row r="190" spans="3:13" ht="14.4" x14ac:dyDescent="0.3">
      <c r="C190" s="86"/>
      <c r="D190" s="87"/>
      <c r="E190" s="87"/>
      <c r="I190" s="86"/>
      <c r="J190" s="86"/>
      <c r="K190" s="87"/>
      <c r="L190" s="87"/>
      <c r="M190" s="87"/>
    </row>
    <row r="191" spans="3:13" ht="14.4" x14ac:dyDescent="0.3">
      <c r="C191" s="86"/>
      <c r="D191" s="87"/>
      <c r="E191" s="87"/>
      <c r="I191" s="86"/>
      <c r="J191" s="86"/>
      <c r="K191" s="87"/>
      <c r="L191" s="87"/>
      <c r="M191" s="87"/>
    </row>
    <row r="192" spans="3:13" ht="14.4" x14ac:dyDescent="0.3">
      <c r="C192" s="86"/>
      <c r="D192" s="87"/>
      <c r="E192" s="87"/>
      <c r="I192" s="86"/>
      <c r="J192" s="86"/>
      <c r="K192" s="87"/>
      <c r="L192" s="87"/>
      <c r="M192" s="87"/>
    </row>
    <row r="193" spans="3:13" ht="14.4" x14ac:dyDescent="0.3">
      <c r="C193" s="86"/>
      <c r="D193" s="87"/>
      <c r="E193" s="87"/>
      <c r="I193" s="86"/>
      <c r="J193" s="86"/>
      <c r="K193" s="87"/>
      <c r="L193" s="87"/>
      <c r="M193" s="87"/>
    </row>
    <row r="194" spans="3:13" ht="14.4" x14ac:dyDescent="0.3">
      <c r="C194" s="86"/>
      <c r="D194" s="87"/>
      <c r="E194" s="87"/>
      <c r="I194" s="86"/>
      <c r="J194" s="86"/>
      <c r="K194" s="87"/>
      <c r="L194" s="87"/>
      <c r="M194" s="87"/>
    </row>
    <row r="195" spans="3:13" ht="14.4" x14ac:dyDescent="0.3">
      <c r="C195" s="86"/>
      <c r="D195" s="87"/>
      <c r="E195" s="87"/>
      <c r="I195" s="86"/>
      <c r="J195" s="86"/>
      <c r="K195" s="87"/>
      <c r="L195" s="87"/>
      <c r="M195" s="87"/>
    </row>
    <row r="196" spans="3:13" ht="14.4" x14ac:dyDescent="0.3">
      <c r="C196" s="86"/>
      <c r="D196" s="87"/>
      <c r="E196" s="87"/>
      <c r="I196" s="86"/>
      <c r="J196" s="86"/>
      <c r="K196" s="87"/>
      <c r="L196" s="87"/>
      <c r="M196" s="87"/>
    </row>
    <row r="197" spans="3:13" ht="14.4" x14ac:dyDescent="0.3">
      <c r="C197" s="86"/>
      <c r="D197" s="87"/>
      <c r="E197" s="87"/>
      <c r="I197" s="86"/>
      <c r="J197" s="86"/>
      <c r="K197" s="87"/>
      <c r="L197" s="87"/>
      <c r="M197" s="87"/>
    </row>
    <row r="198" spans="3:13" ht="14.4" x14ac:dyDescent="0.3">
      <c r="C198" s="86"/>
      <c r="D198" s="87"/>
      <c r="E198" s="87"/>
      <c r="I198" s="86"/>
      <c r="J198" s="86"/>
      <c r="K198" s="87"/>
      <c r="L198" s="87"/>
      <c r="M198" s="87"/>
    </row>
    <row r="199" spans="3:13" ht="14.4" x14ac:dyDescent="0.3">
      <c r="C199" s="86"/>
      <c r="D199" s="87"/>
      <c r="E199" s="87"/>
      <c r="I199" s="86"/>
      <c r="J199" s="86"/>
      <c r="K199" s="87"/>
      <c r="L199" s="87"/>
      <c r="M199" s="87"/>
    </row>
    <row r="200" spans="3:13" ht="14.4" x14ac:dyDescent="0.3">
      <c r="C200" s="86"/>
      <c r="D200" s="87"/>
      <c r="E200" s="87"/>
      <c r="I200" s="86"/>
      <c r="J200" s="86"/>
      <c r="K200" s="87"/>
      <c r="L200" s="87"/>
      <c r="M200" s="87"/>
    </row>
    <row r="201" spans="3:13" ht="14.4" x14ac:dyDescent="0.3">
      <c r="C201" s="86"/>
      <c r="D201" s="87"/>
      <c r="E201" s="87"/>
      <c r="I201" s="86"/>
      <c r="J201" s="86"/>
      <c r="K201" s="87"/>
      <c r="L201" s="87"/>
      <c r="M201" s="87"/>
    </row>
    <row r="202" spans="3:13" ht="14.4" x14ac:dyDescent="0.3">
      <c r="C202" s="86"/>
      <c r="D202" s="87"/>
      <c r="E202" s="87"/>
      <c r="I202" s="86"/>
      <c r="J202" s="86"/>
      <c r="K202" s="87"/>
      <c r="L202" s="87"/>
      <c r="M202" s="87"/>
    </row>
    <row r="203" spans="3:13" ht="14.4" x14ac:dyDescent="0.3">
      <c r="C203" s="86"/>
      <c r="D203" s="87"/>
      <c r="E203" s="87"/>
      <c r="I203" s="86"/>
      <c r="J203" s="86"/>
      <c r="K203" s="87"/>
      <c r="L203" s="87"/>
      <c r="M203" s="87"/>
    </row>
    <row r="204" spans="3:13" ht="14.4" x14ac:dyDescent="0.3">
      <c r="C204" s="86"/>
      <c r="D204" s="87"/>
      <c r="E204" s="87"/>
      <c r="I204" s="86"/>
      <c r="J204" s="86"/>
      <c r="K204" s="87"/>
      <c r="L204" s="87"/>
      <c r="M204" s="87"/>
    </row>
    <row r="205" spans="3:13" ht="14.4" x14ac:dyDescent="0.3">
      <c r="C205" s="86"/>
      <c r="D205" s="87"/>
      <c r="E205" s="87"/>
      <c r="I205" s="86"/>
      <c r="J205" s="86"/>
      <c r="K205" s="87"/>
      <c r="L205" s="87"/>
      <c r="M205" s="87"/>
    </row>
    <row r="206" spans="3:13" ht="14.4" x14ac:dyDescent="0.3">
      <c r="C206" s="86"/>
      <c r="D206" s="87"/>
      <c r="E206" s="87"/>
      <c r="I206" s="86"/>
      <c r="J206" s="86"/>
      <c r="K206" s="87"/>
      <c r="L206" s="87"/>
      <c r="M206" s="87"/>
    </row>
    <row r="207" spans="3:13" ht="14.4" x14ac:dyDescent="0.3">
      <c r="C207" s="86"/>
      <c r="D207" s="87"/>
      <c r="E207" s="87"/>
      <c r="I207" s="86"/>
      <c r="J207" s="86"/>
      <c r="K207" s="87"/>
      <c r="L207" s="87"/>
      <c r="M207" s="87"/>
    </row>
    <row r="208" spans="3:13" ht="14.4" x14ac:dyDescent="0.3">
      <c r="C208" s="86"/>
      <c r="D208" s="87"/>
      <c r="E208" s="87"/>
      <c r="I208" s="86"/>
      <c r="J208" s="86"/>
      <c r="K208" s="87"/>
      <c r="L208" s="87"/>
      <c r="M208" s="87"/>
    </row>
    <row r="209" spans="3:13" ht="14.4" x14ac:dyDescent="0.3">
      <c r="C209" s="86"/>
      <c r="D209" s="87"/>
      <c r="E209" s="87"/>
      <c r="I209" s="86"/>
      <c r="J209" s="86"/>
      <c r="K209" s="87"/>
      <c r="L209" s="87"/>
      <c r="M209" s="87"/>
    </row>
    <row r="210" spans="3:13" ht="14.4" x14ac:dyDescent="0.3">
      <c r="C210" s="86"/>
      <c r="D210" s="87"/>
      <c r="E210" s="87"/>
      <c r="I210" s="86"/>
      <c r="J210" s="86"/>
      <c r="K210" s="87"/>
      <c r="L210" s="87"/>
      <c r="M210" s="87"/>
    </row>
    <row r="211" spans="3:13" ht="14.4" x14ac:dyDescent="0.3">
      <c r="C211" s="86"/>
      <c r="D211" s="87"/>
      <c r="E211" s="87"/>
      <c r="I211" s="86"/>
      <c r="J211" s="86"/>
      <c r="K211" s="87"/>
      <c r="L211" s="87"/>
      <c r="M211" s="87"/>
    </row>
    <row r="212" spans="3:13" ht="14.4" x14ac:dyDescent="0.3">
      <c r="C212" s="86"/>
      <c r="D212" s="87"/>
      <c r="E212" s="87"/>
      <c r="I212" s="86"/>
      <c r="J212" s="86"/>
      <c r="K212" s="87"/>
      <c r="L212" s="87"/>
      <c r="M212" s="87"/>
    </row>
    <row r="213" spans="3:13" ht="14.4" x14ac:dyDescent="0.3">
      <c r="C213" s="86"/>
      <c r="D213" s="87"/>
      <c r="E213" s="87"/>
      <c r="I213" s="86"/>
      <c r="J213" s="86"/>
      <c r="K213" s="87"/>
      <c r="L213" s="87"/>
      <c r="M213" s="87"/>
    </row>
    <row r="214" spans="3:13" ht="14.4" x14ac:dyDescent="0.3">
      <c r="C214" s="86"/>
      <c r="D214" s="87"/>
      <c r="E214" s="87"/>
      <c r="I214" s="86"/>
      <c r="J214" s="86"/>
      <c r="K214" s="87"/>
      <c r="L214" s="87"/>
      <c r="M214" s="87"/>
    </row>
    <row r="215" spans="3:13" ht="14.4" x14ac:dyDescent="0.3">
      <c r="C215" s="86"/>
      <c r="D215" s="87"/>
      <c r="E215" s="87"/>
      <c r="I215" s="86"/>
      <c r="J215" s="86"/>
      <c r="K215" s="87"/>
      <c r="L215" s="87"/>
      <c r="M215" s="87"/>
    </row>
    <row r="216" spans="3:13" ht="14.4" x14ac:dyDescent="0.3">
      <c r="C216" s="86"/>
      <c r="D216" s="87"/>
      <c r="E216" s="87"/>
      <c r="I216" s="86"/>
      <c r="J216" s="86"/>
      <c r="K216" s="87"/>
      <c r="L216" s="87"/>
      <c r="M216" s="87"/>
    </row>
    <row r="217" spans="3:13" ht="14.4" x14ac:dyDescent="0.3">
      <c r="C217" s="86"/>
      <c r="D217" s="87"/>
      <c r="E217" s="87"/>
      <c r="I217" s="86"/>
      <c r="J217" s="86"/>
      <c r="K217" s="87"/>
      <c r="L217" s="87"/>
      <c r="M217" s="87"/>
    </row>
    <row r="218" spans="3:13" ht="14.4" x14ac:dyDescent="0.3">
      <c r="C218" s="86"/>
      <c r="D218" s="87"/>
      <c r="E218" s="87"/>
      <c r="I218" s="86"/>
      <c r="J218" s="86"/>
      <c r="K218" s="87"/>
      <c r="L218" s="87"/>
      <c r="M218" s="87"/>
    </row>
    <row r="219" spans="3:13" ht="14.4" x14ac:dyDescent="0.3">
      <c r="C219" s="86"/>
      <c r="D219" s="87"/>
      <c r="E219" s="87"/>
      <c r="I219" s="86"/>
      <c r="J219" s="86"/>
      <c r="K219" s="87"/>
      <c r="L219" s="87"/>
      <c r="M219" s="87"/>
    </row>
    <row r="220" spans="3:13" ht="14.4" x14ac:dyDescent="0.3">
      <c r="C220" s="86"/>
      <c r="D220" s="87"/>
      <c r="E220" s="87"/>
      <c r="I220" s="86"/>
      <c r="J220" s="86"/>
      <c r="K220" s="87"/>
      <c r="L220" s="87"/>
      <c r="M220" s="87"/>
    </row>
    <row r="221" spans="3:13" ht="14.4" x14ac:dyDescent="0.3">
      <c r="C221" s="86"/>
      <c r="D221" s="87"/>
      <c r="E221" s="87"/>
      <c r="I221" s="86"/>
      <c r="J221" s="86"/>
      <c r="K221" s="87"/>
      <c r="L221" s="87"/>
      <c r="M221" s="87"/>
    </row>
    <row r="222" spans="3:13" ht="14.4" x14ac:dyDescent="0.3">
      <c r="C222" s="86"/>
      <c r="D222" s="87"/>
      <c r="E222" s="87"/>
      <c r="I222" s="86"/>
      <c r="J222" s="86"/>
      <c r="K222" s="87"/>
      <c r="L222" s="87"/>
      <c r="M222" s="87"/>
    </row>
    <row r="223" spans="3:13" ht="14.4" x14ac:dyDescent="0.3">
      <c r="C223" s="86"/>
      <c r="D223" s="87"/>
      <c r="E223" s="87"/>
      <c r="I223" s="86"/>
      <c r="J223" s="86"/>
      <c r="K223" s="87"/>
      <c r="L223" s="87"/>
      <c r="M223" s="87"/>
    </row>
    <row r="224" spans="3:13" ht="14.4" x14ac:dyDescent="0.3">
      <c r="C224" s="86"/>
      <c r="D224" s="87"/>
      <c r="E224" s="87"/>
      <c r="I224" s="86"/>
      <c r="J224" s="86"/>
      <c r="K224" s="87"/>
      <c r="L224" s="87"/>
      <c r="M224" s="87"/>
    </row>
    <row r="225" spans="3:13" ht="14.4" x14ac:dyDescent="0.3">
      <c r="C225" s="86"/>
      <c r="D225" s="87"/>
      <c r="E225" s="87"/>
      <c r="I225" s="86"/>
      <c r="J225" s="86"/>
      <c r="K225" s="87"/>
      <c r="L225" s="87"/>
      <c r="M225" s="87"/>
    </row>
    <row r="226" spans="3:13" ht="14.4" x14ac:dyDescent="0.3">
      <c r="C226" s="86"/>
      <c r="D226" s="87"/>
      <c r="E226" s="87"/>
      <c r="I226" s="86"/>
      <c r="J226" s="86"/>
      <c r="K226" s="87"/>
      <c r="L226" s="87"/>
      <c r="M226" s="87"/>
    </row>
    <row r="227" spans="3:13" ht="14.4" x14ac:dyDescent="0.3">
      <c r="C227" s="86"/>
      <c r="D227" s="87"/>
      <c r="E227" s="87"/>
      <c r="I227" s="86"/>
      <c r="J227" s="86"/>
      <c r="K227" s="87"/>
      <c r="L227" s="87"/>
      <c r="M227" s="87"/>
    </row>
    <row r="228" spans="3:13" ht="14.4" x14ac:dyDescent="0.3">
      <c r="C228" s="86"/>
      <c r="D228" s="87"/>
      <c r="E228" s="87"/>
      <c r="I228" s="86"/>
      <c r="J228" s="86"/>
      <c r="K228" s="87"/>
      <c r="L228" s="87"/>
      <c r="M228" s="87"/>
    </row>
    <row r="229" spans="3:13" ht="14.4" x14ac:dyDescent="0.3">
      <c r="C229" s="86"/>
      <c r="D229" s="87"/>
      <c r="E229" s="87"/>
      <c r="I229" s="86"/>
      <c r="J229" s="86"/>
      <c r="K229" s="87"/>
      <c r="L229" s="87"/>
      <c r="M229" s="87"/>
    </row>
    <row r="230" spans="3:13" ht="14.4" x14ac:dyDescent="0.3">
      <c r="C230" s="86"/>
      <c r="D230" s="87"/>
      <c r="E230" s="87"/>
      <c r="I230" s="86"/>
      <c r="J230" s="86"/>
      <c r="K230" s="87"/>
      <c r="L230" s="87"/>
      <c r="M230" s="87"/>
    </row>
    <row r="231" spans="3:13" ht="14.4" x14ac:dyDescent="0.3">
      <c r="C231" s="86"/>
      <c r="D231" s="87"/>
      <c r="E231" s="87"/>
      <c r="I231" s="86"/>
      <c r="J231" s="86"/>
      <c r="K231" s="87"/>
      <c r="L231" s="87"/>
      <c r="M231" s="87"/>
    </row>
    <row r="232" spans="3:13" ht="14.4" x14ac:dyDescent="0.3">
      <c r="C232" s="86"/>
      <c r="D232" s="87"/>
      <c r="E232" s="87"/>
      <c r="I232" s="86"/>
      <c r="J232" s="86"/>
      <c r="K232" s="87"/>
      <c r="L232" s="87"/>
      <c r="M232" s="87"/>
    </row>
    <row r="233" spans="3:13" ht="14.4" x14ac:dyDescent="0.3">
      <c r="C233" s="86"/>
      <c r="D233" s="87"/>
      <c r="E233" s="87"/>
      <c r="I233" s="86"/>
      <c r="J233" s="86"/>
      <c r="K233" s="87"/>
      <c r="L233" s="87"/>
      <c r="M233" s="87"/>
    </row>
    <row r="234" spans="3:13" ht="14.4" x14ac:dyDescent="0.3">
      <c r="C234" s="86"/>
      <c r="D234" s="87"/>
      <c r="E234" s="87"/>
      <c r="I234" s="86"/>
      <c r="J234" s="86"/>
      <c r="K234" s="87"/>
      <c r="L234" s="87"/>
      <c r="M234" s="87"/>
    </row>
    <row r="235" spans="3:13" ht="14.4" x14ac:dyDescent="0.3">
      <c r="C235" s="86"/>
      <c r="D235" s="87"/>
      <c r="E235" s="87"/>
      <c r="I235" s="86"/>
      <c r="J235" s="86"/>
      <c r="K235" s="87"/>
      <c r="L235" s="87"/>
      <c r="M235" s="87"/>
    </row>
    <row r="236" spans="3:13" ht="14.4" x14ac:dyDescent="0.3">
      <c r="C236" s="86"/>
      <c r="D236" s="87"/>
      <c r="E236" s="87"/>
      <c r="I236" s="86"/>
      <c r="J236" s="86"/>
      <c r="K236" s="87"/>
      <c r="L236" s="87"/>
      <c r="M236" s="87"/>
    </row>
    <row r="237" spans="3:13" ht="14.4" x14ac:dyDescent="0.3">
      <c r="C237" s="86"/>
      <c r="D237" s="87"/>
      <c r="E237" s="87"/>
      <c r="I237" s="86"/>
      <c r="J237" s="86"/>
      <c r="K237" s="87"/>
      <c r="L237" s="87"/>
      <c r="M237" s="87"/>
    </row>
    <row r="238" spans="3:13" ht="14.4" x14ac:dyDescent="0.3">
      <c r="C238" s="86"/>
      <c r="D238" s="87"/>
      <c r="E238" s="87"/>
      <c r="I238" s="86"/>
      <c r="J238" s="86"/>
      <c r="K238" s="87"/>
      <c r="L238" s="87"/>
      <c r="M238" s="87"/>
    </row>
    <row r="239" spans="3:13" ht="14.4" x14ac:dyDescent="0.3">
      <c r="C239" s="86"/>
      <c r="D239" s="87"/>
      <c r="E239" s="87"/>
      <c r="I239" s="86"/>
      <c r="J239" s="86"/>
      <c r="K239" s="87"/>
      <c r="L239" s="87"/>
      <c r="M239" s="87"/>
    </row>
    <row r="240" spans="3:13" ht="14.4" x14ac:dyDescent="0.3">
      <c r="C240" s="86"/>
      <c r="D240" s="87"/>
      <c r="E240" s="87"/>
      <c r="I240" s="86"/>
      <c r="J240" s="86"/>
      <c r="K240" s="87"/>
      <c r="L240" s="87"/>
      <c r="M240" s="87"/>
    </row>
    <row r="241" spans="3:13" ht="14.4" x14ac:dyDescent="0.3">
      <c r="C241" s="86"/>
      <c r="D241" s="87"/>
      <c r="E241" s="87"/>
      <c r="I241" s="86"/>
      <c r="J241" s="86"/>
      <c r="K241" s="87"/>
      <c r="L241" s="87"/>
      <c r="M241" s="87"/>
    </row>
    <row r="242" spans="3:13" ht="14.4" x14ac:dyDescent="0.3">
      <c r="C242" s="86"/>
      <c r="D242" s="87"/>
      <c r="E242" s="87"/>
      <c r="I242" s="86"/>
      <c r="J242" s="86"/>
      <c r="K242" s="87"/>
      <c r="L242" s="87"/>
      <c r="M242" s="87"/>
    </row>
    <row r="243" spans="3:13" ht="14.4" x14ac:dyDescent="0.3">
      <c r="C243" s="86"/>
      <c r="D243" s="87"/>
      <c r="E243" s="87"/>
      <c r="I243" s="86"/>
      <c r="J243" s="86"/>
      <c r="K243" s="87"/>
      <c r="L243" s="87"/>
      <c r="M243" s="87"/>
    </row>
    <row r="244" spans="3:13" ht="14.4" x14ac:dyDescent="0.3">
      <c r="C244" s="86"/>
      <c r="D244" s="87"/>
      <c r="E244" s="87"/>
      <c r="I244" s="86"/>
      <c r="J244" s="86"/>
      <c r="K244" s="87"/>
      <c r="L244" s="87"/>
      <c r="M244" s="87"/>
    </row>
    <row r="245" spans="3:13" ht="14.4" x14ac:dyDescent="0.3">
      <c r="C245" s="86"/>
      <c r="D245" s="87"/>
      <c r="E245" s="87"/>
      <c r="I245" s="86"/>
      <c r="J245" s="86"/>
      <c r="K245" s="87"/>
      <c r="L245" s="87"/>
      <c r="M245" s="87"/>
    </row>
    <row r="246" spans="3:13" ht="14.4" x14ac:dyDescent="0.3">
      <c r="C246" s="86"/>
      <c r="D246" s="87"/>
      <c r="E246" s="87"/>
      <c r="I246" s="86"/>
      <c r="J246" s="86"/>
      <c r="K246" s="87"/>
      <c r="L246" s="87"/>
      <c r="M246" s="87"/>
    </row>
    <row r="247" spans="3:13" ht="14.4" x14ac:dyDescent="0.3">
      <c r="C247" s="86"/>
      <c r="D247" s="87"/>
      <c r="E247" s="87"/>
      <c r="I247" s="86"/>
      <c r="J247" s="86"/>
      <c r="K247" s="87"/>
      <c r="L247" s="87"/>
      <c r="M247" s="87"/>
    </row>
    <row r="248" spans="3:13" ht="14.4" x14ac:dyDescent="0.3">
      <c r="C248" s="86"/>
      <c r="D248" s="87"/>
      <c r="E248" s="87"/>
      <c r="I248" s="86"/>
      <c r="J248" s="86"/>
      <c r="K248" s="87"/>
      <c r="L248" s="87"/>
      <c r="M248" s="87"/>
    </row>
    <row r="249" spans="3:13" ht="14.4" x14ac:dyDescent="0.3">
      <c r="C249" s="86"/>
      <c r="D249" s="87"/>
      <c r="E249" s="87"/>
      <c r="I249" s="86"/>
      <c r="J249" s="86"/>
      <c r="K249" s="87"/>
      <c r="L249" s="87"/>
      <c r="M249" s="87"/>
    </row>
    <row r="250" spans="3:13" ht="14.4" x14ac:dyDescent="0.3">
      <c r="C250" s="86"/>
      <c r="D250" s="87"/>
      <c r="E250" s="87"/>
      <c r="I250" s="86"/>
      <c r="J250" s="86"/>
      <c r="K250" s="87"/>
      <c r="L250" s="87"/>
      <c r="M250" s="87"/>
    </row>
    <row r="251" spans="3:13" ht="14.4" x14ac:dyDescent="0.3">
      <c r="C251" s="86"/>
      <c r="D251" s="87"/>
      <c r="E251" s="87"/>
      <c r="I251" s="86"/>
      <c r="J251" s="86"/>
      <c r="K251" s="87"/>
      <c r="L251" s="87"/>
      <c r="M251" s="87"/>
    </row>
    <row r="252" spans="3:13" ht="14.4" x14ac:dyDescent="0.3">
      <c r="C252" s="86"/>
      <c r="D252" s="87"/>
      <c r="E252" s="87"/>
      <c r="I252" s="86"/>
      <c r="J252" s="86"/>
      <c r="K252" s="87"/>
      <c r="L252" s="87"/>
      <c r="M252" s="87"/>
    </row>
    <row r="253" spans="3:13" ht="14.4" x14ac:dyDescent="0.3">
      <c r="C253" s="86"/>
      <c r="D253" s="87"/>
      <c r="E253" s="87"/>
      <c r="I253" s="86"/>
      <c r="J253" s="86"/>
      <c r="K253" s="87"/>
      <c r="L253" s="87"/>
      <c r="M253" s="87"/>
    </row>
    <row r="254" spans="3:13" ht="14.4" x14ac:dyDescent="0.3">
      <c r="C254" s="86"/>
      <c r="D254" s="87"/>
      <c r="E254" s="87"/>
      <c r="I254" s="86"/>
      <c r="J254" s="86"/>
      <c r="K254" s="87"/>
      <c r="L254" s="87"/>
      <c r="M254" s="87"/>
    </row>
    <row r="255" spans="3:13" ht="14.4" x14ac:dyDescent="0.3">
      <c r="C255" s="86"/>
      <c r="D255" s="87"/>
      <c r="E255" s="87"/>
      <c r="I255" s="86"/>
      <c r="J255" s="86"/>
      <c r="K255" s="87"/>
      <c r="L255" s="87"/>
      <c r="M255" s="87"/>
    </row>
    <row r="256" spans="3:13" ht="14.4" x14ac:dyDescent="0.3">
      <c r="C256" s="86"/>
      <c r="D256" s="87"/>
      <c r="E256" s="87"/>
      <c r="I256" s="86"/>
      <c r="J256" s="86"/>
      <c r="K256" s="87"/>
      <c r="L256" s="87"/>
      <c r="M256" s="87"/>
    </row>
    <row r="257" spans="3:13" ht="14.4" x14ac:dyDescent="0.3">
      <c r="C257" s="86"/>
      <c r="D257" s="87"/>
      <c r="E257" s="87"/>
      <c r="I257" s="86"/>
      <c r="J257" s="86"/>
      <c r="K257" s="87"/>
      <c r="L257" s="87"/>
      <c r="M257" s="87"/>
    </row>
    <row r="258" spans="3:13" ht="14.4" x14ac:dyDescent="0.3">
      <c r="C258" s="86"/>
      <c r="D258" s="87"/>
      <c r="E258" s="87"/>
      <c r="I258" s="86"/>
      <c r="J258" s="86"/>
      <c r="K258" s="87"/>
      <c r="L258" s="87"/>
      <c r="M258" s="87"/>
    </row>
    <row r="259" spans="3:13" ht="14.4" x14ac:dyDescent="0.3">
      <c r="C259" s="86"/>
      <c r="D259" s="87"/>
      <c r="E259" s="87"/>
      <c r="I259" s="86"/>
      <c r="J259" s="86"/>
      <c r="K259" s="87"/>
      <c r="L259" s="87"/>
      <c r="M259" s="87"/>
    </row>
    <row r="260" spans="3:13" ht="14.4" x14ac:dyDescent="0.3">
      <c r="C260" s="86"/>
      <c r="D260" s="87"/>
      <c r="E260" s="87"/>
      <c r="I260" s="86"/>
      <c r="J260" s="86"/>
      <c r="K260" s="87"/>
      <c r="L260" s="87"/>
      <c r="M260" s="87"/>
    </row>
    <row r="261" spans="3:13" ht="14.4" x14ac:dyDescent="0.3">
      <c r="C261" s="86"/>
      <c r="D261" s="87"/>
      <c r="E261" s="87"/>
      <c r="I261" s="86"/>
      <c r="J261" s="86"/>
      <c r="K261" s="87"/>
      <c r="L261" s="87"/>
      <c r="M261" s="87"/>
    </row>
    <row r="262" spans="3:13" ht="14.4" x14ac:dyDescent="0.3">
      <c r="C262" s="86"/>
      <c r="D262" s="87"/>
      <c r="E262" s="87"/>
      <c r="I262" s="86"/>
      <c r="J262" s="86"/>
      <c r="K262" s="87"/>
      <c r="L262" s="87"/>
      <c r="M262" s="87"/>
    </row>
    <row r="263" spans="3:13" ht="14.4" x14ac:dyDescent="0.3">
      <c r="C263" s="86"/>
      <c r="D263" s="87"/>
      <c r="E263" s="87"/>
      <c r="I263" s="86"/>
      <c r="J263" s="86"/>
      <c r="K263" s="87"/>
      <c r="L263" s="87"/>
      <c r="M263" s="87"/>
    </row>
    <row r="264" spans="3:13" ht="14.4" x14ac:dyDescent="0.3">
      <c r="C264" s="86"/>
      <c r="D264" s="87"/>
      <c r="E264" s="87"/>
      <c r="I264" s="86"/>
      <c r="J264" s="86"/>
      <c r="K264" s="87"/>
      <c r="L264" s="87"/>
      <c r="M264" s="87"/>
    </row>
    <row r="265" spans="3:13" ht="14.4" x14ac:dyDescent="0.3">
      <c r="C265" s="86"/>
      <c r="D265" s="87"/>
      <c r="E265" s="87"/>
      <c r="I265" s="86"/>
      <c r="J265" s="86"/>
      <c r="K265" s="87"/>
      <c r="L265" s="87"/>
      <c r="M265" s="87"/>
    </row>
    <row r="266" spans="3:13" ht="14.4" x14ac:dyDescent="0.3">
      <c r="C266" s="86"/>
      <c r="D266" s="87"/>
      <c r="E266" s="87"/>
      <c r="I266" s="86"/>
      <c r="J266" s="86"/>
      <c r="K266" s="87"/>
      <c r="L266" s="87"/>
      <c r="M266" s="87"/>
    </row>
    <row r="267" spans="3:13" ht="14.4" x14ac:dyDescent="0.3">
      <c r="C267" s="86"/>
      <c r="D267" s="87"/>
      <c r="E267" s="87"/>
      <c r="I267" s="86"/>
      <c r="J267" s="86"/>
      <c r="K267" s="87"/>
      <c r="L267" s="87"/>
      <c r="M267" s="87"/>
    </row>
    <row r="268" spans="3:13" ht="14.4" x14ac:dyDescent="0.3">
      <c r="C268" s="86"/>
      <c r="D268" s="87"/>
      <c r="E268" s="87"/>
      <c r="I268" s="86"/>
      <c r="J268" s="86"/>
      <c r="K268" s="87"/>
      <c r="L268" s="87"/>
      <c r="M268" s="87"/>
    </row>
    <row r="269" spans="3:13" ht="14.4" x14ac:dyDescent="0.3">
      <c r="C269" s="86"/>
      <c r="D269" s="87"/>
      <c r="E269" s="87"/>
      <c r="I269" s="86"/>
      <c r="J269" s="86"/>
      <c r="K269" s="87"/>
      <c r="L269" s="87"/>
      <c r="M269" s="87"/>
    </row>
    <row r="270" spans="3:13" ht="14.4" x14ac:dyDescent="0.3">
      <c r="C270" s="86"/>
      <c r="D270" s="87"/>
      <c r="E270" s="87"/>
      <c r="I270" s="86"/>
      <c r="J270" s="86"/>
      <c r="K270" s="87"/>
      <c r="L270" s="87"/>
      <c r="M270" s="87"/>
    </row>
    <row r="271" spans="3:13" ht="14.4" x14ac:dyDescent="0.3">
      <c r="C271" s="86"/>
      <c r="D271" s="87"/>
      <c r="E271" s="87"/>
      <c r="I271" s="86"/>
      <c r="J271" s="86"/>
      <c r="K271" s="87"/>
      <c r="L271" s="87"/>
      <c r="M271" s="87"/>
    </row>
    <row r="272" spans="3:13" ht="14.4" x14ac:dyDescent="0.3">
      <c r="C272" s="86"/>
      <c r="D272" s="87"/>
      <c r="E272" s="87"/>
      <c r="I272" s="86"/>
      <c r="J272" s="86"/>
      <c r="K272" s="87"/>
      <c r="L272" s="87"/>
      <c r="M272" s="87"/>
    </row>
    <row r="273" spans="3:13" ht="14.4" x14ac:dyDescent="0.3">
      <c r="C273" s="86"/>
      <c r="D273" s="87"/>
      <c r="E273" s="87"/>
      <c r="I273" s="86"/>
      <c r="J273" s="86"/>
      <c r="K273" s="87"/>
      <c r="L273" s="87"/>
      <c r="M273" s="87"/>
    </row>
    <row r="274" spans="3:13" ht="14.4" x14ac:dyDescent="0.3">
      <c r="C274" s="86"/>
      <c r="D274" s="87"/>
      <c r="E274" s="87"/>
      <c r="I274" s="86"/>
      <c r="J274" s="86"/>
      <c r="K274" s="87"/>
      <c r="L274" s="87"/>
      <c r="M274" s="87"/>
    </row>
    <row r="275" spans="3:13" ht="14.4" x14ac:dyDescent="0.3">
      <c r="C275" s="86"/>
      <c r="D275" s="87"/>
      <c r="E275" s="87"/>
      <c r="I275" s="86"/>
      <c r="J275" s="86"/>
      <c r="K275" s="87"/>
      <c r="L275" s="87"/>
      <c r="M275" s="87"/>
    </row>
    <row r="276" spans="3:13" ht="14.4" x14ac:dyDescent="0.3">
      <c r="C276" s="86"/>
      <c r="D276" s="87"/>
      <c r="E276" s="87"/>
      <c r="I276" s="86"/>
      <c r="J276" s="86"/>
      <c r="K276" s="87"/>
      <c r="L276" s="87"/>
      <c r="M276" s="87"/>
    </row>
    <row r="277" spans="3:13" ht="14.4" x14ac:dyDescent="0.3">
      <c r="C277" s="86"/>
      <c r="D277" s="87"/>
      <c r="E277" s="87"/>
      <c r="I277" s="86"/>
      <c r="J277" s="86"/>
      <c r="K277" s="87"/>
      <c r="L277" s="87"/>
      <c r="M277" s="87"/>
    </row>
    <row r="278" spans="3:13" ht="14.4" x14ac:dyDescent="0.3">
      <c r="C278" s="86"/>
      <c r="D278" s="87"/>
      <c r="E278" s="87"/>
      <c r="I278" s="86"/>
      <c r="J278" s="86"/>
      <c r="K278" s="87"/>
      <c r="L278" s="87"/>
      <c r="M278" s="87"/>
    </row>
    <row r="279" spans="3:13" ht="14.4" x14ac:dyDescent="0.3">
      <c r="C279" s="86"/>
      <c r="D279" s="87"/>
      <c r="E279" s="87"/>
      <c r="I279" s="86"/>
      <c r="J279" s="86"/>
      <c r="K279" s="87"/>
      <c r="L279" s="87"/>
      <c r="M279" s="87"/>
    </row>
    <row r="280" spans="3:13" ht="14.4" x14ac:dyDescent="0.3">
      <c r="C280" s="86"/>
      <c r="D280" s="87"/>
      <c r="E280" s="87"/>
      <c r="I280" s="86"/>
      <c r="J280" s="86"/>
      <c r="K280" s="87"/>
      <c r="L280" s="87"/>
      <c r="M280" s="87"/>
    </row>
    <row r="281" spans="3:13" ht="14.4" x14ac:dyDescent="0.3">
      <c r="C281" s="86"/>
      <c r="D281" s="87"/>
      <c r="E281" s="87"/>
      <c r="I281" s="86"/>
      <c r="J281" s="86"/>
      <c r="K281" s="87"/>
      <c r="L281" s="87"/>
      <c r="M281" s="87"/>
    </row>
    <row r="282" spans="3:13" ht="14.4" x14ac:dyDescent="0.3">
      <c r="C282" s="86"/>
      <c r="D282" s="87"/>
      <c r="E282" s="87"/>
      <c r="I282" s="86"/>
      <c r="J282" s="86"/>
      <c r="K282" s="87"/>
      <c r="L282" s="87"/>
      <c r="M282" s="87"/>
    </row>
    <row r="283" spans="3:13" ht="14.4" x14ac:dyDescent="0.3">
      <c r="C283" s="86"/>
      <c r="D283" s="87"/>
      <c r="E283" s="87"/>
      <c r="I283" s="86"/>
      <c r="J283" s="86"/>
      <c r="K283" s="87"/>
      <c r="L283" s="87"/>
      <c r="M283" s="87"/>
    </row>
    <row r="284" spans="3:13" ht="14.4" x14ac:dyDescent="0.3">
      <c r="C284" s="86"/>
      <c r="D284" s="87"/>
      <c r="E284" s="87"/>
      <c r="I284" s="86"/>
      <c r="J284" s="86"/>
      <c r="K284" s="87"/>
      <c r="L284" s="87"/>
      <c r="M284" s="87"/>
    </row>
    <row r="285" spans="3:13" ht="14.4" x14ac:dyDescent="0.3">
      <c r="C285" s="86"/>
      <c r="D285" s="87"/>
      <c r="E285" s="87"/>
      <c r="I285" s="86"/>
      <c r="J285" s="86"/>
      <c r="K285" s="87"/>
      <c r="L285" s="87"/>
      <c r="M285" s="87"/>
    </row>
    <row r="286" spans="3:13" ht="14.4" x14ac:dyDescent="0.3">
      <c r="C286" s="86"/>
      <c r="D286" s="87"/>
      <c r="E286" s="87"/>
      <c r="I286" s="86"/>
      <c r="J286" s="86"/>
      <c r="K286" s="87"/>
      <c r="L286" s="87"/>
      <c r="M286" s="87"/>
    </row>
    <row r="287" spans="3:13" ht="14.4" x14ac:dyDescent="0.3">
      <c r="C287" s="86"/>
      <c r="D287" s="87"/>
      <c r="E287" s="87"/>
      <c r="I287" s="86"/>
      <c r="J287" s="86"/>
      <c r="K287" s="87"/>
      <c r="L287" s="87"/>
      <c r="M287" s="87"/>
    </row>
    <row r="288" spans="3:13" ht="14.4" x14ac:dyDescent="0.3">
      <c r="C288" s="86"/>
      <c r="D288" s="87"/>
      <c r="E288" s="87"/>
      <c r="I288" s="86"/>
      <c r="J288" s="86"/>
      <c r="K288" s="87"/>
      <c r="L288" s="87"/>
      <c r="M288" s="87"/>
    </row>
    <row r="289" spans="3:13" ht="14.4" x14ac:dyDescent="0.3">
      <c r="C289" s="86"/>
      <c r="D289" s="87"/>
      <c r="E289" s="87"/>
      <c r="I289" s="86"/>
      <c r="J289" s="86"/>
      <c r="K289" s="87"/>
      <c r="L289" s="87"/>
      <c r="M289" s="87"/>
    </row>
    <row r="290" spans="3:13" ht="14.4" x14ac:dyDescent="0.3">
      <c r="C290" s="86"/>
      <c r="D290" s="87"/>
      <c r="E290" s="87"/>
      <c r="I290" s="86"/>
      <c r="J290" s="86"/>
      <c r="K290" s="87"/>
      <c r="L290" s="87"/>
      <c r="M290" s="87"/>
    </row>
    <row r="291" spans="3:13" ht="14.4" x14ac:dyDescent="0.3">
      <c r="C291" s="86"/>
      <c r="D291" s="87"/>
      <c r="E291" s="87"/>
      <c r="I291" s="86"/>
      <c r="J291" s="86"/>
      <c r="K291" s="87"/>
      <c r="L291" s="87"/>
      <c r="M291" s="87"/>
    </row>
    <row r="292" spans="3:13" ht="14.4" x14ac:dyDescent="0.3">
      <c r="C292" s="86"/>
      <c r="D292" s="87"/>
      <c r="E292" s="87"/>
      <c r="I292" s="86"/>
      <c r="J292" s="86"/>
      <c r="K292" s="87"/>
      <c r="L292" s="87"/>
      <c r="M292" s="87"/>
    </row>
    <row r="293" spans="3:13" ht="14.4" x14ac:dyDescent="0.3">
      <c r="C293" s="86"/>
      <c r="D293" s="87"/>
      <c r="E293" s="87"/>
      <c r="I293" s="86"/>
      <c r="J293" s="86"/>
      <c r="K293" s="87"/>
      <c r="L293" s="87"/>
      <c r="M293" s="87"/>
    </row>
    <row r="294" spans="3:13" ht="14.4" x14ac:dyDescent="0.3">
      <c r="C294" s="86"/>
      <c r="D294" s="87"/>
      <c r="E294" s="87"/>
      <c r="I294" s="86"/>
      <c r="J294" s="86"/>
      <c r="K294" s="87"/>
      <c r="L294" s="87"/>
      <c r="M294" s="87"/>
    </row>
    <row r="295" spans="3:13" ht="14.4" x14ac:dyDescent="0.3">
      <c r="C295" s="86"/>
      <c r="D295" s="87"/>
      <c r="E295" s="87"/>
      <c r="I295" s="86"/>
      <c r="J295" s="86"/>
      <c r="K295" s="87"/>
      <c r="L295" s="87"/>
      <c r="M295" s="87"/>
    </row>
    <row r="296" spans="3:13" ht="14.4" x14ac:dyDescent="0.3">
      <c r="C296" s="86"/>
      <c r="D296" s="87"/>
      <c r="E296" s="87"/>
      <c r="I296" s="86"/>
      <c r="J296" s="86"/>
      <c r="K296" s="87"/>
      <c r="L296" s="87"/>
      <c r="M296" s="87"/>
    </row>
    <row r="297" spans="3:13" ht="14.4" x14ac:dyDescent="0.3">
      <c r="C297" s="86"/>
      <c r="D297" s="87"/>
      <c r="E297" s="87"/>
      <c r="I297" s="86"/>
      <c r="J297" s="86"/>
      <c r="K297" s="87"/>
      <c r="L297" s="87"/>
      <c r="M297" s="87"/>
    </row>
    <row r="298" spans="3:13" ht="14.4" x14ac:dyDescent="0.3">
      <c r="C298" s="86"/>
      <c r="D298" s="87"/>
      <c r="E298" s="87"/>
      <c r="I298" s="86"/>
      <c r="J298" s="86"/>
      <c r="K298" s="87"/>
      <c r="L298" s="87"/>
      <c r="M298" s="87"/>
    </row>
    <row r="299" spans="3:13" ht="14.4" x14ac:dyDescent="0.3">
      <c r="C299" s="86"/>
      <c r="D299" s="87"/>
      <c r="E299" s="87"/>
      <c r="I299" s="86"/>
      <c r="J299" s="86"/>
      <c r="K299" s="87"/>
      <c r="L299" s="87"/>
      <c r="M299" s="87"/>
    </row>
    <row r="300" spans="3:13" ht="14.4" x14ac:dyDescent="0.3">
      <c r="C300" s="86"/>
      <c r="D300" s="87"/>
      <c r="E300" s="87"/>
      <c r="I300" s="86"/>
      <c r="J300" s="86"/>
      <c r="K300" s="87"/>
      <c r="L300" s="87"/>
      <c r="M300" s="87"/>
    </row>
    <row r="301" spans="3:13" ht="14.4" x14ac:dyDescent="0.3">
      <c r="C301" s="86"/>
      <c r="D301" s="87"/>
      <c r="E301" s="87"/>
      <c r="I301" s="86"/>
      <c r="J301" s="86"/>
      <c r="K301" s="87"/>
      <c r="L301" s="87"/>
      <c r="M301" s="87"/>
    </row>
    <row r="302" spans="3:13" ht="14.4" x14ac:dyDescent="0.3">
      <c r="C302" s="86"/>
      <c r="D302" s="87"/>
      <c r="E302" s="87"/>
      <c r="I302" s="86"/>
      <c r="J302" s="86"/>
      <c r="K302" s="87"/>
      <c r="L302" s="87"/>
      <c r="M302" s="87"/>
    </row>
    <row r="303" spans="3:13" ht="14.4" x14ac:dyDescent="0.3">
      <c r="C303" s="86"/>
      <c r="D303" s="87"/>
      <c r="E303" s="87"/>
      <c r="I303" s="86"/>
      <c r="J303" s="86"/>
      <c r="K303" s="87"/>
      <c r="L303" s="87"/>
      <c r="M303" s="87"/>
    </row>
    <row r="304" spans="3:13" ht="14.4" x14ac:dyDescent="0.3">
      <c r="C304" s="86"/>
      <c r="D304" s="87"/>
      <c r="E304" s="87"/>
      <c r="I304" s="86"/>
      <c r="J304" s="86"/>
      <c r="K304" s="87"/>
      <c r="L304" s="87"/>
      <c r="M304" s="87"/>
    </row>
    <row r="305" spans="3:13" ht="14.4" x14ac:dyDescent="0.3">
      <c r="C305" s="86"/>
      <c r="D305" s="87"/>
      <c r="E305" s="87"/>
      <c r="I305" s="86"/>
      <c r="J305" s="86"/>
      <c r="K305" s="87"/>
      <c r="L305" s="87"/>
      <c r="M305" s="87"/>
    </row>
    <row r="306" spans="3:13" ht="14.4" x14ac:dyDescent="0.3">
      <c r="C306" s="86"/>
      <c r="D306" s="87"/>
      <c r="E306" s="87"/>
      <c r="I306" s="86"/>
      <c r="J306" s="86"/>
      <c r="K306" s="87"/>
      <c r="L306" s="87"/>
      <c r="M306" s="87"/>
    </row>
    <row r="307" spans="3:13" ht="14.4" x14ac:dyDescent="0.3">
      <c r="C307" s="86"/>
      <c r="D307" s="87"/>
      <c r="E307" s="87"/>
      <c r="I307" s="86"/>
      <c r="J307" s="86"/>
      <c r="K307" s="87"/>
      <c r="L307" s="87"/>
      <c r="M307" s="87"/>
    </row>
    <row r="308" spans="3:13" ht="14.4" x14ac:dyDescent="0.3">
      <c r="C308" s="86"/>
      <c r="D308" s="87"/>
      <c r="E308" s="87"/>
      <c r="I308" s="86"/>
      <c r="J308" s="86"/>
      <c r="K308" s="87"/>
      <c r="L308" s="87"/>
      <c r="M308" s="87"/>
    </row>
    <row r="309" spans="3:13" ht="14.4" x14ac:dyDescent="0.3">
      <c r="C309" s="86"/>
      <c r="D309" s="87"/>
      <c r="E309" s="87"/>
      <c r="I309" s="86"/>
      <c r="J309" s="86"/>
      <c r="K309" s="87"/>
      <c r="L309" s="87"/>
      <c r="M309" s="87"/>
    </row>
    <row r="310" spans="3:13" ht="14.4" x14ac:dyDescent="0.3">
      <c r="C310" s="86"/>
      <c r="D310" s="87"/>
      <c r="E310" s="87"/>
      <c r="I310" s="86"/>
      <c r="J310" s="86"/>
      <c r="K310" s="87"/>
      <c r="L310" s="87"/>
      <c r="M310" s="87"/>
    </row>
    <row r="311" spans="3:13" ht="14.4" x14ac:dyDescent="0.3">
      <c r="C311" s="86"/>
      <c r="D311" s="87"/>
      <c r="E311" s="87"/>
      <c r="I311" s="86"/>
      <c r="J311" s="86"/>
      <c r="K311" s="87"/>
      <c r="L311" s="87"/>
      <c r="M311" s="87"/>
    </row>
    <row r="312" spans="3:13" ht="14.4" x14ac:dyDescent="0.3">
      <c r="C312" s="86"/>
      <c r="D312" s="87"/>
      <c r="E312" s="87"/>
      <c r="I312" s="86"/>
      <c r="J312" s="86"/>
      <c r="K312" s="87"/>
      <c r="L312" s="87"/>
      <c r="M312" s="87"/>
    </row>
    <row r="313" spans="3:13" ht="14.4" x14ac:dyDescent="0.3">
      <c r="C313" s="86"/>
      <c r="D313" s="87"/>
      <c r="E313" s="87"/>
      <c r="I313" s="86"/>
      <c r="J313" s="86"/>
      <c r="K313" s="87"/>
      <c r="L313" s="87"/>
      <c r="M313" s="87"/>
    </row>
    <row r="314" spans="3:13" ht="14.4" x14ac:dyDescent="0.3">
      <c r="C314" s="86"/>
      <c r="D314" s="87"/>
      <c r="E314" s="87"/>
      <c r="I314" s="86"/>
      <c r="J314" s="86"/>
      <c r="K314" s="87"/>
      <c r="L314" s="87"/>
      <c r="M314" s="87"/>
    </row>
    <row r="315" spans="3:13" ht="14.4" x14ac:dyDescent="0.3">
      <c r="C315" s="86"/>
      <c r="D315" s="87"/>
      <c r="E315" s="87"/>
      <c r="I315" s="86"/>
      <c r="J315" s="86"/>
      <c r="K315" s="87"/>
      <c r="L315" s="87"/>
      <c r="M315" s="87"/>
    </row>
    <row r="316" spans="3:13" ht="14.4" x14ac:dyDescent="0.3">
      <c r="C316" s="86"/>
      <c r="D316" s="87"/>
      <c r="E316" s="87"/>
      <c r="I316" s="86"/>
      <c r="J316" s="86"/>
      <c r="K316" s="87"/>
      <c r="L316" s="87"/>
      <c r="M316" s="87"/>
    </row>
    <row r="317" spans="3:13" ht="14.4" x14ac:dyDescent="0.3">
      <c r="C317" s="86"/>
      <c r="D317" s="87"/>
      <c r="E317" s="87"/>
      <c r="I317" s="86"/>
      <c r="J317" s="86"/>
      <c r="K317" s="87"/>
      <c r="L317" s="87"/>
      <c r="M317" s="87"/>
    </row>
    <row r="318" spans="3:13" ht="14.4" x14ac:dyDescent="0.3">
      <c r="C318" s="86"/>
      <c r="D318" s="87"/>
      <c r="E318" s="87"/>
      <c r="I318" s="86"/>
      <c r="J318" s="86"/>
      <c r="K318" s="87"/>
      <c r="L318" s="87"/>
      <c r="M318" s="87"/>
    </row>
    <row r="319" spans="3:13" ht="14.4" x14ac:dyDescent="0.3">
      <c r="C319" s="86"/>
      <c r="D319" s="87"/>
      <c r="E319" s="87"/>
      <c r="I319" s="86"/>
      <c r="J319" s="86"/>
      <c r="K319" s="87"/>
      <c r="L319" s="87"/>
      <c r="M319" s="87"/>
    </row>
    <row r="320" spans="3:13" ht="14.4" x14ac:dyDescent="0.3">
      <c r="C320" s="86"/>
      <c r="D320" s="87"/>
      <c r="E320" s="87"/>
      <c r="I320" s="86"/>
      <c r="J320" s="86"/>
      <c r="K320" s="87"/>
      <c r="L320" s="87"/>
      <c r="M320" s="87"/>
    </row>
    <row r="321" spans="3:13" ht="14.4" x14ac:dyDescent="0.3">
      <c r="C321" s="86"/>
      <c r="D321" s="87"/>
      <c r="E321" s="87"/>
      <c r="I321" s="86"/>
      <c r="J321" s="86"/>
      <c r="K321" s="87"/>
      <c r="L321" s="87"/>
      <c r="M321" s="87"/>
    </row>
    <row r="322" spans="3:13" ht="14.4" x14ac:dyDescent="0.3">
      <c r="C322" s="86"/>
      <c r="D322" s="87"/>
      <c r="E322" s="87"/>
      <c r="I322" s="86"/>
      <c r="J322" s="86"/>
      <c r="K322" s="87"/>
      <c r="L322" s="87"/>
      <c r="M322" s="87"/>
    </row>
    <row r="323" spans="3:13" ht="14.4" x14ac:dyDescent="0.3">
      <c r="C323" s="86"/>
      <c r="D323" s="87"/>
      <c r="E323" s="87"/>
      <c r="I323" s="86"/>
      <c r="J323" s="86"/>
      <c r="K323" s="87"/>
      <c r="L323" s="87"/>
      <c r="M323" s="87"/>
    </row>
    <row r="324" spans="3:13" ht="14.4" x14ac:dyDescent="0.3">
      <c r="C324" s="86"/>
      <c r="D324" s="87"/>
      <c r="E324" s="87"/>
      <c r="I324" s="86"/>
      <c r="J324" s="86"/>
      <c r="K324" s="87"/>
      <c r="L324" s="87"/>
      <c r="M324" s="87"/>
    </row>
    <row r="325" spans="3:13" ht="14.4" x14ac:dyDescent="0.3">
      <c r="C325" s="86"/>
      <c r="D325" s="87"/>
      <c r="E325" s="87"/>
      <c r="I325" s="86"/>
      <c r="J325" s="86"/>
      <c r="K325" s="87"/>
      <c r="L325" s="87"/>
      <c r="M325" s="87"/>
    </row>
    <row r="326" spans="3:13" ht="14.4" x14ac:dyDescent="0.3">
      <c r="C326" s="86"/>
      <c r="D326" s="87"/>
      <c r="E326" s="87"/>
      <c r="I326" s="86"/>
      <c r="J326" s="86"/>
      <c r="K326" s="87"/>
      <c r="L326" s="87"/>
      <c r="M326" s="87"/>
    </row>
    <row r="327" spans="3:13" ht="14.4" x14ac:dyDescent="0.3">
      <c r="C327" s="86"/>
      <c r="D327" s="87"/>
      <c r="E327" s="87"/>
      <c r="I327" s="86"/>
      <c r="J327" s="86"/>
      <c r="K327" s="87"/>
      <c r="L327" s="87"/>
      <c r="M327" s="87"/>
    </row>
    <row r="328" spans="3:13" ht="14.4" x14ac:dyDescent="0.3">
      <c r="C328" s="86"/>
      <c r="D328" s="87"/>
      <c r="E328" s="87"/>
      <c r="I328" s="86"/>
      <c r="J328" s="86"/>
      <c r="K328" s="87"/>
      <c r="L328" s="87"/>
      <c r="M328" s="87"/>
    </row>
    <row r="329" spans="3:13" ht="14.4" x14ac:dyDescent="0.3">
      <c r="C329" s="86"/>
      <c r="D329" s="87"/>
      <c r="E329" s="87"/>
      <c r="I329" s="86"/>
      <c r="J329" s="86"/>
      <c r="K329" s="87"/>
      <c r="L329" s="87"/>
      <c r="M329" s="87"/>
    </row>
    <row r="330" spans="3:13" ht="14.4" x14ac:dyDescent="0.3">
      <c r="C330" s="86"/>
      <c r="D330" s="87"/>
      <c r="E330" s="87"/>
      <c r="I330" s="86"/>
      <c r="J330" s="86"/>
      <c r="K330" s="87"/>
      <c r="L330" s="87"/>
      <c r="M330" s="87"/>
    </row>
    <row r="331" spans="3:13" ht="14.4" x14ac:dyDescent="0.3">
      <c r="C331" s="86"/>
      <c r="D331" s="87"/>
      <c r="E331" s="87"/>
      <c r="I331" s="86"/>
      <c r="J331" s="86"/>
      <c r="K331" s="87"/>
      <c r="L331" s="87"/>
      <c r="M331" s="87"/>
    </row>
    <row r="332" spans="3:13" ht="14.4" x14ac:dyDescent="0.3">
      <c r="C332" s="86"/>
      <c r="D332" s="87"/>
      <c r="E332" s="87"/>
      <c r="I332" s="86"/>
      <c r="J332" s="86"/>
      <c r="K332" s="87"/>
      <c r="L332" s="87"/>
      <c r="M332" s="87"/>
    </row>
    <row r="333" spans="3:13" ht="14.4" x14ac:dyDescent="0.3">
      <c r="C333" s="86"/>
      <c r="D333" s="87"/>
      <c r="E333" s="87"/>
      <c r="I333" s="86"/>
      <c r="J333" s="86"/>
      <c r="K333" s="87"/>
      <c r="L333" s="87"/>
      <c r="M333" s="87"/>
    </row>
    <row r="334" spans="3:13" ht="14.4" x14ac:dyDescent="0.3">
      <c r="C334" s="86"/>
      <c r="D334" s="87"/>
      <c r="E334" s="87"/>
      <c r="I334" s="86"/>
      <c r="J334" s="86"/>
      <c r="K334" s="87"/>
      <c r="L334" s="87"/>
      <c r="M334" s="87"/>
    </row>
    <row r="335" spans="3:13" ht="14.4" x14ac:dyDescent="0.3">
      <c r="C335" s="86"/>
      <c r="D335" s="87"/>
      <c r="E335" s="87"/>
      <c r="I335" s="86"/>
      <c r="J335" s="86"/>
      <c r="K335" s="87"/>
      <c r="L335" s="87"/>
      <c r="M335" s="87"/>
    </row>
    <row r="336" spans="3:13" ht="14.4" x14ac:dyDescent="0.3">
      <c r="C336" s="86"/>
      <c r="D336" s="87"/>
      <c r="E336" s="87"/>
      <c r="I336" s="86"/>
      <c r="J336" s="86"/>
      <c r="K336" s="87"/>
      <c r="L336" s="87"/>
      <c r="M336" s="87"/>
    </row>
    <row r="337" spans="3:13" ht="14.4" x14ac:dyDescent="0.3">
      <c r="C337" s="86"/>
      <c r="D337" s="87"/>
      <c r="E337" s="87"/>
      <c r="I337" s="86"/>
      <c r="J337" s="86"/>
      <c r="K337" s="87"/>
      <c r="L337" s="87"/>
      <c r="M337" s="87"/>
    </row>
    <row r="338" spans="3:13" ht="14.4" x14ac:dyDescent="0.3">
      <c r="C338" s="86"/>
      <c r="D338" s="87"/>
      <c r="E338" s="87"/>
      <c r="I338" s="86"/>
      <c r="J338" s="86"/>
      <c r="K338" s="87"/>
      <c r="L338" s="87"/>
      <c r="M338" s="87"/>
    </row>
    <row r="339" spans="3:13" ht="14.4" x14ac:dyDescent="0.3">
      <c r="C339" s="86"/>
      <c r="D339" s="87"/>
      <c r="E339" s="87"/>
      <c r="I339" s="86"/>
      <c r="J339" s="86"/>
      <c r="K339" s="87"/>
      <c r="L339" s="87"/>
      <c r="M339" s="87"/>
    </row>
    <row r="340" spans="3:13" ht="14.4" x14ac:dyDescent="0.3">
      <c r="C340" s="86"/>
      <c r="D340" s="87"/>
      <c r="E340" s="87"/>
      <c r="I340" s="86"/>
      <c r="J340" s="86"/>
      <c r="K340" s="87"/>
      <c r="L340" s="87"/>
      <c r="M340" s="87"/>
    </row>
    <row r="341" spans="3:13" ht="14.4" x14ac:dyDescent="0.3">
      <c r="C341" s="86"/>
      <c r="D341" s="87"/>
      <c r="E341" s="87"/>
      <c r="I341" s="86"/>
      <c r="J341" s="86"/>
      <c r="K341" s="87"/>
      <c r="L341" s="87"/>
      <c r="M341" s="87"/>
    </row>
    <row r="342" spans="3:13" ht="14.4" x14ac:dyDescent="0.3">
      <c r="C342" s="86"/>
      <c r="D342" s="87"/>
      <c r="E342" s="87"/>
      <c r="I342" s="86"/>
      <c r="J342" s="86"/>
      <c r="K342" s="87"/>
      <c r="L342" s="87"/>
      <c r="M342" s="87"/>
    </row>
    <row r="343" spans="3:13" ht="14.4" x14ac:dyDescent="0.3">
      <c r="C343" s="86"/>
      <c r="D343" s="87"/>
      <c r="E343" s="87"/>
      <c r="I343" s="86"/>
      <c r="J343" s="86"/>
      <c r="K343" s="87"/>
      <c r="L343" s="87"/>
      <c r="M343" s="87"/>
    </row>
    <row r="344" spans="3:13" ht="14.4" x14ac:dyDescent="0.3">
      <c r="C344" s="86"/>
      <c r="D344" s="87"/>
      <c r="E344" s="87"/>
      <c r="I344" s="86"/>
      <c r="J344" s="86"/>
      <c r="K344" s="87"/>
      <c r="L344" s="87"/>
      <c r="M344" s="87"/>
    </row>
    <row r="345" spans="3:13" ht="14.4" x14ac:dyDescent="0.3">
      <c r="C345" s="86"/>
      <c r="D345" s="87"/>
      <c r="E345" s="87"/>
      <c r="I345" s="86"/>
      <c r="J345" s="86"/>
      <c r="K345" s="87"/>
      <c r="L345" s="87"/>
      <c r="M345" s="87"/>
    </row>
    <row r="346" spans="3:13" ht="14.4" x14ac:dyDescent="0.3">
      <c r="C346" s="86"/>
      <c r="D346" s="87"/>
      <c r="E346" s="87"/>
      <c r="I346" s="86"/>
      <c r="J346" s="86"/>
      <c r="K346" s="87"/>
      <c r="L346" s="87"/>
      <c r="M346" s="87"/>
    </row>
    <row r="347" spans="3:13" ht="14.4" x14ac:dyDescent="0.3">
      <c r="C347" s="86"/>
      <c r="D347" s="87"/>
      <c r="E347" s="87"/>
      <c r="I347" s="86"/>
      <c r="J347" s="86"/>
      <c r="K347" s="87"/>
      <c r="L347" s="87"/>
      <c r="M347" s="87"/>
    </row>
    <row r="348" spans="3:13" ht="14.4" x14ac:dyDescent="0.3">
      <c r="C348" s="86"/>
      <c r="D348" s="87"/>
      <c r="E348" s="87"/>
      <c r="I348" s="86"/>
      <c r="J348" s="86"/>
      <c r="K348" s="87"/>
      <c r="L348" s="87"/>
      <c r="M348" s="87"/>
    </row>
    <row r="349" spans="3:13" ht="14.4" x14ac:dyDescent="0.3">
      <c r="C349" s="86"/>
      <c r="D349" s="87"/>
      <c r="E349" s="87"/>
      <c r="I349" s="86"/>
      <c r="J349" s="86"/>
      <c r="K349" s="87"/>
      <c r="L349" s="87"/>
      <c r="M349" s="87"/>
    </row>
    <row r="350" spans="3:13" ht="14.4" x14ac:dyDescent="0.3">
      <c r="C350" s="86"/>
      <c r="D350" s="87"/>
      <c r="E350" s="87"/>
      <c r="I350" s="86"/>
      <c r="J350" s="86"/>
      <c r="K350" s="87"/>
      <c r="L350" s="87"/>
      <c r="M350" s="87"/>
    </row>
    <row r="351" spans="3:13" ht="14.4" x14ac:dyDescent="0.3">
      <c r="C351" s="86"/>
      <c r="D351" s="87"/>
      <c r="E351" s="87"/>
      <c r="I351" s="86"/>
      <c r="J351" s="86"/>
      <c r="K351" s="87"/>
      <c r="L351" s="87"/>
      <c r="M351" s="87"/>
    </row>
    <row r="352" spans="3:13" ht="14.4" x14ac:dyDescent="0.3">
      <c r="C352" s="86"/>
      <c r="D352" s="87"/>
      <c r="E352" s="87"/>
      <c r="I352" s="86"/>
      <c r="J352" s="86"/>
      <c r="K352" s="87"/>
      <c r="L352" s="87"/>
      <c r="M352" s="87"/>
    </row>
    <row r="353" spans="3:13" ht="14.4" x14ac:dyDescent="0.3">
      <c r="C353" s="86"/>
      <c r="D353" s="87"/>
      <c r="E353" s="87"/>
      <c r="I353" s="86"/>
      <c r="J353" s="86"/>
      <c r="K353" s="87"/>
      <c r="L353" s="87"/>
      <c r="M353" s="87"/>
    </row>
    <row r="354" spans="3:13" ht="14.4" x14ac:dyDescent="0.3">
      <c r="C354" s="86"/>
      <c r="D354" s="87"/>
      <c r="E354" s="87"/>
      <c r="I354" s="86"/>
      <c r="J354" s="86"/>
      <c r="K354" s="87"/>
      <c r="L354" s="87"/>
      <c r="M354" s="87"/>
    </row>
    <row r="355" spans="3:13" ht="14.4" x14ac:dyDescent="0.3">
      <c r="C355" s="86"/>
      <c r="D355" s="87"/>
      <c r="E355" s="87"/>
      <c r="I355" s="86"/>
      <c r="J355" s="86"/>
      <c r="K355" s="87"/>
      <c r="L355" s="87"/>
      <c r="M355" s="87"/>
    </row>
    <row r="356" spans="3:13" ht="14.4" x14ac:dyDescent="0.3">
      <c r="C356" s="86"/>
      <c r="D356" s="87"/>
      <c r="E356" s="87"/>
      <c r="I356" s="86"/>
      <c r="J356" s="86"/>
      <c r="K356" s="87"/>
      <c r="L356" s="87"/>
      <c r="M356" s="87"/>
    </row>
    <row r="357" spans="3:13" ht="14.4" x14ac:dyDescent="0.3">
      <c r="C357" s="86"/>
      <c r="D357" s="87"/>
      <c r="E357" s="87"/>
      <c r="I357" s="86"/>
      <c r="J357" s="86"/>
      <c r="K357" s="87"/>
      <c r="L357" s="87"/>
      <c r="M357" s="87"/>
    </row>
    <row r="358" spans="3:13" ht="14.4" x14ac:dyDescent="0.3">
      <c r="C358" s="86"/>
      <c r="D358" s="87"/>
      <c r="E358" s="87"/>
      <c r="I358" s="86"/>
      <c r="J358" s="86"/>
      <c r="K358" s="87"/>
      <c r="L358" s="87"/>
      <c r="M358" s="87"/>
    </row>
    <row r="359" spans="3:13" ht="14.4" x14ac:dyDescent="0.3">
      <c r="C359" s="86"/>
      <c r="D359" s="87"/>
      <c r="E359" s="87"/>
      <c r="I359" s="86"/>
      <c r="J359" s="86"/>
      <c r="K359" s="87"/>
      <c r="L359" s="87"/>
      <c r="M359" s="87"/>
    </row>
    <row r="360" spans="3:13" ht="14.4" x14ac:dyDescent="0.3">
      <c r="C360" s="86"/>
      <c r="D360" s="87"/>
      <c r="E360" s="87"/>
      <c r="I360" s="86"/>
      <c r="J360" s="86"/>
      <c r="K360" s="87"/>
      <c r="L360" s="87"/>
      <c r="M360" s="87"/>
    </row>
    <row r="361" spans="3:13" ht="14.4" x14ac:dyDescent="0.3">
      <c r="C361" s="86"/>
      <c r="D361" s="87"/>
      <c r="E361" s="87"/>
      <c r="I361" s="86"/>
      <c r="J361" s="86"/>
      <c r="K361" s="87"/>
      <c r="L361" s="87"/>
      <c r="M361" s="87"/>
    </row>
    <row r="362" spans="3:13" ht="14.4" x14ac:dyDescent="0.3">
      <c r="C362" s="86"/>
      <c r="D362" s="87"/>
      <c r="E362" s="87"/>
      <c r="I362" s="86"/>
      <c r="J362" s="86"/>
      <c r="K362" s="87"/>
      <c r="L362" s="87"/>
      <c r="M362" s="87"/>
    </row>
    <row r="363" spans="3:13" ht="14.4" x14ac:dyDescent="0.3">
      <c r="C363" s="86"/>
      <c r="D363" s="87"/>
      <c r="E363" s="87"/>
      <c r="I363" s="86"/>
      <c r="J363" s="86"/>
      <c r="K363" s="87"/>
      <c r="L363" s="87"/>
      <c r="M363" s="87"/>
    </row>
    <row r="364" spans="3:13" ht="14.4" x14ac:dyDescent="0.3">
      <c r="C364" s="86"/>
      <c r="D364" s="87"/>
      <c r="E364" s="87"/>
      <c r="I364" s="86"/>
      <c r="J364" s="86"/>
      <c r="K364" s="87"/>
      <c r="L364" s="87"/>
      <c r="M364" s="87"/>
    </row>
    <row r="365" spans="3:13" ht="14.4" x14ac:dyDescent="0.3">
      <c r="C365" s="86"/>
      <c r="D365" s="87"/>
      <c r="E365" s="87"/>
      <c r="I365" s="86"/>
      <c r="J365" s="86"/>
      <c r="K365" s="87"/>
      <c r="L365" s="87"/>
      <c r="M365" s="87"/>
    </row>
    <row r="366" spans="3:13" ht="14.4" x14ac:dyDescent="0.3">
      <c r="C366" s="86"/>
      <c r="D366" s="87"/>
      <c r="E366" s="87"/>
      <c r="I366" s="86"/>
      <c r="J366" s="86"/>
      <c r="K366" s="87"/>
      <c r="L366" s="87"/>
      <c r="M366" s="87"/>
    </row>
    <row r="367" spans="3:13" ht="14.4" x14ac:dyDescent="0.3">
      <c r="C367" s="86"/>
      <c r="D367" s="87"/>
      <c r="E367" s="87"/>
      <c r="I367" s="86"/>
      <c r="J367" s="86"/>
      <c r="K367" s="87"/>
      <c r="L367" s="87"/>
      <c r="M367" s="87"/>
    </row>
    <row r="368" spans="3:13" ht="14.4" x14ac:dyDescent="0.3">
      <c r="C368" s="86"/>
      <c r="D368" s="87"/>
      <c r="E368" s="87"/>
      <c r="I368" s="86"/>
      <c r="J368" s="86"/>
      <c r="K368" s="87"/>
      <c r="L368" s="87"/>
      <c r="M368" s="87"/>
    </row>
    <row r="369" spans="3:13" ht="14.4" x14ac:dyDescent="0.3">
      <c r="C369" s="86"/>
      <c r="D369" s="87"/>
      <c r="E369" s="87"/>
      <c r="I369" s="86"/>
      <c r="J369" s="86"/>
      <c r="K369" s="87"/>
      <c r="L369" s="87"/>
      <c r="M369" s="87"/>
    </row>
    <row r="370" spans="3:13" ht="14.4" x14ac:dyDescent="0.3">
      <c r="C370" s="86"/>
      <c r="D370" s="87"/>
      <c r="E370" s="87"/>
      <c r="I370" s="86"/>
      <c r="J370" s="86"/>
      <c r="K370" s="87"/>
      <c r="L370" s="87"/>
      <c r="M370" s="87"/>
    </row>
    <row r="371" spans="3:13" ht="14.4" x14ac:dyDescent="0.3">
      <c r="C371" s="86"/>
      <c r="D371" s="87"/>
      <c r="E371" s="87"/>
      <c r="I371" s="86"/>
      <c r="J371" s="86"/>
      <c r="K371" s="87"/>
      <c r="L371" s="87"/>
      <c r="M371" s="87"/>
    </row>
    <row r="372" spans="3:13" ht="14.4" x14ac:dyDescent="0.3">
      <c r="C372" s="86"/>
      <c r="D372" s="87"/>
      <c r="E372" s="87"/>
      <c r="I372" s="86"/>
      <c r="J372" s="86"/>
      <c r="K372" s="87"/>
      <c r="L372" s="87"/>
      <c r="M372" s="87"/>
    </row>
    <row r="373" spans="3:13" ht="14.4" x14ac:dyDescent="0.3">
      <c r="C373" s="86"/>
      <c r="D373" s="87"/>
      <c r="E373" s="87"/>
      <c r="I373" s="86"/>
      <c r="J373" s="86"/>
      <c r="K373" s="87"/>
      <c r="L373" s="87"/>
      <c r="M373" s="87"/>
    </row>
    <row r="374" spans="3:13" ht="14.4" x14ac:dyDescent="0.3">
      <c r="C374" s="86"/>
      <c r="D374" s="87"/>
      <c r="E374" s="87"/>
      <c r="I374" s="86"/>
      <c r="J374" s="86"/>
      <c r="K374" s="87"/>
      <c r="L374" s="87"/>
      <c r="M374" s="87"/>
    </row>
    <row r="375" spans="3:13" ht="14.4" x14ac:dyDescent="0.3">
      <c r="C375" s="86"/>
      <c r="D375" s="87"/>
      <c r="E375" s="87"/>
      <c r="I375" s="86"/>
      <c r="J375" s="86"/>
      <c r="K375" s="87"/>
      <c r="L375" s="87"/>
      <c r="M375" s="87"/>
    </row>
    <row r="376" spans="3:13" ht="14.4" x14ac:dyDescent="0.3">
      <c r="C376" s="86"/>
      <c r="D376" s="87"/>
      <c r="E376" s="87"/>
      <c r="I376" s="86"/>
      <c r="J376" s="86"/>
      <c r="K376" s="87"/>
      <c r="L376" s="87"/>
      <c r="M376" s="87"/>
    </row>
    <row r="377" spans="3:13" ht="14.4" x14ac:dyDescent="0.3">
      <c r="C377" s="86"/>
      <c r="D377" s="87"/>
      <c r="E377" s="87"/>
      <c r="I377" s="86"/>
      <c r="J377" s="86"/>
      <c r="K377" s="87"/>
      <c r="L377" s="87"/>
      <c r="M377" s="87"/>
    </row>
    <row r="378" spans="3:13" ht="14.4" x14ac:dyDescent="0.3">
      <c r="C378" s="86"/>
      <c r="D378" s="87"/>
      <c r="E378" s="87"/>
      <c r="I378" s="86"/>
      <c r="J378" s="86"/>
      <c r="K378" s="87"/>
      <c r="L378" s="87"/>
      <c r="M378" s="87"/>
    </row>
    <row r="379" spans="3:13" ht="14.4" x14ac:dyDescent="0.3">
      <c r="C379" s="86"/>
      <c r="D379" s="87"/>
      <c r="E379" s="87"/>
      <c r="I379" s="86"/>
      <c r="J379" s="86"/>
      <c r="K379" s="87"/>
      <c r="L379" s="87"/>
      <c r="M379" s="87"/>
    </row>
    <row r="380" spans="3:13" ht="14.4" x14ac:dyDescent="0.3">
      <c r="C380" s="86"/>
      <c r="D380" s="87"/>
      <c r="E380" s="87"/>
      <c r="I380" s="86"/>
      <c r="J380" s="86"/>
      <c r="K380" s="87"/>
      <c r="L380" s="87"/>
      <c r="M380" s="87"/>
    </row>
    <row r="381" spans="3:13" ht="14.4" x14ac:dyDescent="0.3">
      <c r="C381" s="86"/>
      <c r="D381" s="87"/>
      <c r="E381" s="87"/>
      <c r="I381" s="86"/>
      <c r="J381" s="86"/>
      <c r="K381" s="87"/>
      <c r="L381" s="87"/>
      <c r="M381" s="87"/>
    </row>
    <row r="382" spans="3:13" ht="14.4" x14ac:dyDescent="0.3">
      <c r="C382" s="86"/>
      <c r="D382" s="87"/>
      <c r="E382" s="87"/>
      <c r="I382" s="86"/>
      <c r="J382" s="86"/>
      <c r="K382" s="87"/>
      <c r="L382" s="87"/>
      <c r="M382" s="87"/>
    </row>
    <row r="383" spans="3:13" ht="14.4" x14ac:dyDescent="0.3">
      <c r="C383" s="86"/>
      <c r="D383" s="87"/>
      <c r="E383" s="87"/>
      <c r="I383" s="86"/>
      <c r="J383" s="86"/>
      <c r="K383" s="87"/>
      <c r="L383" s="87"/>
      <c r="M383" s="87"/>
    </row>
    <row r="384" spans="3:13" ht="14.4" x14ac:dyDescent="0.3">
      <c r="C384" s="86"/>
      <c r="D384" s="87"/>
      <c r="E384" s="87"/>
      <c r="I384" s="86"/>
      <c r="J384" s="86"/>
      <c r="K384" s="87"/>
      <c r="L384" s="87"/>
      <c r="M384" s="87"/>
    </row>
    <row r="385" spans="3:13" ht="14.4" x14ac:dyDescent="0.3">
      <c r="C385" s="86"/>
      <c r="D385" s="87"/>
      <c r="E385" s="87"/>
      <c r="I385" s="86"/>
      <c r="J385" s="86"/>
      <c r="K385" s="87"/>
      <c r="L385" s="87"/>
      <c r="M385" s="87"/>
    </row>
    <row r="386" spans="3:13" ht="14.4" x14ac:dyDescent="0.3">
      <c r="C386" s="86"/>
      <c r="D386" s="87"/>
      <c r="E386" s="87"/>
      <c r="I386" s="86"/>
      <c r="J386" s="86"/>
      <c r="K386" s="87"/>
      <c r="L386" s="87"/>
      <c r="M386" s="87"/>
    </row>
    <row r="387" spans="3:13" ht="14.4" x14ac:dyDescent="0.3">
      <c r="C387" s="86"/>
      <c r="D387" s="87"/>
      <c r="E387" s="87"/>
      <c r="I387" s="86"/>
      <c r="J387" s="86"/>
      <c r="K387" s="87"/>
      <c r="L387" s="87"/>
      <c r="M387" s="87"/>
    </row>
    <row r="388" spans="3:13" ht="14.4" x14ac:dyDescent="0.3">
      <c r="C388" s="86"/>
      <c r="D388" s="87"/>
      <c r="E388" s="87"/>
      <c r="I388" s="86"/>
      <c r="J388" s="86"/>
      <c r="K388" s="87"/>
      <c r="L388" s="87"/>
      <c r="M388" s="87"/>
    </row>
    <row r="389" spans="3:13" ht="14.4" x14ac:dyDescent="0.3">
      <c r="C389" s="86"/>
      <c r="D389" s="87"/>
      <c r="E389" s="87"/>
      <c r="I389" s="86"/>
      <c r="J389" s="86"/>
      <c r="K389" s="87"/>
      <c r="L389" s="87"/>
      <c r="M389" s="87"/>
    </row>
    <row r="390" spans="3:13" ht="14.4" x14ac:dyDescent="0.3">
      <c r="C390" s="86"/>
      <c r="D390" s="87"/>
      <c r="E390" s="87"/>
      <c r="I390" s="86"/>
      <c r="J390" s="86"/>
      <c r="K390" s="87"/>
      <c r="L390" s="87"/>
      <c r="M390" s="87"/>
    </row>
    <row r="391" spans="3:13" ht="14.4" x14ac:dyDescent="0.3">
      <c r="C391" s="86"/>
      <c r="D391" s="87"/>
      <c r="E391" s="87"/>
      <c r="I391" s="86"/>
      <c r="J391" s="86"/>
      <c r="K391" s="87"/>
      <c r="L391" s="87"/>
      <c r="M391" s="87"/>
    </row>
    <row r="392" spans="3:13" ht="14.4" x14ac:dyDescent="0.3">
      <c r="C392" s="86"/>
      <c r="D392" s="87"/>
      <c r="E392" s="87"/>
      <c r="I392" s="86"/>
      <c r="J392" s="86"/>
      <c r="K392" s="87"/>
      <c r="L392" s="87"/>
      <c r="M392" s="87"/>
    </row>
    <row r="393" spans="3:13" ht="14.4" x14ac:dyDescent="0.3">
      <c r="C393" s="86"/>
      <c r="D393" s="87"/>
      <c r="E393" s="87"/>
      <c r="I393" s="86"/>
      <c r="J393" s="86"/>
      <c r="K393" s="87"/>
      <c r="L393" s="87"/>
      <c r="M393" s="87"/>
    </row>
    <row r="394" spans="3:13" ht="14.4" x14ac:dyDescent="0.3">
      <c r="C394" s="86"/>
      <c r="D394" s="87"/>
      <c r="E394" s="87"/>
      <c r="I394" s="86"/>
      <c r="J394" s="86"/>
      <c r="K394" s="87"/>
      <c r="L394" s="87"/>
      <c r="M394" s="87"/>
    </row>
    <row r="395" spans="3:13" ht="14.4" x14ac:dyDescent="0.3">
      <c r="C395" s="86"/>
      <c r="D395" s="87"/>
      <c r="E395" s="87"/>
      <c r="I395" s="86"/>
      <c r="J395" s="86"/>
      <c r="K395" s="87"/>
      <c r="L395" s="87"/>
      <c r="M395" s="87"/>
    </row>
    <row r="396" spans="3:13" ht="14.4" x14ac:dyDescent="0.3">
      <c r="C396" s="86"/>
      <c r="D396" s="87"/>
      <c r="E396" s="87"/>
      <c r="I396" s="86"/>
      <c r="J396" s="86"/>
      <c r="K396" s="87"/>
      <c r="L396" s="87"/>
      <c r="M396" s="87"/>
    </row>
    <row r="397" spans="3:13" ht="14.4" x14ac:dyDescent="0.3">
      <c r="C397" s="86"/>
      <c r="D397" s="87"/>
      <c r="E397" s="87"/>
      <c r="I397" s="86"/>
      <c r="J397" s="86"/>
      <c r="K397" s="87"/>
      <c r="L397" s="87"/>
      <c r="M397" s="87"/>
    </row>
    <row r="398" spans="3:13" ht="14.4" x14ac:dyDescent="0.3">
      <c r="C398" s="86"/>
      <c r="D398" s="87"/>
      <c r="E398" s="87"/>
      <c r="I398" s="86"/>
      <c r="J398" s="86"/>
      <c r="K398" s="87"/>
      <c r="L398" s="87"/>
      <c r="M398" s="87"/>
    </row>
    <row r="399" spans="3:13" ht="14.4" x14ac:dyDescent="0.3">
      <c r="C399" s="86"/>
      <c r="D399" s="87"/>
      <c r="E399" s="87"/>
      <c r="I399" s="86"/>
      <c r="J399" s="86"/>
      <c r="K399" s="87"/>
      <c r="L399" s="87"/>
      <c r="M399" s="87"/>
    </row>
    <row r="400" spans="3:13" ht="14.4" x14ac:dyDescent="0.3">
      <c r="C400" s="86"/>
      <c r="D400" s="87"/>
      <c r="E400" s="87"/>
      <c r="I400" s="86"/>
      <c r="J400" s="86"/>
      <c r="K400" s="87"/>
      <c r="L400" s="87"/>
      <c r="M400" s="87"/>
    </row>
    <row r="401" spans="3:13" ht="14.4" x14ac:dyDescent="0.3">
      <c r="C401" s="86"/>
      <c r="D401" s="87"/>
      <c r="E401" s="87"/>
      <c r="I401" s="86"/>
      <c r="J401" s="86"/>
      <c r="K401" s="87"/>
      <c r="L401" s="87"/>
      <c r="M401" s="87"/>
    </row>
    <row r="402" spans="3:13" ht="14.4" x14ac:dyDescent="0.3">
      <c r="C402" s="86"/>
      <c r="D402" s="87"/>
      <c r="E402" s="87"/>
      <c r="I402" s="86"/>
      <c r="J402" s="86"/>
      <c r="K402" s="87"/>
      <c r="L402" s="87"/>
      <c r="M402" s="87"/>
    </row>
    <row r="403" spans="3:13" ht="14.4" x14ac:dyDescent="0.3">
      <c r="C403" s="86"/>
      <c r="D403" s="87"/>
      <c r="E403" s="87"/>
      <c r="I403" s="86"/>
      <c r="J403" s="86"/>
      <c r="K403" s="87"/>
      <c r="L403" s="87"/>
      <c r="M403" s="87"/>
    </row>
    <row r="404" spans="3:13" ht="14.4" x14ac:dyDescent="0.3">
      <c r="C404" s="86"/>
      <c r="D404" s="87"/>
      <c r="E404" s="87"/>
      <c r="I404" s="86"/>
      <c r="J404" s="86"/>
      <c r="K404" s="87"/>
      <c r="L404" s="87"/>
      <c r="M404" s="87"/>
    </row>
    <row r="405" spans="3:13" ht="14.4" x14ac:dyDescent="0.3">
      <c r="C405" s="86"/>
      <c r="D405" s="87"/>
      <c r="E405" s="87"/>
      <c r="I405" s="86"/>
      <c r="J405" s="86"/>
      <c r="K405" s="87"/>
      <c r="L405" s="87"/>
      <c r="M405" s="87"/>
    </row>
    <row r="406" spans="3:13" ht="14.4" x14ac:dyDescent="0.3">
      <c r="C406" s="86"/>
      <c r="D406" s="87"/>
      <c r="E406" s="87"/>
      <c r="I406" s="86"/>
      <c r="J406" s="86"/>
      <c r="K406" s="87"/>
      <c r="L406" s="87"/>
      <c r="M406" s="87"/>
    </row>
    <row r="407" spans="3:13" ht="14.4" x14ac:dyDescent="0.3">
      <c r="C407" s="86"/>
      <c r="D407" s="87"/>
      <c r="E407" s="87"/>
      <c r="I407" s="86"/>
      <c r="J407" s="86"/>
      <c r="K407" s="87"/>
      <c r="L407" s="87"/>
      <c r="M407" s="87"/>
    </row>
    <row r="408" spans="3:13" ht="14.4" x14ac:dyDescent="0.3">
      <c r="C408" s="86"/>
      <c r="D408" s="87"/>
      <c r="E408" s="87"/>
      <c r="I408" s="86"/>
      <c r="J408" s="86"/>
      <c r="K408" s="87"/>
      <c r="L408" s="87"/>
      <c r="M408" s="87"/>
    </row>
    <row r="409" spans="3:13" ht="14.4" x14ac:dyDescent="0.3">
      <c r="C409" s="86"/>
      <c r="D409" s="87"/>
      <c r="E409" s="87"/>
      <c r="I409" s="86"/>
      <c r="J409" s="86"/>
      <c r="K409" s="87"/>
      <c r="L409" s="87"/>
      <c r="M409" s="87"/>
    </row>
    <row r="410" spans="3:13" ht="14.4" x14ac:dyDescent="0.3">
      <c r="C410" s="86"/>
      <c r="D410" s="87"/>
      <c r="E410" s="87"/>
      <c r="I410" s="86"/>
      <c r="J410" s="86"/>
      <c r="K410" s="87"/>
      <c r="L410" s="87"/>
      <c r="M410" s="87"/>
    </row>
    <row r="411" spans="3:13" ht="14.4" x14ac:dyDescent="0.3">
      <c r="C411" s="86"/>
      <c r="D411" s="87"/>
      <c r="E411" s="87"/>
      <c r="I411" s="86"/>
      <c r="J411" s="86"/>
      <c r="K411" s="87"/>
      <c r="L411" s="87"/>
      <c r="M411" s="87"/>
    </row>
    <row r="412" spans="3:13" ht="14.4" x14ac:dyDescent="0.3">
      <c r="C412" s="86"/>
      <c r="D412" s="87"/>
      <c r="E412" s="87"/>
      <c r="I412" s="86"/>
      <c r="J412" s="86"/>
      <c r="K412" s="87"/>
      <c r="L412" s="87"/>
      <c r="M412" s="87"/>
    </row>
    <row r="413" spans="3:13" ht="14.4" x14ac:dyDescent="0.3">
      <c r="C413" s="86"/>
      <c r="D413" s="87"/>
      <c r="E413" s="87"/>
      <c r="I413" s="86"/>
      <c r="J413" s="86"/>
      <c r="K413" s="87"/>
      <c r="L413" s="87"/>
      <c r="M413" s="87"/>
    </row>
    <row r="414" spans="3:13" ht="14.4" x14ac:dyDescent="0.3">
      <c r="C414" s="86"/>
      <c r="D414" s="87"/>
      <c r="E414" s="87"/>
      <c r="I414" s="86"/>
      <c r="J414" s="86"/>
      <c r="K414" s="87"/>
      <c r="L414" s="87"/>
      <c r="M414" s="87"/>
    </row>
    <row r="415" spans="3:13" ht="14.4" x14ac:dyDescent="0.3">
      <c r="C415" s="86"/>
      <c r="D415" s="87"/>
      <c r="E415" s="87"/>
      <c r="I415" s="86"/>
      <c r="J415" s="86"/>
      <c r="K415" s="87"/>
      <c r="L415" s="87"/>
      <c r="M415" s="87"/>
    </row>
    <row r="416" spans="3:13" ht="14.4" x14ac:dyDescent="0.3">
      <c r="C416" s="86"/>
      <c r="D416" s="87"/>
      <c r="E416" s="87"/>
      <c r="I416" s="86"/>
      <c r="J416" s="86"/>
      <c r="K416" s="87"/>
      <c r="L416" s="87"/>
      <c r="M416" s="87"/>
    </row>
    <row r="417" spans="3:13" ht="14.4" x14ac:dyDescent="0.3">
      <c r="C417" s="86"/>
      <c r="D417" s="87"/>
      <c r="E417" s="87"/>
      <c r="I417" s="86"/>
      <c r="J417" s="86"/>
      <c r="K417" s="87"/>
      <c r="L417" s="87"/>
      <c r="M417" s="87"/>
    </row>
    <row r="418" spans="3:13" ht="14.4" x14ac:dyDescent="0.3">
      <c r="C418" s="86"/>
      <c r="D418" s="87"/>
      <c r="E418" s="87"/>
      <c r="I418" s="86"/>
      <c r="J418" s="86"/>
      <c r="K418" s="87"/>
      <c r="L418" s="87"/>
      <c r="M418" s="87"/>
    </row>
    <row r="419" spans="3:13" ht="14.4" x14ac:dyDescent="0.3">
      <c r="C419" s="86"/>
      <c r="D419" s="87"/>
      <c r="E419" s="87"/>
      <c r="I419" s="86"/>
      <c r="J419" s="86"/>
      <c r="K419" s="87"/>
      <c r="L419" s="87"/>
      <c r="M419" s="87"/>
    </row>
    <row r="420" spans="3:13" ht="14.4" x14ac:dyDescent="0.3">
      <c r="C420" s="86"/>
      <c r="D420" s="87"/>
      <c r="E420" s="87"/>
      <c r="I420" s="86"/>
      <c r="J420" s="86"/>
      <c r="K420" s="87"/>
      <c r="L420" s="87"/>
      <c r="M420" s="87"/>
    </row>
    <row r="421" spans="3:13" ht="14.4" x14ac:dyDescent="0.3">
      <c r="C421" s="86"/>
      <c r="D421" s="87"/>
      <c r="E421" s="87"/>
      <c r="I421" s="86"/>
      <c r="J421" s="86"/>
      <c r="K421" s="87"/>
      <c r="L421" s="87"/>
      <c r="M421" s="87"/>
    </row>
    <row r="422" spans="3:13" ht="14.4" x14ac:dyDescent="0.3">
      <c r="C422" s="86"/>
      <c r="D422" s="87"/>
      <c r="E422" s="87"/>
      <c r="I422" s="86"/>
      <c r="J422" s="86"/>
      <c r="K422" s="87"/>
      <c r="L422" s="87"/>
      <c r="M422" s="87"/>
    </row>
    <row r="423" spans="3:13" ht="14.4" x14ac:dyDescent="0.3">
      <c r="C423" s="86"/>
      <c r="D423" s="87"/>
      <c r="E423" s="87"/>
      <c r="I423" s="86"/>
      <c r="J423" s="86"/>
      <c r="K423" s="87"/>
      <c r="L423" s="87"/>
      <c r="M423" s="87"/>
    </row>
    <row r="424" spans="3:13" ht="14.4" x14ac:dyDescent="0.3">
      <c r="C424" s="86"/>
      <c r="D424" s="87"/>
      <c r="E424" s="87"/>
      <c r="I424" s="86"/>
      <c r="J424" s="86"/>
      <c r="K424" s="87"/>
      <c r="L424" s="87"/>
      <c r="M424" s="87"/>
    </row>
    <row r="425" spans="3:13" ht="14.4" x14ac:dyDescent="0.3">
      <c r="C425" s="86"/>
      <c r="D425" s="87"/>
      <c r="E425" s="87"/>
      <c r="I425" s="86"/>
      <c r="J425" s="86"/>
      <c r="K425" s="87"/>
      <c r="L425" s="87"/>
      <c r="M425" s="87"/>
    </row>
    <row r="426" spans="3:13" ht="14.4" x14ac:dyDescent="0.3">
      <c r="C426" s="86"/>
      <c r="D426" s="87"/>
      <c r="E426" s="87"/>
      <c r="I426" s="86"/>
      <c r="J426" s="86"/>
      <c r="K426" s="87"/>
      <c r="L426" s="87"/>
      <c r="M426" s="87"/>
    </row>
    <row r="427" spans="3:13" ht="14.4" x14ac:dyDescent="0.3">
      <c r="C427" s="86"/>
      <c r="D427" s="87"/>
      <c r="E427" s="87"/>
      <c r="I427" s="86"/>
      <c r="J427" s="86"/>
      <c r="K427" s="87"/>
      <c r="L427" s="87"/>
      <c r="M427" s="87"/>
    </row>
    <row r="428" spans="3:13" ht="14.4" x14ac:dyDescent="0.3">
      <c r="C428" s="86"/>
      <c r="D428" s="87"/>
      <c r="E428" s="87"/>
      <c r="I428" s="86"/>
      <c r="J428" s="86"/>
      <c r="K428" s="87"/>
      <c r="L428" s="87"/>
      <c r="M428" s="87"/>
    </row>
    <row r="429" spans="3:13" ht="14.4" x14ac:dyDescent="0.3">
      <c r="C429" s="86"/>
      <c r="D429" s="87"/>
      <c r="E429" s="87"/>
      <c r="I429" s="86"/>
      <c r="J429" s="86"/>
      <c r="K429" s="87"/>
      <c r="L429" s="87"/>
      <c r="M429" s="87"/>
    </row>
    <row r="430" spans="3:13" ht="14.4" x14ac:dyDescent="0.3">
      <c r="C430" s="86"/>
      <c r="D430" s="87"/>
      <c r="E430" s="87"/>
      <c r="I430" s="86"/>
      <c r="J430" s="86"/>
      <c r="K430" s="87"/>
      <c r="L430" s="87"/>
      <c r="M430" s="87"/>
    </row>
    <row r="431" spans="3:13" ht="14.4" x14ac:dyDescent="0.3">
      <c r="C431" s="86"/>
      <c r="D431" s="87"/>
      <c r="E431" s="87"/>
      <c r="I431" s="86"/>
      <c r="J431" s="86"/>
      <c r="K431" s="87"/>
      <c r="L431" s="87"/>
      <c r="M431" s="87"/>
    </row>
    <row r="432" spans="3:13" ht="14.4" x14ac:dyDescent="0.3">
      <c r="C432" s="86"/>
      <c r="D432" s="87"/>
      <c r="E432" s="87"/>
      <c r="I432" s="86"/>
      <c r="J432" s="86"/>
      <c r="K432" s="87"/>
      <c r="L432" s="87"/>
      <c r="M432" s="87"/>
    </row>
    <row r="433" spans="3:13" ht="14.4" x14ac:dyDescent="0.3">
      <c r="C433" s="86"/>
      <c r="D433" s="87"/>
      <c r="E433" s="87"/>
      <c r="I433" s="86"/>
      <c r="J433" s="86"/>
      <c r="K433" s="87"/>
      <c r="L433" s="87"/>
      <c r="M433" s="87"/>
    </row>
    <row r="434" spans="3:13" ht="14.4" x14ac:dyDescent="0.3">
      <c r="C434" s="86"/>
      <c r="D434" s="87"/>
      <c r="E434" s="87"/>
      <c r="I434" s="86"/>
      <c r="J434" s="86"/>
      <c r="K434" s="87"/>
      <c r="L434" s="87"/>
      <c r="M434" s="87"/>
    </row>
    <row r="435" spans="3:13" ht="14.4" x14ac:dyDescent="0.3">
      <c r="C435" s="86"/>
      <c r="D435" s="87"/>
      <c r="E435" s="87"/>
      <c r="I435" s="86"/>
      <c r="J435" s="86"/>
      <c r="K435" s="87"/>
      <c r="L435" s="87"/>
      <c r="M435" s="87"/>
    </row>
    <row r="436" spans="3:13" ht="14.4" x14ac:dyDescent="0.3">
      <c r="C436" s="86"/>
      <c r="D436" s="87"/>
      <c r="E436" s="87"/>
      <c r="I436" s="86"/>
      <c r="J436" s="86"/>
      <c r="K436" s="87"/>
      <c r="L436" s="87"/>
      <c r="M436" s="87"/>
    </row>
    <row r="437" spans="3:13" ht="14.4" x14ac:dyDescent="0.3">
      <c r="C437" s="86"/>
      <c r="D437" s="87"/>
      <c r="E437" s="87"/>
      <c r="I437" s="86"/>
      <c r="J437" s="86"/>
      <c r="K437" s="87"/>
      <c r="L437" s="87"/>
      <c r="M437" s="87"/>
    </row>
    <row r="438" spans="3:13" ht="14.4" x14ac:dyDescent="0.3">
      <c r="C438" s="86"/>
      <c r="D438" s="87"/>
      <c r="E438" s="87"/>
      <c r="I438" s="86"/>
      <c r="J438" s="86"/>
      <c r="K438" s="87"/>
      <c r="L438" s="87"/>
      <c r="M438" s="87"/>
    </row>
    <row r="439" spans="3:13" ht="14.4" x14ac:dyDescent="0.3">
      <c r="C439" s="86"/>
      <c r="D439" s="87"/>
      <c r="E439" s="87"/>
      <c r="I439" s="86"/>
      <c r="J439" s="86"/>
      <c r="K439" s="87"/>
      <c r="L439" s="87"/>
      <c r="M439" s="87"/>
    </row>
    <row r="440" spans="3:13" ht="14.4" x14ac:dyDescent="0.3">
      <c r="C440" s="86"/>
      <c r="D440" s="87"/>
      <c r="E440" s="87"/>
      <c r="I440" s="86"/>
      <c r="J440" s="86"/>
      <c r="K440" s="87"/>
      <c r="L440" s="87"/>
      <c r="M440" s="87"/>
    </row>
    <row r="441" spans="3:13" ht="14.4" x14ac:dyDescent="0.3">
      <c r="C441" s="86"/>
      <c r="D441" s="87"/>
      <c r="E441" s="87"/>
      <c r="I441" s="86"/>
      <c r="J441" s="86"/>
      <c r="K441" s="87"/>
      <c r="L441" s="87"/>
      <c r="M441" s="87"/>
    </row>
    <row r="442" spans="3:13" ht="14.4" x14ac:dyDescent="0.3">
      <c r="C442" s="86"/>
      <c r="D442" s="87"/>
      <c r="E442" s="87"/>
      <c r="I442" s="86"/>
      <c r="J442" s="86"/>
      <c r="K442" s="87"/>
      <c r="L442" s="87"/>
      <c r="M442" s="87"/>
    </row>
    <row r="443" spans="3:13" ht="14.4" x14ac:dyDescent="0.3">
      <c r="C443" s="86"/>
      <c r="D443" s="87"/>
      <c r="E443" s="87"/>
      <c r="I443" s="86"/>
      <c r="J443" s="86"/>
      <c r="K443" s="87"/>
      <c r="L443" s="87"/>
      <c r="M443" s="87"/>
    </row>
    <row r="444" spans="3:13" ht="14.4" x14ac:dyDescent="0.3">
      <c r="C444" s="86"/>
      <c r="D444" s="87"/>
      <c r="E444" s="87"/>
      <c r="I444" s="86"/>
      <c r="J444" s="86"/>
      <c r="K444" s="87"/>
      <c r="L444" s="87"/>
      <c r="M444" s="87"/>
    </row>
    <row r="445" spans="3:13" ht="14.4" x14ac:dyDescent="0.3">
      <c r="C445" s="86"/>
      <c r="D445" s="87"/>
      <c r="E445" s="87"/>
      <c r="I445" s="86"/>
      <c r="J445" s="86"/>
      <c r="K445" s="87"/>
      <c r="L445" s="87"/>
      <c r="M445" s="87"/>
    </row>
    <row r="446" spans="3:13" ht="14.4" x14ac:dyDescent="0.3">
      <c r="C446" s="86"/>
      <c r="D446" s="87"/>
      <c r="E446" s="87"/>
      <c r="I446" s="86"/>
      <c r="J446" s="86"/>
      <c r="K446" s="87"/>
      <c r="L446" s="87"/>
      <c r="M446" s="87"/>
    </row>
    <row r="447" spans="3:13" ht="14.4" x14ac:dyDescent="0.3">
      <c r="C447" s="86"/>
      <c r="D447" s="87"/>
      <c r="E447" s="87"/>
      <c r="I447" s="86"/>
      <c r="J447" s="86"/>
      <c r="K447" s="87"/>
      <c r="L447" s="87"/>
      <c r="M447" s="87"/>
    </row>
    <row r="448" spans="3:13" ht="14.4" x14ac:dyDescent="0.3">
      <c r="C448" s="86"/>
      <c r="D448" s="87"/>
      <c r="E448" s="87"/>
      <c r="I448" s="86"/>
      <c r="J448" s="86"/>
      <c r="K448" s="87"/>
      <c r="L448" s="87"/>
      <c r="M448" s="87"/>
    </row>
    <row r="449" spans="3:13" ht="14.4" x14ac:dyDescent="0.3">
      <c r="C449" s="86"/>
      <c r="D449" s="87"/>
      <c r="E449" s="87"/>
      <c r="I449" s="86"/>
      <c r="J449" s="86"/>
      <c r="K449" s="87"/>
      <c r="L449" s="87"/>
      <c r="M449" s="87"/>
    </row>
    <row r="450" spans="3:13" ht="14.4" x14ac:dyDescent="0.3">
      <c r="C450" s="86"/>
      <c r="D450" s="87"/>
      <c r="E450" s="87"/>
      <c r="I450" s="86"/>
      <c r="J450" s="86"/>
      <c r="K450" s="87"/>
      <c r="L450" s="87"/>
      <c r="M450" s="87"/>
    </row>
    <row r="451" spans="3:13" ht="14.4" x14ac:dyDescent="0.3">
      <c r="C451" s="86"/>
      <c r="D451" s="87"/>
      <c r="E451" s="87"/>
      <c r="I451" s="86"/>
      <c r="J451" s="86"/>
      <c r="K451" s="87"/>
      <c r="L451" s="87"/>
      <c r="M451" s="87"/>
    </row>
    <row r="452" spans="3:13" ht="14.4" x14ac:dyDescent="0.3">
      <c r="C452" s="86"/>
      <c r="D452" s="87"/>
      <c r="E452" s="87"/>
      <c r="I452" s="86"/>
      <c r="J452" s="86"/>
      <c r="K452" s="87"/>
      <c r="L452" s="87"/>
      <c r="M452" s="87"/>
    </row>
    <row r="453" spans="3:13" ht="14.4" x14ac:dyDescent="0.3">
      <c r="C453" s="86"/>
      <c r="D453" s="87"/>
      <c r="E453" s="87"/>
      <c r="I453" s="86"/>
      <c r="J453" s="86"/>
      <c r="K453" s="87"/>
      <c r="L453" s="87"/>
      <c r="M453" s="87"/>
    </row>
    <row r="454" spans="3:13" ht="14.4" x14ac:dyDescent="0.3">
      <c r="C454" s="86"/>
      <c r="D454" s="87"/>
      <c r="E454" s="87"/>
      <c r="I454" s="86"/>
      <c r="J454" s="86"/>
      <c r="K454" s="87"/>
      <c r="L454" s="87"/>
      <c r="M454" s="87"/>
    </row>
    <row r="455" spans="3:13" ht="14.4" x14ac:dyDescent="0.3">
      <c r="C455" s="86"/>
      <c r="D455" s="87"/>
      <c r="E455" s="87"/>
      <c r="I455" s="86"/>
      <c r="J455" s="86"/>
      <c r="K455" s="87"/>
      <c r="L455" s="87"/>
      <c r="M455" s="87"/>
    </row>
    <row r="456" spans="3:13" ht="14.4" x14ac:dyDescent="0.3">
      <c r="C456" s="86"/>
      <c r="D456" s="87"/>
      <c r="E456" s="87"/>
      <c r="I456" s="86"/>
      <c r="J456" s="86"/>
      <c r="K456" s="87"/>
      <c r="L456" s="87"/>
      <c r="M456" s="87"/>
    </row>
    <row r="457" spans="3:13" ht="14.4" x14ac:dyDescent="0.3">
      <c r="C457" s="86"/>
      <c r="D457" s="87"/>
      <c r="E457" s="87"/>
      <c r="I457" s="86"/>
      <c r="J457" s="86"/>
      <c r="K457" s="87"/>
      <c r="L457" s="87"/>
      <c r="M457" s="87"/>
    </row>
    <row r="458" spans="3:13" ht="14.4" x14ac:dyDescent="0.3">
      <c r="C458" s="86"/>
      <c r="D458" s="87"/>
      <c r="E458" s="87"/>
      <c r="I458" s="86"/>
      <c r="J458" s="86"/>
      <c r="K458" s="87"/>
      <c r="L458" s="87"/>
      <c r="M458" s="87"/>
    </row>
    <row r="459" spans="3:13" ht="14.4" x14ac:dyDescent="0.3">
      <c r="C459" s="86"/>
      <c r="D459" s="87"/>
      <c r="E459" s="87"/>
      <c r="I459" s="86"/>
      <c r="J459" s="86"/>
      <c r="K459" s="87"/>
      <c r="L459" s="87"/>
      <c r="M459" s="87"/>
    </row>
    <row r="460" spans="3:13" ht="14.4" x14ac:dyDescent="0.3">
      <c r="C460" s="86"/>
      <c r="D460" s="87"/>
      <c r="E460" s="87"/>
      <c r="I460" s="86"/>
      <c r="J460" s="86"/>
      <c r="K460" s="87"/>
      <c r="L460" s="87"/>
      <c r="M460" s="87"/>
    </row>
    <row r="461" spans="3:13" ht="14.4" x14ac:dyDescent="0.3">
      <c r="C461" s="86"/>
      <c r="D461" s="87"/>
      <c r="E461" s="87"/>
      <c r="I461" s="86"/>
      <c r="J461" s="86"/>
      <c r="K461" s="87"/>
      <c r="L461" s="87"/>
      <c r="M461" s="87"/>
    </row>
    <row r="462" spans="3:13" ht="14.4" x14ac:dyDescent="0.3">
      <c r="C462" s="86"/>
      <c r="D462" s="87"/>
      <c r="E462" s="87"/>
      <c r="I462" s="86"/>
      <c r="J462" s="86"/>
      <c r="K462" s="87"/>
      <c r="L462" s="87"/>
      <c r="M462" s="87"/>
    </row>
    <row r="463" spans="3:13" ht="14.4" x14ac:dyDescent="0.3">
      <c r="C463" s="86"/>
      <c r="D463" s="87"/>
      <c r="E463" s="87"/>
      <c r="I463" s="86"/>
      <c r="J463" s="86"/>
      <c r="K463" s="87"/>
      <c r="L463" s="87"/>
      <c r="M463" s="87"/>
    </row>
    <row r="464" spans="3:13" ht="14.4" x14ac:dyDescent="0.3">
      <c r="C464" s="86"/>
      <c r="D464" s="87"/>
      <c r="E464" s="87"/>
      <c r="I464" s="86"/>
      <c r="J464" s="86"/>
      <c r="K464" s="87"/>
      <c r="L464" s="87"/>
      <c r="M464" s="87"/>
    </row>
    <row r="465" spans="3:13" ht="14.4" x14ac:dyDescent="0.3">
      <c r="C465" s="86"/>
      <c r="D465" s="87"/>
      <c r="E465" s="87"/>
      <c r="I465" s="86"/>
      <c r="J465" s="86"/>
      <c r="K465" s="87"/>
      <c r="L465" s="87"/>
      <c r="M465" s="87"/>
    </row>
    <row r="466" spans="3:13" ht="14.4" x14ac:dyDescent="0.3">
      <c r="C466" s="86"/>
      <c r="D466" s="87"/>
      <c r="E466" s="87"/>
      <c r="I466" s="86"/>
      <c r="J466" s="86"/>
      <c r="K466" s="87"/>
      <c r="L466" s="87"/>
      <c r="M466" s="87"/>
    </row>
    <row r="467" spans="3:13" ht="14.4" x14ac:dyDescent="0.3">
      <c r="C467" s="86"/>
      <c r="D467" s="87"/>
      <c r="E467" s="87"/>
      <c r="I467" s="86"/>
      <c r="J467" s="86"/>
      <c r="K467" s="87"/>
      <c r="L467" s="87"/>
      <c r="M467" s="87"/>
    </row>
    <row r="468" spans="3:13" ht="14.4" x14ac:dyDescent="0.3">
      <c r="C468" s="86"/>
      <c r="D468" s="87"/>
      <c r="E468" s="87"/>
      <c r="I468" s="86"/>
      <c r="J468" s="86"/>
      <c r="K468" s="87"/>
      <c r="L468" s="87"/>
      <c r="M468" s="87"/>
    </row>
    <row r="469" spans="3:13" ht="14.4" x14ac:dyDescent="0.3">
      <c r="C469" s="86"/>
      <c r="D469" s="87"/>
      <c r="E469" s="87"/>
      <c r="I469" s="86"/>
      <c r="J469" s="86"/>
      <c r="K469" s="87"/>
      <c r="L469" s="87"/>
      <c r="M469" s="87"/>
    </row>
    <row r="470" spans="3:13" ht="14.4" x14ac:dyDescent="0.3">
      <c r="C470" s="86"/>
      <c r="D470" s="87"/>
      <c r="E470" s="87"/>
      <c r="I470" s="86"/>
      <c r="J470" s="86"/>
      <c r="K470" s="87"/>
      <c r="L470" s="87"/>
      <c r="M470" s="87"/>
    </row>
    <row r="471" spans="3:13" ht="14.4" x14ac:dyDescent="0.3">
      <c r="C471" s="86"/>
      <c r="D471" s="87"/>
      <c r="E471" s="87"/>
      <c r="I471" s="86"/>
      <c r="J471" s="86"/>
      <c r="K471" s="87"/>
      <c r="L471" s="87"/>
      <c r="M471" s="87"/>
    </row>
    <row r="472" spans="3:13" ht="14.4" x14ac:dyDescent="0.3">
      <c r="C472" s="86"/>
      <c r="D472" s="87"/>
      <c r="E472" s="87"/>
      <c r="I472" s="86"/>
      <c r="J472" s="86"/>
      <c r="K472" s="87"/>
      <c r="L472" s="87"/>
      <c r="M472" s="87"/>
    </row>
    <row r="473" spans="3:13" ht="14.4" x14ac:dyDescent="0.3">
      <c r="C473" s="86"/>
      <c r="D473" s="87"/>
      <c r="E473" s="87"/>
      <c r="I473" s="86"/>
      <c r="J473" s="86"/>
      <c r="K473" s="87"/>
      <c r="L473" s="87"/>
      <c r="M473" s="87"/>
    </row>
    <row r="474" spans="3:13" ht="14.4" x14ac:dyDescent="0.3">
      <c r="C474" s="86"/>
      <c r="D474" s="87"/>
      <c r="E474" s="87"/>
      <c r="I474" s="86"/>
      <c r="J474" s="86"/>
      <c r="K474" s="87"/>
      <c r="L474" s="87"/>
      <c r="M474" s="87"/>
    </row>
    <row r="475" spans="3:13" ht="14.4" x14ac:dyDescent="0.3">
      <c r="C475" s="86"/>
      <c r="D475" s="87"/>
      <c r="E475" s="87"/>
      <c r="I475" s="86"/>
      <c r="J475" s="86"/>
      <c r="K475" s="87"/>
      <c r="L475" s="87"/>
      <c r="M475" s="87"/>
    </row>
    <row r="476" spans="3:13" ht="14.4" x14ac:dyDescent="0.3">
      <c r="C476" s="86"/>
      <c r="D476" s="87"/>
      <c r="E476" s="87"/>
      <c r="I476" s="86"/>
      <c r="J476" s="86"/>
      <c r="K476" s="87"/>
      <c r="L476" s="87"/>
      <c r="M476" s="87"/>
    </row>
    <row r="477" spans="3:13" ht="14.4" x14ac:dyDescent="0.3">
      <c r="C477" s="86"/>
      <c r="D477" s="87"/>
      <c r="E477" s="87"/>
      <c r="I477" s="86"/>
      <c r="J477" s="86"/>
      <c r="K477" s="87"/>
      <c r="L477" s="87"/>
      <c r="M477" s="87"/>
    </row>
    <row r="478" spans="3:13" ht="14.4" x14ac:dyDescent="0.3">
      <c r="C478" s="86"/>
      <c r="D478" s="87"/>
      <c r="E478" s="87"/>
      <c r="I478" s="86"/>
      <c r="J478" s="86"/>
      <c r="K478" s="87"/>
      <c r="L478" s="87"/>
      <c r="M478" s="87"/>
    </row>
    <row r="479" spans="3:13" ht="14.4" x14ac:dyDescent="0.3">
      <c r="C479" s="86"/>
      <c r="D479" s="87"/>
      <c r="E479" s="87"/>
      <c r="I479" s="86"/>
      <c r="J479" s="86"/>
      <c r="K479" s="87"/>
      <c r="L479" s="87"/>
      <c r="M479" s="87"/>
    </row>
    <row r="480" spans="3:13" ht="14.4" x14ac:dyDescent="0.3">
      <c r="C480" s="86"/>
      <c r="D480" s="87"/>
      <c r="E480" s="87"/>
      <c r="I480" s="86"/>
      <c r="J480" s="86"/>
      <c r="K480" s="87"/>
      <c r="L480" s="87"/>
      <c r="M480" s="87"/>
    </row>
    <row r="481" spans="3:13" ht="14.4" x14ac:dyDescent="0.3">
      <c r="C481" s="86"/>
      <c r="D481" s="87"/>
      <c r="E481" s="87"/>
      <c r="I481" s="86"/>
      <c r="J481" s="86"/>
      <c r="K481" s="87"/>
      <c r="L481" s="87"/>
      <c r="M481" s="87"/>
    </row>
    <row r="482" spans="3:13" ht="14.4" x14ac:dyDescent="0.3">
      <c r="C482" s="86"/>
      <c r="D482" s="87"/>
      <c r="E482" s="87"/>
      <c r="I482" s="86"/>
      <c r="J482" s="86"/>
      <c r="K482" s="87"/>
      <c r="L482" s="87"/>
      <c r="M482" s="87"/>
    </row>
    <row r="483" spans="3:13" ht="14.4" x14ac:dyDescent="0.3">
      <c r="C483" s="86"/>
      <c r="D483" s="87"/>
      <c r="E483" s="87"/>
      <c r="I483" s="86"/>
      <c r="J483" s="86"/>
      <c r="K483" s="87"/>
      <c r="L483" s="87"/>
      <c r="M483" s="87"/>
    </row>
    <row r="484" spans="3:13" ht="14.4" x14ac:dyDescent="0.3">
      <c r="C484" s="86"/>
      <c r="D484" s="87"/>
      <c r="E484" s="87"/>
      <c r="I484" s="86"/>
      <c r="J484" s="86"/>
      <c r="K484" s="87"/>
      <c r="L484" s="87"/>
      <c r="M484" s="87"/>
    </row>
    <row r="485" spans="3:13" ht="14.4" x14ac:dyDescent="0.3">
      <c r="C485" s="86"/>
      <c r="D485" s="87"/>
      <c r="E485" s="87"/>
      <c r="I485" s="86"/>
      <c r="J485" s="86"/>
      <c r="K485" s="87"/>
      <c r="L485" s="87"/>
      <c r="M485" s="87"/>
    </row>
    <row r="486" spans="3:13" ht="14.4" x14ac:dyDescent="0.3">
      <c r="C486" s="86"/>
      <c r="D486" s="87"/>
      <c r="E486" s="87"/>
      <c r="I486" s="86"/>
      <c r="J486" s="86"/>
      <c r="K486" s="87"/>
      <c r="L486" s="87"/>
      <c r="M486" s="87"/>
    </row>
    <row r="487" spans="3:13" ht="14.4" x14ac:dyDescent="0.3">
      <c r="C487" s="86"/>
      <c r="D487" s="87"/>
      <c r="E487" s="87"/>
      <c r="I487" s="86"/>
      <c r="J487" s="86"/>
      <c r="K487" s="87"/>
      <c r="L487" s="87"/>
      <c r="M487" s="87"/>
    </row>
    <row r="488" spans="3:13" ht="14.4" x14ac:dyDescent="0.3">
      <c r="C488" s="86"/>
      <c r="D488" s="87"/>
      <c r="E488" s="87"/>
      <c r="I488" s="86"/>
      <c r="J488" s="86"/>
      <c r="K488" s="87"/>
      <c r="L488" s="87"/>
      <c r="M488" s="87"/>
    </row>
    <row r="489" spans="3:13" ht="14.4" x14ac:dyDescent="0.3">
      <c r="C489" s="86"/>
      <c r="D489" s="87"/>
      <c r="E489" s="87"/>
      <c r="I489" s="86"/>
      <c r="J489" s="86"/>
      <c r="K489" s="87"/>
      <c r="L489" s="87"/>
      <c r="M489" s="87"/>
    </row>
    <row r="490" spans="3:13" ht="14.4" x14ac:dyDescent="0.3">
      <c r="C490" s="86"/>
      <c r="D490" s="87"/>
      <c r="E490" s="87"/>
      <c r="I490" s="86"/>
      <c r="J490" s="86"/>
      <c r="K490" s="87"/>
      <c r="L490" s="87"/>
      <c r="M490" s="87"/>
    </row>
    <row r="491" spans="3:13" ht="14.4" x14ac:dyDescent="0.3">
      <c r="C491" s="86"/>
      <c r="D491" s="87"/>
      <c r="E491" s="87"/>
      <c r="I491" s="86"/>
      <c r="J491" s="86"/>
      <c r="K491" s="87"/>
      <c r="L491" s="87"/>
      <c r="M491" s="87"/>
    </row>
    <row r="492" spans="3:13" ht="14.4" x14ac:dyDescent="0.3">
      <c r="C492" s="86"/>
      <c r="D492" s="87"/>
      <c r="E492" s="87"/>
      <c r="I492" s="86"/>
      <c r="J492" s="86"/>
      <c r="K492" s="87"/>
      <c r="L492" s="87"/>
      <c r="M492" s="87"/>
    </row>
    <row r="493" spans="3:13" ht="14.4" x14ac:dyDescent="0.3">
      <c r="C493" s="86"/>
      <c r="D493" s="87"/>
      <c r="E493" s="87"/>
      <c r="I493" s="86"/>
      <c r="J493" s="86"/>
      <c r="K493" s="87"/>
      <c r="L493" s="87"/>
      <c r="M493" s="87"/>
    </row>
    <row r="494" spans="3:13" ht="14.4" x14ac:dyDescent="0.3">
      <c r="C494" s="86"/>
      <c r="D494" s="87"/>
      <c r="E494" s="87"/>
      <c r="I494" s="86"/>
      <c r="J494" s="86"/>
      <c r="K494" s="87"/>
      <c r="L494" s="87"/>
      <c r="M494" s="87"/>
    </row>
    <row r="495" spans="3:13" ht="14.4" x14ac:dyDescent="0.3">
      <c r="C495" s="86"/>
      <c r="D495" s="87"/>
      <c r="E495" s="87"/>
      <c r="I495" s="86"/>
      <c r="J495" s="86"/>
      <c r="K495" s="87"/>
      <c r="L495" s="87"/>
      <c r="M495" s="87"/>
    </row>
    <row r="496" spans="3:13" ht="14.4" x14ac:dyDescent="0.3">
      <c r="C496" s="86"/>
      <c r="D496" s="87"/>
      <c r="E496" s="87"/>
      <c r="I496" s="86"/>
      <c r="J496" s="86"/>
      <c r="K496" s="87"/>
      <c r="L496" s="87"/>
      <c r="M496" s="87"/>
    </row>
    <row r="497" spans="3:13" ht="14.4" x14ac:dyDescent="0.3">
      <c r="C497" s="86"/>
      <c r="D497" s="87"/>
      <c r="E497" s="87"/>
      <c r="I497" s="86"/>
      <c r="J497" s="86"/>
      <c r="K497" s="87"/>
      <c r="L497" s="87"/>
      <c r="M497" s="87"/>
    </row>
    <row r="498" spans="3:13" ht="14.4" x14ac:dyDescent="0.3">
      <c r="C498" s="86"/>
      <c r="D498" s="87"/>
      <c r="E498" s="87"/>
      <c r="I498" s="86"/>
      <c r="J498" s="86"/>
      <c r="K498" s="87"/>
      <c r="L498" s="87"/>
      <c r="M498" s="87"/>
    </row>
    <row r="499" spans="3:13" ht="14.4" x14ac:dyDescent="0.3">
      <c r="C499" s="86"/>
      <c r="D499" s="87"/>
      <c r="E499" s="87"/>
      <c r="I499" s="86"/>
      <c r="J499" s="86"/>
      <c r="K499" s="87"/>
      <c r="L499" s="87"/>
      <c r="M499" s="87"/>
    </row>
    <row r="500" spans="3:13" ht="14.4" x14ac:dyDescent="0.3">
      <c r="C500" s="86"/>
      <c r="D500" s="87"/>
      <c r="E500" s="87"/>
      <c r="I500" s="86"/>
      <c r="J500" s="86"/>
      <c r="K500" s="87"/>
      <c r="L500" s="87"/>
      <c r="M500" s="87"/>
    </row>
    <row r="501" spans="3:13" ht="14.4" x14ac:dyDescent="0.3">
      <c r="C501" s="86"/>
      <c r="D501" s="87"/>
      <c r="E501" s="87"/>
      <c r="I501" s="86"/>
      <c r="J501" s="86"/>
      <c r="K501" s="87"/>
      <c r="L501" s="87"/>
      <c r="M501" s="87"/>
    </row>
    <row r="502" spans="3:13" ht="14.4" x14ac:dyDescent="0.3">
      <c r="C502" s="86"/>
      <c r="D502" s="87"/>
      <c r="E502" s="87"/>
      <c r="I502" s="86"/>
      <c r="J502" s="86"/>
      <c r="K502" s="87"/>
      <c r="L502" s="87"/>
      <c r="M502" s="87"/>
    </row>
    <row r="503" spans="3:13" ht="14.4" x14ac:dyDescent="0.3">
      <c r="C503" s="86"/>
      <c r="D503" s="87"/>
      <c r="E503" s="87"/>
      <c r="I503" s="86"/>
      <c r="J503" s="86"/>
      <c r="K503" s="87"/>
      <c r="L503" s="87"/>
      <c r="M503" s="87"/>
    </row>
    <row r="504" spans="3:13" ht="14.4" x14ac:dyDescent="0.3">
      <c r="C504" s="86"/>
      <c r="D504" s="87"/>
      <c r="E504" s="87"/>
      <c r="I504" s="86"/>
      <c r="J504" s="86"/>
      <c r="K504" s="87"/>
      <c r="L504" s="87"/>
      <c r="M504" s="87"/>
    </row>
    <row r="505" spans="3:13" ht="14.4" x14ac:dyDescent="0.3">
      <c r="C505" s="86"/>
      <c r="D505" s="87"/>
      <c r="E505" s="87"/>
      <c r="I505" s="86"/>
      <c r="J505" s="86"/>
      <c r="K505" s="87"/>
      <c r="L505" s="87"/>
      <c r="M505" s="87"/>
    </row>
    <row r="506" spans="3:13" ht="14.4" x14ac:dyDescent="0.3">
      <c r="C506" s="86"/>
      <c r="D506" s="87"/>
      <c r="E506" s="87"/>
      <c r="I506" s="86"/>
      <c r="J506" s="86"/>
      <c r="K506" s="87"/>
      <c r="L506" s="87"/>
      <c r="M506" s="87"/>
    </row>
    <row r="507" spans="3:13" ht="14.4" x14ac:dyDescent="0.3">
      <c r="C507" s="86"/>
      <c r="D507" s="87"/>
      <c r="E507" s="87"/>
      <c r="I507" s="86"/>
      <c r="J507" s="86"/>
      <c r="K507" s="87"/>
      <c r="L507" s="87"/>
      <c r="M507" s="87"/>
    </row>
    <row r="508" spans="3:13" ht="14.4" x14ac:dyDescent="0.3">
      <c r="C508" s="86"/>
      <c r="D508" s="87"/>
      <c r="E508" s="87"/>
      <c r="I508" s="86"/>
      <c r="J508" s="86"/>
      <c r="K508" s="87"/>
      <c r="L508" s="87"/>
      <c r="M508" s="87"/>
    </row>
    <row r="509" spans="3:13" ht="14.4" x14ac:dyDescent="0.3">
      <c r="C509" s="86"/>
      <c r="D509" s="87"/>
      <c r="E509" s="87"/>
      <c r="I509" s="86"/>
      <c r="J509" s="86"/>
      <c r="K509" s="87"/>
      <c r="L509" s="87"/>
      <c r="M509" s="87"/>
    </row>
    <row r="510" spans="3:13" ht="14.4" x14ac:dyDescent="0.3">
      <c r="C510" s="86"/>
      <c r="D510" s="87"/>
      <c r="E510" s="87"/>
      <c r="I510" s="86"/>
      <c r="J510" s="86"/>
      <c r="K510" s="87"/>
      <c r="L510" s="87"/>
      <c r="M510" s="87"/>
    </row>
    <row r="511" spans="3:13" ht="14.4" x14ac:dyDescent="0.3">
      <c r="C511" s="86"/>
      <c r="D511" s="87"/>
      <c r="E511" s="87"/>
      <c r="I511" s="86"/>
      <c r="J511" s="86"/>
      <c r="K511" s="87"/>
      <c r="L511" s="87"/>
      <c r="M511" s="87"/>
    </row>
    <row r="512" spans="3:13" ht="14.4" x14ac:dyDescent="0.3">
      <c r="C512" s="86"/>
      <c r="D512" s="87"/>
      <c r="E512" s="87"/>
      <c r="I512" s="86"/>
      <c r="J512" s="86"/>
      <c r="K512" s="87"/>
      <c r="L512" s="87"/>
      <c r="M512" s="87"/>
    </row>
    <row r="513" spans="3:13" ht="14.4" x14ac:dyDescent="0.3">
      <c r="C513" s="86"/>
      <c r="D513" s="87"/>
      <c r="E513" s="87"/>
      <c r="I513" s="86"/>
      <c r="J513" s="86"/>
      <c r="K513" s="87"/>
      <c r="L513" s="87"/>
      <c r="M513" s="87"/>
    </row>
    <row r="514" spans="3:13" ht="14.4" x14ac:dyDescent="0.3">
      <c r="C514" s="86"/>
      <c r="D514" s="87"/>
      <c r="E514" s="87"/>
      <c r="I514" s="86"/>
      <c r="J514" s="86"/>
      <c r="K514" s="87"/>
      <c r="L514" s="87"/>
      <c r="M514" s="87"/>
    </row>
    <row r="515" spans="3:13" ht="14.4" x14ac:dyDescent="0.3">
      <c r="C515" s="86"/>
      <c r="D515" s="87"/>
      <c r="E515" s="87"/>
      <c r="I515" s="86"/>
      <c r="J515" s="86"/>
      <c r="K515" s="87"/>
      <c r="L515" s="87"/>
      <c r="M515" s="87"/>
    </row>
    <row r="516" spans="3:13" ht="14.4" x14ac:dyDescent="0.3">
      <c r="C516" s="86"/>
      <c r="D516" s="87"/>
      <c r="E516" s="87"/>
      <c r="I516" s="86"/>
      <c r="J516" s="86"/>
      <c r="K516" s="87"/>
      <c r="L516" s="87"/>
      <c r="M516" s="87"/>
    </row>
    <row r="517" spans="3:13" ht="14.4" x14ac:dyDescent="0.3">
      <c r="C517" s="86"/>
      <c r="D517" s="87"/>
      <c r="E517" s="87"/>
      <c r="I517" s="86"/>
      <c r="J517" s="86"/>
      <c r="K517" s="87"/>
      <c r="L517" s="87"/>
      <c r="M517" s="87"/>
    </row>
    <row r="518" spans="3:13" ht="14.4" x14ac:dyDescent="0.3">
      <c r="C518" s="86"/>
      <c r="D518" s="87"/>
      <c r="E518" s="87"/>
      <c r="I518" s="86"/>
      <c r="J518" s="86"/>
      <c r="K518" s="87"/>
      <c r="L518" s="87"/>
      <c r="M518" s="87"/>
    </row>
    <row r="519" spans="3:13" ht="14.4" x14ac:dyDescent="0.3">
      <c r="C519" s="86"/>
      <c r="D519" s="87"/>
      <c r="E519" s="87"/>
      <c r="I519" s="86"/>
      <c r="J519" s="86"/>
      <c r="K519" s="87"/>
      <c r="L519" s="87"/>
      <c r="M519" s="87"/>
    </row>
    <row r="520" spans="3:13" ht="14.4" x14ac:dyDescent="0.3">
      <c r="C520" s="86"/>
      <c r="D520" s="87"/>
      <c r="E520" s="87"/>
      <c r="I520" s="86"/>
      <c r="J520" s="86"/>
      <c r="K520" s="87"/>
      <c r="L520" s="87"/>
      <c r="M520" s="87"/>
    </row>
    <row r="521" spans="3:13" ht="14.4" x14ac:dyDescent="0.3">
      <c r="C521" s="86"/>
      <c r="D521" s="87"/>
      <c r="E521" s="87"/>
      <c r="I521" s="86"/>
      <c r="J521" s="86"/>
      <c r="K521" s="87"/>
      <c r="L521" s="87"/>
      <c r="M521" s="87"/>
    </row>
    <row r="522" spans="3:13" ht="14.4" x14ac:dyDescent="0.3">
      <c r="C522" s="86"/>
      <c r="D522" s="87"/>
      <c r="E522" s="87"/>
      <c r="I522" s="86"/>
      <c r="J522" s="86"/>
      <c r="K522" s="87"/>
      <c r="L522" s="87"/>
      <c r="M522" s="87"/>
    </row>
    <row r="523" spans="3:13" ht="14.4" x14ac:dyDescent="0.3">
      <c r="C523" s="86"/>
      <c r="D523" s="87"/>
      <c r="E523" s="87"/>
      <c r="I523" s="86"/>
      <c r="J523" s="86"/>
      <c r="K523" s="87"/>
      <c r="L523" s="87"/>
      <c r="M523" s="87"/>
    </row>
    <row r="524" spans="3:13" ht="14.4" x14ac:dyDescent="0.3">
      <c r="C524" s="86"/>
      <c r="D524" s="87"/>
      <c r="E524" s="87"/>
      <c r="I524" s="86"/>
      <c r="J524" s="86"/>
      <c r="K524" s="87"/>
      <c r="L524" s="87"/>
      <c r="M524" s="87"/>
    </row>
    <row r="525" spans="3:13" ht="14.4" x14ac:dyDescent="0.3">
      <c r="C525" s="86"/>
      <c r="D525" s="87"/>
      <c r="E525" s="87"/>
      <c r="I525" s="86"/>
      <c r="J525" s="86"/>
      <c r="K525" s="87"/>
      <c r="L525" s="87"/>
      <c r="M525" s="87"/>
    </row>
    <row r="526" spans="3:13" ht="14.4" x14ac:dyDescent="0.3">
      <c r="C526" s="86"/>
      <c r="D526" s="87"/>
      <c r="E526" s="87"/>
      <c r="I526" s="86"/>
      <c r="J526" s="86"/>
      <c r="K526" s="87"/>
      <c r="L526" s="87"/>
      <c r="M526" s="87"/>
    </row>
    <row r="527" spans="3:13" ht="14.4" x14ac:dyDescent="0.3">
      <c r="C527" s="86"/>
      <c r="D527" s="87"/>
      <c r="E527" s="87"/>
      <c r="I527" s="86"/>
      <c r="J527" s="86"/>
      <c r="K527" s="87"/>
      <c r="L527" s="87"/>
      <c r="M527" s="87"/>
    </row>
    <row r="528" spans="3:13" ht="14.4" x14ac:dyDescent="0.3">
      <c r="C528" s="86"/>
      <c r="D528" s="87"/>
      <c r="E528" s="87"/>
      <c r="I528" s="86"/>
      <c r="J528" s="86"/>
      <c r="K528" s="87"/>
      <c r="L528" s="87"/>
      <c r="M528" s="87"/>
    </row>
    <row r="529" spans="3:13" ht="14.4" x14ac:dyDescent="0.3">
      <c r="C529" s="86"/>
      <c r="D529" s="87"/>
      <c r="E529" s="87"/>
      <c r="I529" s="86"/>
      <c r="J529" s="86"/>
      <c r="K529" s="87"/>
      <c r="L529" s="87"/>
      <c r="M529" s="87"/>
    </row>
    <row r="530" spans="3:13" ht="14.4" x14ac:dyDescent="0.3">
      <c r="C530" s="86"/>
      <c r="D530" s="87"/>
      <c r="E530" s="87"/>
      <c r="I530" s="86"/>
      <c r="J530" s="86"/>
      <c r="K530" s="87"/>
      <c r="L530" s="87"/>
      <c r="M530" s="87"/>
    </row>
    <row r="531" spans="3:13" ht="14.4" x14ac:dyDescent="0.3">
      <c r="C531" s="86"/>
      <c r="D531" s="87"/>
      <c r="E531" s="87"/>
      <c r="I531" s="86"/>
      <c r="J531" s="86"/>
      <c r="K531" s="87"/>
      <c r="L531" s="87"/>
      <c r="M531" s="87"/>
    </row>
    <row r="532" spans="3:13" ht="14.4" x14ac:dyDescent="0.3">
      <c r="C532" s="86"/>
      <c r="D532" s="87"/>
      <c r="E532" s="87"/>
      <c r="I532" s="86"/>
      <c r="J532" s="86"/>
      <c r="K532" s="87"/>
      <c r="L532" s="87"/>
      <c r="M532" s="87"/>
    </row>
    <row r="533" spans="3:13" ht="14.4" x14ac:dyDescent="0.3">
      <c r="C533" s="86"/>
      <c r="D533" s="87"/>
      <c r="E533" s="87"/>
      <c r="I533" s="86"/>
      <c r="J533" s="86"/>
      <c r="K533" s="87"/>
      <c r="L533" s="87"/>
      <c r="M533" s="87"/>
    </row>
    <row r="534" spans="3:13" ht="14.4" x14ac:dyDescent="0.3">
      <c r="C534" s="86"/>
      <c r="D534" s="87"/>
      <c r="E534" s="87"/>
      <c r="I534" s="86"/>
      <c r="J534" s="86"/>
      <c r="K534" s="87"/>
      <c r="L534" s="87"/>
      <c r="M534" s="87"/>
    </row>
    <row r="535" spans="3:13" ht="14.4" x14ac:dyDescent="0.3">
      <c r="C535" s="86"/>
      <c r="D535" s="87"/>
      <c r="E535" s="87"/>
      <c r="I535" s="86"/>
      <c r="J535" s="86"/>
      <c r="K535" s="87"/>
      <c r="L535" s="87"/>
      <c r="M535" s="87"/>
    </row>
    <row r="536" spans="3:13" ht="14.4" x14ac:dyDescent="0.3">
      <c r="C536" s="86"/>
      <c r="D536" s="87"/>
      <c r="E536" s="87"/>
      <c r="I536" s="86"/>
      <c r="J536" s="86"/>
      <c r="K536" s="87"/>
      <c r="L536" s="87"/>
      <c r="M536" s="87"/>
    </row>
    <row r="537" spans="3:13" ht="14.4" x14ac:dyDescent="0.3">
      <c r="C537" s="86"/>
      <c r="D537" s="87"/>
      <c r="E537" s="87"/>
      <c r="I537" s="86"/>
      <c r="J537" s="86"/>
      <c r="K537" s="87"/>
      <c r="L537" s="87"/>
      <c r="M537" s="87"/>
    </row>
    <row r="538" spans="3:13" ht="14.4" x14ac:dyDescent="0.3">
      <c r="C538" s="86"/>
      <c r="D538" s="87"/>
      <c r="E538" s="87"/>
      <c r="I538" s="86"/>
      <c r="J538" s="86"/>
      <c r="K538" s="87"/>
      <c r="L538" s="87"/>
      <c r="M538" s="87"/>
    </row>
    <row r="539" spans="3:13" ht="14.4" x14ac:dyDescent="0.3">
      <c r="C539" s="86"/>
      <c r="D539" s="87"/>
      <c r="E539" s="87"/>
      <c r="I539" s="86"/>
      <c r="J539" s="86"/>
      <c r="K539" s="87"/>
      <c r="L539" s="87"/>
      <c r="M539" s="87"/>
    </row>
    <row r="540" spans="3:13" ht="14.4" x14ac:dyDescent="0.3">
      <c r="C540" s="86"/>
      <c r="D540" s="87"/>
      <c r="E540" s="87"/>
      <c r="I540" s="86"/>
      <c r="J540" s="86"/>
      <c r="K540" s="87"/>
      <c r="L540" s="87"/>
      <c r="M540" s="87"/>
    </row>
    <row r="541" spans="3:13" ht="14.4" x14ac:dyDescent="0.3">
      <c r="C541" s="86"/>
      <c r="D541" s="87"/>
      <c r="E541" s="87"/>
      <c r="I541" s="86"/>
      <c r="J541" s="86"/>
      <c r="K541" s="87"/>
      <c r="L541" s="87"/>
      <c r="M541" s="87"/>
    </row>
    <row r="542" spans="3:13" ht="14.4" x14ac:dyDescent="0.3">
      <c r="C542" s="86"/>
      <c r="D542" s="87"/>
      <c r="E542" s="87"/>
      <c r="I542" s="86"/>
      <c r="J542" s="86"/>
      <c r="K542" s="87"/>
      <c r="L542" s="87"/>
      <c r="M542" s="87"/>
    </row>
    <row r="543" spans="3:13" ht="14.4" x14ac:dyDescent="0.3">
      <c r="C543" s="86"/>
      <c r="D543" s="87"/>
      <c r="E543" s="87"/>
      <c r="I543" s="86"/>
      <c r="J543" s="86"/>
      <c r="K543" s="87"/>
      <c r="L543" s="87"/>
      <c r="M543" s="87"/>
    </row>
    <row r="544" spans="3:13" ht="14.4" x14ac:dyDescent="0.3">
      <c r="C544" s="86"/>
      <c r="D544" s="87"/>
      <c r="E544" s="87"/>
      <c r="I544" s="86"/>
      <c r="J544" s="86"/>
      <c r="K544" s="87"/>
      <c r="L544" s="87"/>
      <c r="M544" s="87"/>
    </row>
    <row r="545" spans="3:13" ht="14.4" x14ac:dyDescent="0.3">
      <c r="C545" s="86"/>
      <c r="D545" s="87"/>
      <c r="E545" s="87"/>
      <c r="I545" s="86"/>
      <c r="J545" s="86"/>
      <c r="K545" s="87"/>
      <c r="L545" s="87"/>
      <c r="M545" s="87"/>
    </row>
    <row r="546" spans="3:13" ht="14.4" x14ac:dyDescent="0.3">
      <c r="C546" s="86"/>
      <c r="D546" s="87"/>
      <c r="E546" s="87"/>
      <c r="I546" s="86"/>
      <c r="J546" s="86"/>
      <c r="K546" s="87"/>
      <c r="L546" s="87"/>
      <c r="M546" s="87"/>
    </row>
    <row r="547" spans="3:13" ht="14.4" x14ac:dyDescent="0.3">
      <c r="C547" s="86"/>
      <c r="D547" s="87"/>
      <c r="E547" s="87"/>
      <c r="I547" s="86"/>
      <c r="J547" s="86"/>
      <c r="K547" s="87"/>
      <c r="L547" s="87"/>
      <c r="M547" s="87"/>
    </row>
    <row r="548" spans="3:13" ht="14.4" x14ac:dyDescent="0.3">
      <c r="C548" s="86"/>
      <c r="D548" s="87"/>
      <c r="E548" s="87"/>
      <c r="I548" s="86"/>
      <c r="J548" s="86"/>
      <c r="K548" s="87"/>
      <c r="L548" s="87"/>
      <c r="M548" s="87"/>
    </row>
    <row r="549" spans="3:13" ht="14.4" x14ac:dyDescent="0.3">
      <c r="C549" s="86"/>
      <c r="D549" s="87"/>
      <c r="E549" s="87"/>
      <c r="I549" s="86"/>
      <c r="J549" s="86"/>
      <c r="K549" s="87"/>
      <c r="L549" s="87"/>
      <c r="M549" s="87"/>
    </row>
    <row r="550" spans="3:13" ht="14.4" x14ac:dyDescent="0.3">
      <c r="C550" s="86"/>
      <c r="D550" s="87"/>
      <c r="E550" s="87"/>
      <c r="I550" s="86"/>
      <c r="J550" s="86"/>
      <c r="K550" s="87"/>
      <c r="L550" s="87"/>
      <c r="M550" s="87"/>
    </row>
    <row r="551" spans="3:13" ht="14.4" x14ac:dyDescent="0.3">
      <c r="C551" s="86"/>
      <c r="D551" s="87"/>
      <c r="E551" s="87"/>
      <c r="I551" s="86"/>
      <c r="J551" s="86"/>
      <c r="K551" s="87"/>
      <c r="L551" s="87"/>
      <c r="M551" s="87"/>
    </row>
    <row r="552" spans="3:13" ht="14.4" x14ac:dyDescent="0.3">
      <c r="C552" s="86"/>
      <c r="D552" s="87"/>
      <c r="E552" s="87"/>
      <c r="I552" s="86"/>
      <c r="J552" s="86"/>
      <c r="K552" s="87"/>
      <c r="L552" s="87"/>
      <c r="M552" s="87"/>
    </row>
    <row r="553" spans="3:13" ht="14.4" x14ac:dyDescent="0.3">
      <c r="C553" s="86"/>
      <c r="D553" s="87"/>
      <c r="E553" s="87"/>
      <c r="I553" s="86"/>
      <c r="J553" s="86"/>
      <c r="K553" s="87"/>
      <c r="L553" s="87"/>
      <c r="M553" s="87"/>
    </row>
    <row r="554" spans="3:13" ht="14.4" x14ac:dyDescent="0.3">
      <c r="C554" s="86"/>
      <c r="D554" s="87"/>
      <c r="E554" s="87"/>
      <c r="I554" s="86"/>
      <c r="J554" s="86"/>
      <c r="K554" s="87"/>
      <c r="L554" s="87"/>
      <c r="M554" s="87"/>
    </row>
    <row r="555" spans="3:13" ht="14.4" x14ac:dyDescent="0.3">
      <c r="C555" s="86"/>
      <c r="D555" s="87"/>
      <c r="E555" s="87"/>
      <c r="I555" s="86"/>
      <c r="J555" s="86"/>
      <c r="K555" s="87"/>
      <c r="L555" s="87"/>
      <c r="M555" s="87"/>
    </row>
    <row r="556" spans="3:13" ht="14.4" x14ac:dyDescent="0.3">
      <c r="C556" s="86"/>
      <c r="D556" s="87"/>
      <c r="E556" s="87"/>
      <c r="I556" s="86"/>
      <c r="J556" s="86"/>
      <c r="K556" s="87"/>
      <c r="L556" s="87"/>
      <c r="M556" s="87"/>
    </row>
    <row r="557" spans="3:13" ht="14.4" x14ac:dyDescent="0.3">
      <c r="C557" s="86"/>
      <c r="D557" s="87"/>
      <c r="E557" s="87"/>
      <c r="I557" s="86"/>
      <c r="J557" s="86"/>
      <c r="K557" s="87"/>
      <c r="L557" s="87"/>
      <c r="M557" s="87"/>
    </row>
    <row r="558" spans="3:13" ht="14.4" x14ac:dyDescent="0.3">
      <c r="C558" s="86"/>
      <c r="D558" s="87"/>
      <c r="E558" s="87"/>
      <c r="I558" s="86"/>
      <c r="J558" s="86"/>
      <c r="K558" s="87"/>
      <c r="L558" s="87"/>
      <c r="M558" s="87"/>
    </row>
    <row r="559" spans="3:13" ht="14.4" x14ac:dyDescent="0.3">
      <c r="C559" s="86"/>
      <c r="D559" s="87"/>
      <c r="E559" s="87"/>
      <c r="I559" s="86"/>
      <c r="J559" s="86"/>
      <c r="K559" s="87"/>
      <c r="L559" s="87"/>
      <c r="M559" s="87"/>
    </row>
    <row r="560" spans="3:13" ht="14.4" x14ac:dyDescent="0.3">
      <c r="C560" s="86"/>
      <c r="D560" s="87"/>
      <c r="E560" s="87"/>
      <c r="I560" s="86"/>
      <c r="J560" s="86"/>
      <c r="K560" s="87"/>
      <c r="L560" s="87"/>
      <c r="M560" s="87"/>
    </row>
    <row r="561" spans="3:13" ht="14.4" x14ac:dyDescent="0.3">
      <c r="C561" s="86"/>
      <c r="D561" s="87"/>
      <c r="E561" s="87"/>
      <c r="I561" s="86"/>
      <c r="J561" s="86"/>
      <c r="K561" s="87"/>
      <c r="L561" s="87"/>
      <c r="M561" s="87"/>
    </row>
    <row r="562" spans="3:13" ht="14.4" x14ac:dyDescent="0.3">
      <c r="C562" s="86"/>
      <c r="D562" s="87"/>
      <c r="E562" s="87"/>
      <c r="I562" s="86"/>
      <c r="J562" s="86"/>
      <c r="K562" s="87"/>
      <c r="L562" s="87"/>
      <c r="M562" s="87"/>
    </row>
    <row r="563" spans="3:13" ht="14.4" x14ac:dyDescent="0.3">
      <c r="C563" s="86"/>
      <c r="D563" s="87"/>
      <c r="E563" s="87"/>
      <c r="I563" s="86"/>
      <c r="J563" s="86"/>
      <c r="K563" s="87"/>
      <c r="L563" s="87"/>
      <c r="M563" s="87"/>
    </row>
    <row r="564" spans="3:13" ht="14.4" x14ac:dyDescent="0.3">
      <c r="C564" s="86"/>
      <c r="D564" s="87"/>
      <c r="E564" s="87"/>
      <c r="I564" s="86"/>
      <c r="J564" s="86"/>
      <c r="K564" s="87"/>
      <c r="L564" s="87"/>
      <c r="M564" s="87"/>
    </row>
    <row r="565" spans="3:13" ht="14.4" x14ac:dyDescent="0.3">
      <c r="C565" s="86"/>
      <c r="D565" s="87"/>
      <c r="E565" s="87"/>
      <c r="I565" s="86"/>
      <c r="J565" s="86"/>
      <c r="K565" s="87"/>
      <c r="L565" s="87"/>
      <c r="M565" s="87"/>
    </row>
    <row r="566" spans="3:13" ht="14.4" x14ac:dyDescent="0.3">
      <c r="C566" s="86"/>
      <c r="D566" s="87"/>
      <c r="E566" s="87"/>
      <c r="I566" s="86"/>
      <c r="J566" s="86"/>
      <c r="K566" s="87"/>
      <c r="L566" s="87"/>
      <c r="M566" s="87"/>
    </row>
    <row r="567" spans="3:13" ht="14.4" x14ac:dyDescent="0.3">
      <c r="C567" s="86"/>
      <c r="D567" s="87"/>
      <c r="E567" s="87"/>
      <c r="I567" s="86"/>
      <c r="J567" s="86"/>
      <c r="K567" s="87"/>
      <c r="L567" s="87"/>
      <c r="M567" s="87"/>
    </row>
    <row r="568" spans="3:13" ht="14.4" x14ac:dyDescent="0.3">
      <c r="C568" s="86"/>
      <c r="D568" s="87"/>
      <c r="E568" s="87"/>
      <c r="I568" s="86"/>
      <c r="J568" s="86"/>
      <c r="K568" s="87"/>
      <c r="L568" s="87"/>
      <c r="M568" s="87"/>
    </row>
    <row r="569" spans="3:13" ht="14.4" x14ac:dyDescent="0.3">
      <c r="C569" s="86"/>
      <c r="D569" s="87"/>
      <c r="E569" s="87"/>
      <c r="I569" s="86"/>
      <c r="J569" s="86"/>
      <c r="K569" s="87"/>
      <c r="L569" s="87"/>
      <c r="M569" s="87"/>
    </row>
    <row r="570" spans="3:13" ht="14.4" x14ac:dyDescent="0.3">
      <c r="C570" s="86"/>
      <c r="D570" s="87"/>
      <c r="E570" s="87"/>
      <c r="I570" s="86"/>
      <c r="J570" s="86"/>
      <c r="K570" s="87"/>
      <c r="L570" s="87"/>
      <c r="M570" s="87"/>
    </row>
    <row r="571" spans="3:13" ht="14.4" x14ac:dyDescent="0.3">
      <c r="C571" s="86"/>
      <c r="D571" s="87"/>
      <c r="E571" s="87"/>
      <c r="I571" s="86"/>
      <c r="J571" s="86"/>
      <c r="K571" s="87"/>
      <c r="L571" s="87"/>
      <c r="M571" s="87"/>
    </row>
    <row r="572" spans="3:13" ht="14.4" x14ac:dyDescent="0.3">
      <c r="C572" s="86"/>
      <c r="D572" s="87"/>
      <c r="E572" s="87"/>
      <c r="I572" s="86"/>
      <c r="J572" s="86"/>
      <c r="K572" s="87"/>
      <c r="L572" s="87"/>
      <c r="M572" s="87"/>
    </row>
    <row r="573" spans="3:13" ht="14.4" x14ac:dyDescent="0.3">
      <c r="C573" s="86"/>
      <c r="D573" s="87"/>
      <c r="E573" s="87"/>
      <c r="I573" s="86"/>
      <c r="J573" s="86"/>
      <c r="K573" s="87"/>
      <c r="L573" s="87"/>
      <c r="M573" s="87"/>
    </row>
    <row r="574" spans="3:13" ht="14.4" x14ac:dyDescent="0.3">
      <c r="C574" s="86"/>
      <c r="D574" s="87"/>
      <c r="E574" s="87"/>
      <c r="I574" s="86"/>
      <c r="J574" s="86"/>
      <c r="K574" s="87"/>
      <c r="L574" s="87"/>
      <c r="M574" s="87"/>
    </row>
    <row r="575" spans="3:13" ht="14.4" x14ac:dyDescent="0.3">
      <c r="C575" s="86"/>
      <c r="D575" s="87"/>
      <c r="E575" s="87"/>
      <c r="I575" s="86"/>
      <c r="J575" s="86"/>
      <c r="K575" s="87"/>
      <c r="L575" s="87"/>
      <c r="M575" s="87"/>
    </row>
    <row r="576" spans="3:13" ht="14.4" x14ac:dyDescent="0.3">
      <c r="C576" s="86"/>
      <c r="D576" s="87"/>
      <c r="E576" s="87"/>
      <c r="I576" s="86"/>
      <c r="J576" s="86"/>
      <c r="K576" s="87"/>
      <c r="L576" s="87"/>
      <c r="M576" s="87"/>
    </row>
    <row r="577" spans="3:13" ht="14.4" x14ac:dyDescent="0.3">
      <c r="C577" s="86"/>
      <c r="D577" s="87"/>
      <c r="E577" s="87"/>
      <c r="I577" s="86"/>
      <c r="J577" s="86"/>
      <c r="K577" s="87"/>
      <c r="L577" s="87"/>
      <c r="M577" s="87"/>
    </row>
    <row r="578" spans="3:13" ht="14.4" x14ac:dyDescent="0.3">
      <c r="C578" s="86"/>
      <c r="D578" s="87"/>
      <c r="E578" s="87"/>
      <c r="I578" s="86"/>
      <c r="J578" s="86"/>
      <c r="K578" s="87"/>
      <c r="L578" s="87"/>
      <c r="M578" s="87"/>
    </row>
    <row r="579" spans="3:13" ht="14.4" x14ac:dyDescent="0.3">
      <c r="C579" s="86"/>
      <c r="D579" s="87"/>
      <c r="E579" s="87"/>
      <c r="I579" s="86"/>
      <c r="J579" s="86"/>
      <c r="K579" s="87"/>
      <c r="L579" s="87"/>
      <c r="M579" s="87"/>
    </row>
    <row r="580" spans="3:13" ht="14.4" x14ac:dyDescent="0.3">
      <c r="C580" s="86"/>
      <c r="D580" s="87"/>
      <c r="E580" s="87"/>
      <c r="I580" s="86"/>
      <c r="J580" s="86"/>
      <c r="K580" s="87"/>
      <c r="L580" s="87"/>
      <c r="M580" s="87"/>
    </row>
    <row r="581" spans="3:13" ht="14.4" x14ac:dyDescent="0.3">
      <c r="C581" s="86"/>
      <c r="D581" s="87"/>
      <c r="E581" s="87"/>
      <c r="I581" s="86"/>
      <c r="J581" s="86"/>
      <c r="K581" s="87"/>
      <c r="L581" s="87"/>
      <c r="M581" s="87"/>
    </row>
    <row r="582" spans="3:13" ht="14.4" x14ac:dyDescent="0.3">
      <c r="C582" s="86"/>
      <c r="D582" s="87"/>
      <c r="E582" s="87"/>
      <c r="I582" s="86"/>
      <c r="J582" s="86"/>
      <c r="K582" s="87"/>
      <c r="L582" s="87"/>
      <c r="M582" s="87"/>
    </row>
    <row r="583" spans="3:13" ht="14.4" x14ac:dyDescent="0.3">
      <c r="C583" s="86"/>
      <c r="D583" s="87"/>
      <c r="E583" s="87"/>
      <c r="I583" s="86"/>
      <c r="J583" s="86"/>
      <c r="K583" s="87"/>
      <c r="L583" s="87"/>
      <c r="M583" s="87"/>
    </row>
    <row r="584" spans="3:13" ht="14.4" x14ac:dyDescent="0.3">
      <c r="C584" s="86"/>
      <c r="D584" s="87"/>
      <c r="E584" s="87"/>
      <c r="I584" s="86"/>
      <c r="J584" s="86"/>
      <c r="K584" s="87"/>
      <c r="L584" s="87"/>
      <c r="M584" s="87"/>
    </row>
    <row r="585" spans="3:13" ht="14.4" x14ac:dyDescent="0.3">
      <c r="C585" s="86"/>
      <c r="D585" s="87"/>
      <c r="E585" s="87"/>
      <c r="I585" s="86"/>
      <c r="J585" s="86"/>
      <c r="K585" s="87"/>
      <c r="L585" s="87"/>
      <c r="M585" s="87"/>
    </row>
    <row r="586" spans="3:13" ht="14.4" x14ac:dyDescent="0.3">
      <c r="C586" s="86"/>
      <c r="D586" s="87"/>
      <c r="E586" s="87"/>
      <c r="I586" s="86"/>
      <c r="J586" s="86"/>
      <c r="K586" s="87"/>
      <c r="L586" s="87"/>
      <c r="M586" s="87"/>
    </row>
    <row r="587" spans="3:13" ht="14.4" x14ac:dyDescent="0.3">
      <c r="C587" s="86"/>
      <c r="D587" s="87"/>
      <c r="E587" s="87"/>
      <c r="I587" s="86"/>
      <c r="J587" s="86"/>
      <c r="K587" s="87"/>
      <c r="L587" s="87"/>
      <c r="M587" s="87"/>
    </row>
    <row r="588" spans="3:13" ht="14.4" x14ac:dyDescent="0.3">
      <c r="C588" s="86"/>
      <c r="D588" s="87"/>
      <c r="E588" s="87"/>
      <c r="I588" s="86"/>
      <c r="J588" s="86"/>
      <c r="K588" s="87"/>
      <c r="L588" s="87"/>
      <c r="M588" s="87"/>
    </row>
    <row r="589" spans="3:13" ht="14.4" x14ac:dyDescent="0.3">
      <c r="C589" s="86"/>
      <c r="D589" s="87"/>
      <c r="E589" s="87"/>
      <c r="I589" s="86"/>
      <c r="J589" s="86"/>
      <c r="K589" s="87"/>
      <c r="L589" s="87"/>
      <c r="M589" s="87"/>
    </row>
    <row r="590" spans="3:13" ht="14.4" x14ac:dyDescent="0.3">
      <c r="C590" s="86"/>
      <c r="D590" s="87"/>
      <c r="E590" s="87"/>
      <c r="I590" s="86"/>
      <c r="J590" s="86"/>
      <c r="K590" s="87"/>
      <c r="L590" s="87"/>
      <c r="M590" s="87"/>
    </row>
    <row r="591" spans="3:13" ht="14.4" x14ac:dyDescent="0.3">
      <c r="C591" s="86"/>
      <c r="D591" s="87"/>
      <c r="E591" s="87"/>
      <c r="I591" s="86"/>
      <c r="J591" s="86"/>
      <c r="K591" s="87"/>
      <c r="L591" s="87"/>
      <c r="M591" s="87"/>
    </row>
    <row r="592" spans="3:13" ht="14.4" x14ac:dyDescent="0.3">
      <c r="C592" s="86"/>
      <c r="D592" s="87"/>
      <c r="E592" s="87"/>
      <c r="I592" s="86"/>
      <c r="J592" s="86"/>
      <c r="K592" s="87"/>
      <c r="L592" s="87"/>
      <c r="M592" s="87"/>
    </row>
    <row r="593" spans="3:13" ht="14.4" x14ac:dyDescent="0.3">
      <c r="C593" s="86"/>
      <c r="D593" s="87"/>
      <c r="E593" s="87"/>
      <c r="I593" s="86"/>
      <c r="J593" s="86"/>
      <c r="K593" s="87"/>
      <c r="L593" s="87"/>
      <c r="M593" s="87"/>
    </row>
    <row r="594" spans="3:13" ht="14.4" x14ac:dyDescent="0.3">
      <c r="C594" s="86"/>
      <c r="D594" s="87"/>
      <c r="E594" s="87"/>
      <c r="I594" s="86"/>
      <c r="J594" s="86"/>
      <c r="K594" s="87"/>
      <c r="L594" s="87"/>
      <c r="M594" s="87"/>
    </row>
    <row r="595" spans="3:13" ht="14.4" x14ac:dyDescent="0.3">
      <c r="C595" s="86"/>
      <c r="D595" s="87"/>
      <c r="E595" s="87"/>
      <c r="I595" s="86"/>
      <c r="J595" s="86"/>
      <c r="K595" s="87"/>
      <c r="L595" s="87"/>
      <c r="M595" s="87"/>
    </row>
    <row r="596" spans="3:13" ht="14.4" x14ac:dyDescent="0.3">
      <c r="C596" s="86"/>
      <c r="D596" s="87"/>
      <c r="E596" s="87"/>
      <c r="I596" s="86"/>
      <c r="J596" s="86"/>
      <c r="K596" s="87"/>
      <c r="L596" s="87"/>
      <c r="M596" s="87"/>
    </row>
    <row r="597" spans="3:13" ht="14.4" x14ac:dyDescent="0.3">
      <c r="C597" s="86"/>
      <c r="D597" s="87"/>
      <c r="E597" s="87"/>
      <c r="I597" s="86"/>
      <c r="J597" s="86"/>
      <c r="K597" s="87"/>
      <c r="L597" s="87"/>
      <c r="M597" s="87"/>
    </row>
    <row r="598" spans="3:13" ht="14.4" x14ac:dyDescent="0.3">
      <c r="C598" s="86"/>
      <c r="D598" s="87"/>
      <c r="E598" s="87"/>
      <c r="I598" s="86"/>
      <c r="J598" s="86"/>
      <c r="K598" s="87"/>
      <c r="L598" s="87"/>
      <c r="M598" s="87"/>
    </row>
    <row r="599" spans="3:13" ht="14.4" x14ac:dyDescent="0.3">
      <c r="C599" s="86"/>
      <c r="D599" s="87"/>
      <c r="E599" s="87"/>
      <c r="I599" s="86"/>
      <c r="J599" s="86"/>
      <c r="K599" s="87"/>
      <c r="L599" s="87"/>
      <c r="M599" s="87"/>
    </row>
    <row r="600" spans="3:13" ht="14.4" x14ac:dyDescent="0.3">
      <c r="C600" s="86"/>
      <c r="D600" s="87"/>
      <c r="E600" s="87"/>
      <c r="I600" s="86"/>
      <c r="J600" s="86"/>
      <c r="K600" s="87"/>
      <c r="L600" s="87"/>
      <c r="M600" s="87"/>
    </row>
    <row r="601" spans="3:13" ht="14.4" x14ac:dyDescent="0.3">
      <c r="C601" s="86"/>
      <c r="D601" s="87"/>
      <c r="E601" s="87"/>
      <c r="I601" s="86"/>
      <c r="J601" s="86"/>
      <c r="K601" s="87"/>
      <c r="L601" s="87"/>
      <c r="M601" s="87"/>
    </row>
    <row r="602" spans="3:13" ht="14.4" x14ac:dyDescent="0.3">
      <c r="C602" s="86"/>
      <c r="D602" s="87"/>
      <c r="E602" s="87"/>
      <c r="I602" s="86"/>
      <c r="J602" s="86"/>
      <c r="K602" s="87"/>
      <c r="L602" s="87"/>
      <c r="M602" s="87"/>
    </row>
    <row r="603" spans="3:13" ht="14.4" x14ac:dyDescent="0.3">
      <c r="C603" s="86"/>
      <c r="D603" s="87"/>
      <c r="E603" s="87"/>
      <c r="I603" s="86"/>
      <c r="J603" s="86"/>
      <c r="K603" s="87"/>
      <c r="L603" s="87"/>
      <c r="M603" s="87"/>
    </row>
    <row r="604" spans="3:13" ht="14.4" x14ac:dyDescent="0.3">
      <c r="C604" s="86"/>
      <c r="D604" s="87"/>
      <c r="E604" s="87"/>
      <c r="I604" s="86"/>
      <c r="J604" s="86"/>
      <c r="K604" s="87"/>
      <c r="L604" s="87"/>
      <c r="M604" s="87"/>
    </row>
    <row r="605" spans="3:13" ht="14.4" x14ac:dyDescent="0.3">
      <c r="C605" s="86"/>
      <c r="D605" s="87"/>
      <c r="E605" s="87"/>
      <c r="I605" s="86"/>
      <c r="J605" s="86"/>
      <c r="K605" s="87"/>
      <c r="L605" s="87"/>
      <c r="M605" s="87"/>
    </row>
    <row r="606" spans="3:13" ht="14.4" x14ac:dyDescent="0.3">
      <c r="C606" s="86"/>
      <c r="D606" s="87"/>
      <c r="E606" s="87"/>
      <c r="I606" s="86"/>
      <c r="J606" s="86"/>
      <c r="K606" s="87"/>
      <c r="L606" s="87"/>
      <c r="M606" s="87"/>
    </row>
    <row r="607" spans="3:13" ht="14.4" x14ac:dyDescent="0.3">
      <c r="C607" s="86"/>
      <c r="D607" s="87"/>
      <c r="E607" s="87"/>
      <c r="I607" s="86"/>
      <c r="J607" s="86"/>
      <c r="K607" s="87"/>
      <c r="L607" s="87"/>
      <c r="M607" s="87"/>
    </row>
    <row r="608" spans="3:13" ht="14.4" x14ac:dyDescent="0.3">
      <c r="C608" s="86"/>
      <c r="D608" s="87"/>
      <c r="E608" s="87"/>
      <c r="I608" s="86"/>
      <c r="J608" s="86"/>
      <c r="K608" s="87"/>
      <c r="L608" s="87"/>
      <c r="M608" s="87"/>
    </row>
    <row r="609" spans="3:13" ht="14.4" x14ac:dyDescent="0.3">
      <c r="C609" s="86"/>
      <c r="D609" s="87"/>
      <c r="E609" s="87"/>
      <c r="I609" s="86"/>
      <c r="J609" s="86"/>
      <c r="K609" s="87"/>
      <c r="L609" s="87"/>
      <c r="M609" s="87"/>
    </row>
    <row r="610" spans="3:13" ht="14.4" x14ac:dyDescent="0.3">
      <c r="C610" s="86"/>
      <c r="D610" s="87"/>
      <c r="E610" s="87"/>
      <c r="I610" s="86"/>
      <c r="J610" s="86"/>
      <c r="K610" s="87"/>
      <c r="L610" s="87"/>
      <c r="M610" s="87"/>
    </row>
    <row r="611" spans="3:13" ht="14.4" x14ac:dyDescent="0.3">
      <c r="C611" s="86"/>
      <c r="D611" s="87"/>
      <c r="E611" s="87"/>
      <c r="I611" s="86"/>
      <c r="J611" s="86"/>
      <c r="K611" s="87"/>
      <c r="L611" s="87"/>
      <c r="M611" s="87"/>
    </row>
    <row r="612" spans="3:13" ht="14.4" x14ac:dyDescent="0.3">
      <c r="C612" s="86"/>
      <c r="D612" s="87"/>
      <c r="E612" s="87"/>
      <c r="I612" s="86"/>
      <c r="J612" s="86"/>
      <c r="K612" s="87"/>
      <c r="L612" s="87"/>
      <c r="M612" s="87"/>
    </row>
    <row r="613" spans="3:13" ht="14.4" x14ac:dyDescent="0.3">
      <c r="C613" s="86"/>
      <c r="D613" s="87"/>
      <c r="E613" s="87"/>
      <c r="I613" s="86"/>
      <c r="J613" s="86"/>
      <c r="K613" s="87"/>
      <c r="L613" s="87"/>
      <c r="M613" s="87"/>
    </row>
    <row r="614" spans="3:13" ht="14.4" x14ac:dyDescent="0.3">
      <c r="C614" s="86"/>
      <c r="D614" s="87"/>
      <c r="E614" s="87"/>
      <c r="I614" s="86"/>
      <c r="J614" s="86"/>
      <c r="K614" s="87"/>
      <c r="L614" s="87"/>
      <c r="M614" s="87"/>
    </row>
    <row r="615" spans="3:13" ht="14.4" x14ac:dyDescent="0.3">
      <c r="C615" s="86"/>
      <c r="D615" s="87"/>
      <c r="E615" s="87"/>
      <c r="I615" s="86"/>
      <c r="J615" s="86"/>
      <c r="K615" s="87"/>
      <c r="L615" s="87"/>
      <c r="M615" s="87"/>
    </row>
    <row r="616" spans="3:13" ht="14.4" x14ac:dyDescent="0.3">
      <c r="C616" s="86"/>
      <c r="D616" s="87"/>
      <c r="E616" s="87"/>
      <c r="I616" s="86"/>
      <c r="J616" s="86"/>
      <c r="K616" s="87"/>
      <c r="L616" s="87"/>
      <c r="M616" s="87"/>
    </row>
    <row r="617" spans="3:13" ht="14.4" x14ac:dyDescent="0.3">
      <c r="C617" s="86"/>
      <c r="D617" s="87"/>
      <c r="E617" s="87"/>
      <c r="I617" s="86"/>
      <c r="J617" s="86"/>
      <c r="K617" s="87"/>
      <c r="L617" s="87"/>
      <c r="M617" s="87"/>
    </row>
    <row r="618" spans="3:13" ht="14.4" x14ac:dyDescent="0.3">
      <c r="C618" s="86"/>
      <c r="D618" s="87"/>
      <c r="E618" s="87"/>
      <c r="I618" s="86"/>
      <c r="J618" s="86"/>
      <c r="K618" s="87"/>
      <c r="L618" s="87"/>
      <c r="M618" s="87"/>
    </row>
    <row r="619" spans="3:13" ht="14.4" x14ac:dyDescent="0.3">
      <c r="C619" s="86"/>
      <c r="D619" s="87"/>
      <c r="E619" s="87"/>
      <c r="I619" s="86"/>
      <c r="J619" s="86"/>
      <c r="K619" s="87"/>
      <c r="L619" s="87"/>
      <c r="M619" s="87"/>
    </row>
    <row r="620" spans="3:13" ht="14.4" x14ac:dyDescent="0.3">
      <c r="C620" s="86"/>
      <c r="D620" s="87"/>
      <c r="E620" s="87"/>
      <c r="I620" s="86"/>
      <c r="J620" s="86"/>
      <c r="K620" s="87"/>
      <c r="L620" s="87"/>
      <c r="M620" s="87"/>
    </row>
    <row r="621" spans="3:13" ht="14.4" x14ac:dyDescent="0.3">
      <c r="C621" s="86"/>
      <c r="D621" s="87"/>
      <c r="E621" s="87"/>
      <c r="I621" s="86"/>
      <c r="J621" s="86"/>
      <c r="K621" s="87"/>
      <c r="L621" s="87"/>
      <c r="M621" s="87"/>
    </row>
    <row r="622" spans="3:13" ht="14.4" x14ac:dyDescent="0.3">
      <c r="C622" s="86"/>
      <c r="D622" s="87"/>
      <c r="E622" s="87"/>
      <c r="I622" s="86"/>
      <c r="J622" s="86"/>
      <c r="K622" s="87"/>
      <c r="L622" s="87"/>
      <c r="M622" s="87"/>
    </row>
    <row r="623" spans="3:13" ht="14.4" x14ac:dyDescent="0.3">
      <c r="C623" s="86"/>
      <c r="D623" s="87"/>
      <c r="E623" s="87"/>
      <c r="I623" s="86"/>
      <c r="J623" s="86"/>
      <c r="K623" s="87"/>
      <c r="L623" s="87"/>
      <c r="M623" s="87"/>
    </row>
    <row r="624" spans="3:13" ht="14.4" x14ac:dyDescent="0.3">
      <c r="C624" s="86"/>
      <c r="D624" s="87"/>
      <c r="E624" s="87"/>
      <c r="I624" s="86"/>
      <c r="J624" s="86"/>
      <c r="K624" s="87"/>
      <c r="L624" s="87"/>
      <c r="M624" s="87"/>
    </row>
    <row r="625" spans="3:13" ht="14.4" x14ac:dyDescent="0.3">
      <c r="C625" s="86"/>
      <c r="D625" s="87"/>
      <c r="E625" s="87"/>
      <c r="I625" s="86"/>
      <c r="J625" s="86"/>
      <c r="K625" s="87"/>
      <c r="L625" s="87"/>
      <c r="M625" s="87"/>
    </row>
    <row r="626" spans="3:13" ht="14.4" x14ac:dyDescent="0.3">
      <c r="C626" s="86"/>
      <c r="D626" s="87"/>
      <c r="E626" s="87"/>
      <c r="I626" s="86"/>
      <c r="J626" s="86"/>
      <c r="K626" s="87"/>
      <c r="L626" s="87"/>
      <c r="M626" s="87"/>
    </row>
    <row r="627" spans="3:13" ht="14.4" x14ac:dyDescent="0.3">
      <c r="C627" s="86"/>
      <c r="D627" s="87"/>
      <c r="E627" s="87"/>
      <c r="I627" s="86"/>
      <c r="J627" s="86"/>
      <c r="K627" s="87"/>
      <c r="L627" s="87"/>
      <c r="M627" s="87"/>
    </row>
    <row r="628" spans="3:13" ht="14.4" x14ac:dyDescent="0.3">
      <c r="C628" s="86"/>
      <c r="D628" s="87"/>
      <c r="E628" s="87"/>
      <c r="I628" s="86"/>
      <c r="J628" s="86"/>
      <c r="K628" s="87"/>
      <c r="L628" s="87"/>
      <c r="M628" s="87"/>
    </row>
    <row r="629" spans="3:13" ht="14.4" x14ac:dyDescent="0.3">
      <c r="C629" s="86"/>
      <c r="D629" s="87"/>
      <c r="E629" s="87"/>
      <c r="I629" s="86"/>
      <c r="J629" s="86"/>
      <c r="K629" s="87"/>
      <c r="L629" s="87"/>
      <c r="M629" s="87"/>
    </row>
    <row r="630" spans="3:13" ht="14.4" x14ac:dyDescent="0.3">
      <c r="C630" s="86"/>
      <c r="D630" s="87"/>
      <c r="E630" s="87"/>
      <c r="I630" s="86"/>
      <c r="J630" s="86"/>
      <c r="K630" s="87"/>
      <c r="L630" s="87"/>
      <c r="M630" s="87"/>
    </row>
    <row r="631" spans="3:13" ht="14.4" x14ac:dyDescent="0.3">
      <c r="C631" s="86"/>
      <c r="D631" s="87"/>
      <c r="E631" s="87"/>
      <c r="I631" s="86"/>
      <c r="J631" s="86"/>
      <c r="K631" s="87"/>
      <c r="L631" s="87"/>
      <c r="M631" s="87"/>
    </row>
    <row r="632" spans="3:13" ht="14.4" x14ac:dyDescent="0.3">
      <c r="C632" s="86"/>
      <c r="D632" s="87"/>
      <c r="E632" s="87"/>
      <c r="I632" s="86"/>
      <c r="J632" s="86"/>
      <c r="K632" s="87"/>
      <c r="L632" s="87"/>
      <c r="M632" s="87"/>
    </row>
    <row r="633" spans="3:13" ht="14.4" x14ac:dyDescent="0.3">
      <c r="C633" s="86"/>
      <c r="D633" s="87"/>
      <c r="E633" s="87"/>
      <c r="I633" s="86"/>
      <c r="J633" s="86"/>
      <c r="K633" s="87"/>
      <c r="L633" s="87"/>
      <c r="M633" s="87"/>
    </row>
    <row r="634" spans="3:13" ht="14.4" x14ac:dyDescent="0.3">
      <c r="C634" s="86"/>
      <c r="D634" s="87"/>
      <c r="E634" s="87"/>
      <c r="I634" s="86"/>
      <c r="J634" s="86"/>
      <c r="K634" s="87"/>
      <c r="L634" s="87"/>
      <c r="M634" s="87"/>
    </row>
    <row r="635" spans="3:13" ht="14.4" x14ac:dyDescent="0.3">
      <c r="C635" s="86"/>
      <c r="D635" s="87"/>
      <c r="E635" s="87"/>
      <c r="I635" s="86"/>
      <c r="J635" s="86"/>
      <c r="K635" s="87"/>
      <c r="L635" s="87"/>
      <c r="M635" s="87"/>
    </row>
    <row r="636" spans="3:13" ht="14.4" x14ac:dyDescent="0.3">
      <c r="C636" s="86"/>
      <c r="D636" s="87"/>
      <c r="E636" s="87"/>
      <c r="I636" s="86"/>
      <c r="J636" s="86"/>
      <c r="K636" s="87"/>
      <c r="L636" s="87"/>
      <c r="M636" s="87"/>
    </row>
    <row r="637" spans="3:13" ht="14.4" x14ac:dyDescent="0.3">
      <c r="C637" s="86"/>
      <c r="D637" s="87"/>
      <c r="E637" s="87"/>
      <c r="I637" s="86"/>
      <c r="J637" s="86"/>
      <c r="K637" s="87"/>
      <c r="L637" s="87"/>
      <c r="M637" s="87"/>
    </row>
    <row r="638" spans="3:13" ht="14.4" x14ac:dyDescent="0.3">
      <c r="C638" s="86"/>
      <c r="D638" s="87"/>
      <c r="E638" s="87"/>
      <c r="I638" s="86"/>
      <c r="J638" s="86"/>
      <c r="K638" s="87"/>
      <c r="L638" s="87"/>
      <c r="M638" s="87"/>
    </row>
    <row r="639" spans="3:13" ht="14.4" x14ac:dyDescent="0.3">
      <c r="C639" s="86"/>
      <c r="D639" s="87"/>
      <c r="E639" s="87"/>
      <c r="I639" s="86"/>
      <c r="J639" s="86"/>
      <c r="K639" s="87"/>
      <c r="L639" s="87"/>
      <c r="M639" s="87"/>
    </row>
    <row r="640" spans="3:13" ht="14.4" x14ac:dyDescent="0.3">
      <c r="C640" s="86"/>
      <c r="D640" s="87"/>
      <c r="E640" s="87"/>
      <c r="I640" s="86"/>
      <c r="J640" s="86"/>
      <c r="K640" s="87"/>
      <c r="L640" s="87"/>
      <c r="M640" s="87"/>
    </row>
    <row r="641" spans="3:13" ht="14.4" x14ac:dyDescent="0.3">
      <c r="C641" s="86"/>
      <c r="D641" s="87"/>
      <c r="E641" s="87"/>
      <c r="I641" s="86"/>
      <c r="J641" s="86"/>
      <c r="K641" s="87"/>
      <c r="L641" s="87"/>
      <c r="M641" s="87"/>
    </row>
    <row r="642" spans="3:13" ht="14.4" x14ac:dyDescent="0.3">
      <c r="C642" s="86"/>
      <c r="D642" s="87"/>
      <c r="E642" s="87"/>
      <c r="I642" s="86"/>
      <c r="J642" s="86"/>
      <c r="K642" s="87"/>
      <c r="L642" s="87"/>
      <c r="M642" s="87"/>
    </row>
    <row r="643" spans="3:13" ht="14.4" x14ac:dyDescent="0.3">
      <c r="C643" s="86"/>
      <c r="D643" s="87"/>
      <c r="E643" s="87"/>
      <c r="I643" s="86"/>
      <c r="J643" s="86"/>
      <c r="K643" s="87"/>
      <c r="L643" s="87"/>
      <c r="M643" s="87"/>
    </row>
    <row r="644" spans="3:13" ht="14.4" x14ac:dyDescent="0.3">
      <c r="C644" s="86"/>
      <c r="D644" s="87"/>
      <c r="E644" s="87"/>
      <c r="I644" s="86"/>
      <c r="J644" s="86"/>
      <c r="K644" s="87"/>
      <c r="L644" s="87"/>
      <c r="M644" s="87"/>
    </row>
    <row r="645" spans="3:13" ht="14.4" x14ac:dyDescent="0.3">
      <c r="C645" s="86"/>
      <c r="D645" s="87"/>
      <c r="E645" s="87"/>
      <c r="I645" s="86"/>
      <c r="J645" s="86"/>
      <c r="K645" s="87"/>
      <c r="L645" s="87"/>
      <c r="M645" s="87"/>
    </row>
    <row r="646" spans="3:13" ht="14.4" x14ac:dyDescent="0.3">
      <c r="C646" s="86"/>
      <c r="D646" s="87"/>
      <c r="E646" s="87"/>
      <c r="I646" s="86"/>
      <c r="J646" s="86"/>
      <c r="K646" s="87"/>
      <c r="L646" s="87"/>
      <c r="M646" s="87"/>
    </row>
    <row r="647" spans="3:13" ht="14.4" x14ac:dyDescent="0.3">
      <c r="C647" s="86"/>
      <c r="D647" s="87"/>
      <c r="E647" s="87"/>
      <c r="I647" s="86"/>
      <c r="J647" s="86"/>
      <c r="K647" s="87"/>
      <c r="L647" s="87"/>
      <c r="M647" s="87"/>
    </row>
    <row r="648" spans="3:13" ht="14.4" x14ac:dyDescent="0.3">
      <c r="C648" s="86"/>
      <c r="D648" s="87"/>
      <c r="E648" s="87"/>
      <c r="I648" s="86"/>
      <c r="J648" s="86"/>
      <c r="K648" s="87"/>
      <c r="L648" s="87"/>
      <c r="M648" s="87"/>
    </row>
    <row r="649" spans="3:13" ht="14.4" x14ac:dyDescent="0.3">
      <c r="C649" s="86"/>
      <c r="D649" s="87"/>
      <c r="E649" s="87"/>
      <c r="I649" s="86"/>
      <c r="J649" s="86"/>
      <c r="K649" s="87"/>
      <c r="L649" s="87"/>
      <c r="M649" s="87"/>
    </row>
    <row r="650" spans="3:13" ht="14.4" x14ac:dyDescent="0.3">
      <c r="C650" s="86"/>
      <c r="D650" s="87"/>
      <c r="E650" s="87"/>
      <c r="I650" s="86"/>
      <c r="J650" s="86"/>
      <c r="K650" s="87"/>
      <c r="L650" s="87"/>
      <c r="M650" s="87"/>
    </row>
    <row r="651" spans="3:13" ht="14.4" x14ac:dyDescent="0.3">
      <c r="C651" s="86"/>
      <c r="D651" s="87"/>
      <c r="E651" s="87"/>
      <c r="I651" s="86"/>
      <c r="J651" s="86"/>
      <c r="K651" s="87"/>
      <c r="L651" s="87"/>
      <c r="M651" s="87"/>
    </row>
    <row r="652" spans="3:13" ht="14.4" x14ac:dyDescent="0.3">
      <c r="C652" s="86"/>
      <c r="D652" s="87"/>
      <c r="E652" s="87"/>
      <c r="I652" s="86"/>
      <c r="J652" s="86"/>
      <c r="K652" s="87"/>
      <c r="L652" s="87"/>
      <c r="M652" s="87"/>
    </row>
    <row r="653" spans="3:13" ht="14.4" x14ac:dyDescent="0.3">
      <c r="C653" s="86"/>
      <c r="D653" s="87"/>
      <c r="E653" s="87"/>
      <c r="I653" s="86"/>
      <c r="J653" s="86"/>
      <c r="K653" s="87"/>
      <c r="L653" s="87"/>
      <c r="M653" s="87"/>
    </row>
    <row r="654" spans="3:13" ht="14.4" x14ac:dyDescent="0.3">
      <c r="C654" s="86"/>
      <c r="D654" s="87"/>
      <c r="E654" s="87"/>
      <c r="I654" s="86"/>
      <c r="J654" s="86"/>
      <c r="K654" s="87"/>
      <c r="L654" s="87"/>
      <c r="M654" s="87"/>
    </row>
    <row r="655" spans="3:13" ht="14.4" x14ac:dyDescent="0.3">
      <c r="C655" s="86"/>
      <c r="D655" s="87"/>
      <c r="E655" s="87"/>
      <c r="I655" s="86"/>
      <c r="J655" s="86"/>
      <c r="K655" s="87"/>
      <c r="L655" s="87"/>
      <c r="M655" s="87"/>
    </row>
    <row r="656" spans="3:13" ht="14.4" x14ac:dyDescent="0.3">
      <c r="C656" s="86"/>
      <c r="D656" s="87"/>
      <c r="E656" s="87"/>
      <c r="I656" s="86"/>
      <c r="J656" s="86"/>
      <c r="K656" s="87"/>
      <c r="L656" s="87"/>
      <c r="M656" s="87"/>
    </row>
    <row r="657" spans="3:13" ht="14.4" x14ac:dyDescent="0.3">
      <c r="C657" s="86"/>
      <c r="D657" s="87"/>
      <c r="E657" s="87"/>
      <c r="I657" s="86"/>
      <c r="J657" s="86"/>
      <c r="K657" s="87"/>
      <c r="L657" s="87"/>
      <c r="M657" s="87"/>
    </row>
    <row r="658" spans="3:13" ht="14.4" x14ac:dyDescent="0.3">
      <c r="C658" s="86"/>
      <c r="D658" s="87"/>
      <c r="E658" s="87"/>
      <c r="I658" s="86"/>
      <c r="J658" s="86"/>
      <c r="K658" s="87"/>
      <c r="L658" s="87"/>
      <c r="M658" s="87"/>
    </row>
    <row r="659" spans="3:13" ht="14.4" x14ac:dyDescent="0.3">
      <c r="C659" s="86"/>
      <c r="D659" s="87"/>
      <c r="E659" s="87"/>
      <c r="I659" s="86"/>
      <c r="J659" s="86"/>
      <c r="K659" s="87"/>
      <c r="L659" s="87"/>
      <c r="M659" s="87"/>
    </row>
    <row r="660" spans="3:13" ht="14.4" x14ac:dyDescent="0.3">
      <c r="C660" s="86"/>
      <c r="D660" s="87"/>
      <c r="E660" s="87"/>
      <c r="I660" s="86"/>
      <c r="J660" s="86"/>
      <c r="K660" s="87"/>
      <c r="L660" s="87"/>
      <c r="M660" s="87"/>
    </row>
    <row r="661" spans="3:13" ht="14.4" x14ac:dyDescent="0.3">
      <c r="C661" s="86"/>
      <c r="D661" s="87"/>
      <c r="E661" s="87"/>
      <c r="I661" s="86"/>
      <c r="J661" s="86"/>
      <c r="K661" s="87"/>
      <c r="L661" s="87"/>
      <c r="M661" s="87"/>
    </row>
    <row r="662" spans="3:13" ht="14.4" x14ac:dyDescent="0.3">
      <c r="C662" s="86"/>
      <c r="D662" s="87"/>
      <c r="E662" s="87"/>
      <c r="I662" s="86"/>
      <c r="J662" s="86"/>
      <c r="K662" s="87"/>
      <c r="L662" s="87"/>
      <c r="M662" s="87"/>
    </row>
    <row r="663" spans="3:13" ht="14.4" x14ac:dyDescent="0.3">
      <c r="C663" s="86"/>
      <c r="D663" s="87"/>
      <c r="E663" s="87"/>
      <c r="I663" s="86"/>
      <c r="J663" s="86"/>
      <c r="K663" s="87"/>
      <c r="L663" s="87"/>
      <c r="M663" s="87"/>
    </row>
    <row r="664" spans="3:13" ht="14.4" x14ac:dyDescent="0.3">
      <c r="C664" s="86"/>
      <c r="D664" s="87"/>
      <c r="E664" s="87"/>
      <c r="I664" s="86"/>
      <c r="J664" s="86"/>
      <c r="K664" s="87"/>
      <c r="L664" s="87"/>
      <c r="M664" s="87"/>
    </row>
    <row r="665" spans="3:13" ht="14.4" x14ac:dyDescent="0.3">
      <c r="C665" s="86"/>
      <c r="D665" s="87"/>
      <c r="E665" s="87"/>
      <c r="I665" s="86"/>
      <c r="J665" s="86"/>
      <c r="K665" s="87"/>
      <c r="L665" s="87"/>
      <c r="M665" s="87"/>
    </row>
    <row r="666" spans="3:13" ht="14.4" x14ac:dyDescent="0.3">
      <c r="C666" s="86"/>
      <c r="D666" s="87"/>
      <c r="E666" s="87"/>
      <c r="I666" s="86"/>
      <c r="J666" s="86"/>
      <c r="K666" s="87"/>
      <c r="L666" s="87"/>
      <c r="M666" s="87"/>
    </row>
    <row r="667" spans="3:13" ht="14.4" x14ac:dyDescent="0.3">
      <c r="C667" s="86"/>
      <c r="D667" s="87"/>
      <c r="E667" s="87"/>
      <c r="I667" s="86"/>
      <c r="J667" s="86"/>
      <c r="K667" s="87"/>
      <c r="L667" s="87"/>
      <c r="M667" s="87"/>
    </row>
    <row r="668" spans="3:13" ht="14.4" x14ac:dyDescent="0.3">
      <c r="C668" s="86"/>
      <c r="D668" s="87"/>
      <c r="E668" s="87"/>
      <c r="I668" s="86"/>
      <c r="J668" s="86"/>
      <c r="K668" s="87"/>
      <c r="L668" s="87"/>
      <c r="M668" s="87"/>
    </row>
    <row r="669" spans="3:13" ht="14.4" x14ac:dyDescent="0.3">
      <c r="C669" s="86"/>
      <c r="D669" s="87"/>
      <c r="E669" s="87"/>
      <c r="I669" s="86"/>
      <c r="J669" s="86"/>
      <c r="K669" s="87"/>
      <c r="L669" s="87"/>
      <c r="M669" s="87"/>
    </row>
    <row r="670" spans="3:13" ht="14.4" x14ac:dyDescent="0.3">
      <c r="C670" s="86"/>
      <c r="D670" s="87"/>
      <c r="E670" s="87"/>
      <c r="I670" s="86"/>
      <c r="J670" s="86"/>
      <c r="K670" s="87"/>
      <c r="L670" s="87"/>
      <c r="M670" s="87"/>
    </row>
    <row r="671" spans="3:13" ht="14.4" x14ac:dyDescent="0.3">
      <c r="C671" s="86"/>
      <c r="D671" s="87"/>
      <c r="E671" s="87"/>
      <c r="I671" s="86"/>
      <c r="J671" s="86"/>
      <c r="K671" s="87"/>
      <c r="L671" s="87"/>
      <c r="M671" s="87"/>
    </row>
    <row r="672" spans="3:13" ht="14.4" x14ac:dyDescent="0.3">
      <c r="C672" s="86"/>
      <c r="D672" s="87"/>
      <c r="E672" s="87"/>
      <c r="I672" s="86"/>
      <c r="J672" s="86"/>
      <c r="K672" s="87"/>
      <c r="L672" s="87"/>
      <c r="M672" s="87"/>
    </row>
    <row r="673" spans="3:13" ht="14.4" x14ac:dyDescent="0.3">
      <c r="C673" s="86"/>
      <c r="D673" s="87"/>
      <c r="E673" s="87"/>
      <c r="I673" s="86"/>
      <c r="J673" s="86"/>
      <c r="K673" s="87"/>
      <c r="L673" s="87"/>
      <c r="M673" s="87"/>
    </row>
    <row r="674" spans="3:13" ht="14.4" x14ac:dyDescent="0.3">
      <c r="C674" s="86"/>
      <c r="D674" s="87"/>
      <c r="E674" s="87"/>
      <c r="I674" s="86"/>
      <c r="J674" s="86"/>
      <c r="K674" s="87"/>
      <c r="L674" s="87"/>
      <c r="M674" s="87"/>
    </row>
    <row r="675" spans="3:13" ht="14.4" x14ac:dyDescent="0.3">
      <c r="C675" s="86"/>
      <c r="D675" s="87"/>
      <c r="E675" s="87"/>
      <c r="I675" s="86"/>
      <c r="J675" s="86"/>
      <c r="K675" s="87"/>
      <c r="L675" s="87"/>
      <c r="M675" s="87"/>
    </row>
    <row r="676" spans="3:13" ht="14.4" x14ac:dyDescent="0.3">
      <c r="C676" s="86"/>
      <c r="D676" s="87"/>
      <c r="E676" s="87"/>
      <c r="I676" s="86"/>
      <c r="J676" s="86"/>
      <c r="K676" s="87"/>
      <c r="L676" s="87"/>
      <c r="M676" s="87"/>
    </row>
    <row r="677" spans="3:13" ht="14.4" x14ac:dyDescent="0.3">
      <c r="C677" s="86"/>
      <c r="D677" s="87"/>
      <c r="E677" s="87"/>
      <c r="I677" s="86"/>
      <c r="J677" s="86"/>
      <c r="K677" s="87"/>
      <c r="L677" s="87"/>
      <c r="M677" s="87"/>
    </row>
    <row r="678" spans="3:13" ht="14.4" x14ac:dyDescent="0.3">
      <c r="C678" s="86"/>
      <c r="D678" s="87"/>
      <c r="E678" s="87"/>
      <c r="I678" s="86"/>
      <c r="J678" s="86"/>
      <c r="K678" s="87"/>
      <c r="L678" s="87"/>
      <c r="M678" s="87"/>
    </row>
    <row r="679" spans="3:13" ht="14.4" x14ac:dyDescent="0.3">
      <c r="C679" s="86"/>
      <c r="D679" s="87"/>
      <c r="E679" s="87"/>
      <c r="I679" s="86"/>
      <c r="J679" s="86"/>
      <c r="K679" s="87"/>
      <c r="L679" s="87"/>
      <c r="M679" s="87"/>
    </row>
    <row r="680" spans="3:13" ht="14.4" x14ac:dyDescent="0.3">
      <c r="C680" s="86"/>
      <c r="D680" s="87"/>
      <c r="E680" s="87"/>
      <c r="I680" s="86"/>
      <c r="J680" s="86"/>
      <c r="K680" s="87"/>
      <c r="L680" s="87"/>
      <c r="M680" s="87"/>
    </row>
    <row r="681" spans="3:13" ht="14.4" x14ac:dyDescent="0.3">
      <c r="C681" s="86"/>
      <c r="D681" s="87"/>
      <c r="E681" s="87"/>
      <c r="I681" s="86"/>
      <c r="J681" s="86"/>
      <c r="K681" s="87"/>
      <c r="L681" s="87"/>
      <c r="M681" s="87"/>
    </row>
    <row r="682" spans="3:13" ht="14.4" x14ac:dyDescent="0.3">
      <c r="C682" s="86"/>
      <c r="D682" s="87"/>
      <c r="E682" s="87"/>
      <c r="I682" s="86"/>
      <c r="J682" s="86"/>
      <c r="K682" s="87"/>
      <c r="L682" s="87"/>
      <c r="M682" s="87"/>
    </row>
    <row r="683" spans="3:13" ht="14.4" x14ac:dyDescent="0.3">
      <c r="C683" s="86"/>
      <c r="D683" s="87"/>
      <c r="E683" s="87"/>
      <c r="I683" s="86"/>
      <c r="J683" s="86"/>
      <c r="K683" s="87"/>
      <c r="L683" s="87"/>
      <c r="M683" s="87"/>
    </row>
    <row r="684" spans="3:13" ht="14.4" x14ac:dyDescent="0.3">
      <c r="C684" s="86"/>
      <c r="D684" s="87"/>
      <c r="E684" s="87"/>
      <c r="I684" s="86"/>
      <c r="J684" s="86"/>
      <c r="K684" s="87"/>
      <c r="L684" s="87"/>
      <c r="M684" s="87"/>
    </row>
    <row r="685" spans="3:13" ht="14.4" x14ac:dyDescent="0.3">
      <c r="C685" s="86"/>
      <c r="D685" s="87"/>
      <c r="E685" s="87"/>
      <c r="I685" s="86"/>
      <c r="J685" s="86"/>
      <c r="K685" s="87"/>
      <c r="L685" s="87"/>
      <c r="M685" s="87"/>
    </row>
    <row r="686" spans="3:13" ht="14.4" x14ac:dyDescent="0.3">
      <c r="C686" s="86"/>
      <c r="D686" s="87"/>
      <c r="E686" s="87"/>
      <c r="I686" s="86"/>
      <c r="J686" s="86"/>
      <c r="K686" s="87"/>
      <c r="L686" s="87"/>
      <c r="M686" s="87"/>
    </row>
    <row r="687" spans="3:13" ht="14.4" x14ac:dyDescent="0.3">
      <c r="C687" s="86"/>
      <c r="D687" s="87"/>
      <c r="E687" s="87"/>
      <c r="I687" s="86"/>
      <c r="J687" s="86"/>
      <c r="K687" s="87"/>
      <c r="L687" s="87"/>
      <c r="M687" s="87"/>
    </row>
    <row r="688" spans="3:13" ht="14.4" x14ac:dyDescent="0.3">
      <c r="C688" s="86"/>
      <c r="D688" s="87"/>
      <c r="E688" s="87"/>
      <c r="I688" s="86"/>
      <c r="J688" s="86"/>
      <c r="K688" s="87"/>
      <c r="L688" s="87"/>
      <c r="M688" s="87"/>
    </row>
    <row r="689" spans="3:13" ht="14.4" x14ac:dyDescent="0.3">
      <c r="C689" s="86"/>
      <c r="D689" s="87"/>
      <c r="E689" s="87"/>
      <c r="I689" s="86"/>
      <c r="J689" s="86"/>
      <c r="K689" s="87"/>
      <c r="L689" s="87"/>
      <c r="M689" s="87"/>
    </row>
    <row r="690" spans="3:13" ht="14.4" x14ac:dyDescent="0.3">
      <c r="C690" s="86"/>
      <c r="D690" s="87"/>
      <c r="E690" s="87"/>
      <c r="I690" s="86"/>
      <c r="J690" s="86"/>
      <c r="K690" s="87"/>
      <c r="L690" s="87"/>
      <c r="M690" s="87"/>
    </row>
    <row r="691" spans="3:13" ht="14.4" x14ac:dyDescent="0.3">
      <c r="C691" s="86"/>
      <c r="D691" s="87"/>
      <c r="E691" s="87"/>
      <c r="I691" s="86"/>
      <c r="J691" s="86"/>
      <c r="K691" s="87"/>
      <c r="L691" s="87"/>
      <c r="M691" s="87"/>
    </row>
    <row r="692" spans="3:13" ht="14.4" x14ac:dyDescent="0.3">
      <c r="C692" s="86"/>
      <c r="D692" s="87"/>
      <c r="E692" s="87"/>
      <c r="I692" s="86"/>
      <c r="J692" s="86"/>
      <c r="K692" s="87"/>
      <c r="L692" s="87"/>
      <c r="M692" s="87"/>
    </row>
    <row r="693" spans="3:13" ht="14.4" x14ac:dyDescent="0.3">
      <c r="C693" s="86"/>
      <c r="D693" s="87"/>
      <c r="E693" s="87"/>
      <c r="I693" s="86"/>
      <c r="J693" s="86"/>
      <c r="K693" s="87"/>
      <c r="L693" s="87"/>
      <c r="M693" s="87"/>
    </row>
    <row r="694" spans="3:13" ht="14.4" x14ac:dyDescent="0.3">
      <c r="C694" s="86"/>
      <c r="D694" s="87"/>
      <c r="E694" s="87"/>
      <c r="I694" s="86"/>
      <c r="J694" s="86"/>
      <c r="K694" s="87"/>
      <c r="L694" s="87"/>
      <c r="M694" s="87"/>
    </row>
    <row r="695" spans="3:13" ht="14.4" x14ac:dyDescent="0.3">
      <c r="C695" s="86"/>
      <c r="D695" s="87"/>
      <c r="E695" s="87"/>
      <c r="I695" s="86"/>
      <c r="J695" s="86"/>
      <c r="K695" s="87"/>
      <c r="L695" s="87"/>
      <c r="M695" s="87"/>
    </row>
    <row r="696" spans="3:13" ht="14.4" x14ac:dyDescent="0.3">
      <c r="C696" s="86"/>
      <c r="D696" s="87"/>
      <c r="E696" s="87"/>
      <c r="I696" s="86"/>
      <c r="J696" s="86"/>
      <c r="K696" s="87"/>
      <c r="L696" s="87"/>
      <c r="M696" s="87"/>
    </row>
    <row r="697" spans="3:13" ht="14.4" x14ac:dyDescent="0.3">
      <c r="C697" s="86"/>
      <c r="D697" s="87"/>
      <c r="E697" s="87"/>
      <c r="I697" s="86"/>
      <c r="J697" s="86"/>
      <c r="K697" s="87"/>
      <c r="L697" s="87"/>
      <c r="M697" s="87"/>
    </row>
    <row r="698" spans="3:13" ht="14.4" x14ac:dyDescent="0.3">
      <c r="C698" s="86"/>
      <c r="D698" s="87"/>
      <c r="E698" s="87"/>
      <c r="I698" s="86"/>
      <c r="J698" s="86"/>
      <c r="K698" s="87"/>
      <c r="L698" s="87"/>
      <c r="M698" s="87"/>
    </row>
    <row r="699" spans="3:13" ht="14.4" x14ac:dyDescent="0.3">
      <c r="C699" s="86"/>
      <c r="D699" s="87"/>
      <c r="E699" s="87"/>
      <c r="I699" s="86"/>
      <c r="J699" s="86"/>
      <c r="K699" s="87"/>
      <c r="L699" s="87"/>
      <c r="M699" s="87"/>
    </row>
    <row r="700" spans="3:13" ht="14.4" x14ac:dyDescent="0.3">
      <c r="C700" s="86"/>
      <c r="D700" s="87"/>
      <c r="E700" s="87"/>
      <c r="I700" s="86"/>
      <c r="J700" s="86"/>
      <c r="K700" s="87"/>
      <c r="L700" s="87"/>
      <c r="M700" s="87"/>
    </row>
    <row r="701" spans="3:13" ht="14.4" x14ac:dyDescent="0.3">
      <c r="C701" s="86"/>
      <c r="D701" s="87"/>
      <c r="E701" s="87"/>
      <c r="I701" s="86"/>
      <c r="J701" s="86"/>
      <c r="K701" s="87"/>
      <c r="L701" s="87"/>
      <c r="M701" s="87"/>
    </row>
    <row r="702" spans="3:13" ht="14.4" x14ac:dyDescent="0.3">
      <c r="C702" s="86"/>
      <c r="D702" s="87"/>
      <c r="E702" s="87"/>
      <c r="I702" s="86"/>
      <c r="J702" s="86"/>
      <c r="K702" s="87"/>
      <c r="L702" s="87"/>
      <c r="M702" s="87"/>
    </row>
    <row r="703" spans="3:13" ht="14.4" x14ac:dyDescent="0.3">
      <c r="C703" s="86"/>
      <c r="D703" s="87"/>
      <c r="E703" s="87"/>
      <c r="I703" s="86"/>
      <c r="J703" s="86"/>
      <c r="K703" s="87"/>
      <c r="L703" s="87"/>
      <c r="M703" s="87"/>
    </row>
    <row r="704" spans="3:13" ht="14.4" x14ac:dyDescent="0.3">
      <c r="C704" s="86"/>
      <c r="D704" s="87"/>
      <c r="E704" s="87"/>
      <c r="I704" s="86"/>
      <c r="J704" s="86"/>
      <c r="K704" s="87"/>
      <c r="L704" s="87"/>
      <c r="M704" s="87"/>
    </row>
    <row r="705" spans="3:13" ht="14.4" x14ac:dyDescent="0.3">
      <c r="C705" s="86"/>
      <c r="D705" s="87"/>
      <c r="E705" s="87"/>
      <c r="I705" s="86"/>
      <c r="J705" s="86"/>
      <c r="K705" s="87"/>
      <c r="L705" s="87"/>
      <c r="M705" s="87"/>
    </row>
    <row r="706" spans="3:13" ht="14.4" x14ac:dyDescent="0.3">
      <c r="C706" s="86"/>
      <c r="D706" s="87"/>
      <c r="E706" s="87"/>
      <c r="I706" s="86"/>
      <c r="J706" s="86"/>
      <c r="K706" s="87"/>
      <c r="L706" s="87"/>
      <c r="M706" s="87"/>
    </row>
    <row r="707" spans="3:13" ht="14.4" x14ac:dyDescent="0.3">
      <c r="C707" s="86"/>
      <c r="D707" s="87"/>
      <c r="E707" s="87"/>
      <c r="I707" s="86"/>
      <c r="J707" s="86"/>
      <c r="K707" s="87"/>
      <c r="L707" s="87"/>
      <c r="M707" s="87"/>
    </row>
    <row r="708" spans="3:13" ht="14.4" x14ac:dyDescent="0.3">
      <c r="C708" s="86"/>
      <c r="D708" s="87"/>
      <c r="E708" s="87"/>
      <c r="I708" s="86"/>
      <c r="J708" s="86"/>
      <c r="K708" s="87"/>
      <c r="L708" s="87"/>
      <c r="M708" s="87"/>
    </row>
    <row r="709" spans="3:13" ht="14.4" x14ac:dyDescent="0.3">
      <c r="C709" s="86"/>
      <c r="D709" s="87"/>
      <c r="E709" s="87"/>
      <c r="I709" s="86"/>
      <c r="J709" s="86"/>
      <c r="K709" s="87"/>
      <c r="L709" s="87"/>
      <c r="M709" s="87"/>
    </row>
    <row r="710" spans="3:13" ht="14.4" x14ac:dyDescent="0.3">
      <c r="C710" s="86"/>
      <c r="D710" s="87"/>
      <c r="E710" s="87"/>
      <c r="I710" s="86"/>
      <c r="J710" s="86"/>
      <c r="K710" s="87"/>
      <c r="L710" s="87"/>
      <c r="M710" s="87"/>
    </row>
    <row r="711" spans="3:13" ht="14.4" x14ac:dyDescent="0.3">
      <c r="C711" s="86"/>
      <c r="D711" s="87"/>
      <c r="E711" s="87"/>
      <c r="I711" s="86"/>
      <c r="J711" s="86"/>
      <c r="K711" s="87"/>
      <c r="L711" s="87"/>
      <c r="M711" s="87"/>
    </row>
    <row r="712" spans="3:13" ht="14.4" x14ac:dyDescent="0.3">
      <c r="C712" s="86"/>
      <c r="D712" s="87"/>
      <c r="E712" s="87"/>
      <c r="I712" s="86"/>
      <c r="J712" s="86"/>
      <c r="K712" s="87"/>
      <c r="L712" s="87"/>
      <c r="M712" s="87"/>
    </row>
    <row r="713" spans="3:13" ht="14.4" x14ac:dyDescent="0.3">
      <c r="C713" s="86"/>
      <c r="D713" s="87"/>
      <c r="E713" s="87"/>
      <c r="I713" s="86"/>
      <c r="J713" s="86"/>
      <c r="K713" s="87"/>
      <c r="L713" s="87"/>
      <c r="M713" s="87"/>
    </row>
    <row r="714" spans="3:13" ht="14.4" x14ac:dyDescent="0.3">
      <c r="C714" s="86"/>
      <c r="D714" s="87"/>
      <c r="E714" s="87"/>
      <c r="I714" s="86"/>
      <c r="J714" s="86"/>
      <c r="K714" s="87"/>
      <c r="L714" s="87"/>
      <c r="M714" s="87"/>
    </row>
    <row r="715" spans="3:13" ht="14.4" x14ac:dyDescent="0.3">
      <c r="C715" s="86"/>
      <c r="D715" s="87"/>
      <c r="E715" s="87"/>
      <c r="I715" s="86"/>
      <c r="J715" s="86"/>
      <c r="K715" s="87"/>
      <c r="L715" s="87"/>
      <c r="M715" s="87"/>
    </row>
    <row r="716" spans="3:13" ht="14.4" x14ac:dyDescent="0.3">
      <c r="C716" s="86"/>
      <c r="D716" s="87"/>
      <c r="E716" s="87"/>
      <c r="I716" s="86"/>
      <c r="J716" s="86"/>
      <c r="K716" s="87"/>
      <c r="L716" s="87"/>
      <c r="M716" s="87"/>
    </row>
    <row r="717" spans="3:13" ht="14.4" x14ac:dyDescent="0.3">
      <c r="C717" s="86"/>
      <c r="D717" s="87"/>
      <c r="E717" s="87"/>
      <c r="I717" s="86"/>
      <c r="J717" s="86"/>
      <c r="K717" s="87"/>
      <c r="L717" s="87"/>
      <c r="M717" s="87"/>
    </row>
    <row r="718" spans="3:13" ht="14.4" x14ac:dyDescent="0.3">
      <c r="C718" s="86"/>
      <c r="D718" s="87"/>
      <c r="E718" s="87"/>
      <c r="I718" s="86"/>
      <c r="J718" s="86"/>
      <c r="K718" s="87"/>
      <c r="L718" s="87"/>
      <c r="M718" s="87"/>
    </row>
    <row r="719" spans="3:13" ht="14.4" x14ac:dyDescent="0.3">
      <c r="C719" s="86"/>
      <c r="D719" s="87"/>
      <c r="E719" s="87"/>
      <c r="I719" s="86"/>
      <c r="J719" s="86"/>
      <c r="K719" s="87"/>
      <c r="L719" s="87"/>
      <c r="M719" s="87"/>
    </row>
    <row r="720" spans="3:13" ht="14.4" x14ac:dyDescent="0.3">
      <c r="C720" s="86"/>
      <c r="D720" s="87"/>
      <c r="E720" s="87"/>
      <c r="I720" s="86"/>
      <c r="J720" s="86"/>
      <c r="K720" s="87"/>
      <c r="L720" s="87"/>
      <c r="M720" s="87"/>
    </row>
    <row r="721" spans="3:13" ht="14.4" x14ac:dyDescent="0.3">
      <c r="C721" s="86"/>
      <c r="D721" s="87"/>
      <c r="E721" s="87"/>
      <c r="I721" s="86"/>
      <c r="J721" s="86"/>
      <c r="K721" s="87"/>
      <c r="L721" s="87"/>
      <c r="M721" s="87"/>
    </row>
    <row r="722" spans="3:13" ht="14.4" x14ac:dyDescent="0.3">
      <c r="C722" s="86"/>
      <c r="D722" s="87"/>
      <c r="E722" s="87"/>
      <c r="I722" s="86"/>
      <c r="J722" s="86"/>
      <c r="K722" s="87"/>
      <c r="L722" s="87"/>
      <c r="M722" s="87"/>
    </row>
    <row r="723" spans="3:13" ht="14.4" x14ac:dyDescent="0.3">
      <c r="C723" s="86"/>
      <c r="D723" s="87"/>
      <c r="E723" s="87"/>
      <c r="I723" s="86"/>
      <c r="J723" s="86"/>
      <c r="K723" s="87"/>
      <c r="L723" s="87"/>
      <c r="M723" s="87"/>
    </row>
    <row r="724" spans="3:13" ht="14.4" x14ac:dyDescent="0.3">
      <c r="C724" s="86"/>
      <c r="D724" s="87"/>
      <c r="E724" s="87"/>
      <c r="I724" s="86"/>
      <c r="J724" s="86"/>
      <c r="K724" s="87"/>
      <c r="L724" s="87"/>
      <c r="M724" s="87"/>
    </row>
    <row r="725" spans="3:13" ht="14.4" x14ac:dyDescent="0.3">
      <c r="C725" s="86"/>
      <c r="D725" s="87"/>
      <c r="E725" s="87"/>
      <c r="I725" s="86"/>
      <c r="J725" s="86"/>
      <c r="K725" s="87"/>
      <c r="L725" s="87"/>
      <c r="M725" s="87"/>
    </row>
    <row r="726" spans="3:13" ht="14.4" x14ac:dyDescent="0.3">
      <c r="C726" s="86"/>
      <c r="D726" s="87"/>
      <c r="E726" s="87"/>
      <c r="I726" s="86"/>
      <c r="J726" s="86"/>
      <c r="K726" s="87"/>
      <c r="L726" s="87"/>
      <c r="M726" s="87"/>
    </row>
    <row r="727" spans="3:13" ht="14.4" x14ac:dyDescent="0.3">
      <c r="C727" s="86"/>
      <c r="D727" s="87"/>
      <c r="E727" s="87"/>
      <c r="I727" s="86"/>
      <c r="J727" s="86"/>
      <c r="K727" s="87"/>
      <c r="L727" s="87"/>
      <c r="M727" s="87"/>
    </row>
    <row r="728" spans="3:13" ht="14.4" x14ac:dyDescent="0.3">
      <c r="C728" s="86"/>
      <c r="D728" s="87"/>
      <c r="E728" s="87"/>
      <c r="I728" s="86"/>
      <c r="J728" s="86"/>
      <c r="K728" s="87"/>
      <c r="L728" s="87"/>
      <c r="M728" s="87"/>
    </row>
    <row r="729" spans="3:13" ht="14.4" x14ac:dyDescent="0.3">
      <c r="C729" s="86"/>
      <c r="D729" s="87"/>
      <c r="E729" s="87"/>
      <c r="I729" s="86"/>
      <c r="J729" s="86"/>
      <c r="K729" s="87"/>
      <c r="L729" s="87"/>
      <c r="M729" s="87"/>
    </row>
    <row r="730" spans="3:13" ht="14.4" x14ac:dyDescent="0.3">
      <c r="C730" s="86"/>
      <c r="D730" s="87"/>
      <c r="E730" s="87"/>
      <c r="I730" s="86"/>
      <c r="J730" s="86"/>
      <c r="K730" s="87"/>
      <c r="L730" s="87"/>
      <c r="M730" s="87"/>
    </row>
    <row r="731" spans="3:13" ht="14.4" x14ac:dyDescent="0.3">
      <c r="C731" s="86"/>
      <c r="D731" s="87"/>
      <c r="E731" s="87"/>
      <c r="I731" s="86"/>
      <c r="J731" s="86"/>
      <c r="K731" s="87"/>
      <c r="L731" s="87"/>
      <c r="M731" s="87"/>
    </row>
    <row r="732" spans="3:13" ht="14.4" x14ac:dyDescent="0.3">
      <c r="C732" s="86"/>
      <c r="D732" s="87"/>
      <c r="E732" s="87"/>
      <c r="I732" s="86"/>
      <c r="J732" s="86"/>
      <c r="K732" s="87"/>
      <c r="L732" s="87"/>
      <c r="M732" s="87"/>
    </row>
    <row r="733" spans="3:13" ht="14.4" x14ac:dyDescent="0.3">
      <c r="C733" s="86"/>
      <c r="D733" s="87"/>
      <c r="E733" s="87"/>
      <c r="I733" s="86"/>
      <c r="J733" s="86"/>
      <c r="K733" s="87"/>
      <c r="L733" s="87"/>
      <c r="M733" s="87"/>
    </row>
    <row r="734" spans="3:13" ht="14.4" x14ac:dyDescent="0.3">
      <c r="C734" s="86"/>
      <c r="D734" s="87"/>
      <c r="E734" s="87"/>
      <c r="I734" s="86"/>
      <c r="J734" s="86"/>
      <c r="K734" s="87"/>
      <c r="L734" s="87"/>
      <c r="M734" s="87"/>
    </row>
    <row r="735" spans="3:13" ht="14.4" x14ac:dyDescent="0.3">
      <c r="C735" s="86"/>
      <c r="D735" s="87"/>
      <c r="E735" s="87"/>
      <c r="I735" s="86"/>
      <c r="J735" s="86"/>
      <c r="K735" s="87"/>
      <c r="L735" s="87"/>
      <c r="M735" s="87"/>
    </row>
    <row r="736" spans="3:13" ht="14.4" x14ac:dyDescent="0.3">
      <c r="C736" s="86"/>
      <c r="D736" s="87"/>
      <c r="E736" s="87"/>
      <c r="I736" s="86"/>
      <c r="J736" s="86"/>
      <c r="K736" s="87"/>
      <c r="L736" s="87"/>
      <c r="M736" s="87"/>
    </row>
    <row r="737" spans="3:13" ht="14.4" x14ac:dyDescent="0.3">
      <c r="C737" s="86"/>
      <c r="D737" s="87"/>
      <c r="E737" s="87"/>
      <c r="I737" s="86"/>
      <c r="J737" s="86"/>
      <c r="K737" s="87"/>
      <c r="L737" s="87"/>
      <c r="M737" s="87"/>
    </row>
    <row r="738" spans="3:13" ht="14.4" x14ac:dyDescent="0.3">
      <c r="C738" s="86"/>
      <c r="D738" s="87"/>
      <c r="E738" s="87"/>
      <c r="I738" s="86"/>
      <c r="J738" s="86"/>
      <c r="K738" s="87"/>
      <c r="L738" s="87"/>
      <c r="M738" s="87"/>
    </row>
    <row r="739" spans="3:13" ht="14.4" x14ac:dyDescent="0.3">
      <c r="C739" s="86"/>
      <c r="D739" s="87"/>
      <c r="E739" s="87"/>
      <c r="I739" s="86"/>
      <c r="J739" s="86"/>
      <c r="K739" s="87"/>
      <c r="L739" s="87"/>
      <c r="M739" s="87"/>
    </row>
    <row r="740" spans="3:13" ht="14.4" x14ac:dyDescent="0.3">
      <c r="C740" s="86"/>
      <c r="D740" s="87"/>
      <c r="E740" s="87"/>
      <c r="I740" s="86"/>
      <c r="J740" s="86"/>
      <c r="K740" s="87"/>
      <c r="L740" s="87"/>
      <c r="M740" s="87"/>
    </row>
    <row r="741" spans="3:13" ht="14.4" x14ac:dyDescent="0.3">
      <c r="C741" s="86"/>
      <c r="D741" s="87"/>
      <c r="E741" s="87"/>
      <c r="I741" s="86"/>
      <c r="J741" s="86"/>
      <c r="K741" s="87"/>
      <c r="L741" s="87"/>
      <c r="M741" s="87"/>
    </row>
    <row r="742" spans="3:13" ht="14.4" x14ac:dyDescent="0.3">
      <c r="C742" s="86"/>
      <c r="D742" s="87"/>
      <c r="E742" s="87"/>
      <c r="I742" s="86"/>
      <c r="J742" s="86"/>
      <c r="K742" s="87"/>
      <c r="L742" s="87"/>
      <c r="M742" s="87"/>
    </row>
    <row r="743" spans="3:13" ht="14.4" x14ac:dyDescent="0.3">
      <c r="C743" s="86"/>
      <c r="D743" s="87"/>
      <c r="E743" s="87"/>
      <c r="I743" s="86"/>
      <c r="J743" s="86"/>
      <c r="K743" s="87"/>
      <c r="L743" s="87"/>
      <c r="M743" s="87"/>
    </row>
    <row r="744" spans="3:13" ht="14.4" x14ac:dyDescent="0.3">
      <c r="C744" s="86"/>
      <c r="D744" s="87"/>
      <c r="E744" s="87"/>
      <c r="I744" s="86"/>
      <c r="J744" s="86"/>
      <c r="K744" s="87"/>
      <c r="L744" s="87"/>
      <c r="M744" s="87"/>
    </row>
    <row r="745" spans="3:13" ht="14.4" x14ac:dyDescent="0.3">
      <c r="C745" s="86"/>
      <c r="D745" s="87"/>
      <c r="E745" s="87"/>
      <c r="I745" s="86"/>
      <c r="J745" s="86"/>
      <c r="K745" s="87"/>
      <c r="L745" s="87"/>
      <c r="M745" s="87"/>
    </row>
    <row r="746" spans="3:13" ht="14.4" x14ac:dyDescent="0.3">
      <c r="C746" s="86"/>
      <c r="D746" s="87"/>
      <c r="E746" s="87"/>
      <c r="I746" s="86"/>
      <c r="J746" s="86"/>
      <c r="K746" s="87"/>
      <c r="L746" s="87"/>
      <c r="M746" s="87"/>
    </row>
    <row r="747" spans="3:13" ht="14.4" x14ac:dyDescent="0.3">
      <c r="C747" s="86"/>
      <c r="D747" s="87"/>
      <c r="E747" s="87"/>
      <c r="I747" s="86"/>
      <c r="J747" s="86"/>
      <c r="K747" s="87"/>
      <c r="L747" s="87"/>
      <c r="M747" s="87"/>
    </row>
    <row r="748" spans="3:13" ht="14.4" x14ac:dyDescent="0.3">
      <c r="C748" s="86"/>
      <c r="D748" s="87"/>
      <c r="E748" s="87"/>
      <c r="I748" s="86"/>
      <c r="J748" s="86"/>
      <c r="K748" s="87"/>
      <c r="L748" s="87"/>
      <c r="M748" s="87"/>
    </row>
    <row r="749" spans="3:13" ht="14.4" x14ac:dyDescent="0.3">
      <c r="C749" s="86"/>
      <c r="D749" s="87"/>
      <c r="E749" s="87"/>
      <c r="I749" s="86"/>
      <c r="J749" s="86"/>
      <c r="K749" s="87"/>
      <c r="L749" s="87"/>
      <c r="M749" s="87"/>
    </row>
    <row r="750" spans="3:13" ht="14.4" x14ac:dyDescent="0.3">
      <c r="C750" s="86"/>
      <c r="D750" s="87"/>
      <c r="E750" s="87"/>
      <c r="I750" s="86"/>
      <c r="J750" s="86"/>
      <c r="K750" s="87"/>
      <c r="L750" s="87"/>
      <c r="M750" s="87"/>
    </row>
    <row r="751" spans="3:13" ht="14.4" x14ac:dyDescent="0.3">
      <c r="C751" s="86"/>
      <c r="D751" s="87"/>
      <c r="E751" s="87"/>
      <c r="I751" s="86"/>
      <c r="J751" s="86"/>
      <c r="K751" s="87"/>
      <c r="L751" s="87"/>
      <c r="M751" s="87"/>
    </row>
    <row r="752" spans="3:13" ht="14.4" x14ac:dyDescent="0.3">
      <c r="C752" s="86"/>
      <c r="D752" s="87"/>
      <c r="E752" s="87"/>
      <c r="I752" s="86"/>
      <c r="J752" s="86"/>
      <c r="K752" s="87"/>
      <c r="L752" s="87"/>
      <c r="M752" s="87"/>
    </row>
    <row r="753" spans="3:13" ht="14.4" x14ac:dyDescent="0.3">
      <c r="C753" s="86"/>
      <c r="D753" s="87"/>
      <c r="E753" s="87"/>
      <c r="I753" s="86"/>
      <c r="J753" s="86"/>
      <c r="K753" s="87"/>
      <c r="L753" s="87"/>
      <c r="M753" s="87"/>
    </row>
    <row r="754" spans="3:13" ht="14.4" x14ac:dyDescent="0.3">
      <c r="C754" s="86"/>
      <c r="D754" s="87"/>
      <c r="E754" s="87"/>
      <c r="I754" s="86"/>
      <c r="J754" s="86"/>
      <c r="K754" s="87"/>
      <c r="L754" s="87"/>
      <c r="M754" s="87"/>
    </row>
    <row r="755" spans="3:13" ht="14.4" x14ac:dyDescent="0.3">
      <c r="C755" s="86"/>
      <c r="D755" s="87"/>
      <c r="E755" s="87"/>
      <c r="I755" s="86"/>
      <c r="J755" s="86"/>
      <c r="K755" s="87"/>
      <c r="L755" s="87"/>
      <c r="M755" s="87"/>
    </row>
    <row r="756" spans="3:13" ht="14.4" x14ac:dyDescent="0.3">
      <c r="C756" s="86"/>
      <c r="D756" s="87"/>
      <c r="E756" s="87"/>
      <c r="I756" s="86"/>
      <c r="J756" s="86"/>
      <c r="K756" s="87"/>
      <c r="L756" s="87"/>
      <c r="M756" s="87"/>
    </row>
    <row r="757" spans="3:13" ht="14.4" x14ac:dyDescent="0.3">
      <c r="C757" s="86"/>
      <c r="D757" s="87"/>
      <c r="E757" s="87"/>
      <c r="I757" s="86"/>
      <c r="J757" s="86"/>
      <c r="K757" s="87"/>
      <c r="L757" s="87"/>
      <c r="M757" s="87"/>
    </row>
    <row r="758" spans="3:13" ht="14.4" x14ac:dyDescent="0.3">
      <c r="C758" s="86"/>
      <c r="D758" s="87"/>
      <c r="E758" s="87"/>
      <c r="I758" s="86"/>
      <c r="J758" s="86"/>
      <c r="K758" s="87"/>
      <c r="L758" s="87"/>
      <c r="M758" s="87"/>
    </row>
    <row r="759" spans="3:13" ht="14.4" x14ac:dyDescent="0.3">
      <c r="C759" s="86"/>
      <c r="D759" s="87"/>
      <c r="E759" s="87"/>
      <c r="I759" s="86"/>
      <c r="J759" s="86"/>
      <c r="K759" s="87"/>
      <c r="L759" s="87"/>
      <c r="M759" s="87"/>
    </row>
    <row r="760" spans="3:13" ht="14.4" x14ac:dyDescent="0.3">
      <c r="C760" s="86"/>
      <c r="D760" s="87"/>
      <c r="E760" s="87"/>
      <c r="I760" s="86"/>
      <c r="J760" s="86"/>
      <c r="K760" s="87"/>
      <c r="L760" s="87"/>
      <c r="M760" s="87"/>
    </row>
    <row r="761" spans="3:13" ht="14.4" x14ac:dyDescent="0.3">
      <c r="C761" s="86"/>
      <c r="D761" s="87"/>
      <c r="E761" s="87"/>
      <c r="I761" s="86"/>
      <c r="J761" s="86"/>
      <c r="K761" s="87"/>
      <c r="L761" s="87"/>
      <c r="M761" s="87"/>
    </row>
    <row r="762" spans="3:13" ht="14.4" x14ac:dyDescent="0.3">
      <c r="C762" s="86"/>
      <c r="D762" s="87"/>
      <c r="E762" s="87"/>
      <c r="I762" s="86"/>
      <c r="J762" s="86"/>
      <c r="K762" s="87"/>
      <c r="L762" s="87"/>
      <c r="M762" s="87"/>
    </row>
    <row r="763" spans="3:13" ht="14.4" x14ac:dyDescent="0.3">
      <c r="C763" s="86"/>
      <c r="D763" s="87"/>
      <c r="E763" s="87"/>
      <c r="I763" s="86"/>
      <c r="J763" s="86"/>
      <c r="K763" s="87"/>
      <c r="L763" s="87"/>
      <c r="M763" s="87"/>
    </row>
    <row r="764" spans="3:13" ht="14.4" x14ac:dyDescent="0.3">
      <c r="C764" s="86"/>
      <c r="D764" s="87"/>
      <c r="E764" s="87"/>
      <c r="I764" s="86"/>
      <c r="J764" s="86"/>
      <c r="K764" s="87"/>
      <c r="L764" s="87"/>
      <c r="M764" s="87"/>
    </row>
    <row r="765" spans="3:13" ht="14.4" x14ac:dyDescent="0.3">
      <c r="C765" s="86"/>
      <c r="D765" s="87"/>
      <c r="E765" s="87"/>
      <c r="I765" s="86"/>
      <c r="J765" s="86"/>
      <c r="K765" s="87"/>
      <c r="L765" s="87"/>
      <c r="M765" s="87"/>
    </row>
    <row r="766" spans="3:13" ht="14.4" x14ac:dyDescent="0.3">
      <c r="C766" s="86"/>
      <c r="D766" s="87"/>
      <c r="E766" s="87"/>
      <c r="I766" s="86"/>
      <c r="J766" s="86"/>
      <c r="K766" s="87"/>
      <c r="L766" s="87"/>
      <c r="M766" s="87"/>
    </row>
    <row r="767" spans="3:13" ht="14.4" x14ac:dyDescent="0.3">
      <c r="C767" s="86"/>
      <c r="D767" s="87"/>
      <c r="E767" s="87"/>
      <c r="I767" s="86"/>
      <c r="J767" s="86"/>
      <c r="K767" s="87"/>
      <c r="L767" s="87"/>
      <c r="M767" s="87"/>
    </row>
    <row r="768" spans="3:13" ht="14.4" x14ac:dyDescent="0.3">
      <c r="C768" s="86"/>
      <c r="D768" s="87"/>
      <c r="E768" s="87"/>
      <c r="I768" s="86"/>
      <c r="J768" s="86"/>
      <c r="K768" s="87"/>
      <c r="L768" s="87"/>
      <c r="M768" s="87"/>
    </row>
    <row r="769" spans="3:13" ht="14.4" x14ac:dyDescent="0.3">
      <c r="C769" s="86"/>
      <c r="D769" s="87"/>
      <c r="E769" s="87"/>
      <c r="I769" s="86"/>
      <c r="J769" s="86"/>
      <c r="K769" s="87"/>
      <c r="L769" s="87"/>
      <c r="M769" s="87"/>
    </row>
    <row r="770" spans="3:13" ht="14.4" x14ac:dyDescent="0.3">
      <c r="C770" s="86"/>
      <c r="D770" s="87"/>
      <c r="E770" s="87"/>
      <c r="I770" s="86"/>
      <c r="J770" s="86"/>
      <c r="K770" s="87"/>
      <c r="L770" s="87"/>
      <c r="M770" s="87"/>
    </row>
    <row r="771" spans="3:13" ht="14.4" x14ac:dyDescent="0.3">
      <c r="C771" s="86"/>
      <c r="D771" s="87"/>
      <c r="E771" s="87"/>
      <c r="I771" s="86"/>
      <c r="J771" s="86"/>
      <c r="K771" s="87"/>
      <c r="L771" s="87"/>
      <c r="M771" s="87"/>
    </row>
    <row r="772" spans="3:13" ht="14.4" x14ac:dyDescent="0.3">
      <c r="C772" s="86"/>
      <c r="D772" s="87"/>
      <c r="E772" s="87"/>
      <c r="I772" s="86"/>
      <c r="J772" s="86"/>
      <c r="K772" s="87"/>
      <c r="L772" s="87"/>
      <c r="M772" s="87"/>
    </row>
    <row r="773" spans="3:13" ht="14.4" x14ac:dyDescent="0.3">
      <c r="C773" s="86"/>
      <c r="D773" s="87"/>
      <c r="E773" s="87"/>
      <c r="I773" s="86"/>
      <c r="J773" s="86"/>
      <c r="K773" s="87"/>
      <c r="L773" s="87"/>
      <c r="M773" s="87"/>
    </row>
    <row r="774" spans="3:13" ht="14.4" x14ac:dyDescent="0.3">
      <c r="C774" s="86"/>
      <c r="D774" s="87"/>
      <c r="E774" s="87"/>
      <c r="I774" s="86"/>
      <c r="J774" s="86"/>
      <c r="K774" s="87"/>
      <c r="L774" s="87"/>
      <c r="M774" s="87"/>
    </row>
    <row r="775" spans="3:13" ht="14.4" x14ac:dyDescent="0.3">
      <c r="C775" s="86"/>
      <c r="D775" s="87"/>
      <c r="E775" s="87"/>
      <c r="I775" s="86"/>
      <c r="J775" s="86"/>
      <c r="K775" s="87"/>
      <c r="L775" s="87"/>
      <c r="M775" s="87"/>
    </row>
    <row r="776" spans="3:13" ht="14.4" x14ac:dyDescent="0.3">
      <c r="C776" s="86"/>
      <c r="D776" s="87"/>
      <c r="E776" s="87"/>
      <c r="I776" s="86"/>
      <c r="J776" s="86"/>
      <c r="K776" s="87"/>
      <c r="L776" s="87"/>
      <c r="M776" s="87"/>
    </row>
    <row r="777" spans="3:13" ht="14.4" x14ac:dyDescent="0.3">
      <c r="C777" s="86"/>
      <c r="D777" s="87"/>
      <c r="E777" s="87"/>
      <c r="I777" s="86"/>
      <c r="J777" s="86"/>
      <c r="K777" s="87"/>
      <c r="L777" s="87"/>
      <c r="M777" s="87"/>
    </row>
    <row r="778" spans="3:13" ht="14.4" x14ac:dyDescent="0.3">
      <c r="C778" s="86"/>
      <c r="D778" s="87"/>
      <c r="E778" s="87"/>
      <c r="I778" s="86"/>
      <c r="J778" s="86"/>
      <c r="K778" s="87"/>
      <c r="L778" s="87"/>
      <c r="M778" s="87"/>
    </row>
    <row r="779" spans="3:13" ht="14.4" x14ac:dyDescent="0.3">
      <c r="C779" s="86"/>
      <c r="D779" s="87"/>
      <c r="E779" s="87"/>
      <c r="I779" s="86"/>
      <c r="J779" s="86"/>
      <c r="K779" s="87"/>
      <c r="L779" s="87"/>
      <c r="M779" s="87"/>
    </row>
    <row r="780" spans="3:13" ht="14.4" x14ac:dyDescent="0.3">
      <c r="C780" s="86"/>
      <c r="D780" s="87"/>
      <c r="E780" s="87"/>
      <c r="I780" s="86"/>
      <c r="J780" s="86"/>
      <c r="K780" s="87"/>
      <c r="L780" s="87"/>
      <c r="M780" s="87"/>
    </row>
    <row r="781" spans="3:13" ht="14.4" x14ac:dyDescent="0.3">
      <c r="C781" s="86"/>
      <c r="D781" s="87"/>
      <c r="E781" s="87"/>
      <c r="I781" s="86"/>
      <c r="J781" s="86"/>
      <c r="K781" s="87"/>
      <c r="L781" s="87"/>
      <c r="M781" s="87"/>
    </row>
    <row r="782" spans="3:13" ht="14.4" x14ac:dyDescent="0.3">
      <c r="C782" s="86"/>
      <c r="D782" s="87"/>
      <c r="E782" s="87"/>
      <c r="I782" s="86"/>
      <c r="J782" s="86"/>
      <c r="K782" s="87"/>
      <c r="L782" s="87"/>
      <c r="M782" s="87"/>
    </row>
    <row r="783" spans="3:13" ht="14.4" x14ac:dyDescent="0.3">
      <c r="C783" s="86"/>
      <c r="D783" s="87"/>
      <c r="E783" s="87"/>
      <c r="I783" s="86"/>
      <c r="J783" s="86"/>
      <c r="K783" s="87"/>
      <c r="L783" s="87"/>
      <c r="M783" s="87"/>
    </row>
    <row r="784" spans="3:13" ht="14.4" x14ac:dyDescent="0.3">
      <c r="C784" s="86"/>
      <c r="D784" s="87"/>
      <c r="E784" s="87"/>
      <c r="I784" s="86"/>
      <c r="J784" s="86"/>
      <c r="K784" s="87"/>
      <c r="L784" s="87"/>
      <c r="M784" s="87"/>
    </row>
    <row r="785" spans="3:13" ht="14.4" x14ac:dyDescent="0.3">
      <c r="C785" s="86"/>
      <c r="D785" s="87"/>
      <c r="E785" s="87"/>
      <c r="I785" s="86"/>
      <c r="J785" s="86"/>
      <c r="K785" s="87"/>
      <c r="L785" s="87"/>
      <c r="M785" s="87"/>
    </row>
    <row r="786" spans="3:13" ht="14.4" x14ac:dyDescent="0.3">
      <c r="C786" s="86"/>
      <c r="D786" s="87"/>
      <c r="E786" s="87"/>
      <c r="I786" s="86"/>
      <c r="J786" s="86"/>
      <c r="K786" s="87"/>
      <c r="L786" s="87"/>
      <c r="M786" s="87"/>
    </row>
    <row r="787" spans="3:13" ht="14.4" x14ac:dyDescent="0.3">
      <c r="C787" s="86"/>
      <c r="D787" s="87"/>
      <c r="E787" s="87"/>
      <c r="I787" s="86"/>
      <c r="J787" s="86"/>
      <c r="K787" s="87"/>
      <c r="L787" s="87"/>
      <c r="M787" s="87"/>
    </row>
    <row r="788" spans="3:13" ht="14.4" x14ac:dyDescent="0.3">
      <c r="C788" s="86"/>
      <c r="D788" s="87"/>
      <c r="E788" s="87"/>
      <c r="I788" s="86"/>
      <c r="J788" s="86"/>
      <c r="K788" s="87"/>
      <c r="L788" s="87"/>
      <c r="M788" s="87"/>
    </row>
    <row r="789" spans="3:13" ht="14.4" x14ac:dyDescent="0.3">
      <c r="C789" s="86"/>
      <c r="D789" s="87"/>
      <c r="E789" s="87"/>
      <c r="I789" s="86"/>
      <c r="J789" s="86"/>
      <c r="K789" s="87"/>
      <c r="L789" s="87"/>
      <c r="M789" s="87"/>
    </row>
    <row r="790" spans="3:13" ht="14.4" x14ac:dyDescent="0.3">
      <c r="C790" s="86"/>
      <c r="D790" s="87"/>
      <c r="E790" s="87"/>
      <c r="I790" s="86"/>
      <c r="J790" s="86"/>
      <c r="K790" s="87"/>
      <c r="L790" s="87"/>
      <c r="M790" s="87"/>
    </row>
    <row r="791" spans="3:13" ht="14.4" x14ac:dyDescent="0.3">
      <c r="C791" s="86"/>
      <c r="D791" s="87"/>
      <c r="E791" s="87"/>
      <c r="I791" s="86"/>
      <c r="J791" s="86"/>
      <c r="K791" s="87"/>
      <c r="L791" s="87"/>
      <c r="M791" s="87"/>
    </row>
    <row r="792" spans="3:13" ht="14.4" x14ac:dyDescent="0.3">
      <c r="C792" s="86"/>
      <c r="D792" s="87"/>
      <c r="E792" s="87"/>
      <c r="I792" s="86"/>
      <c r="J792" s="86"/>
      <c r="K792" s="87"/>
      <c r="L792" s="87"/>
      <c r="M792" s="87"/>
    </row>
    <row r="793" spans="3:13" ht="14.4" x14ac:dyDescent="0.3">
      <c r="C793" s="86"/>
      <c r="D793" s="87"/>
      <c r="E793" s="87"/>
      <c r="I793" s="86"/>
      <c r="J793" s="86"/>
      <c r="K793" s="87"/>
      <c r="L793" s="87"/>
      <c r="M793" s="87"/>
    </row>
    <row r="794" spans="3:13" ht="14.4" x14ac:dyDescent="0.3">
      <c r="C794" s="86"/>
      <c r="D794" s="87"/>
      <c r="E794" s="87"/>
      <c r="I794" s="86"/>
      <c r="J794" s="86"/>
      <c r="K794" s="87"/>
      <c r="L794" s="87"/>
      <c r="M794" s="87"/>
    </row>
    <row r="795" spans="3:13" ht="14.4" x14ac:dyDescent="0.3">
      <c r="C795" s="86"/>
      <c r="D795" s="87"/>
      <c r="E795" s="87"/>
      <c r="I795" s="86"/>
      <c r="J795" s="86"/>
      <c r="K795" s="87"/>
      <c r="L795" s="87"/>
      <c r="M795" s="87"/>
    </row>
    <row r="796" spans="3:13" ht="14.4" x14ac:dyDescent="0.3">
      <c r="C796" s="86"/>
      <c r="D796" s="87"/>
      <c r="E796" s="87"/>
      <c r="I796" s="86"/>
      <c r="J796" s="86"/>
      <c r="K796" s="87"/>
      <c r="L796" s="87"/>
      <c r="M796" s="87"/>
    </row>
    <row r="797" spans="3:13" ht="14.4" x14ac:dyDescent="0.3">
      <c r="C797" s="86"/>
      <c r="D797" s="87"/>
      <c r="E797" s="87"/>
      <c r="I797" s="86"/>
      <c r="J797" s="86"/>
      <c r="K797" s="87"/>
      <c r="L797" s="87"/>
      <c r="M797" s="87"/>
    </row>
    <row r="798" spans="3:13" ht="14.4" x14ac:dyDescent="0.3">
      <c r="C798" s="86"/>
      <c r="D798" s="87"/>
      <c r="E798" s="87"/>
      <c r="I798" s="86"/>
      <c r="J798" s="86"/>
      <c r="K798" s="87"/>
      <c r="L798" s="87"/>
      <c r="M798" s="87"/>
    </row>
    <row r="799" spans="3:13" ht="14.4" x14ac:dyDescent="0.3">
      <c r="C799" s="86"/>
      <c r="D799" s="87"/>
      <c r="E799" s="87"/>
      <c r="I799" s="86"/>
      <c r="J799" s="86"/>
      <c r="K799" s="87"/>
      <c r="L799" s="87"/>
      <c r="M799" s="87"/>
    </row>
    <row r="800" spans="3:13" ht="14.4" x14ac:dyDescent="0.3">
      <c r="C800" s="86"/>
      <c r="D800" s="87"/>
      <c r="E800" s="87"/>
      <c r="I800" s="86"/>
      <c r="J800" s="86"/>
      <c r="K800" s="87"/>
      <c r="L800" s="87"/>
      <c r="M800" s="87"/>
    </row>
    <row r="801" spans="3:13" ht="14.4" x14ac:dyDescent="0.3">
      <c r="C801" s="86"/>
      <c r="D801" s="87"/>
      <c r="E801" s="87"/>
      <c r="I801" s="86"/>
      <c r="J801" s="86"/>
      <c r="K801" s="87"/>
      <c r="L801" s="87"/>
      <c r="M801" s="87"/>
    </row>
    <row r="802" spans="3:13" ht="14.4" x14ac:dyDescent="0.3">
      <c r="C802" s="86"/>
      <c r="D802" s="87"/>
      <c r="E802" s="87"/>
      <c r="I802" s="86"/>
      <c r="J802" s="86"/>
      <c r="K802" s="87"/>
      <c r="L802" s="87"/>
      <c r="M802" s="87"/>
    </row>
    <row r="803" spans="3:13" ht="14.4" x14ac:dyDescent="0.3">
      <c r="C803" s="86"/>
      <c r="D803" s="87"/>
      <c r="E803" s="87"/>
      <c r="I803" s="86"/>
      <c r="J803" s="86"/>
      <c r="K803" s="87"/>
      <c r="L803" s="87"/>
      <c r="M803" s="87"/>
    </row>
    <row r="804" spans="3:13" ht="14.4" x14ac:dyDescent="0.3">
      <c r="C804" s="86"/>
      <c r="D804" s="87"/>
      <c r="E804" s="87"/>
      <c r="I804" s="86"/>
      <c r="J804" s="86"/>
      <c r="K804" s="87"/>
      <c r="L804" s="87"/>
      <c r="M804" s="87"/>
    </row>
    <row r="805" spans="3:13" ht="14.4" x14ac:dyDescent="0.3">
      <c r="C805" s="86"/>
      <c r="D805" s="87"/>
      <c r="E805" s="87"/>
      <c r="I805" s="86"/>
      <c r="J805" s="86"/>
      <c r="K805" s="87"/>
      <c r="L805" s="87"/>
      <c r="M805" s="87"/>
    </row>
    <row r="806" spans="3:13" ht="14.4" x14ac:dyDescent="0.3">
      <c r="C806" s="86"/>
      <c r="D806" s="87"/>
      <c r="E806" s="87"/>
      <c r="I806" s="86"/>
      <c r="J806" s="86"/>
      <c r="K806" s="87"/>
      <c r="L806" s="87"/>
      <c r="M806" s="87"/>
    </row>
    <row r="807" spans="3:13" ht="14.4" x14ac:dyDescent="0.3">
      <c r="C807" s="86"/>
      <c r="D807" s="87"/>
      <c r="E807" s="87"/>
      <c r="I807" s="86"/>
      <c r="J807" s="86"/>
      <c r="K807" s="87"/>
      <c r="L807" s="87"/>
      <c r="M807" s="87"/>
    </row>
    <row r="808" spans="3:13" ht="14.4" x14ac:dyDescent="0.3">
      <c r="C808" s="86"/>
      <c r="D808" s="87"/>
      <c r="E808" s="87"/>
      <c r="I808" s="86"/>
      <c r="J808" s="86"/>
      <c r="K808" s="87"/>
      <c r="L808" s="87"/>
      <c r="M808" s="87"/>
    </row>
    <row r="809" spans="3:13" ht="14.4" x14ac:dyDescent="0.3">
      <c r="C809" s="86"/>
      <c r="D809" s="87"/>
      <c r="E809" s="87"/>
      <c r="I809" s="86"/>
      <c r="J809" s="86"/>
      <c r="K809" s="87"/>
      <c r="L809" s="87"/>
      <c r="M809" s="87"/>
    </row>
    <row r="810" spans="3:13" ht="14.4" x14ac:dyDescent="0.3">
      <c r="C810" s="86"/>
      <c r="D810" s="87"/>
      <c r="E810" s="87"/>
      <c r="I810" s="86"/>
      <c r="J810" s="86"/>
      <c r="K810" s="87"/>
      <c r="L810" s="87"/>
      <c r="M810" s="87"/>
    </row>
    <row r="811" spans="3:13" ht="14.4" x14ac:dyDescent="0.3">
      <c r="C811" s="86"/>
      <c r="D811" s="87"/>
      <c r="E811" s="87"/>
      <c r="I811" s="86"/>
      <c r="J811" s="86"/>
      <c r="K811" s="87"/>
      <c r="L811" s="87"/>
      <c r="M811" s="87"/>
    </row>
    <row r="812" spans="3:13" ht="14.4" x14ac:dyDescent="0.3">
      <c r="C812" s="86"/>
      <c r="D812" s="87"/>
      <c r="E812" s="87"/>
      <c r="I812" s="86"/>
      <c r="J812" s="86"/>
      <c r="K812" s="87"/>
      <c r="L812" s="87"/>
      <c r="M812" s="87"/>
    </row>
    <row r="813" spans="3:13" ht="14.4" x14ac:dyDescent="0.3">
      <c r="C813" s="86"/>
      <c r="D813" s="87"/>
      <c r="E813" s="87"/>
      <c r="I813" s="86"/>
      <c r="J813" s="86"/>
      <c r="K813" s="87"/>
      <c r="L813" s="87"/>
      <c r="M813" s="87"/>
    </row>
    <row r="814" spans="3:13" ht="14.4" x14ac:dyDescent="0.3">
      <c r="C814" s="86"/>
      <c r="D814" s="87"/>
      <c r="E814" s="87"/>
      <c r="I814" s="86"/>
      <c r="J814" s="86"/>
      <c r="K814" s="87"/>
      <c r="L814" s="87"/>
      <c r="M814" s="87"/>
    </row>
    <row r="815" spans="3:13" ht="14.4" x14ac:dyDescent="0.3">
      <c r="C815" s="86"/>
      <c r="D815" s="87"/>
      <c r="E815" s="87"/>
      <c r="I815" s="86"/>
      <c r="J815" s="86"/>
      <c r="K815" s="87"/>
      <c r="L815" s="87"/>
      <c r="M815" s="87"/>
    </row>
    <row r="816" spans="3:13" ht="14.4" x14ac:dyDescent="0.3">
      <c r="C816" s="86"/>
      <c r="D816" s="87"/>
      <c r="E816" s="87"/>
      <c r="I816" s="86"/>
      <c r="J816" s="86"/>
      <c r="K816" s="87"/>
      <c r="L816" s="87"/>
      <c r="M816" s="87"/>
    </row>
    <row r="817" spans="3:13" ht="14.4" x14ac:dyDescent="0.3">
      <c r="C817" s="86"/>
      <c r="D817" s="87"/>
      <c r="E817" s="87"/>
      <c r="I817" s="86"/>
      <c r="J817" s="86"/>
      <c r="K817" s="87"/>
      <c r="L817" s="87"/>
      <c r="M817" s="87"/>
    </row>
    <row r="818" spans="3:13" ht="14.4" x14ac:dyDescent="0.3">
      <c r="C818" s="86"/>
      <c r="D818" s="87"/>
      <c r="E818" s="87"/>
      <c r="I818" s="86"/>
      <c r="J818" s="86"/>
      <c r="K818" s="87"/>
      <c r="L818" s="87"/>
      <c r="M818" s="87"/>
    </row>
    <row r="819" spans="3:13" ht="14.4" x14ac:dyDescent="0.3">
      <c r="C819" s="86"/>
      <c r="D819" s="87"/>
      <c r="E819" s="87"/>
      <c r="I819" s="86"/>
      <c r="J819" s="86"/>
      <c r="K819" s="87"/>
      <c r="L819" s="87"/>
      <c r="M819" s="87"/>
    </row>
    <row r="820" spans="3:13" ht="14.4" x14ac:dyDescent="0.3">
      <c r="C820" s="86"/>
      <c r="D820" s="87"/>
      <c r="E820" s="87"/>
      <c r="I820" s="86"/>
      <c r="J820" s="86"/>
      <c r="K820" s="87"/>
      <c r="L820" s="87"/>
      <c r="M820" s="87"/>
    </row>
    <row r="821" spans="3:13" ht="14.4" x14ac:dyDescent="0.3">
      <c r="C821" s="86"/>
      <c r="D821" s="87"/>
      <c r="E821" s="87"/>
      <c r="I821" s="86"/>
      <c r="J821" s="86"/>
      <c r="K821" s="87"/>
      <c r="L821" s="87"/>
      <c r="M821" s="87"/>
    </row>
    <row r="822" spans="3:13" ht="14.4" x14ac:dyDescent="0.3">
      <c r="C822" s="86"/>
      <c r="D822" s="87"/>
      <c r="E822" s="87"/>
      <c r="I822" s="86"/>
      <c r="J822" s="86"/>
      <c r="K822" s="87"/>
      <c r="L822" s="87"/>
      <c r="M822" s="87"/>
    </row>
    <row r="823" spans="3:13" ht="14.4" x14ac:dyDescent="0.3">
      <c r="C823" s="86"/>
      <c r="D823" s="87"/>
      <c r="E823" s="87"/>
      <c r="I823" s="86"/>
      <c r="J823" s="86"/>
      <c r="K823" s="87"/>
      <c r="L823" s="87"/>
      <c r="M823" s="87"/>
    </row>
    <row r="824" spans="3:13" ht="14.4" x14ac:dyDescent="0.3">
      <c r="C824" s="86"/>
      <c r="D824" s="87"/>
      <c r="E824" s="87"/>
      <c r="I824" s="86"/>
      <c r="J824" s="86"/>
      <c r="K824" s="87"/>
      <c r="L824" s="87"/>
      <c r="M824" s="87"/>
    </row>
    <row r="825" spans="3:13" ht="14.4" x14ac:dyDescent="0.3">
      <c r="C825" s="86"/>
      <c r="D825" s="87"/>
      <c r="E825" s="87"/>
      <c r="I825" s="86"/>
      <c r="J825" s="86"/>
      <c r="K825" s="87"/>
      <c r="L825" s="87"/>
      <c r="M825" s="87"/>
    </row>
    <row r="826" spans="3:13" ht="14.4" x14ac:dyDescent="0.3">
      <c r="C826" s="86"/>
      <c r="D826" s="87"/>
      <c r="E826" s="87"/>
      <c r="I826" s="86"/>
      <c r="J826" s="86"/>
      <c r="K826" s="87"/>
      <c r="L826" s="87"/>
      <c r="M826" s="87"/>
    </row>
    <row r="827" spans="3:13" ht="14.4" x14ac:dyDescent="0.3">
      <c r="C827" s="86"/>
      <c r="D827" s="87"/>
      <c r="E827" s="87"/>
      <c r="I827" s="86"/>
      <c r="J827" s="86"/>
      <c r="K827" s="87"/>
      <c r="L827" s="87"/>
      <c r="M827" s="87"/>
    </row>
    <row r="828" spans="3:13" ht="14.4" x14ac:dyDescent="0.3">
      <c r="C828" s="86"/>
      <c r="D828" s="87"/>
      <c r="E828" s="87"/>
      <c r="I828" s="86"/>
      <c r="J828" s="86"/>
      <c r="K828" s="87"/>
      <c r="L828" s="87"/>
      <c r="M828" s="87"/>
    </row>
    <row r="829" spans="3:13" ht="14.4" x14ac:dyDescent="0.3">
      <c r="C829" s="86"/>
      <c r="D829" s="87"/>
      <c r="E829" s="87"/>
      <c r="I829" s="86"/>
      <c r="J829" s="86"/>
      <c r="K829" s="87"/>
      <c r="L829" s="87"/>
      <c r="M829" s="87"/>
    </row>
    <row r="830" spans="3:13" ht="14.4" x14ac:dyDescent="0.3">
      <c r="C830" s="86"/>
      <c r="D830" s="87"/>
      <c r="E830" s="87"/>
      <c r="I830" s="86"/>
      <c r="J830" s="86"/>
      <c r="K830" s="87"/>
      <c r="L830" s="87"/>
      <c r="M830" s="87"/>
    </row>
    <row r="831" spans="3:13" ht="14.4" x14ac:dyDescent="0.3">
      <c r="C831" s="86"/>
      <c r="D831" s="87"/>
      <c r="E831" s="87"/>
      <c r="I831" s="86"/>
      <c r="J831" s="86"/>
      <c r="K831" s="87"/>
      <c r="L831" s="87"/>
      <c r="M831" s="87"/>
    </row>
    <row r="832" spans="3:13" ht="14.4" x14ac:dyDescent="0.3">
      <c r="C832" s="86"/>
      <c r="D832" s="87"/>
      <c r="E832" s="87"/>
      <c r="I832" s="86"/>
      <c r="J832" s="86"/>
      <c r="K832" s="87"/>
      <c r="L832" s="87"/>
      <c r="M832" s="87"/>
    </row>
    <row r="833" spans="3:13" ht="14.4" x14ac:dyDescent="0.3">
      <c r="C833" s="86"/>
      <c r="D833" s="87"/>
      <c r="E833" s="87"/>
      <c r="I833" s="86"/>
      <c r="J833" s="86"/>
      <c r="K833" s="87"/>
      <c r="L833" s="87"/>
      <c r="M833" s="87"/>
    </row>
    <row r="834" spans="3:13" ht="14.4" x14ac:dyDescent="0.3">
      <c r="C834" s="86"/>
      <c r="D834" s="87"/>
      <c r="E834" s="87"/>
      <c r="I834" s="86"/>
      <c r="J834" s="86"/>
      <c r="K834" s="87"/>
      <c r="L834" s="87"/>
      <c r="M834" s="87"/>
    </row>
    <row r="835" spans="3:13" ht="14.4" x14ac:dyDescent="0.3">
      <c r="C835" s="86"/>
      <c r="D835" s="87"/>
      <c r="E835" s="87"/>
      <c r="I835" s="86"/>
      <c r="J835" s="86"/>
      <c r="K835" s="87"/>
      <c r="L835" s="87"/>
      <c r="M835" s="87"/>
    </row>
    <row r="836" spans="3:13" ht="14.4" x14ac:dyDescent="0.3">
      <c r="C836" s="86"/>
      <c r="D836" s="87"/>
      <c r="E836" s="87"/>
      <c r="I836" s="86"/>
      <c r="J836" s="86"/>
      <c r="K836" s="87"/>
      <c r="L836" s="87"/>
      <c r="M836" s="87"/>
    </row>
    <row r="837" spans="3:13" ht="14.4" x14ac:dyDescent="0.3">
      <c r="C837" s="86"/>
      <c r="D837" s="87"/>
      <c r="E837" s="87"/>
      <c r="I837" s="86"/>
      <c r="J837" s="86"/>
      <c r="K837" s="87"/>
      <c r="L837" s="87"/>
      <c r="M837" s="87"/>
    </row>
    <row r="838" spans="3:13" ht="14.4" x14ac:dyDescent="0.3">
      <c r="C838" s="86"/>
      <c r="D838" s="87"/>
      <c r="E838" s="87"/>
      <c r="I838" s="86"/>
      <c r="J838" s="86"/>
      <c r="K838" s="87"/>
      <c r="L838" s="87"/>
      <c r="M838" s="87"/>
    </row>
    <row r="839" spans="3:13" ht="14.4" x14ac:dyDescent="0.3">
      <c r="C839" s="86"/>
      <c r="D839" s="87"/>
      <c r="E839" s="87"/>
      <c r="I839" s="86"/>
      <c r="J839" s="86"/>
      <c r="K839" s="87"/>
      <c r="L839" s="87"/>
      <c r="M839" s="87"/>
    </row>
    <row r="840" spans="3:13" ht="14.4" x14ac:dyDescent="0.3">
      <c r="C840" s="86"/>
      <c r="D840" s="87"/>
      <c r="E840" s="87"/>
      <c r="I840" s="86"/>
      <c r="J840" s="86"/>
      <c r="K840" s="87"/>
      <c r="L840" s="87"/>
      <c r="M840" s="87"/>
    </row>
    <row r="841" spans="3:13" ht="14.4" x14ac:dyDescent="0.3">
      <c r="C841" s="86"/>
      <c r="D841" s="87"/>
      <c r="E841" s="87"/>
      <c r="I841" s="86"/>
      <c r="J841" s="86"/>
      <c r="K841" s="87"/>
      <c r="L841" s="87"/>
      <c r="M841" s="87"/>
    </row>
    <row r="842" spans="3:13" ht="14.4" x14ac:dyDescent="0.3">
      <c r="C842" s="86"/>
      <c r="D842" s="87"/>
      <c r="E842" s="87"/>
      <c r="I842" s="86"/>
      <c r="J842" s="86"/>
      <c r="K842" s="87"/>
      <c r="L842" s="87"/>
      <c r="M842" s="87"/>
    </row>
    <row r="843" spans="3:13" ht="14.4" x14ac:dyDescent="0.3">
      <c r="C843" s="86"/>
      <c r="D843" s="87"/>
      <c r="E843" s="87"/>
      <c r="I843" s="86"/>
      <c r="J843" s="86"/>
      <c r="K843" s="87"/>
      <c r="L843" s="87"/>
      <c r="M843" s="87"/>
    </row>
    <row r="844" spans="3:13" ht="14.4" x14ac:dyDescent="0.3">
      <c r="C844" s="86"/>
      <c r="D844" s="87"/>
      <c r="E844" s="87"/>
      <c r="I844" s="86"/>
      <c r="J844" s="86"/>
      <c r="K844" s="87"/>
      <c r="L844" s="87"/>
      <c r="M844" s="87"/>
    </row>
    <row r="845" spans="3:13" ht="14.4" x14ac:dyDescent="0.3">
      <c r="C845" s="86"/>
      <c r="D845" s="87"/>
      <c r="E845" s="87"/>
      <c r="I845" s="86"/>
      <c r="J845" s="86"/>
      <c r="K845" s="87"/>
      <c r="L845" s="87"/>
      <c r="M845" s="87"/>
    </row>
    <row r="846" spans="3:13" ht="14.4" x14ac:dyDescent="0.3">
      <c r="C846" s="86"/>
      <c r="D846" s="87"/>
      <c r="E846" s="87"/>
      <c r="I846" s="86"/>
      <c r="J846" s="86"/>
      <c r="K846" s="87"/>
      <c r="L846" s="87"/>
      <c r="M846" s="87"/>
    </row>
    <row r="847" spans="3:13" ht="14.4" x14ac:dyDescent="0.3">
      <c r="C847" s="86"/>
      <c r="D847" s="87"/>
      <c r="E847" s="87"/>
      <c r="I847" s="86"/>
      <c r="J847" s="86"/>
      <c r="K847" s="87"/>
      <c r="L847" s="87"/>
      <c r="M847" s="87"/>
    </row>
    <row r="848" spans="3:13" ht="14.4" x14ac:dyDescent="0.3">
      <c r="C848" s="86"/>
      <c r="D848" s="87"/>
      <c r="E848" s="87"/>
      <c r="I848" s="86"/>
      <c r="J848" s="86"/>
      <c r="K848" s="87"/>
      <c r="L848" s="87"/>
      <c r="M848" s="87"/>
    </row>
    <row r="849" spans="3:13" ht="14.4" x14ac:dyDescent="0.3">
      <c r="C849" s="86"/>
      <c r="D849" s="87"/>
      <c r="E849" s="87"/>
      <c r="I849" s="86"/>
      <c r="J849" s="86"/>
      <c r="K849" s="87"/>
      <c r="L849" s="87"/>
      <c r="M849" s="87"/>
    </row>
    <row r="850" spans="3:13" ht="14.4" x14ac:dyDescent="0.3">
      <c r="C850" s="86"/>
      <c r="D850" s="87"/>
      <c r="E850" s="87"/>
      <c r="I850" s="86"/>
      <c r="J850" s="86"/>
      <c r="K850" s="87"/>
      <c r="L850" s="87"/>
      <c r="M850" s="87"/>
    </row>
    <row r="851" spans="3:13" ht="14.4" x14ac:dyDescent="0.3">
      <c r="C851" s="86"/>
      <c r="D851" s="87"/>
      <c r="E851" s="87"/>
      <c r="I851" s="86"/>
      <c r="J851" s="86"/>
      <c r="K851" s="87"/>
      <c r="L851" s="87"/>
      <c r="M851" s="87"/>
    </row>
    <row r="852" spans="3:13" ht="14.4" x14ac:dyDescent="0.3">
      <c r="C852" s="86"/>
      <c r="D852" s="87"/>
      <c r="E852" s="87"/>
      <c r="I852" s="86"/>
      <c r="J852" s="86"/>
      <c r="K852" s="87"/>
      <c r="L852" s="87"/>
      <c r="M852" s="87"/>
    </row>
    <row r="853" spans="3:13" ht="14.4" x14ac:dyDescent="0.3">
      <c r="C853" s="86"/>
      <c r="D853" s="87"/>
      <c r="E853" s="87"/>
      <c r="I853" s="86"/>
      <c r="J853" s="86"/>
      <c r="K853" s="87"/>
      <c r="L853" s="87"/>
      <c r="M853" s="87"/>
    </row>
    <row r="854" spans="3:13" ht="14.4" x14ac:dyDescent="0.3">
      <c r="C854" s="86"/>
      <c r="D854" s="87"/>
      <c r="E854" s="87"/>
      <c r="I854" s="86"/>
      <c r="J854" s="86"/>
      <c r="K854" s="87"/>
      <c r="L854" s="87"/>
      <c r="M854" s="87"/>
    </row>
    <row r="855" spans="3:13" ht="14.4" x14ac:dyDescent="0.3">
      <c r="C855" s="86"/>
      <c r="D855" s="87"/>
      <c r="E855" s="87"/>
      <c r="I855" s="86"/>
      <c r="J855" s="86"/>
      <c r="K855" s="87"/>
      <c r="L855" s="87"/>
      <c r="M855" s="87"/>
    </row>
    <row r="856" spans="3:13" ht="14.4" x14ac:dyDescent="0.3">
      <c r="C856" s="86"/>
      <c r="D856" s="87"/>
      <c r="E856" s="87"/>
      <c r="I856" s="86"/>
      <c r="J856" s="86"/>
      <c r="K856" s="87"/>
      <c r="L856" s="87"/>
      <c r="M856" s="87"/>
    </row>
    <row r="857" spans="3:13" ht="14.4" x14ac:dyDescent="0.3">
      <c r="C857" s="86"/>
      <c r="D857" s="87"/>
      <c r="E857" s="87"/>
      <c r="I857" s="86"/>
      <c r="J857" s="86"/>
      <c r="K857" s="87"/>
      <c r="L857" s="87"/>
      <c r="M857" s="87"/>
    </row>
    <row r="858" spans="3:13" ht="14.4" x14ac:dyDescent="0.3">
      <c r="C858" s="86"/>
      <c r="D858" s="87"/>
      <c r="E858" s="87"/>
      <c r="I858" s="86"/>
      <c r="J858" s="86"/>
      <c r="K858" s="87"/>
      <c r="L858" s="87"/>
      <c r="M858" s="87"/>
    </row>
    <row r="859" spans="3:13" ht="14.4" x14ac:dyDescent="0.3">
      <c r="C859" s="86"/>
      <c r="D859" s="87"/>
      <c r="E859" s="87"/>
      <c r="I859" s="86"/>
      <c r="J859" s="86"/>
      <c r="K859" s="87"/>
      <c r="L859" s="87"/>
      <c r="M859" s="87"/>
    </row>
    <row r="860" spans="3:13" ht="14.4" x14ac:dyDescent="0.3">
      <c r="C860" s="86"/>
      <c r="D860" s="87"/>
      <c r="E860" s="87"/>
      <c r="I860" s="86"/>
      <c r="J860" s="86"/>
      <c r="K860" s="87"/>
      <c r="L860" s="87"/>
      <c r="M860" s="87"/>
    </row>
    <row r="861" spans="3:13" ht="14.4" x14ac:dyDescent="0.3">
      <c r="C861" s="86"/>
      <c r="D861" s="87"/>
      <c r="E861" s="87"/>
      <c r="I861" s="86"/>
      <c r="J861" s="86"/>
      <c r="K861" s="87"/>
      <c r="L861" s="87"/>
      <c r="M861" s="87"/>
    </row>
    <row r="862" spans="3:13" ht="14.4" x14ac:dyDescent="0.3">
      <c r="C862" s="86"/>
      <c r="D862" s="87"/>
      <c r="E862" s="87"/>
      <c r="I862" s="86"/>
      <c r="J862" s="86"/>
      <c r="K862" s="87"/>
      <c r="L862" s="87"/>
      <c r="M862" s="87"/>
    </row>
    <row r="863" spans="3:13" ht="14.4" x14ac:dyDescent="0.3">
      <c r="C863" s="86"/>
      <c r="D863" s="87"/>
      <c r="E863" s="87"/>
      <c r="I863" s="86"/>
      <c r="J863" s="86"/>
      <c r="K863" s="87"/>
      <c r="L863" s="87"/>
      <c r="M863" s="87"/>
    </row>
    <row r="864" spans="3:13" ht="14.4" x14ac:dyDescent="0.3">
      <c r="C864" s="86"/>
      <c r="D864" s="87"/>
      <c r="E864" s="87"/>
      <c r="I864" s="86"/>
      <c r="J864" s="86"/>
      <c r="K864" s="87"/>
      <c r="L864" s="87"/>
      <c r="M864" s="87"/>
    </row>
    <row r="865" spans="3:13" ht="14.4" x14ac:dyDescent="0.3">
      <c r="C865" s="86"/>
      <c r="D865" s="87"/>
      <c r="E865" s="87"/>
      <c r="I865" s="86"/>
      <c r="J865" s="86"/>
      <c r="K865" s="87"/>
      <c r="L865" s="87"/>
      <c r="M865" s="87"/>
    </row>
    <row r="866" spans="3:13" ht="14.4" x14ac:dyDescent="0.3">
      <c r="C866" s="86"/>
      <c r="D866" s="87"/>
      <c r="E866" s="87"/>
      <c r="I866" s="86"/>
      <c r="J866" s="86"/>
      <c r="K866" s="87"/>
      <c r="L866" s="87"/>
      <c r="M866" s="87"/>
    </row>
    <row r="867" spans="3:13" ht="14.4" x14ac:dyDescent="0.3">
      <c r="C867" s="86"/>
      <c r="D867" s="87"/>
      <c r="E867" s="87"/>
      <c r="I867" s="86"/>
      <c r="J867" s="86"/>
      <c r="K867" s="87"/>
      <c r="L867" s="87"/>
      <c r="M867" s="87"/>
    </row>
    <row r="868" spans="3:13" ht="14.4" x14ac:dyDescent="0.3">
      <c r="C868" s="86"/>
      <c r="D868" s="87"/>
      <c r="E868" s="87"/>
      <c r="I868" s="86"/>
      <c r="J868" s="86"/>
      <c r="K868" s="87"/>
      <c r="L868" s="87"/>
      <c r="M868" s="87"/>
    </row>
    <row r="869" spans="3:13" ht="14.4" x14ac:dyDescent="0.3">
      <c r="C869" s="86"/>
      <c r="D869" s="87"/>
      <c r="E869" s="87"/>
      <c r="I869" s="86"/>
      <c r="J869" s="86"/>
      <c r="K869" s="87"/>
      <c r="L869" s="87"/>
      <c r="M869" s="87"/>
    </row>
    <row r="870" spans="3:13" ht="14.4" x14ac:dyDescent="0.3">
      <c r="C870" s="86"/>
      <c r="D870" s="87"/>
      <c r="E870" s="87"/>
      <c r="I870" s="86"/>
      <c r="J870" s="86"/>
      <c r="K870" s="87"/>
      <c r="L870" s="87"/>
      <c r="M870" s="87"/>
    </row>
    <row r="871" spans="3:13" ht="14.4" x14ac:dyDescent="0.3">
      <c r="C871" s="86"/>
      <c r="D871" s="87"/>
      <c r="E871" s="87"/>
      <c r="I871" s="86"/>
      <c r="J871" s="86"/>
      <c r="K871" s="87"/>
      <c r="L871" s="87"/>
      <c r="M871" s="87"/>
    </row>
    <row r="872" spans="3:13" ht="14.4" x14ac:dyDescent="0.3">
      <c r="C872" s="86"/>
      <c r="D872" s="87"/>
      <c r="E872" s="87"/>
      <c r="I872" s="86"/>
      <c r="J872" s="86"/>
      <c r="K872" s="87"/>
      <c r="L872" s="87"/>
      <c r="M872" s="87"/>
    </row>
    <row r="873" spans="3:13" ht="14.4" x14ac:dyDescent="0.3">
      <c r="C873" s="86"/>
      <c r="D873" s="87"/>
      <c r="E873" s="87"/>
      <c r="I873" s="86"/>
      <c r="J873" s="86"/>
      <c r="K873" s="87"/>
      <c r="L873" s="87"/>
      <c r="M873" s="87"/>
    </row>
    <row r="874" spans="3:13" ht="14.4" x14ac:dyDescent="0.3">
      <c r="C874" s="86"/>
      <c r="D874" s="87"/>
      <c r="E874" s="87"/>
      <c r="I874" s="86"/>
      <c r="J874" s="86"/>
      <c r="K874" s="87"/>
      <c r="L874" s="87"/>
      <c r="M874" s="87"/>
    </row>
    <row r="875" spans="3:13" ht="14.4" x14ac:dyDescent="0.3">
      <c r="C875" s="86"/>
      <c r="D875" s="87"/>
      <c r="E875" s="87"/>
      <c r="I875" s="86"/>
      <c r="J875" s="86"/>
      <c r="K875" s="87"/>
      <c r="L875" s="87"/>
      <c r="M875" s="87"/>
    </row>
    <row r="876" spans="3:13" ht="14.4" x14ac:dyDescent="0.3">
      <c r="C876" s="86"/>
      <c r="D876" s="87"/>
      <c r="E876" s="87"/>
      <c r="I876" s="86"/>
      <c r="J876" s="86"/>
      <c r="K876" s="87"/>
      <c r="L876" s="87"/>
      <c r="M876" s="87"/>
    </row>
    <row r="877" spans="3:13" ht="14.4" x14ac:dyDescent="0.3">
      <c r="C877" s="86"/>
      <c r="D877" s="87"/>
      <c r="E877" s="87"/>
      <c r="I877" s="86"/>
      <c r="J877" s="86"/>
      <c r="K877" s="87"/>
      <c r="L877" s="87"/>
      <c r="M877" s="87"/>
    </row>
    <row r="878" spans="3:13" ht="14.4" x14ac:dyDescent="0.3">
      <c r="C878" s="86"/>
      <c r="D878" s="87"/>
      <c r="E878" s="87"/>
      <c r="I878" s="86"/>
      <c r="J878" s="86"/>
      <c r="K878" s="87"/>
      <c r="L878" s="87"/>
      <c r="M878" s="87"/>
    </row>
    <row r="879" spans="3:13" ht="14.4" x14ac:dyDescent="0.3">
      <c r="C879" s="86"/>
      <c r="D879" s="87"/>
      <c r="E879" s="87"/>
      <c r="I879" s="86"/>
      <c r="J879" s="86"/>
      <c r="K879" s="87"/>
      <c r="L879" s="87"/>
      <c r="M879" s="87"/>
    </row>
    <row r="880" spans="3:13" ht="14.4" x14ac:dyDescent="0.3">
      <c r="C880" s="86"/>
      <c r="D880" s="87"/>
      <c r="E880" s="87"/>
      <c r="I880" s="86"/>
      <c r="J880" s="86"/>
      <c r="K880" s="87"/>
      <c r="L880" s="87"/>
      <c r="M880" s="87"/>
    </row>
    <row r="881" spans="3:13" ht="14.4" x14ac:dyDescent="0.3">
      <c r="C881" s="86"/>
      <c r="D881" s="87"/>
      <c r="E881" s="87"/>
      <c r="I881" s="86"/>
      <c r="J881" s="86"/>
      <c r="K881" s="87"/>
      <c r="L881" s="87"/>
      <c r="M881" s="87"/>
    </row>
    <row r="882" spans="3:13" ht="14.4" x14ac:dyDescent="0.3">
      <c r="C882" s="86"/>
      <c r="D882" s="87"/>
      <c r="E882" s="87"/>
      <c r="I882" s="86"/>
      <c r="J882" s="86"/>
      <c r="K882" s="87"/>
      <c r="L882" s="87"/>
      <c r="M882" s="87"/>
    </row>
    <row r="883" spans="3:13" ht="14.4" x14ac:dyDescent="0.3">
      <c r="C883" s="86"/>
      <c r="D883" s="87"/>
      <c r="E883" s="87"/>
      <c r="I883" s="86"/>
      <c r="J883" s="86"/>
      <c r="K883" s="87"/>
      <c r="L883" s="87"/>
      <c r="M883" s="87"/>
    </row>
    <row r="884" spans="3:13" ht="14.4" x14ac:dyDescent="0.3">
      <c r="C884" s="86"/>
      <c r="D884" s="87"/>
      <c r="E884" s="87"/>
      <c r="I884" s="86"/>
      <c r="J884" s="86"/>
      <c r="K884" s="87"/>
      <c r="L884" s="87"/>
      <c r="M884" s="87"/>
    </row>
    <row r="885" spans="3:13" ht="14.4" x14ac:dyDescent="0.3">
      <c r="C885" s="86"/>
      <c r="D885" s="87"/>
      <c r="E885" s="87"/>
      <c r="I885" s="86"/>
      <c r="J885" s="86"/>
      <c r="K885" s="87"/>
      <c r="L885" s="87"/>
      <c r="M885" s="87"/>
    </row>
    <row r="886" spans="3:13" ht="14.4" x14ac:dyDescent="0.3">
      <c r="C886" s="86"/>
      <c r="D886" s="87"/>
      <c r="E886" s="87"/>
      <c r="I886" s="86"/>
      <c r="J886" s="86"/>
      <c r="K886" s="87"/>
      <c r="L886" s="87"/>
      <c r="M886" s="87"/>
    </row>
    <row r="887" spans="3:13" ht="14.4" x14ac:dyDescent="0.3">
      <c r="C887" s="86"/>
      <c r="D887" s="87"/>
      <c r="E887" s="87"/>
      <c r="I887" s="86"/>
      <c r="J887" s="86"/>
      <c r="K887" s="87"/>
      <c r="L887" s="87"/>
      <c r="M887" s="87"/>
    </row>
    <row r="888" spans="3:13" ht="14.4" x14ac:dyDescent="0.3">
      <c r="C888" s="86"/>
      <c r="D888" s="87"/>
      <c r="E888" s="87"/>
      <c r="I888" s="86"/>
      <c r="J888" s="86"/>
      <c r="K888" s="87"/>
      <c r="L888" s="87"/>
      <c r="M888" s="87"/>
    </row>
    <row r="889" spans="3:13" ht="14.4" x14ac:dyDescent="0.3">
      <c r="C889" s="86"/>
      <c r="D889" s="87"/>
      <c r="E889" s="87"/>
      <c r="I889" s="86"/>
      <c r="J889" s="86"/>
      <c r="K889" s="87"/>
      <c r="L889" s="87"/>
      <c r="M889" s="87"/>
    </row>
    <row r="890" spans="3:13" ht="14.4" x14ac:dyDescent="0.3">
      <c r="C890" s="86"/>
      <c r="D890" s="87"/>
      <c r="E890" s="87"/>
      <c r="I890" s="86"/>
      <c r="J890" s="86"/>
      <c r="K890" s="87"/>
      <c r="L890" s="87"/>
      <c r="M890" s="87"/>
    </row>
    <row r="891" spans="3:13" ht="14.4" x14ac:dyDescent="0.3">
      <c r="C891" s="86"/>
      <c r="D891" s="87"/>
      <c r="E891" s="87"/>
      <c r="I891" s="86"/>
      <c r="J891" s="86"/>
      <c r="K891" s="87"/>
      <c r="L891" s="87"/>
      <c r="M891" s="87"/>
    </row>
    <row r="892" spans="3:13" ht="14.4" x14ac:dyDescent="0.3">
      <c r="C892" s="86"/>
      <c r="D892" s="87"/>
      <c r="E892" s="87"/>
      <c r="I892" s="86"/>
      <c r="J892" s="86"/>
      <c r="K892" s="87"/>
      <c r="L892" s="87"/>
      <c r="M892" s="87"/>
    </row>
    <row r="893" spans="3:13" ht="14.4" x14ac:dyDescent="0.3">
      <c r="C893" s="86"/>
      <c r="D893" s="87"/>
      <c r="E893" s="87"/>
      <c r="I893" s="86"/>
      <c r="J893" s="86"/>
      <c r="K893" s="87"/>
      <c r="L893" s="87"/>
      <c r="M893" s="87"/>
    </row>
    <row r="894" spans="3:13" ht="14.4" x14ac:dyDescent="0.3">
      <c r="C894" s="86"/>
      <c r="D894" s="87"/>
      <c r="E894" s="87"/>
      <c r="I894" s="86"/>
      <c r="J894" s="86"/>
      <c r="K894" s="87"/>
      <c r="L894" s="87"/>
      <c r="M894" s="87"/>
    </row>
    <row r="895" spans="3:13" ht="14.4" x14ac:dyDescent="0.3">
      <c r="C895" s="86"/>
      <c r="D895" s="87"/>
      <c r="E895" s="87"/>
      <c r="I895" s="86"/>
      <c r="J895" s="86"/>
      <c r="K895" s="87"/>
      <c r="L895" s="87"/>
      <c r="M895" s="87"/>
    </row>
    <row r="896" spans="3:13" ht="14.4" x14ac:dyDescent="0.3">
      <c r="C896" s="86"/>
      <c r="D896" s="87"/>
      <c r="E896" s="87"/>
      <c r="I896" s="86"/>
      <c r="J896" s="86"/>
      <c r="K896" s="87"/>
      <c r="L896" s="87"/>
      <c r="M896" s="87"/>
    </row>
    <row r="897" spans="3:13" ht="14.4" x14ac:dyDescent="0.3">
      <c r="C897" s="86"/>
      <c r="D897" s="87"/>
      <c r="E897" s="87"/>
      <c r="I897" s="86"/>
      <c r="J897" s="86"/>
      <c r="K897" s="87"/>
      <c r="L897" s="87"/>
      <c r="M897" s="87"/>
    </row>
    <row r="898" spans="3:13" ht="14.4" x14ac:dyDescent="0.3">
      <c r="C898" s="86"/>
      <c r="D898" s="87"/>
      <c r="E898" s="87"/>
      <c r="I898" s="86"/>
      <c r="J898" s="86"/>
      <c r="K898" s="87"/>
      <c r="L898" s="87"/>
      <c r="M898" s="87"/>
    </row>
    <row r="899" spans="3:13" ht="14.4" x14ac:dyDescent="0.3">
      <c r="C899" s="86"/>
      <c r="D899" s="87"/>
      <c r="E899" s="87"/>
      <c r="I899" s="86"/>
      <c r="J899" s="86"/>
      <c r="K899" s="87"/>
      <c r="L899" s="87"/>
      <c r="M899" s="87"/>
    </row>
    <row r="900" spans="3:13" ht="14.4" x14ac:dyDescent="0.3">
      <c r="C900" s="86"/>
      <c r="D900" s="87"/>
      <c r="E900" s="87"/>
      <c r="I900" s="86"/>
      <c r="J900" s="86"/>
      <c r="K900" s="87"/>
      <c r="L900" s="87"/>
      <c r="M900" s="87"/>
    </row>
    <row r="901" spans="3:13" ht="14.4" x14ac:dyDescent="0.3">
      <c r="C901" s="86"/>
      <c r="D901" s="87"/>
      <c r="E901" s="87"/>
      <c r="I901" s="86"/>
      <c r="J901" s="86"/>
      <c r="K901" s="87"/>
      <c r="L901" s="87"/>
      <c r="M901" s="87"/>
    </row>
    <row r="902" spans="3:13" ht="14.4" x14ac:dyDescent="0.3">
      <c r="C902" s="86"/>
      <c r="D902" s="87"/>
      <c r="E902" s="87"/>
      <c r="I902" s="86"/>
      <c r="J902" s="86"/>
      <c r="K902" s="87"/>
      <c r="L902" s="87"/>
      <c r="M902" s="87"/>
    </row>
    <row r="903" spans="3:13" ht="14.4" x14ac:dyDescent="0.3">
      <c r="C903" s="86"/>
      <c r="D903" s="87"/>
      <c r="E903" s="87"/>
      <c r="I903" s="86"/>
      <c r="J903" s="86"/>
      <c r="K903" s="87"/>
      <c r="L903" s="87"/>
      <c r="M903" s="87"/>
    </row>
    <row r="904" spans="3:13" ht="14.4" x14ac:dyDescent="0.3">
      <c r="C904" s="86"/>
      <c r="D904" s="87"/>
      <c r="E904" s="87"/>
      <c r="I904" s="86"/>
      <c r="J904" s="86"/>
      <c r="K904" s="87"/>
      <c r="L904" s="87"/>
      <c r="M904" s="87"/>
    </row>
    <row r="905" spans="3:13" ht="14.4" x14ac:dyDescent="0.3">
      <c r="C905" s="86"/>
      <c r="D905" s="87"/>
      <c r="E905" s="87"/>
      <c r="I905" s="86"/>
      <c r="J905" s="86"/>
      <c r="K905" s="87"/>
      <c r="L905" s="87"/>
      <c r="M905" s="87"/>
    </row>
    <row r="906" spans="3:13" ht="14.4" x14ac:dyDescent="0.3">
      <c r="C906" s="86"/>
      <c r="D906" s="87"/>
      <c r="E906" s="87"/>
      <c r="I906" s="86"/>
      <c r="J906" s="86"/>
      <c r="K906" s="87"/>
      <c r="L906" s="87"/>
      <c r="M906" s="87"/>
    </row>
    <row r="907" spans="3:13" ht="14.4" x14ac:dyDescent="0.3">
      <c r="C907" s="86"/>
      <c r="D907" s="87"/>
      <c r="E907" s="87"/>
      <c r="I907" s="86"/>
      <c r="J907" s="86"/>
      <c r="K907" s="87"/>
      <c r="L907" s="87"/>
      <c r="M907" s="87"/>
    </row>
    <row r="908" spans="3:13" ht="14.4" x14ac:dyDescent="0.3">
      <c r="C908" s="86"/>
      <c r="D908" s="87"/>
      <c r="E908" s="87"/>
      <c r="I908" s="86"/>
      <c r="J908" s="86"/>
      <c r="K908" s="87"/>
      <c r="L908" s="87"/>
      <c r="M908" s="87"/>
    </row>
    <row r="909" spans="3:13" ht="14.4" x14ac:dyDescent="0.3">
      <c r="C909" s="86"/>
      <c r="D909" s="87"/>
      <c r="E909" s="87"/>
      <c r="I909" s="86"/>
      <c r="J909" s="86"/>
      <c r="K909" s="87"/>
      <c r="L909" s="87"/>
      <c r="M909" s="87"/>
    </row>
    <row r="910" spans="3:13" ht="14.4" x14ac:dyDescent="0.3">
      <c r="C910" s="86"/>
      <c r="D910" s="87"/>
      <c r="E910" s="87"/>
      <c r="I910" s="86"/>
      <c r="J910" s="86"/>
      <c r="K910" s="87"/>
      <c r="L910" s="87"/>
      <c r="M910" s="87"/>
    </row>
    <row r="911" spans="3:13" ht="14.4" x14ac:dyDescent="0.3">
      <c r="C911" s="86"/>
      <c r="D911" s="87"/>
      <c r="E911" s="87"/>
      <c r="I911" s="86"/>
      <c r="J911" s="86"/>
      <c r="K911" s="87"/>
      <c r="L911" s="87"/>
      <c r="M911" s="87"/>
    </row>
    <row r="912" spans="3:13" ht="14.4" x14ac:dyDescent="0.3">
      <c r="C912" s="86"/>
      <c r="D912" s="87"/>
      <c r="E912" s="87"/>
      <c r="I912" s="86"/>
      <c r="J912" s="86"/>
      <c r="K912" s="87"/>
      <c r="L912" s="87"/>
      <c r="M912" s="87"/>
    </row>
    <row r="913" spans="3:13" ht="14.4" x14ac:dyDescent="0.3">
      <c r="C913" s="86"/>
      <c r="D913" s="87"/>
      <c r="E913" s="87"/>
      <c r="I913" s="86"/>
      <c r="J913" s="86"/>
      <c r="K913" s="87"/>
      <c r="L913" s="87"/>
      <c r="M913" s="87"/>
    </row>
    <row r="914" spans="3:13" ht="14.4" x14ac:dyDescent="0.3">
      <c r="C914" s="86"/>
      <c r="D914" s="87"/>
      <c r="E914" s="87"/>
      <c r="I914" s="86"/>
      <c r="J914" s="86"/>
      <c r="K914" s="87"/>
      <c r="L914" s="87"/>
      <c r="M914" s="87"/>
    </row>
    <row r="915" spans="3:13" ht="14.4" x14ac:dyDescent="0.3">
      <c r="C915" s="86"/>
      <c r="D915" s="87"/>
      <c r="E915" s="87"/>
      <c r="I915" s="86"/>
      <c r="J915" s="86"/>
      <c r="K915" s="87"/>
      <c r="L915" s="87"/>
      <c r="M915" s="87"/>
    </row>
    <row r="916" spans="3:13" ht="14.4" x14ac:dyDescent="0.3">
      <c r="C916" s="86"/>
      <c r="D916" s="87"/>
      <c r="E916" s="87"/>
      <c r="I916" s="86"/>
      <c r="J916" s="86"/>
      <c r="K916" s="87"/>
      <c r="L916" s="87"/>
      <c r="M916" s="87"/>
    </row>
    <row r="917" spans="3:13" ht="14.4" x14ac:dyDescent="0.3">
      <c r="C917" s="86"/>
      <c r="D917" s="87"/>
      <c r="E917" s="87"/>
      <c r="I917" s="86"/>
      <c r="J917" s="86"/>
      <c r="K917" s="87"/>
      <c r="L917" s="87"/>
      <c r="M917" s="87"/>
    </row>
    <row r="918" spans="3:13" ht="14.4" x14ac:dyDescent="0.3">
      <c r="C918" s="86"/>
      <c r="D918" s="87"/>
      <c r="E918" s="87"/>
      <c r="I918" s="86"/>
      <c r="J918" s="86"/>
      <c r="K918" s="87"/>
      <c r="L918" s="87"/>
      <c r="M918" s="87"/>
    </row>
    <row r="919" spans="3:13" ht="14.4" x14ac:dyDescent="0.3">
      <c r="C919" s="86"/>
      <c r="D919" s="87"/>
      <c r="E919" s="87"/>
      <c r="I919" s="86"/>
      <c r="J919" s="86"/>
      <c r="K919" s="87"/>
      <c r="L919" s="87"/>
      <c r="M919" s="87"/>
    </row>
    <row r="920" spans="3:13" ht="14.4" x14ac:dyDescent="0.3">
      <c r="C920" s="86"/>
      <c r="D920" s="87"/>
      <c r="E920" s="87"/>
      <c r="I920" s="86"/>
      <c r="J920" s="86"/>
      <c r="K920" s="87"/>
      <c r="L920" s="87"/>
      <c r="M920" s="87"/>
    </row>
    <row r="921" spans="3:13" ht="14.4" x14ac:dyDescent="0.3">
      <c r="C921" s="86"/>
      <c r="D921" s="87"/>
      <c r="E921" s="87"/>
      <c r="I921" s="86"/>
      <c r="J921" s="86"/>
      <c r="K921" s="87"/>
      <c r="L921" s="87"/>
      <c r="M921" s="87"/>
    </row>
    <row r="922" spans="3:13" ht="14.4" x14ac:dyDescent="0.3">
      <c r="C922" s="86"/>
      <c r="D922" s="87"/>
      <c r="E922" s="87"/>
      <c r="I922" s="86"/>
      <c r="J922" s="86"/>
      <c r="K922" s="87"/>
      <c r="L922" s="87"/>
      <c r="M922" s="87"/>
    </row>
    <row r="923" spans="3:13" ht="14.4" x14ac:dyDescent="0.3">
      <c r="C923" s="86"/>
      <c r="D923" s="87"/>
      <c r="E923" s="87"/>
      <c r="I923" s="86"/>
      <c r="J923" s="86"/>
      <c r="K923" s="87"/>
      <c r="L923" s="87"/>
      <c r="M923" s="87"/>
    </row>
    <row r="924" spans="3:13" ht="14.4" x14ac:dyDescent="0.3">
      <c r="C924" s="86"/>
      <c r="D924" s="87"/>
      <c r="E924" s="87"/>
      <c r="I924" s="86"/>
      <c r="J924" s="86"/>
      <c r="K924" s="87"/>
      <c r="L924" s="87"/>
      <c r="M924" s="87"/>
    </row>
    <row r="925" spans="3:13" ht="14.4" x14ac:dyDescent="0.3">
      <c r="C925" s="86"/>
      <c r="D925" s="87"/>
      <c r="E925" s="87"/>
      <c r="I925" s="86"/>
      <c r="J925" s="86"/>
      <c r="K925" s="87"/>
      <c r="L925" s="87"/>
      <c r="M925" s="87"/>
    </row>
    <row r="926" spans="3:13" ht="14.4" x14ac:dyDescent="0.3">
      <c r="C926" s="86"/>
      <c r="D926" s="87"/>
      <c r="E926" s="87"/>
      <c r="I926" s="86"/>
      <c r="J926" s="86"/>
      <c r="K926" s="87"/>
      <c r="L926" s="87"/>
      <c r="M926" s="87"/>
    </row>
    <row r="927" spans="3:13" ht="14.4" x14ac:dyDescent="0.3">
      <c r="C927" s="86"/>
      <c r="D927" s="87"/>
      <c r="E927" s="87"/>
      <c r="I927" s="86"/>
      <c r="J927" s="86"/>
      <c r="K927" s="87"/>
      <c r="L927" s="87"/>
      <c r="M927" s="87"/>
    </row>
    <row r="928" spans="3:13" ht="14.4" x14ac:dyDescent="0.3">
      <c r="C928" s="86"/>
      <c r="D928" s="87"/>
      <c r="E928" s="87"/>
      <c r="I928" s="86"/>
      <c r="J928" s="86"/>
      <c r="K928" s="87"/>
      <c r="L928" s="87"/>
      <c r="M928" s="87"/>
    </row>
    <row r="929" spans="3:13" ht="14.4" x14ac:dyDescent="0.3">
      <c r="C929" s="86"/>
      <c r="D929" s="87"/>
      <c r="E929" s="87"/>
      <c r="I929" s="86"/>
      <c r="J929" s="86"/>
      <c r="K929" s="87"/>
      <c r="L929" s="87"/>
      <c r="M929" s="87"/>
    </row>
    <row r="930" spans="3:13" ht="14.4" x14ac:dyDescent="0.3">
      <c r="C930" s="86"/>
      <c r="D930" s="87"/>
      <c r="E930" s="87"/>
      <c r="I930" s="86"/>
      <c r="J930" s="86"/>
      <c r="K930" s="87"/>
      <c r="L930" s="87"/>
      <c r="M930" s="87"/>
    </row>
    <row r="931" spans="3:13" ht="14.4" x14ac:dyDescent="0.3">
      <c r="C931" s="86"/>
      <c r="D931" s="87"/>
      <c r="E931" s="87"/>
      <c r="I931" s="86"/>
      <c r="J931" s="86"/>
      <c r="K931" s="87"/>
      <c r="L931" s="87"/>
      <c r="M931" s="87"/>
    </row>
    <row r="932" spans="3:13" ht="14.4" x14ac:dyDescent="0.3">
      <c r="C932" s="86"/>
      <c r="D932" s="87"/>
      <c r="E932" s="87"/>
      <c r="I932" s="86"/>
      <c r="J932" s="86"/>
      <c r="K932" s="87"/>
      <c r="L932" s="87"/>
      <c r="M932" s="87"/>
    </row>
    <row r="933" spans="3:13" ht="14.4" x14ac:dyDescent="0.3">
      <c r="C933" s="86"/>
      <c r="D933" s="87"/>
      <c r="E933" s="87"/>
      <c r="I933" s="86"/>
      <c r="J933" s="86"/>
      <c r="K933" s="87"/>
      <c r="L933" s="87"/>
      <c r="M933" s="87"/>
    </row>
    <row r="934" spans="3:13" ht="14.4" x14ac:dyDescent="0.3">
      <c r="C934" s="86"/>
      <c r="D934" s="87"/>
      <c r="E934" s="87"/>
      <c r="I934" s="86"/>
      <c r="J934" s="86"/>
      <c r="K934" s="87"/>
      <c r="L934" s="87"/>
      <c r="M934" s="87"/>
    </row>
    <row r="935" spans="3:13" ht="14.4" x14ac:dyDescent="0.3">
      <c r="C935" s="86"/>
      <c r="D935" s="87"/>
      <c r="E935" s="87"/>
      <c r="I935" s="86"/>
      <c r="J935" s="86"/>
      <c r="K935" s="87"/>
      <c r="L935" s="87"/>
      <c r="M935" s="87"/>
    </row>
    <row r="936" spans="3:13" ht="14.4" x14ac:dyDescent="0.3">
      <c r="C936" s="86"/>
      <c r="D936" s="87"/>
      <c r="E936" s="87"/>
      <c r="I936" s="86"/>
      <c r="J936" s="86"/>
      <c r="K936" s="87"/>
      <c r="L936" s="87"/>
      <c r="M936" s="87"/>
    </row>
    <row r="937" spans="3:13" ht="14.4" x14ac:dyDescent="0.3">
      <c r="C937" s="86"/>
      <c r="D937" s="87"/>
      <c r="E937" s="87"/>
      <c r="I937" s="86"/>
      <c r="J937" s="86"/>
      <c r="K937" s="87"/>
      <c r="L937" s="87"/>
      <c r="M937" s="87"/>
    </row>
    <row r="938" spans="3:13" ht="14.4" x14ac:dyDescent="0.3">
      <c r="C938" s="86"/>
      <c r="D938" s="87"/>
      <c r="E938" s="87"/>
      <c r="I938" s="86"/>
      <c r="J938" s="86"/>
      <c r="K938" s="87"/>
      <c r="L938" s="87"/>
      <c r="M938" s="87"/>
    </row>
    <row r="939" spans="3:13" ht="14.4" x14ac:dyDescent="0.3">
      <c r="C939" s="86"/>
      <c r="D939" s="87"/>
      <c r="E939" s="87"/>
      <c r="I939" s="86"/>
      <c r="J939" s="86"/>
      <c r="K939" s="87"/>
      <c r="L939" s="87"/>
      <c r="M939" s="87"/>
    </row>
    <row r="940" spans="3:13" ht="14.4" x14ac:dyDescent="0.3">
      <c r="C940" s="86"/>
      <c r="D940" s="87"/>
      <c r="E940" s="87"/>
      <c r="I940" s="86"/>
      <c r="J940" s="86"/>
      <c r="K940" s="87"/>
      <c r="L940" s="87"/>
      <c r="M940" s="87"/>
    </row>
    <row r="941" spans="3:13" ht="14.4" x14ac:dyDescent="0.3">
      <c r="C941" s="86"/>
      <c r="D941" s="87"/>
      <c r="E941" s="87"/>
      <c r="I941" s="86"/>
      <c r="J941" s="86"/>
      <c r="K941" s="87"/>
      <c r="L941" s="87"/>
      <c r="M941" s="87"/>
    </row>
    <row r="942" spans="3:13" ht="14.4" x14ac:dyDescent="0.3">
      <c r="C942" s="86"/>
      <c r="D942" s="87"/>
      <c r="E942" s="87"/>
      <c r="I942" s="86"/>
      <c r="J942" s="86"/>
      <c r="K942" s="87"/>
      <c r="L942" s="87"/>
      <c r="M942" s="87"/>
    </row>
    <row r="943" spans="3:13" ht="14.4" x14ac:dyDescent="0.3">
      <c r="C943" s="86"/>
      <c r="D943" s="87"/>
      <c r="E943" s="87"/>
      <c r="I943" s="86"/>
      <c r="J943" s="86"/>
      <c r="K943" s="87"/>
      <c r="L943" s="87"/>
      <c r="M943" s="87"/>
    </row>
    <row r="944" spans="3:13" ht="14.4" x14ac:dyDescent="0.3">
      <c r="C944" s="86"/>
      <c r="D944" s="87"/>
      <c r="E944" s="87"/>
      <c r="I944" s="86"/>
      <c r="J944" s="86"/>
      <c r="K944" s="87"/>
      <c r="L944" s="87"/>
      <c r="M944" s="87"/>
    </row>
    <row r="945" spans="3:13" ht="14.4" x14ac:dyDescent="0.3">
      <c r="C945" s="86"/>
      <c r="D945" s="87"/>
      <c r="E945" s="87"/>
      <c r="I945" s="86"/>
      <c r="J945" s="86"/>
      <c r="K945" s="87"/>
      <c r="L945" s="87"/>
      <c r="M945" s="87"/>
    </row>
    <row r="946" spans="3:13" ht="14.4" x14ac:dyDescent="0.3">
      <c r="C946" s="86"/>
      <c r="D946" s="87"/>
      <c r="E946" s="87"/>
      <c r="I946" s="86"/>
      <c r="J946" s="86"/>
      <c r="K946" s="87"/>
      <c r="L946" s="87"/>
      <c r="M946" s="87"/>
    </row>
    <row r="947" spans="3:13" ht="14.4" x14ac:dyDescent="0.3">
      <c r="C947" s="86"/>
      <c r="D947" s="87"/>
      <c r="E947" s="87"/>
      <c r="I947" s="86"/>
      <c r="J947" s="86"/>
      <c r="K947" s="87"/>
      <c r="L947" s="87"/>
      <c r="M947" s="87"/>
    </row>
    <row r="948" spans="3:13" ht="14.4" x14ac:dyDescent="0.3">
      <c r="C948" s="86"/>
      <c r="D948" s="87"/>
      <c r="E948" s="87"/>
      <c r="I948" s="86"/>
      <c r="J948" s="86"/>
      <c r="K948" s="87"/>
      <c r="L948" s="87"/>
      <c r="M948" s="87"/>
    </row>
    <row r="949" spans="3:13" ht="14.4" x14ac:dyDescent="0.3">
      <c r="C949" s="86"/>
      <c r="D949" s="87"/>
      <c r="E949" s="87"/>
      <c r="I949" s="86"/>
      <c r="J949" s="86"/>
      <c r="K949" s="87"/>
      <c r="L949" s="87"/>
      <c r="M949" s="87"/>
    </row>
    <row r="950" spans="3:13" ht="14.4" x14ac:dyDescent="0.3">
      <c r="C950" s="86"/>
      <c r="D950" s="87"/>
      <c r="E950" s="87"/>
      <c r="I950" s="86"/>
      <c r="J950" s="86"/>
      <c r="K950" s="87"/>
      <c r="L950" s="87"/>
      <c r="M950" s="87"/>
    </row>
    <row r="951" spans="3:13" ht="14.4" x14ac:dyDescent="0.3">
      <c r="C951" s="86"/>
      <c r="D951" s="87"/>
      <c r="E951" s="87"/>
      <c r="I951" s="86"/>
      <c r="J951" s="86"/>
      <c r="K951" s="87"/>
      <c r="L951" s="87"/>
      <c r="M951" s="87"/>
    </row>
    <row r="952" spans="3:13" ht="14.4" x14ac:dyDescent="0.3">
      <c r="C952" s="86"/>
      <c r="D952" s="87"/>
      <c r="E952" s="87"/>
      <c r="I952" s="86"/>
      <c r="J952" s="86"/>
      <c r="K952" s="87"/>
      <c r="L952" s="87"/>
      <c r="M952" s="87"/>
    </row>
    <row r="953" spans="3:13" ht="14.4" x14ac:dyDescent="0.3">
      <c r="C953" s="86"/>
      <c r="D953" s="87"/>
      <c r="E953" s="87"/>
      <c r="I953" s="86"/>
      <c r="J953" s="86"/>
      <c r="K953" s="87"/>
      <c r="L953" s="87"/>
      <c r="M953" s="87"/>
    </row>
    <row r="954" spans="3:13" ht="14.4" x14ac:dyDescent="0.3">
      <c r="C954" s="86"/>
      <c r="D954" s="87"/>
      <c r="E954" s="87"/>
      <c r="I954" s="86"/>
      <c r="J954" s="86"/>
      <c r="K954" s="87"/>
      <c r="L954" s="87"/>
      <c r="M954" s="87"/>
    </row>
    <row r="955" spans="3:13" ht="14.4" x14ac:dyDescent="0.3">
      <c r="C955" s="86"/>
      <c r="D955" s="87"/>
      <c r="E955" s="87"/>
      <c r="I955" s="86"/>
      <c r="J955" s="86"/>
      <c r="K955" s="87"/>
      <c r="L955" s="87"/>
      <c r="M955" s="87"/>
    </row>
    <row r="956" spans="3:13" ht="14.4" x14ac:dyDescent="0.3">
      <c r="C956" s="86"/>
      <c r="D956" s="87"/>
      <c r="E956" s="87"/>
      <c r="I956" s="86"/>
      <c r="J956" s="86"/>
      <c r="K956" s="87"/>
      <c r="L956" s="87"/>
      <c r="M956" s="87"/>
    </row>
    <row r="957" spans="3:13" ht="14.4" x14ac:dyDescent="0.3">
      <c r="C957" s="86"/>
      <c r="D957" s="87"/>
      <c r="E957" s="87"/>
      <c r="I957" s="86"/>
      <c r="J957" s="86"/>
      <c r="K957" s="87"/>
      <c r="L957" s="87"/>
      <c r="M957" s="87"/>
    </row>
    <row r="958" spans="3:13" ht="14.4" x14ac:dyDescent="0.3">
      <c r="C958" s="86"/>
      <c r="D958" s="87"/>
      <c r="E958" s="87"/>
      <c r="I958" s="86"/>
      <c r="J958" s="86"/>
      <c r="K958" s="87"/>
      <c r="L958" s="87"/>
      <c r="M958" s="87"/>
    </row>
    <row r="959" spans="3:13" ht="14.4" x14ac:dyDescent="0.3">
      <c r="C959" s="86"/>
      <c r="D959" s="87"/>
      <c r="E959" s="87"/>
      <c r="I959" s="86"/>
      <c r="J959" s="86"/>
      <c r="K959" s="87"/>
      <c r="L959" s="87"/>
      <c r="M959" s="87"/>
    </row>
    <row r="960" spans="3:13" ht="14.4" x14ac:dyDescent="0.3">
      <c r="C960" s="86"/>
      <c r="D960" s="87"/>
      <c r="E960" s="87"/>
      <c r="I960" s="86"/>
      <c r="J960" s="86"/>
      <c r="K960" s="87"/>
      <c r="L960" s="87"/>
      <c r="M960" s="87"/>
    </row>
    <row r="961" spans="3:13" ht="14.4" x14ac:dyDescent="0.3">
      <c r="C961" s="86"/>
      <c r="D961" s="87"/>
      <c r="E961" s="87"/>
      <c r="I961" s="86"/>
      <c r="J961" s="86"/>
      <c r="K961" s="87"/>
      <c r="L961" s="87"/>
      <c r="M961" s="87"/>
    </row>
    <row r="962" spans="3:13" ht="14.4" x14ac:dyDescent="0.3">
      <c r="C962" s="86"/>
      <c r="D962" s="87"/>
      <c r="E962" s="87"/>
      <c r="I962" s="86"/>
      <c r="J962" s="86"/>
      <c r="K962" s="87"/>
      <c r="L962" s="87"/>
      <c r="M962" s="87"/>
    </row>
    <row r="963" spans="3:13" ht="14.4" x14ac:dyDescent="0.3">
      <c r="C963" s="86"/>
      <c r="D963" s="87"/>
      <c r="E963" s="87"/>
      <c r="I963" s="86"/>
      <c r="J963" s="86"/>
      <c r="K963" s="87"/>
      <c r="L963" s="87"/>
      <c r="M963" s="87"/>
    </row>
    <row r="964" spans="3:13" ht="14.4" x14ac:dyDescent="0.3">
      <c r="C964" s="86"/>
      <c r="D964" s="87"/>
      <c r="E964" s="87"/>
      <c r="I964" s="86"/>
      <c r="J964" s="86"/>
      <c r="K964" s="87"/>
      <c r="L964" s="87"/>
      <c r="M964" s="87"/>
    </row>
    <row r="965" spans="3:13" ht="14.4" x14ac:dyDescent="0.3">
      <c r="C965" s="86"/>
      <c r="D965" s="87"/>
      <c r="E965" s="87"/>
      <c r="I965" s="86"/>
      <c r="J965" s="86"/>
      <c r="K965" s="87"/>
      <c r="L965" s="87"/>
      <c r="M965" s="87"/>
    </row>
    <row r="966" spans="3:13" ht="14.4" x14ac:dyDescent="0.3">
      <c r="C966" s="86"/>
      <c r="D966" s="87"/>
      <c r="E966" s="87"/>
      <c r="I966" s="86"/>
      <c r="J966" s="86"/>
      <c r="K966" s="87"/>
      <c r="L966" s="87"/>
      <c r="M966" s="87"/>
    </row>
    <row r="967" spans="3:13" ht="14.4" x14ac:dyDescent="0.3">
      <c r="C967" s="86"/>
      <c r="D967" s="87"/>
      <c r="E967" s="87"/>
      <c r="I967" s="86"/>
      <c r="J967" s="86"/>
      <c r="K967" s="87"/>
      <c r="L967" s="87"/>
      <c r="M967" s="87"/>
    </row>
    <row r="968" spans="3:13" ht="14.4" x14ac:dyDescent="0.3">
      <c r="C968" s="86"/>
      <c r="D968" s="87"/>
      <c r="E968" s="87"/>
      <c r="I968" s="86"/>
      <c r="J968" s="86"/>
      <c r="K968" s="87"/>
      <c r="L968" s="87"/>
      <c r="M968" s="87"/>
    </row>
    <row r="969" spans="3:13" ht="14.4" x14ac:dyDescent="0.3">
      <c r="C969" s="86"/>
      <c r="D969" s="87"/>
      <c r="E969" s="87"/>
      <c r="I969" s="86"/>
      <c r="J969" s="86"/>
      <c r="K969" s="87"/>
      <c r="L969" s="87"/>
      <c r="M969" s="87"/>
    </row>
    <row r="970" spans="3:13" ht="14.4" x14ac:dyDescent="0.3">
      <c r="C970" s="86"/>
      <c r="D970" s="87"/>
      <c r="E970" s="87"/>
      <c r="I970" s="86"/>
      <c r="J970" s="86"/>
      <c r="K970" s="87"/>
      <c r="L970" s="87"/>
      <c r="M970" s="87"/>
    </row>
    <row r="971" spans="3:13" ht="14.4" x14ac:dyDescent="0.3">
      <c r="C971" s="86"/>
      <c r="D971" s="87"/>
      <c r="E971" s="87"/>
      <c r="I971" s="86"/>
      <c r="J971" s="86"/>
      <c r="K971" s="87"/>
      <c r="L971" s="87"/>
      <c r="M971" s="87"/>
    </row>
    <row r="972" spans="3:13" ht="14.4" x14ac:dyDescent="0.3">
      <c r="C972" s="86"/>
      <c r="D972" s="87"/>
      <c r="E972" s="87"/>
      <c r="I972" s="86"/>
      <c r="J972" s="86"/>
      <c r="K972" s="87"/>
      <c r="L972" s="87"/>
      <c r="M972" s="87"/>
    </row>
    <row r="973" spans="3:13" ht="14.4" x14ac:dyDescent="0.3">
      <c r="C973" s="86"/>
      <c r="D973" s="87"/>
      <c r="E973" s="87"/>
      <c r="I973" s="86"/>
      <c r="J973" s="86"/>
      <c r="K973" s="87"/>
      <c r="L973" s="87"/>
      <c r="M973" s="87"/>
    </row>
    <row r="974" spans="3:13" ht="14.4" x14ac:dyDescent="0.3">
      <c r="C974" s="86"/>
      <c r="D974" s="87"/>
      <c r="E974" s="87"/>
      <c r="I974" s="86"/>
      <c r="J974" s="86"/>
      <c r="K974" s="87"/>
      <c r="L974" s="87"/>
      <c r="M974" s="87"/>
    </row>
    <row r="975" spans="3:13" ht="14.4" x14ac:dyDescent="0.3">
      <c r="C975" s="86"/>
      <c r="D975" s="87"/>
      <c r="E975" s="87"/>
      <c r="I975" s="86"/>
      <c r="J975" s="86"/>
      <c r="K975" s="87"/>
      <c r="L975" s="87"/>
      <c r="M975" s="87"/>
    </row>
    <row r="976" spans="3:13" ht="14.4" x14ac:dyDescent="0.3">
      <c r="C976" s="86"/>
      <c r="D976" s="87"/>
      <c r="E976" s="87"/>
      <c r="I976" s="86"/>
      <c r="J976" s="86"/>
      <c r="K976" s="87"/>
      <c r="L976" s="87"/>
      <c r="M976" s="87"/>
    </row>
    <row r="977" spans="3:13" ht="14.4" x14ac:dyDescent="0.3">
      <c r="C977" s="86"/>
      <c r="D977" s="87"/>
      <c r="E977" s="87"/>
      <c r="I977" s="86"/>
      <c r="J977" s="86"/>
      <c r="K977" s="87"/>
      <c r="L977" s="87"/>
      <c r="M977" s="87"/>
    </row>
    <row r="978" spans="3:13" ht="14.4" x14ac:dyDescent="0.3">
      <c r="C978" s="86"/>
      <c r="D978" s="87"/>
      <c r="E978" s="87"/>
      <c r="I978" s="86"/>
      <c r="J978" s="86"/>
      <c r="K978" s="87"/>
      <c r="L978" s="87"/>
      <c r="M978" s="87"/>
    </row>
    <row r="979" spans="3:13" ht="14.4" x14ac:dyDescent="0.3">
      <c r="C979" s="86"/>
      <c r="D979" s="87"/>
      <c r="E979" s="87"/>
      <c r="I979" s="86"/>
      <c r="J979" s="86"/>
      <c r="K979" s="87"/>
      <c r="L979" s="87"/>
      <c r="M979" s="87"/>
    </row>
    <row r="980" spans="3:13" ht="14.4" x14ac:dyDescent="0.3">
      <c r="C980" s="86"/>
      <c r="D980" s="87"/>
      <c r="E980" s="87"/>
      <c r="I980" s="86"/>
      <c r="J980" s="86"/>
      <c r="K980" s="87"/>
      <c r="L980" s="87"/>
      <c r="M980" s="87"/>
    </row>
    <row r="981" spans="3:13" ht="14.4" x14ac:dyDescent="0.3">
      <c r="C981" s="86"/>
      <c r="D981" s="87"/>
      <c r="E981" s="87"/>
      <c r="I981" s="86"/>
      <c r="J981" s="86"/>
      <c r="K981" s="87"/>
      <c r="L981" s="87"/>
      <c r="M981" s="87"/>
    </row>
    <row r="982" spans="3:13" ht="14.4" x14ac:dyDescent="0.3">
      <c r="C982" s="86"/>
      <c r="D982" s="87"/>
      <c r="E982" s="87"/>
      <c r="I982" s="86"/>
      <c r="J982" s="86"/>
      <c r="K982" s="87"/>
      <c r="L982" s="87"/>
      <c r="M982" s="87"/>
    </row>
    <row r="983" spans="3:13" ht="14.4" x14ac:dyDescent="0.3">
      <c r="C983" s="86"/>
      <c r="D983" s="87"/>
      <c r="E983" s="87"/>
      <c r="I983" s="86"/>
      <c r="J983" s="86"/>
      <c r="K983" s="87"/>
      <c r="L983" s="87"/>
      <c r="M983" s="87"/>
    </row>
    <row r="984" spans="3:13" ht="14.4" x14ac:dyDescent="0.3">
      <c r="C984" s="86"/>
      <c r="D984" s="87"/>
      <c r="E984" s="87"/>
      <c r="I984" s="86"/>
      <c r="J984" s="86"/>
      <c r="K984" s="87"/>
      <c r="L984" s="87"/>
      <c r="M984" s="87"/>
    </row>
    <row r="985" spans="3:13" ht="14.4" x14ac:dyDescent="0.3">
      <c r="C985" s="86"/>
      <c r="D985" s="87"/>
      <c r="E985" s="87"/>
      <c r="I985" s="86"/>
      <c r="J985" s="86"/>
      <c r="K985" s="87"/>
      <c r="L985" s="87"/>
      <c r="M985" s="87"/>
    </row>
    <row r="986" spans="3:13" ht="14.4" x14ac:dyDescent="0.3">
      <c r="C986" s="86"/>
      <c r="D986" s="87"/>
      <c r="E986" s="87"/>
      <c r="I986" s="86"/>
      <c r="J986" s="86"/>
      <c r="K986" s="87"/>
      <c r="L986" s="87"/>
      <c r="M986" s="87"/>
    </row>
    <row r="987" spans="3:13" ht="14.4" x14ac:dyDescent="0.3">
      <c r="C987" s="86"/>
      <c r="D987" s="87"/>
      <c r="E987" s="87"/>
      <c r="I987" s="86"/>
      <c r="J987" s="86"/>
      <c r="K987" s="87"/>
      <c r="L987" s="87"/>
      <c r="M987" s="87"/>
    </row>
    <row r="988" spans="3:13" ht="14.4" x14ac:dyDescent="0.3">
      <c r="C988" s="86"/>
      <c r="D988" s="87"/>
      <c r="E988" s="87"/>
      <c r="I988" s="86"/>
      <c r="J988" s="86"/>
      <c r="K988" s="87"/>
      <c r="L988" s="87"/>
      <c r="M988" s="87"/>
    </row>
    <row r="989" spans="3:13" ht="14.4" x14ac:dyDescent="0.3">
      <c r="C989" s="86"/>
      <c r="D989" s="87"/>
      <c r="E989" s="87"/>
      <c r="I989" s="86"/>
      <c r="J989" s="86"/>
      <c r="K989" s="87"/>
      <c r="L989" s="87"/>
      <c r="M989" s="87"/>
    </row>
    <row r="990" spans="3:13" ht="14.4" x14ac:dyDescent="0.3">
      <c r="C990" s="86"/>
      <c r="D990" s="87"/>
      <c r="E990" s="87"/>
      <c r="I990" s="86"/>
      <c r="J990" s="86"/>
      <c r="K990" s="87"/>
      <c r="L990" s="87"/>
      <c r="M990" s="87"/>
    </row>
    <row r="991" spans="3:13" ht="14.4" x14ac:dyDescent="0.3">
      <c r="C991" s="86"/>
      <c r="D991" s="87"/>
      <c r="E991" s="87"/>
      <c r="I991" s="86"/>
      <c r="J991" s="86"/>
      <c r="K991" s="87"/>
      <c r="L991" s="87"/>
      <c r="M991" s="87"/>
    </row>
    <row r="992" spans="3:13" ht="14.4" x14ac:dyDescent="0.3">
      <c r="C992" s="86"/>
      <c r="D992" s="87"/>
      <c r="E992" s="87"/>
      <c r="I992" s="86"/>
      <c r="J992" s="86"/>
      <c r="K992" s="87"/>
      <c r="L992" s="87"/>
      <c r="M992" s="87"/>
    </row>
    <row r="993" spans="3:13" ht="14.4" x14ac:dyDescent="0.3">
      <c r="C993" s="86"/>
      <c r="D993" s="87"/>
      <c r="E993" s="87"/>
      <c r="I993" s="86"/>
      <c r="J993" s="86"/>
      <c r="K993" s="87"/>
      <c r="L993" s="87"/>
      <c r="M993" s="87"/>
    </row>
    <row r="994" spans="3:13" ht="14.4" x14ac:dyDescent="0.3">
      <c r="C994" s="86"/>
      <c r="D994" s="87"/>
      <c r="E994" s="87"/>
      <c r="I994" s="86"/>
      <c r="J994" s="86"/>
      <c r="K994" s="87"/>
      <c r="L994" s="87"/>
      <c r="M994" s="87"/>
    </row>
    <row r="995" spans="3:13" ht="14.4" x14ac:dyDescent="0.3">
      <c r="C995" s="86"/>
      <c r="D995" s="87"/>
      <c r="E995" s="87"/>
      <c r="I995" s="86"/>
      <c r="J995" s="86"/>
      <c r="K995" s="87"/>
      <c r="L995" s="87"/>
      <c r="M995" s="87"/>
    </row>
    <row r="996" spans="3:13" ht="14.4" x14ac:dyDescent="0.3">
      <c r="C996" s="86"/>
      <c r="D996" s="87"/>
      <c r="E996" s="87"/>
      <c r="I996" s="86"/>
      <c r="J996" s="86"/>
      <c r="K996" s="87"/>
      <c r="L996" s="87"/>
      <c r="M996" s="87"/>
    </row>
    <row r="997" spans="3:13" ht="14.4" x14ac:dyDescent="0.3">
      <c r="C997" s="86"/>
      <c r="D997" s="87"/>
      <c r="E997" s="87"/>
      <c r="I997" s="86"/>
      <c r="J997" s="86"/>
      <c r="K997" s="87"/>
      <c r="L997" s="87"/>
      <c r="M997" s="87"/>
    </row>
    <row r="998" spans="3:13" ht="14.4" x14ac:dyDescent="0.3">
      <c r="C998" s="86"/>
      <c r="D998" s="87"/>
      <c r="E998" s="87"/>
      <c r="I998" s="86"/>
      <c r="J998" s="86"/>
      <c r="K998" s="87"/>
      <c r="L998" s="87"/>
      <c r="M998" s="87"/>
    </row>
    <row r="999" spans="3:13" ht="14.4" x14ac:dyDescent="0.3">
      <c r="C999" s="86"/>
      <c r="D999" s="87"/>
      <c r="E999" s="87"/>
      <c r="I999" s="86"/>
      <c r="J999" s="86"/>
      <c r="K999" s="87"/>
      <c r="L999" s="87"/>
      <c r="M999" s="87"/>
    </row>
    <row r="1000" spans="3:13" ht="14.4" x14ac:dyDescent="0.3">
      <c r="C1000" s="86"/>
      <c r="D1000" s="87"/>
      <c r="E1000" s="87"/>
      <c r="I1000" s="86"/>
      <c r="J1000" s="86"/>
      <c r="K1000" s="87"/>
      <c r="L1000" s="87"/>
      <c r="M1000" s="87"/>
    </row>
    <row r="1001" spans="3:13" ht="14.4" x14ac:dyDescent="0.3">
      <c r="C1001" s="86"/>
      <c r="D1001" s="87"/>
      <c r="E1001" s="87"/>
      <c r="I1001" s="86"/>
      <c r="J1001" s="86"/>
      <c r="K1001" s="87"/>
      <c r="L1001" s="87"/>
      <c r="M1001" s="87"/>
    </row>
    <row r="1002" spans="3:13" ht="14.4" x14ac:dyDescent="0.3">
      <c r="C1002" s="86"/>
      <c r="D1002" s="87"/>
      <c r="E1002" s="87"/>
      <c r="I1002" s="86"/>
      <c r="J1002" s="86"/>
      <c r="K1002" s="87"/>
      <c r="L1002" s="87"/>
      <c r="M1002" s="87"/>
    </row>
    <row r="1003" spans="3:13" ht="14.4" x14ac:dyDescent="0.3">
      <c r="C1003" s="86"/>
      <c r="D1003" s="87"/>
      <c r="E1003" s="87"/>
      <c r="I1003" s="86"/>
      <c r="J1003" s="86"/>
      <c r="K1003" s="87"/>
      <c r="L1003" s="87"/>
      <c r="M1003" s="87"/>
    </row>
    <row r="1004" spans="3:13" ht="14.4" x14ac:dyDescent="0.3">
      <c r="C1004" s="86"/>
      <c r="D1004" s="87"/>
      <c r="E1004" s="87"/>
      <c r="I1004" s="86"/>
      <c r="J1004" s="86"/>
      <c r="K1004" s="87"/>
      <c r="L1004" s="87"/>
      <c r="M1004" s="87"/>
    </row>
    <row r="1005" spans="3:13" ht="14.4" x14ac:dyDescent="0.3">
      <c r="C1005" s="86"/>
      <c r="D1005" s="87"/>
      <c r="E1005" s="87"/>
      <c r="I1005" s="86"/>
      <c r="J1005" s="86"/>
      <c r="K1005" s="87"/>
      <c r="L1005" s="87"/>
      <c r="M1005" s="87"/>
    </row>
    <row r="1006" spans="3:13" ht="14.4" x14ac:dyDescent="0.3">
      <c r="C1006" s="86"/>
      <c r="D1006" s="87"/>
      <c r="E1006" s="87"/>
      <c r="I1006" s="86"/>
      <c r="J1006" s="86"/>
      <c r="K1006" s="87"/>
      <c r="L1006" s="87"/>
      <c r="M1006" s="87"/>
    </row>
    <row r="1007" spans="3:13" ht="14.4" x14ac:dyDescent="0.3">
      <c r="C1007" s="86"/>
      <c r="D1007" s="87"/>
      <c r="E1007" s="87"/>
      <c r="I1007" s="86"/>
      <c r="J1007" s="86"/>
      <c r="K1007" s="87"/>
      <c r="L1007" s="87"/>
      <c r="M1007" s="87"/>
    </row>
    <row r="1008" spans="3:13" ht="14.4" x14ac:dyDescent="0.3">
      <c r="C1008" s="86"/>
      <c r="D1008" s="87"/>
      <c r="E1008" s="87"/>
      <c r="I1008" s="86"/>
      <c r="J1008" s="86"/>
      <c r="K1008" s="87"/>
      <c r="L1008" s="87"/>
      <c r="M1008" s="87"/>
    </row>
    <row r="1009" spans="3:13" ht="14.4" x14ac:dyDescent="0.3">
      <c r="C1009" s="86"/>
      <c r="D1009" s="87"/>
      <c r="E1009" s="87"/>
      <c r="I1009" s="86"/>
      <c r="J1009" s="86"/>
      <c r="K1009" s="87"/>
      <c r="L1009" s="87"/>
      <c r="M1009" s="87"/>
    </row>
    <row r="1010" spans="3:13" ht="14.4" x14ac:dyDescent="0.3">
      <c r="C1010" s="86"/>
      <c r="D1010" s="87"/>
      <c r="E1010" s="87"/>
      <c r="I1010" s="86"/>
      <c r="J1010" s="86"/>
      <c r="K1010" s="87"/>
      <c r="L1010" s="87"/>
      <c r="M1010" s="87"/>
    </row>
    <row r="1011" spans="3:13" ht="14.4" x14ac:dyDescent="0.3">
      <c r="C1011" s="86"/>
      <c r="D1011" s="87"/>
      <c r="E1011" s="87"/>
      <c r="I1011" s="86"/>
      <c r="J1011" s="86"/>
      <c r="K1011" s="87"/>
      <c r="L1011" s="87"/>
      <c r="M1011" s="87"/>
    </row>
    <row r="1012" spans="3:13" ht="14.4" x14ac:dyDescent="0.3">
      <c r="C1012" s="86"/>
      <c r="D1012" s="87"/>
      <c r="E1012" s="87"/>
      <c r="I1012" s="86"/>
      <c r="J1012" s="86"/>
      <c r="K1012" s="87"/>
      <c r="L1012" s="87"/>
      <c r="M1012" s="87"/>
    </row>
    <row r="1013" spans="3:13" ht="14.4" x14ac:dyDescent="0.3">
      <c r="C1013" s="86"/>
      <c r="D1013" s="87"/>
      <c r="E1013" s="87"/>
      <c r="I1013" s="86"/>
      <c r="J1013" s="86"/>
      <c r="K1013" s="87"/>
      <c r="L1013" s="87"/>
      <c r="M1013" s="87"/>
    </row>
    <row r="1014" spans="3:13" ht="14.4" x14ac:dyDescent="0.3">
      <c r="C1014" s="86"/>
      <c r="D1014" s="87"/>
      <c r="E1014" s="87"/>
      <c r="I1014" s="86"/>
      <c r="J1014" s="86"/>
      <c r="K1014" s="87"/>
      <c r="L1014" s="87"/>
      <c r="M1014" s="87"/>
    </row>
  </sheetData>
  <mergeCells count="15">
    <mergeCell ref="B5:B6"/>
    <mergeCell ref="C5:H5"/>
    <mergeCell ref="I5:I6"/>
    <mergeCell ref="K5:M5"/>
    <mergeCell ref="N5:N6"/>
    <mergeCell ref="J5:J6"/>
    <mergeCell ref="W54:X54"/>
    <mergeCell ref="W60:X60"/>
    <mergeCell ref="AJ5:AO5"/>
    <mergeCell ref="AP5:AQ5"/>
    <mergeCell ref="H1:AJ1"/>
    <mergeCell ref="H2:AJ2"/>
    <mergeCell ref="O5:Y5"/>
    <mergeCell ref="AH5:AI5"/>
    <mergeCell ref="Z5:AG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31" zoomScale="97" workbookViewId="0">
      <selection activeCell="N12" sqref="N12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630" t="s">
        <v>346</v>
      </c>
      <c r="D3" s="630"/>
      <c r="E3" s="630"/>
      <c r="F3" s="630"/>
      <c r="G3" s="630"/>
      <c r="H3" s="630"/>
      <c r="L3" s="630" t="s">
        <v>346</v>
      </c>
      <c r="M3" s="630"/>
      <c r="N3" s="630"/>
      <c r="O3" s="630"/>
      <c r="P3" s="630"/>
      <c r="Q3" s="630"/>
    </row>
    <row r="4" spans="3:17" x14ac:dyDescent="0.3">
      <c r="C4" s="17" t="s">
        <v>71</v>
      </c>
      <c r="D4" s="17" t="s">
        <v>347</v>
      </c>
      <c r="E4" s="17" t="s">
        <v>1</v>
      </c>
      <c r="F4" s="17" t="s">
        <v>348</v>
      </c>
      <c r="G4" s="17" t="s">
        <v>349</v>
      </c>
      <c r="H4" s="17" t="s">
        <v>350</v>
      </c>
      <c r="L4" s="17" t="s">
        <v>71</v>
      </c>
      <c r="M4" s="17" t="s">
        <v>347</v>
      </c>
      <c r="N4" s="17" t="s">
        <v>1</v>
      </c>
      <c r="O4" s="17" t="s">
        <v>348</v>
      </c>
      <c r="P4" s="17" t="s">
        <v>349</v>
      </c>
      <c r="Q4" s="17" t="s">
        <v>350</v>
      </c>
    </row>
    <row r="5" spans="3:17" x14ac:dyDescent="0.3">
      <c r="C5" s="134">
        <v>1</v>
      </c>
      <c r="D5" s="134" t="s">
        <v>351</v>
      </c>
      <c r="E5" s="73">
        <v>46197</v>
      </c>
      <c r="F5" s="134">
        <v>0.54600000000000004</v>
      </c>
      <c r="G5" s="134"/>
      <c r="H5" s="134"/>
      <c r="L5" s="134">
        <v>51</v>
      </c>
      <c r="M5" s="134" t="s">
        <v>405</v>
      </c>
      <c r="N5" s="317">
        <v>46253</v>
      </c>
      <c r="O5" s="134">
        <v>0.67300000000000004</v>
      </c>
      <c r="P5" s="134"/>
      <c r="Q5" s="134"/>
    </row>
    <row r="6" spans="3:17" x14ac:dyDescent="0.3">
      <c r="C6" s="134">
        <v>2</v>
      </c>
      <c r="D6" s="134" t="s">
        <v>352</v>
      </c>
      <c r="E6" s="73">
        <v>46197</v>
      </c>
      <c r="F6" s="134">
        <v>0.57599999999999996</v>
      </c>
      <c r="G6" s="134"/>
      <c r="H6" s="134"/>
      <c r="L6" s="134">
        <v>52</v>
      </c>
      <c r="M6" s="134" t="s">
        <v>406</v>
      </c>
      <c r="N6" s="317">
        <v>46253</v>
      </c>
      <c r="O6" s="134">
        <v>0.66200000000000003</v>
      </c>
      <c r="P6" s="134"/>
      <c r="Q6" s="134"/>
    </row>
    <row r="7" spans="3:17" x14ac:dyDescent="0.3">
      <c r="C7" s="134">
        <v>3</v>
      </c>
      <c r="D7" s="134" t="s">
        <v>353</v>
      </c>
      <c r="E7" s="73">
        <v>46197</v>
      </c>
      <c r="F7" s="134">
        <v>0.83899999999999997</v>
      </c>
      <c r="G7" s="134"/>
      <c r="H7" s="134"/>
      <c r="L7" s="134">
        <v>53</v>
      </c>
      <c r="M7" s="134" t="s">
        <v>407</v>
      </c>
      <c r="N7" s="317">
        <v>46253</v>
      </c>
      <c r="O7" s="134">
        <v>0.55500000000000005</v>
      </c>
      <c r="P7" s="134"/>
      <c r="Q7" s="134"/>
    </row>
    <row r="8" spans="3:17" x14ac:dyDescent="0.3">
      <c r="C8" s="134">
        <v>4</v>
      </c>
      <c r="D8" s="134" t="s">
        <v>354</v>
      </c>
      <c r="E8" s="73">
        <v>46197</v>
      </c>
      <c r="F8" s="134">
        <v>2.0110000000000001</v>
      </c>
      <c r="G8" s="134"/>
      <c r="H8" s="134"/>
      <c r="L8" s="134">
        <v>54</v>
      </c>
      <c r="M8" s="134" t="s">
        <v>408</v>
      </c>
      <c r="N8" s="317">
        <v>46253</v>
      </c>
      <c r="O8" s="134">
        <v>0.81299999999999994</v>
      </c>
      <c r="P8" s="134"/>
      <c r="Q8" s="134"/>
    </row>
    <row r="9" spans="3:17" x14ac:dyDescent="0.3">
      <c r="C9" s="134">
        <v>5</v>
      </c>
      <c r="D9" s="134" t="s">
        <v>355</v>
      </c>
      <c r="E9" s="73">
        <v>46197</v>
      </c>
      <c r="F9" s="134">
        <v>0.94399999999999995</v>
      </c>
      <c r="G9" s="134"/>
      <c r="H9" s="134"/>
      <c r="L9" s="134">
        <v>55</v>
      </c>
      <c r="M9" s="134" t="s">
        <v>409</v>
      </c>
      <c r="N9" s="317">
        <v>46253</v>
      </c>
      <c r="O9" s="134">
        <v>1.147</v>
      </c>
      <c r="P9" s="134"/>
      <c r="Q9" s="134"/>
    </row>
    <row r="10" spans="3:17" x14ac:dyDescent="0.3">
      <c r="C10" s="134">
        <v>6</v>
      </c>
      <c r="D10" s="134" t="s">
        <v>356</v>
      </c>
      <c r="E10" s="73">
        <v>46197</v>
      </c>
      <c r="F10" s="134">
        <v>0.70199999999999996</v>
      </c>
      <c r="G10" s="134"/>
      <c r="H10" s="134"/>
      <c r="L10" s="134">
        <v>56</v>
      </c>
      <c r="M10" s="134" t="s">
        <v>410</v>
      </c>
      <c r="N10" s="317">
        <v>46253</v>
      </c>
      <c r="O10" s="134">
        <v>1.9410000000000001</v>
      </c>
      <c r="P10" s="134"/>
      <c r="Q10" s="134"/>
    </row>
    <row r="11" spans="3:17" x14ac:dyDescent="0.3">
      <c r="C11" s="134">
        <v>7</v>
      </c>
      <c r="D11" s="134" t="s">
        <v>357</v>
      </c>
      <c r="E11" s="73">
        <v>46197</v>
      </c>
      <c r="F11" s="134">
        <v>3.2160000000000002</v>
      </c>
      <c r="G11" s="134"/>
      <c r="H11" s="134"/>
      <c r="L11" s="134">
        <v>57</v>
      </c>
      <c r="M11" s="134" t="s">
        <v>411</v>
      </c>
      <c r="N11" s="317">
        <v>46253</v>
      </c>
      <c r="O11" s="134">
        <v>0.48899999999999999</v>
      </c>
      <c r="P11" s="134"/>
      <c r="Q11" s="134"/>
    </row>
    <row r="12" spans="3:17" x14ac:dyDescent="0.3">
      <c r="C12" s="134">
        <v>8</v>
      </c>
      <c r="D12" s="134" t="s">
        <v>358</v>
      </c>
      <c r="E12" s="73">
        <v>46197</v>
      </c>
      <c r="F12" s="134">
        <v>0.56200000000000006</v>
      </c>
      <c r="G12" s="134"/>
      <c r="H12" s="134"/>
      <c r="L12" s="134">
        <v>58</v>
      </c>
      <c r="M12" s="134" t="s">
        <v>412</v>
      </c>
      <c r="N12" s="317">
        <v>46253</v>
      </c>
      <c r="O12" s="134">
        <v>0.55600000000000005</v>
      </c>
      <c r="P12" s="134"/>
      <c r="Q12" s="134"/>
    </row>
    <row r="13" spans="3:17" x14ac:dyDescent="0.3">
      <c r="C13" s="134">
        <v>9</v>
      </c>
      <c r="D13" s="134" t="s">
        <v>359</v>
      </c>
      <c r="E13" s="73">
        <v>46197</v>
      </c>
      <c r="F13" s="134">
        <v>0.79</v>
      </c>
      <c r="G13" s="134"/>
      <c r="H13" s="134"/>
      <c r="L13" s="134">
        <v>59</v>
      </c>
      <c r="M13" s="134" t="s">
        <v>413</v>
      </c>
      <c r="N13" s="317">
        <v>46253</v>
      </c>
      <c r="O13" s="134">
        <v>3.032</v>
      </c>
      <c r="P13" s="134"/>
      <c r="Q13" s="134"/>
    </row>
    <row r="14" spans="3:17" x14ac:dyDescent="0.3">
      <c r="C14" s="134">
        <v>10</v>
      </c>
      <c r="D14" s="134" t="s">
        <v>360</v>
      </c>
      <c r="E14" s="73">
        <v>46197</v>
      </c>
      <c r="F14" s="134">
        <v>1.583</v>
      </c>
      <c r="G14" s="134"/>
      <c r="H14" s="134"/>
      <c r="L14" s="134">
        <v>60</v>
      </c>
      <c r="M14" s="134" t="s">
        <v>393</v>
      </c>
      <c r="N14" s="317">
        <v>46253</v>
      </c>
      <c r="O14" s="134">
        <v>0.63200000000000001</v>
      </c>
      <c r="P14" s="134"/>
      <c r="Q14" s="134"/>
    </row>
    <row r="15" spans="3:17" x14ac:dyDescent="0.3">
      <c r="C15" s="134">
        <v>11</v>
      </c>
      <c r="D15" s="134" t="s">
        <v>361</v>
      </c>
      <c r="E15" s="73">
        <v>46181</v>
      </c>
      <c r="F15" s="134">
        <v>1.9630000000000001</v>
      </c>
      <c r="G15" s="134"/>
      <c r="H15" s="134"/>
      <c r="L15" s="134">
        <v>61</v>
      </c>
      <c r="M15" s="134" t="s">
        <v>394</v>
      </c>
      <c r="N15" s="317">
        <v>46253</v>
      </c>
      <c r="O15" s="134">
        <v>1.0429999999999999</v>
      </c>
      <c r="P15" s="134"/>
      <c r="Q15" s="134"/>
    </row>
    <row r="16" spans="3:17" x14ac:dyDescent="0.3">
      <c r="C16" s="134">
        <v>12</v>
      </c>
      <c r="D16" s="134" t="s">
        <v>362</v>
      </c>
      <c r="E16" s="73">
        <v>46181</v>
      </c>
      <c r="F16" s="134">
        <v>0.73499999999999999</v>
      </c>
      <c r="G16" s="134"/>
      <c r="H16" s="134"/>
      <c r="L16" s="134">
        <v>62</v>
      </c>
      <c r="M16" s="134" t="s">
        <v>395</v>
      </c>
      <c r="N16" s="317">
        <v>46253</v>
      </c>
      <c r="O16" s="134">
        <v>1.59</v>
      </c>
      <c r="P16" s="134"/>
      <c r="Q16" s="134"/>
    </row>
    <row r="17" spans="3:17" x14ac:dyDescent="0.3">
      <c r="C17" s="134">
        <v>13</v>
      </c>
      <c r="D17" s="134" t="s">
        <v>363</v>
      </c>
      <c r="E17" s="73">
        <v>46181</v>
      </c>
      <c r="F17" s="134">
        <v>0.34799999999999998</v>
      </c>
      <c r="G17" s="134"/>
      <c r="H17" s="134"/>
      <c r="L17" s="134">
        <v>63</v>
      </c>
      <c r="M17" s="134" t="s">
        <v>414</v>
      </c>
      <c r="N17" s="317">
        <v>46253</v>
      </c>
      <c r="O17" s="134">
        <v>0.33700000000000002</v>
      </c>
      <c r="P17" s="134"/>
      <c r="Q17" s="134"/>
    </row>
    <row r="18" spans="3:17" x14ac:dyDescent="0.3">
      <c r="C18" s="134">
        <v>14</v>
      </c>
      <c r="D18" s="134" t="s">
        <v>364</v>
      </c>
      <c r="E18" s="73">
        <v>46181</v>
      </c>
      <c r="F18" s="134">
        <v>1.2929999999999999</v>
      </c>
      <c r="G18" s="134"/>
      <c r="H18" s="134"/>
      <c r="L18" s="134">
        <v>64</v>
      </c>
      <c r="M18" s="134" t="s">
        <v>415</v>
      </c>
      <c r="N18" s="317">
        <v>46253</v>
      </c>
      <c r="O18" s="134">
        <v>0.252</v>
      </c>
      <c r="P18" s="134"/>
      <c r="Q18" s="134"/>
    </row>
    <row r="19" spans="3:17" x14ac:dyDescent="0.3">
      <c r="C19" s="134">
        <v>15</v>
      </c>
      <c r="D19" s="134" t="s">
        <v>365</v>
      </c>
      <c r="E19" s="73">
        <v>46181</v>
      </c>
      <c r="F19" s="134">
        <v>0.43</v>
      </c>
      <c r="G19" s="134"/>
      <c r="H19" s="134"/>
      <c r="L19" s="134">
        <v>65</v>
      </c>
      <c r="M19" s="134" t="s">
        <v>399</v>
      </c>
      <c r="N19" s="317">
        <v>46254</v>
      </c>
      <c r="O19" s="134">
        <v>0.90500000000000003</v>
      </c>
      <c r="P19" s="134"/>
      <c r="Q19" s="134"/>
    </row>
    <row r="20" spans="3:17" x14ac:dyDescent="0.3">
      <c r="C20" s="134">
        <v>16</v>
      </c>
      <c r="D20" s="134" t="s">
        <v>366</v>
      </c>
      <c r="E20" s="73">
        <v>46180</v>
      </c>
      <c r="F20" s="134">
        <v>0.55800000000000005</v>
      </c>
      <c r="G20" s="134"/>
      <c r="H20" s="134"/>
      <c r="L20" s="134">
        <v>66</v>
      </c>
      <c r="M20" s="134" t="s">
        <v>401</v>
      </c>
      <c r="N20" s="317">
        <v>46254</v>
      </c>
      <c r="O20" s="134">
        <v>0.91200000000000003</v>
      </c>
      <c r="P20" s="134"/>
      <c r="Q20" s="134"/>
    </row>
    <row r="21" spans="3:17" x14ac:dyDescent="0.3">
      <c r="C21" s="134">
        <v>17</v>
      </c>
      <c r="D21" s="134" t="s">
        <v>367</v>
      </c>
      <c r="E21" s="73">
        <v>46180</v>
      </c>
      <c r="F21" s="134">
        <v>0.60399999999999998</v>
      </c>
      <c r="G21" s="134"/>
      <c r="H21" s="134"/>
      <c r="L21" s="134">
        <v>67</v>
      </c>
      <c r="M21" s="134" t="s">
        <v>403</v>
      </c>
      <c r="N21" s="317">
        <v>46254</v>
      </c>
      <c r="O21" s="134">
        <v>0.21199999999999999</v>
      </c>
      <c r="P21" s="134"/>
      <c r="Q21" s="134"/>
    </row>
    <row r="22" spans="3:17" x14ac:dyDescent="0.3">
      <c r="C22" s="134">
        <v>18</v>
      </c>
      <c r="D22" s="134" t="s">
        <v>368</v>
      </c>
      <c r="E22" s="73">
        <v>46180</v>
      </c>
      <c r="F22" s="134">
        <v>4.383</v>
      </c>
      <c r="G22" s="134"/>
      <c r="H22" s="134"/>
      <c r="L22" s="134">
        <v>68</v>
      </c>
      <c r="M22" s="134" t="s">
        <v>405</v>
      </c>
      <c r="N22" s="317">
        <v>46254</v>
      </c>
      <c r="O22" s="134">
        <v>0.32300000000000001</v>
      </c>
      <c r="P22" s="134"/>
      <c r="Q22" s="134"/>
    </row>
    <row r="23" spans="3:17" x14ac:dyDescent="0.3">
      <c r="C23" s="134">
        <v>19</v>
      </c>
      <c r="D23" s="134" t="s">
        <v>369</v>
      </c>
      <c r="E23" s="73">
        <v>46180</v>
      </c>
      <c r="F23" s="134">
        <v>3.2330000000000001</v>
      </c>
      <c r="G23" s="134"/>
      <c r="H23" s="134"/>
      <c r="L23" s="134">
        <v>69</v>
      </c>
      <c r="M23" s="134" t="s">
        <v>407</v>
      </c>
      <c r="N23" s="317">
        <v>46254</v>
      </c>
      <c r="O23" s="134">
        <v>0.63500000000000001</v>
      </c>
      <c r="P23" s="134"/>
      <c r="Q23" s="134"/>
    </row>
    <row r="24" spans="3:17" x14ac:dyDescent="0.3">
      <c r="C24" s="134">
        <v>20</v>
      </c>
      <c r="D24" s="134" t="s">
        <v>370</v>
      </c>
      <c r="E24" s="73">
        <v>46180</v>
      </c>
      <c r="F24" s="134">
        <v>1.635</v>
      </c>
      <c r="G24" s="134"/>
      <c r="H24" s="134"/>
      <c r="L24" s="134">
        <v>70</v>
      </c>
      <c r="M24" s="134" t="s">
        <v>409</v>
      </c>
      <c r="N24" s="317">
        <v>46254</v>
      </c>
      <c r="O24" s="134">
        <v>0.45500000000000002</v>
      </c>
      <c r="P24" s="134"/>
      <c r="Q24" s="134"/>
    </row>
    <row r="25" spans="3:17" x14ac:dyDescent="0.3">
      <c r="C25" s="134">
        <v>21</v>
      </c>
      <c r="D25" s="134" t="s">
        <v>371</v>
      </c>
      <c r="E25" s="73">
        <v>46180</v>
      </c>
      <c r="F25" s="134">
        <v>1.2390000000000001</v>
      </c>
      <c r="G25" s="134"/>
      <c r="H25" s="134"/>
      <c r="L25" s="134">
        <v>71</v>
      </c>
      <c r="M25" s="134" t="s">
        <v>411</v>
      </c>
      <c r="N25" s="317">
        <v>46254</v>
      </c>
      <c r="O25" s="134">
        <v>9.9000000000000005E-2</v>
      </c>
      <c r="P25" s="134"/>
      <c r="Q25" s="134"/>
    </row>
    <row r="26" spans="3:17" x14ac:dyDescent="0.3">
      <c r="C26" s="134">
        <v>22</v>
      </c>
      <c r="D26" s="134" t="s">
        <v>372</v>
      </c>
      <c r="E26" s="73">
        <v>46180</v>
      </c>
      <c r="F26" s="134">
        <v>0.84699999999999998</v>
      </c>
      <c r="G26" s="134"/>
      <c r="H26" s="134"/>
      <c r="L26" s="134">
        <v>72</v>
      </c>
      <c r="M26" s="134" t="s">
        <v>413</v>
      </c>
      <c r="N26" s="317">
        <v>46254</v>
      </c>
      <c r="O26" s="134">
        <v>0.69599999999999995</v>
      </c>
      <c r="P26" s="134"/>
      <c r="Q26" s="134"/>
    </row>
    <row r="27" spans="3:17" x14ac:dyDescent="0.3">
      <c r="C27" s="134">
        <v>23</v>
      </c>
      <c r="D27" s="134" t="s">
        <v>366</v>
      </c>
      <c r="E27" s="73">
        <v>46176</v>
      </c>
      <c r="F27" s="134">
        <v>2.72</v>
      </c>
      <c r="G27" s="134"/>
      <c r="H27" s="134"/>
      <c r="L27" s="134">
        <v>73</v>
      </c>
      <c r="M27" s="134" t="s">
        <v>394</v>
      </c>
      <c r="N27" s="317">
        <v>46254</v>
      </c>
      <c r="O27" s="134">
        <v>0.34</v>
      </c>
      <c r="P27" s="134"/>
      <c r="Q27" s="134"/>
    </row>
    <row r="28" spans="3:17" x14ac:dyDescent="0.3">
      <c r="C28" s="134">
        <v>24</v>
      </c>
      <c r="D28" s="134" t="s">
        <v>367</v>
      </c>
      <c r="E28" s="73">
        <v>46176</v>
      </c>
      <c r="F28" s="134">
        <v>0.57599999999999996</v>
      </c>
      <c r="G28" s="134"/>
      <c r="H28" s="134"/>
      <c r="L28" s="134">
        <v>74</v>
      </c>
      <c r="M28" s="134" t="s">
        <v>414</v>
      </c>
      <c r="N28" s="317">
        <v>46254</v>
      </c>
      <c r="O28" s="134">
        <v>0.98199999999999998</v>
      </c>
      <c r="P28" s="134"/>
      <c r="Q28" s="134"/>
    </row>
    <row r="29" spans="3:17" x14ac:dyDescent="0.3">
      <c r="C29" s="134">
        <v>25</v>
      </c>
      <c r="D29" s="134" t="s">
        <v>368</v>
      </c>
      <c r="E29" s="73">
        <v>46176</v>
      </c>
      <c r="F29" s="134">
        <v>0.66300000000000003</v>
      </c>
      <c r="G29" s="134"/>
      <c r="H29" s="134"/>
      <c r="L29" s="134">
        <v>75</v>
      </c>
      <c r="M29" s="134" t="s">
        <v>416</v>
      </c>
      <c r="N29" s="317">
        <v>46254</v>
      </c>
      <c r="O29" s="134">
        <v>1.0880000000000001</v>
      </c>
      <c r="P29" s="134"/>
      <c r="Q29" s="134"/>
    </row>
    <row r="30" spans="3:17" x14ac:dyDescent="0.3">
      <c r="C30" s="134">
        <v>26</v>
      </c>
      <c r="D30" s="134" t="s">
        <v>369</v>
      </c>
      <c r="E30" s="73">
        <v>46176</v>
      </c>
      <c r="F30" s="134">
        <v>1.8220000000000001</v>
      </c>
      <c r="G30" s="134"/>
      <c r="H30" s="134"/>
      <c r="L30" s="134">
        <v>76</v>
      </c>
      <c r="M30" s="134" t="s">
        <v>399</v>
      </c>
      <c r="N30" s="317">
        <v>46255</v>
      </c>
      <c r="O30" s="134">
        <v>0.57399999999999995</v>
      </c>
      <c r="P30" s="134"/>
      <c r="Q30" s="134"/>
    </row>
    <row r="31" spans="3:17" x14ac:dyDescent="0.3">
      <c r="C31" s="134">
        <v>27</v>
      </c>
      <c r="D31" s="134" t="s">
        <v>370</v>
      </c>
      <c r="E31" s="73">
        <v>46176</v>
      </c>
      <c r="F31" s="134">
        <v>0.79700000000000004</v>
      </c>
      <c r="G31" s="134"/>
      <c r="H31" s="134"/>
      <c r="L31" s="134">
        <v>77</v>
      </c>
      <c r="M31" s="134" t="s">
        <v>401</v>
      </c>
      <c r="N31" s="317">
        <v>46255</v>
      </c>
      <c r="O31" s="134">
        <v>0.35399999999999998</v>
      </c>
      <c r="P31" s="134"/>
      <c r="Q31" s="134"/>
    </row>
    <row r="32" spans="3:17" x14ac:dyDescent="0.3">
      <c r="C32" s="134">
        <v>28</v>
      </c>
      <c r="D32" s="134" t="s">
        <v>371</v>
      </c>
      <c r="E32" s="73">
        <v>46176</v>
      </c>
      <c r="F32" s="134">
        <v>1.3919999999999999</v>
      </c>
      <c r="G32" s="134"/>
      <c r="H32" s="134"/>
      <c r="L32" s="134">
        <v>78</v>
      </c>
      <c r="M32" s="134" t="s">
        <v>403</v>
      </c>
      <c r="N32" s="317">
        <v>46255</v>
      </c>
      <c r="O32" s="134">
        <v>0.80200000000000005</v>
      </c>
      <c r="P32" s="134"/>
      <c r="Q32" s="134"/>
    </row>
    <row r="33" spans="3:17" x14ac:dyDescent="0.3">
      <c r="C33" s="134">
        <v>29</v>
      </c>
      <c r="D33" s="134" t="s">
        <v>372</v>
      </c>
      <c r="E33" s="73">
        <v>46176</v>
      </c>
      <c r="F33" s="134">
        <v>0.70699999999999996</v>
      </c>
      <c r="G33" s="134"/>
      <c r="H33" s="134"/>
      <c r="L33" s="134">
        <v>79</v>
      </c>
      <c r="M33" s="134" t="s">
        <v>405</v>
      </c>
      <c r="N33" s="317">
        <v>46255</v>
      </c>
      <c r="O33" s="134">
        <v>0.16</v>
      </c>
      <c r="P33" s="134"/>
      <c r="Q33" s="134"/>
    </row>
    <row r="34" spans="3:17" x14ac:dyDescent="0.3">
      <c r="C34" s="134">
        <v>30</v>
      </c>
      <c r="D34" s="134" t="s">
        <v>373</v>
      </c>
      <c r="E34" s="73">
        <v>46176</v>
      </c>
      <c r="F34" s="134">
        <v>1.552</v>
      </c>
      <c r="G34" s="134"/>
      <c r="H34" s="134"/>
      <c r="L34" s="134">
        <v>80</v>
      </c>
      <c r="M34" s="134" t="s">
        <v>407</v>
      </c>
      <c r="N34" s="317">
        <v>46255</v>
      </c>
      <c r="O34" s="134">
        <v>0.96199999999999997</v>
      </c>
      <c r="P34" s="134"/>
      <c r="Q34" s="134"/>
    </row>
    <row r="35" spans="3:17" x14ac:dyDescent="0.3">
      <c r="C35" s="134">
        <v>31</v>
      </c>
      <c r="D35" s="134" t="s">
        <v>374</v>
      </c>
      <c r="E35" s="73">
        <v>46176</v>
      </c>
      <c r="F35" s="134">
        <v>0.76500000000000001</v>
      </c>
      <c r="G35" s="134"/>
      <c r="H35" s="134"/>
      <c r="L35" s="134">
        <v>81</v>
      </c>
      <c r="M35" s="134" t="s">
        <v>409</v>
      </c>
      <c r="N35" s="317">
        <v>46255</v>
      </c>
      <c r="O35" s="134">
        <v>0.42199999999999999</v>
      </c>
      <c r="P35" s="134"/>
      <c r="Q35" s="134"/>
    </row>
    <row r="36" spans="3:17" x14ac:dyDescent="0.3">
      <c r="C36" s="134">
        <v>32</v>
      </c>
      <c r="D36" s="134" t="s">
        <v>375</v>
      </c>
      <c r="E36" s="73">
        <v>46176</v>
      </c>
      <c r="F36" s="134">
        <v>1.2350000000000001</v>
      </c>
      <c r="G36" s="134"/>
      <c r="H36" s="134"/>
      <c r="L36" s="134">
        <v>82</v>
      </c>
      <c r="M36" s="134" t="s">
        <v>411</v>
      </c>
      <c r="N36" s="317">
        <v>46255</v>
      </c>
      <c r="O36" s="134">
        <v>0.16700000000000001</v>
      </c>
      <c r="P36" s="134"/>
      <c r="Q36" s="134"/>
    </row>
    <row r="37" spans="3:17" x14ac:dyDescent="0.3">
      <c r="C37" s="134">
        <v>33</v>
      </c>
      <c r="D37" s="134" t="s">
        <v>384</v>
      </c>
      <c r="E37" s="84">
        <v>46251</v>
      </c>
      <c r="F37" s="134">
        <v>1.0349999999999999</v>
      </c>
      <c r="G37" s="134"/>
      <c r="H37" s="134"/>
      <c r="L37" s="134">
        <v>83</v>
      </c>
      <c r="M37" s="134" t="s">
        <v>413</v>
      </c>
      <c r="N37" s="317">
        <v>46255</v>
      </c>
      <c r="O37" s="134">
        <v>0.31</v>
      </c>
      <c r="P37" s="134"/>
      <c r="Q37" s="134"/>
    </row>
    <row r="38" spans="3:17" x14ac:dyDescent="0.3">
      <c r="C38" s="134">
        <v>34</v>
      </c>
      <c r="D38" s="134" t="s">
        <v>385</v>
      </c>
      <c r="E38" s="84">
        <v>46251</v>
      </c>
      <c r="F38" s="134">
        <v>0.52600000000000002</v>
      </c>
      <c r="G38" s="134"/>
      <c r="H38" s="134"/>
      <c r="L38" s="134">
        <v>84</v>
      </c>
      <c r="M38" s="134" t="s">
        <v>394</v>
      </c>
      <c r="N38" s="317">
        <v>46255</v>
      </c>
      <c r="O38" s="134">
        <v>0.23100000000000001</v>
      </c>
      <c r="P38" s="134"/>
      <c r="Q38" s="134"/>
    </row>
    <row r="39" spans="3:17" x14ac:dyDescent="0.3">
      <c r="C39" s="134">
        <v>35</v>
      </c>
      <c r="D39" s="134" t="s">
        <v>386</v>
      </c>
      <c r="E39" s="84">
        <v>46251</v>
      </c>
      <c r="F39" s="134">
        <v>0.81599999999999995</v>
      </c>
      <c r="G39" s="134"/>
      <c r="H39" s="134"/>
      <c r="L39" s="134">
        <v>85</v>
      </c>
      <c r="M39" s="134" t="s">
        <v>401</v>
      </c>
      <c r="N39" s="317">
        <v>46256</v>
      </c>
      <c r="O39" s="134">
        <v>2.5209999999999999</v>
      </c>
      <c r="P39" s="134"/>
      <c r="Q39" s="134"/>
    </row>
    <row r="40" spans="3:17" x14ac:dyDescent="0.3">
      <c r="C40" s="134">
        <v>36</v>
      </c>
      <c r="D40" s="134" t="s">
        <v>387</v>
      </c>
      <c r="E40" s="84">
        <v>46251</v>
      </c>
      <c r="F40" s="134">
        <v>0.34399999999999997</v>
      </c>
      <c r="G40" s="134"/>
      <c r="H40" s="134"/>
      <c r="L40" s="134">
        <v>86</v>
      </c>
      <c r="M40" s="134" t="s">
        <v>403</v>
      </c>
      <c r="N40" s="317">
        <v>46256</v>
      </c>
      <c r="O40" s="134">
        <v>0.308</v>
      </c>
      <c r="P40" s="134"/>
      <c r="Q40" s="134"/>
    </row>
    <row r="41" spans="3:17" x14ac:dyDescent="0.3">
      <c r="C41" s="134">
        <v>37</v>
      </c>
      <c r="D41" s="134" t="s">
        <v>388</v>
      </c>
      <c r="E41" s="84">
        <v>46251</v>
      </c>
      <c r="F41" s="134">
        <v>0.30399999999999999</v>
      </c>
      <c r="G41" s="134"/>
      <c r="H41" s="134"/>
      <c r="L41" s="134">
        <v>87</v>
      </c>
      <c r="M41" s="134" t="s">
        <v>405</v>
      </c>
      <c r="N41" s="317">
        <v>46256</v>
      </c>
      <c r="O41" s="134">
        <v>0.35099999999999998</v>
      </c>
      <c r="P41" s="134"/>
      <c r="Q41" s="134"/>
    </row>
    <row r="42" spans="3:17" x14ac:dyDescent="0.3">
      <c r="C42" s="134">
        <v>38</v>
      </c>
      <c r="D42" s="134" t="s">
        <v>389</v>
      </c>
      <c r="E42" s="84">
        <v>46251</v>
      </c>
      <c r="F42" s="134">
        <v>0.74399999999999999</v>
      </c>
      <c r="G42" s="134"/>
      <c r="H42" s="134"/>
      <c r="L42" s="134">
        <v>88</v>
      </c>
      <c r="M42" s="134" t="s">
        <v>407</v>
      </c>
      <c r="N42" s="317">
        <v>46256</v>
      </c>
      <c r="O42" s="134">
        <v>0.751</v>
      </c>
      <c r="P42" s="134"/>
      <c r="Q42" s="134"/>
    </row>
    <row r="43" spans="3:17" x14ac:dyDescent="0.3">
      <c r="C43" s="134">
        <v>39</v>
      </c>
      <c r="D43" s="134" t="s">
        <v>390</v>
      </c>
      <c r="E43" s="84">
        <v>46251</v>
      </c>
      <c r="F43" s="134">
        <v>0.56299999999999994</v>
      </c>
      <c r="G43" s="134"/>
      <c r="H43" s="134"/>
      <c r="L43" s="134">
        <v>89</v>
      </c>
      <c r="M43" s="134" t="s">
        <v>409</v>
      </c>
      <c r="N43" s="317">
        <v>46256</v>
      </c>
      <c r="O43" s="134">
        <v>0.60399999999999998</v>
      </c>
      <c r="P43" s="134"/>
      <c r="Q43" s="134"/>
    </row>
    <row r="44" spans="3:17" x14ac:dyDescent="0.3">
      <c r="C44" s="134">
        <v>40</v>
      </c>
      <c r="D44" s="134" t="s">
        <v>391</v>
      </c>
      <c r="E44" s="84">
        <v>46251</v>
      </c>
      <c r="F44" s="134">
        <v>0.438</v>
      </c>
      <c r="G44" s="134"/>
      <c r="H44" s="134"/>
      <c r="L44" s="134">
        <v>90</v>
      </c>
      <c r="M44" s="134" t="s">
        <v>411</v>
      </c>
      <c r="N44" s="317">
        <v>46256</v>
      </c>
      <c r="O44" s="134">
        <v>4.7E-2</v>
      </c>
      <c r="P44" s="134"/>
      <c r="Q44" s="134"/>
    </row>
    <row r="45" spans="3:17" x14ac:dyDescent="0.3">
      <c r="C45" s="134">
        <v>41</v>
      </c>
      <c r="D45" s="134" t="s">
        <v>392</v>
      </c>
      <c r="E45" s="84">
        <v>46251</v>
      </c>
      <c r="F45" s="134">
        <v>0.45800000000000002</v>
      </c>
      <c r="G45" s="134"/>
      <c r="H45" s="134"/>
      <c r="L45" s="134">
        <v>91</v>
      </c>
      <c r="M45" s="134" t="s">
        <v>413</v>
      </c>
      <c r="N45" s="317">
        <v>46256</v>
      </c>
      <c r="O45" s="134">
        <v>0.35699999999999998</v>
      </c>
      <c r="P45" s="134"/>
      <c r="Q45" s="134"/>
    </row>
    <row r="46" spans="3:17" x14ac:dyDescent="0.3">
      <c r="C46" s="134">
        <v>42</v>
      </c>
      <c r="D46" s="134" t="s">
        <v>393</v>
      </c>
      <c r="E46" s="84">
        <v>46252</v>
      </c>
      <c r="F46" s="134">
        <v>0.55800000000000005</v>
      </c>
      <c r="G46" s="134"/>
      <c r="H46" s="134"/>
      <c r="L46" s="134">
        <v>92</v>
      </c>
      <c r="M46" s="134" t="s">
        <v>394</v>
      </c>
      <c r="N46" s="317">
        <v>46256</v>
      </c>
      <c r="O46" s="134">
        <v>0.40699999999999997</v>
      </c>
      <c r="P46" s="134"/>
      <c r="Q46" s="134"/>
    </row>
    <row r="47" spans="3:17" x14ac:dyDescent="0.3">
      <c r="C47" s="134">
        <v>43</v>
      </c>
      <c r="D47" s="134" t="s">
        <v>394</v>
      </c>
      <c r="E47" s="84">
        <v>46252</v>
      </c>
      <c r="F47" s="134">
        <v>0.501</v>
      </c>
      <c r="G47" s="134"/>
      <c r="H47" s="134"/>
      <c r="L47" s="134">
        <v>93</v>
      </c>
      <c r="M47" s="134" t="s">
        <v>414</v>
      </c>
      <c r="N47" s="317">
        <v>46256</v>
      </c>
      <c r="O47" s="134">
        <v>0.318</v>
      </c>
      <c r="P47" s="134"/>
      <c r="Q47" s="134"/>
    </row>
    <row r="48" spans="3:17" x14ac:dyDescent="0.3">
      <c r="C48" s="134">
        <v>44</v>
      </c>
      <c r="D48" s="134" t="s">
        <v>395</v>
      </c>
      <c r="E48" s="84">
        <v>46252</v>
      </c>
      <c r="F48" s="134">
        <v>1.25</v>
      </c>
      <c r="G48" s="134"/>
      <c r="H48" s="134"/>
      <c r="L48" s="134">
        <v>94</v>
      </c>
      <c r="M48" s="134" t="s">
        <v>399</v>
      </c>
      <c r="N48" s="317">
        <v>46258</v>
      </c>
      <c r="O48" s="134">
        <v>0.502</v>
      </c>
      <c r="P48" s="134"/>
      <c r="Q48" s="134"/>
    </row>
    <row r="49" spans="3:17" x14ac:dyDescent="0.3">
      <c r="C49" s="134">
        <v>45</v>
      </c>
      <c r="D49" s="134" t="s">
        <v>399</v>
      </c>
      <c r="E49" s="317">
        <v>46253</v>
      </c>
      <c r="F49" s="134">
        <v>0.35099999999999998</v>
      </c>
      <c r="G49" s="134"/>
      <c r="H49" s="134"/>
      <c r="L49" s="134">
        <v>95</v>
      </c>
      <c r="M49" s="134" t="s">
        <v>401</v>
      </c>
      <c r="N49" s="317">
        <v>46258</v>
      </c>
      <c r="O49" s="134">
        <v>0.38800000000000001</v>
      </c>
      <c r="P49" s="134"/>
      <c r="Q49" s="134"/>
    </row>
    <row r="50" spans="3:17" x14ac:dyDescent="0.3">
      <c r="C50" s="134">
        <v>46</v>
      </c>
      <c r="D50" s="134" t="s">
        <v>400</v>
      </c>
      <c r="E50" s="317">
        <v>46253</v>
      </c>
      <c r="F50" s="134">
        <v>2.028</v>
      </c>
      <c r="G50" s="134"/>
      <c r="H50" s="134"/>
      <c r="L50" s="134">
        <v>96</v>
      </c>
      <c r="M50" s="134" t="s">
        <v>403</v>
      </c>
      <c r="N50" s="317">
        <v>46258</v>
      </c>
      <c r="O50" s="134">
        <v>1.0409999999999999</v>
      </c>
      <c r="P50" s="134"/>
      <c r="Q50" s="134"/>
    </row>
    <row r="51" spans="3:17" x14ac:dyDescent="0.3">
      <c r="C51" s="134">
        <v>47</v>
      </c>
      <c r="D51" s="134" t="s">
        <v>401</v>
      </c>
      <c r="E51" s="317">
        <v>46253</v>
      </c>
      <c r="F51" s="134">
        <v>1.8380000000000001</v>
      </c>
      <c r="G51" s="134"/>
      <c r="H51" s="134"/>
      <c r="L51" s="134">
        <v>97</v>
      </c>
      <c r="M51" s="134" t="s">
        <v>405</v>
      </c>
      <c r="N51" s="317">
        <v>46258</v>
      </c>
      <c r="O51" s="134">
        <v>1.47</v>
      </c>
      <c r="P51" s="134"/>
      <c r="Q51" s="134"/>
    </row>
    <row r="52" spans="3:17" x14ac:dyDescent="0.3">
      <c r="C52" s="134">
        <v>48</v>
      </c>
      <c r="D52" s="134" t="s">
        <v>402</v>
      </c>
      <c r="E52" s="317">
        <v>46253</v>
      </c>
      <c r="F52" s="134">
        <v>1.3220000000000001</v>
      </c>
      <c r="G52" s="134"/>
      <c r="H52" s="134"/>
      <c r="L52" s="134">
        <v>98</v>
      </c>
      <c r="M52" s="134" t="s">
        <v>407</v>
      </c>
      <c r="N52" s="317">
        <v>46258</v>
      </c>
      <c r="O52" s="134">
        <v>3.8769999999999998</v>
      </c>
      <c r="P52" s="134"/>
      <c r="Q52" s="134"/>
    </row>
    <row r="53" spans="3:17" x14ac:dyDescent="0.3">
      <c r="C53" s="134">
        <v>49</v>
      </c>
      <c r="D53" s="134" t="s">
        <v>403</v>
      </c>
      <c r="E53" s="317">
        <v>46253</v>
      </c>
      <c r="F53" s="134">
        <v>0.65100000000000002</v>
      </c>
      <c r="G53" s="134"/>
      <c r="H53" s="134"/>
      <c r="L53" s="134">
        <v>99</v>
      </c>
      <c r="M53" s="134" t="s">
        <v>409</v>
      </c>
      <c r="N53" s="317">
        <v>46258</v>
      </c>
      <c r="O53" s="134">
        <v>0.35099999999999998</v>
      </c>
      <c r="P53" s="134"/>
      <c r="Q53" s="134"/>
    </row>
    <row r="54" spans="3:17" x14ac:dyDescent="0.3">
      <c r="C54" s="134">
        <v>50</v>
      </c>
      <c r="D54" s="134" t="s">
        <v>404</v>
      </c>
      <c r="E54" s="317">
        <v>46253</v>
      </c>
      <c r="F54" s="134">
        <v>0.50600000000000001</v>
      </c>
      <c r="G54" s="134"/>
      <c r="H54" s="134"/>
      <c r="L54" s="134">
        <v>100</v>
      </c>
      <c r="M54" s="134" t="s">
        <v>411</v>
      </c>
      <c r="N54" s="317">
        <v>46258</v>
      </c>
      <c r="O54" s="134">
        <v>0.32600000000000001</v>
      </c>
      <c r="P54" s="134"/>
      <c r="Q54" s="134"/>
    </row>
    <row r="55" spans="3:17" x14ac:dyDescent="0.3">
      <c r="L55" s="134">
        <v>101</v>
      </c>
      <c r="M55" s="134" t="s">
        <v>413</v>
      </c>
      <c r="N55" s="317">
        <v>46258</v>
      </c>
      <c r="O55" s="134">
        <v>0.24</v>
      </c>
      <c r="P55" s="134"/>
      <c r="Q55" s="134"/>
    </row>
    <row r="56" spans="3:17" x14ac:dyDescent="0.3">
      <c r="L56" s="134">
        <v>102</v>
      </c>
      <c r="M56" s="134" t="s">
        <v>394</v>
      </c>
      <c r="N56" s="317">
        <v>46258</v>
      </c>
      <c r="O56" s="134">
        <v>1.077</v>
      </c>
      <c r="P56" s="134"/>
      <c r="Q56" s="134"/>
    </row>
    <row r="57" spans="3:17" x14ac:dyDescent="0.3">
      <c r="L57" s="227">
        <v>103</v>
      </c>
      <c r="M57" s="227" t="s">
        <v>407</v>
      </c>
      <c r="N57" s="317">
        <v>46261</v>
      </c>
      <c r="O57" s="6">
        <v>0.253</v>
      </c>
      <c r="P57" s="21"/>
      <c r="Q57" s="21"/>
    </row>
    <row r="58" spans="3:17" x14ac:dyDescent="0.3">
      <c r="L58" s="227">
        <v>104</v>
      </c>
      <c r="M58" s="227" t="s">
        <v>409</v>
      </c>
      <c r="N58" s="317">
        <v>46261</v>
      </c>
      <c r="O58" s="6">
        <v>0.73199999999999998</v>
      </c>
      <c r="P58" s="21"/>
      <c r="Q58" s="21"/>
    </row>
    <row r="59" spans="3:17" x14ac:dyDescent="0.3">
      <c r="L59" s="227">
        <v>105</v>
      </c>
      <c r="M59" s="227" t="s">
        <v>411</v>
      </c>
      <c r="N59" s="317">
        <v>46261</v>
      </c>
      <c r="O59" s="6">
        <v>0.45400000000000001</v>
      </c>
      <c r="P59" s="21"/>
      <c r="Q59" s="21"/>
    </row>
    <row r="60" spans="3:17" x14ac:dyDescent="0.3">
      <c r="L60" s="227">
        <v>106</v>
      </c>
      <c r="M60" s="227" t="s">
        <v>413</v>
      </c>
      <c r="N60" s="317">
        <v>46261</v>
      </c>
      <c r="O60" s="6">
        <v>0.61599999999999999</v>
      </c>
      <c r="P60" s="21"/>
      <c r="Q60" s="21"/>
    </row>
    <row r="61" spans="3:17" x14ac:dyDescent="0.3">
      <c r="L61" s="227">
        <v>107</v>
      </c>
      <c r="M61" s="227" t="s">
        <v>394</v>
      </c>
      <c r="N61" s="317">
        <v>46261</v>
      </c>
      <c r="O61" s="6">
        <v>0.24199999999999999</v>
      </c>
      <c r="P61" s="21"/>
      <c r="Q61" s="21"/>
    </row>
    <row r="62" spans="3:17" x14ac:dyDescent="0.3">
      <c r="L62" s="227">
        <v>108</v>
      </c>
      <c r="M62" s="227" t="s">
        <v>414</v>
      </c>
      <c r="N62" s="317">
        <v>46261</v>
      </c>
      <c r="O62" s="6">
        <v>2.0979999999999999</v>
      </c>
      <c r="P62" s="21"/>
      <c r="Q62" s="21"/>
    </row>
    <row r="63" spans="3:17" x14ac:dyDescent="0.3">
      <c r="L63" s="227">
        <v>109</v>
      </c>
      <c r="M63" s="227" t="s">
        <v>416</v>
      </c>
      <c r="N63" s="317">
        <v>46261</v>
      </c>
      <c r="O63" s="6">
        <v>0.86299999999999999</v>
      </c>
      <c r="P63" s="21"/>
      <c r="Q63" s="21"/>
    </row>
  </sheetData>
  <mergeCells count="2">
    <mergeCell ref="C3:H3"/>
    <mergeCell ref="L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56"/>
  <sheetViews>
    <sheetView zoomScale="54" zoomScaleNormal="70" workbookViewId="0">
      <pane xSplit="1" ySplit="5" topLeftCell="B6" activePane="bottomRight" state="frozen"/>
      <selection pane="topRight" activeCell="B1" sqref="B1"/>
      <selection pane="bottomLeft" activeCell="A2" sqref="A2"/>
      <selection pane="bottomRight" activeCell="Q26" sqref="Q26"/>
    </sheetView>
  </sheetViews>
  <sheetFormatPr defaultRowHeight="14.4" x14ac:dyDescent="0.3"/>
  <cols>
    <col min="1" max="1" width="30.88671875" bestFit="1" customWidth="1"/>
    <col min="3" max="3" width="11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4.4414062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13.33203125" bestFit="1" customWidth="1"/>
    <col min="26" max="26" width="16.109375" bestFit="1" customWidth="1"/>
    <col min="27" max="27" width="18.44140625" bestFit="1" customWidth="1"/>
    <col min="28" max="28" width="17.109375" bestFit="1" customWidth="1"/>
    <col min="29" max="29" width="11.44140625" bestFit="1" customWidth="1"/>
  </cols>
  <sheetData>
    <row r="1" spans="1:42" ht="18" x14ac:dyDescent="0.35">
      <c r="B1" s="648" t="s">
        <v>283</v>
      </c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>
        <f>125+150</f>
        <v>275</v>
      </c>
    </row>
    <row r="2" spans="1:42" ht="18" x14ac:dyDescent="0.35">
      <c r="B2" s="648" t="s">
        <v>284</v>
      </c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</row>
    <row r="3" spans="1:42" ht="18" x14ac:dyDescent="0.35">
      <c r="B3" s="648" t="s">
        <v>285</v>
      </c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  <c r="Q3" s="648"/>
      <c r="R3" s="648"/>
      <c r="S3" s="648"/>
    </row>
    <row r="4" spans="1:42" x14ac:dyDescent="0.3"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42" x14ac:dyDescent="0.3">
      <c r="A5" s="18" t="s">
        <v>24</v>
      </c>
      <c r="B5" s="650"/>
      <c r="C5" s="651"/>
      <c r="D5" s="650" t="s">
        <v>25</v>
      </c>
      <c r="E5" s="652"/>
      <c r="F5" s="651"/>
      <c r="G5" s="650" t="s">
        <v>26</v>
      </c>
      <c r="H5" s="652"/>
      <c r="I5" s="651"/>
      <c r="J5" s="650" t="s">
        <v>325</v>
      </c>
      <c r="K5" s="651"/>
      <c r="L5" s="125" t="s">
        <v>151</v>
      </c>
      <c r="U5" t="s">
        <v>335</v>
      </c>
    </row>
    <row r="6" spans="1:42" x14ac:dyDescent="0.3">
      <c r="A6" s="18" t="s">
        <v>1</v>
      </c>
      <c r="B6" s="18" t="s">
        <v>27</v>
      </c>
      <c r="C6" s="18" t="s">
        <v>2</v>
      </c>
      <c r="D6" s="18" t="s">
        <v>174</v>
      </c>
      <c r="E6" s="18" t="s">
        <v>28</v>
      </c>
      <c r="F6" s="18" t="s">
        <v>29</v>
      </c>
      <c r="G6" s="18" t="s">
        <v>174</v>
      </c>
      <c r="H6" s="18" t="s">
        <v>30</v>
      </c>
      <c r="I6" s="18" t="s">
        <v>31</v>
      </c>
      <c r="J6" s="18" t="s">
        <v>28</v>
      </c>
      <c r="K6" s="18" t="s">
        <v>32</v>
      </c>
      <c r="L6" s="125" t="s">
        <v>152</v>
      </c>
      <c r="N6" s="18" t="s">
        <v>1</v>
      </c>
      <c r="O6" s="18" t="s">
        <v>175</v>
      </c>
      <c r="P6" s="18" t="s">
        <v>28</v>
      </c>
      <c r="Q6" s="18" t="s">
        <v>29</v>
      </c>
      <c r="R6" s="18" t="s">
        <v>30</v>
      </c>
      <c r="S6" s="18" t="s">
        <v>31</v>
      </c>
      <c r="T6" s="18" t="s">
        <v>32</v>
      </c>
      <c r="U6" s="126" t="s">
        <v>175</v>
      </c>
      <c r="V6" s="126" t="s">
        <v>336</v>
      </c>
      <c r="X6" s="653" t="s">
        <v>163</v>
      </c>
      <c r="Y6" s="653"/>
      <c r="Z6" s="653"/>
      <c r="AA6" s="653"/>
      <c r="AB6" s="653"/>
      <c r="AC6" s="653"/>
    </row>
    <row r="7" spans="1:42" x14ac:dyDescent="0.3">
      <c r="A7" s="22">
        <v>46262</v>
      </c>
      <c r="B7" s="146" t="s">
        <v>13</v>
      </c>
      <c r="C7" s="437" t="s">
        <v>430</v>
      </c>
      <c r="D7" s="16"/>
      <c r="E7" s="16"/>
      <c r="F7" s="6"/>
      <c r="G7" s="6"/>
      <c r="H7" s="5"/>
      <c r="I7" s="6"/>
      <c r="J7" s="6"/>
      <c r="K7" s="6"/>
      <c r="L7" s="6"/>
      <c r="N7" s="20">
        <v>46262</v>
      </c>
      <c r="O7" s="21">
        <f>SUMIF(A$7:A$40,N7,D$7:D$40)+SUMIF(A$7:A$40,N7,G$7:G$40)</f>
        <v>0</v>
      </c>
      <c r="P7" s="21">
        <f>SUMIF(A$7:A$40,N7,E$7:E$40)+SUMIF(A$7:A$40,N7,J$7:J$40)</f>
        <v>0</v>
      </c>
      <c r="Q7" s="21">
        <f>SUMIF(A$7:A$40,N7,F$7:F$40)</f>
        <v>0</v>
      </c>
      <c r="R7" s="21">
        <f>SUMIF(A$7:A$53,N7,H$7:H$54)</f>
        <v>0</v>
      </c>
      <c r="S7" s="21">
        <f>SUMIF(A$7:A$53,N7,I$7:I$53)</f>
        <v>0</v>
      </c>
      <c r="T7" s="21">
        <f>SUMIF(A$7:A$40,N7,K$7:K$40)</f>
        <v>0</v>
      </c>
      <c r="U7" s="21">
        <f>SUMIF(A$7:A$54,N7,G$7:G$54)</f>
        <v>0</v>
      </c>
      <c r="V7" s="21">
        <f>SUMIF(A$7:A$54,N7,I$7:I$54)</f>
        <v>0</v>
      </c>
      <c r="X7" s="136" t="s">
        <v>224</v>
      </c>
      <c r="Y7" s="136" t="s">
        <v>161</v>
      </c>
      <c r="Z7" s="136" t="s">
        <v>162</v>
      </c>
      <c r="AA7" s="136" t="s">
        <v>164</v>
      </c>
      <c r="AB7" s="136" t="s">
        <v>291</v>
      </c>
      <c r="AC7" s="136" t="s">
        <v>337</v>
      </c>
    </row>
    <row r="8" spans="1:42" x14ac:dyDescent="0.3">
      <c r="A8" s="22">
        <v>46263</v>
      </c>
      <c r="B8" s="19"/>
      <c r="C8" s="19"/>
      <c r="D8" s="16"/>
      <c r="E8" s="16"/>
      <c r="F8" s="6"/>
      <c r="G8" s="6"/>
      <c r="H8" s="6"/>
      <c r="I8" s="6"/>
      <c r="J8" s="6"/>
      <c r="K8" s="6"/>
      <c r="L8" s="6"/>
      <c r="N8" s="20">
        <v>46263</v>
      </c>
      <c r="O8" s="21">
        <f>SUMIF(A$7:A$40,N8,D$7:D$40)+SUMIF(A$7:A$40,N8,G$7:G$40)</f>
        <v>0</v>
      </c>
      <c r="P8" s="21">
        <f>SUMIF(A$7:A$40,N8,E$7:E$40)+SUMIF(A$7:A$40,N8,J$7:J$40)</f>
        <v>0</v>
      </c>
      <c r="Q8" s="21">
        <f>SUMIF(A$7:A$40,N8,F$7:F$40)</f>
        <v>0</v>
      </c>
      <c r="R8" s="21">
        <f>SUMIF(A$7:A$53,N8,H$7:H$54)</f>
        <v>0</v>
      </c>
      <c r="S8" s="21">
        <f>SUMIF(A$7:A$53,N8,I$7:I$53)</f>
        <v>0</v>
      </c>
      <c r="T8" s="21">
        <f>SUMIF(A$7:A$40,N8,K$7:K$40)</f>
        <v>0</v>
      </c>
      <c r="U8" s="21">
        <f>SUMIF(A$7:A$54,N8,G$7:G$54)</f>
        <v>0</v>
      </c>
      <c r="V8" s="21">
        <f>SUMIF(A$7:A$54,N8,I$7:I$54)</f>
        <v>0</v>
      </c>
      <c r="X8" s="134">
        <f>O54+U54</f>
        <v>1125</v>
      </c>
      <c r="Y8" s="134">
        <f t="shared" ref="Y8:Z8" si="0">P54</f>
        <v>2250</v>
      </c>
      <c r="Z8" s="134">
        <f t="shared" si="0"/>
        <v>2000</v>
      </c>
      <c r="AA8" s="134">
        <f>T54</f>
        <v>50</v>
      </c>
      <c r="AB8" s="135">
        <f>R54</f>
        <v>0</v>
      </c>
      <c r="AC8" s="21">
        <f>V54</f>
        <v>0</v>
      </c>
    </row>
    <row r="9" spans="1:42" x14ac:dyDescent="0.3">
      <c r="A9" s="22">
        <v>46264</v>
      </c>
      <c r="B9" s="19"/>
      <c r="C9" s="19"/>
      <c r="D9" s="16"/>
      <c r="E9" s="16"/>
      <c r="F9" s="6"/>
      <c r="G9" s="6"/>
      <c r="H9" s="5"/>
      <c r="I9" s="6"/>
      <c r="J9" s="6"/>
      <c r="K9" s="6"/>
      <c r="L9" s="6"/>
      <c r="N9" s="20">
        <v>46264</v>
      </c>
      <c r="O9" s="21">
        <f>SUMIF(A$7:A$40,N9,D$7:D$40)+SUMIF(A$7:A$40,N9,G$7:G$40)</f>
        <v>0</v>
      </c>
      <c r="P9" s="21">
        <f>SUMIF(A$7:A$40,N9,E$7:E$40)+SUMIF(A$7:A$40,N9,J$7:J$40)</f>
        <v>0</v>
      </c>
      <c r="Q9" s="21">
        <f>SUMIF(A$7:A$40,N9,F$7:F$40)</f>
        <v>0</v>
      </c>
      <c r="R9" s="21">
        <f>SUMIF(A$7:A$53,N9,H$7:H$54)</f>
        <v>0</v>
      </c>
      <c r="S9" s="21">
        <f>SUMIF(A$7:A$53,N9,I$7:I$53)</f>
        <v>0</v>
      </c>
      <c r="T9" s="21">
        <f>SUMIF(A$7:A$40,N9,K$7:K$40)</f>
        <v>0</v>
      </c>
      <c r="U9" s="21">
        <f>SUMIF(A$7:A$54,N9,G$7:G$54)</f>
        <v>0</v>
      </c>
      <c r="V9" s="21">
        <f>SUMIF(A$7:A$54,N9,I$7:I$54)</f>
        <v>0</v>
      </c>
      <c r="AP9">
        <f>30/1.16</f>
        <v>25.862068965517242</v>
      </c>
    </row>
    <row r="10" spans="1:42" x14ac:dyDescent="0.3">
      <c r="A10" s="22">
        <v>46265</v>
      </c>
      <c r="B10" s="19" t="s">
        <v>13</v>
      </c>
      <c r="C10" s="501" t="s">
        <v>430</v>
      </c>
      <c r="D10" s="16">
        <v>150</v>
      </c>
      <c r="E10" s="16">
        <v>250</v>
      </c>
      <c r="F10" s="6"/>
      <c r="G10" s="6"/>
      <c r="H10" s="5"/>
      <c r="I10" s="6"/>
      <c r="J10" s="6"/>
      <c r="K10" s="6"/>
      <c r="L10" s="6"/>
      <c r="N10" s="20">
        <v>46265</v>
      </c>
      <c r="O10" s="21">
        <f>SUMIF(A$7:A$40,N10,D$7:D$40)+SUMIF(A$7:A$40,N10,G$7:G$40)</f>
        <v>150</v>
      </c>
      <c r="P10" s="21">
        <f>SUMIF(A$7:A$40,N10,E$7:E$40)+SUMIF(A$7:A$40,N10,J$7:J$40)</f>
        <v>250</v>
      </c>
      <c r="Q10" s="21">
        <f>SUMIF(A$7:A$40,N10,F$7:F$40)</f>
        <v>0</v>
      </c>
      <c r="R10" s="21">
        <f>SUMIF(A$7:A$53,N10,H$7:H$54)</f>
        <v>0</v>
      </c>
      <c r="S10" s="21">
        <f>SUMIF(A$7:A$53,N10,I$7:I$53)</f>
        <v>0</v>
      </c>
      <c r="T10" s="21">
        <f>SUMIF(A$7:A$40,N10,K$7:K$40)</f>
        <v>0</v>
      </c>
      <c r="U10" s="21">
        <f>SUMIF(A$7:A$54,N10,G$7:G$54)</f>
        <v>0</v>
      </c>
      <c r="V10" s="21">
        <f>SUMIF(A$7:A$54,N10,I$7:I$54)</f>
        <v>0</v>
      </c>
      <c r="X10" s="649" t="s">
        <v>342</v>
      </c>
      <c r="Y10" s="649"/>
      <c r="Z10" s="649"/>
      <c r="AA10" s="649"/>
      <c r="AB10" s="649"/>
      <c r="AC10" s="225"/>
    </row>
    <row r="11" spans="1:42" x14ac:dyDescent="0.3">
      <c r="A11" s="22">
        <v>46266</v>
      </c>
      <c r="B11" s="19" t="s">
        <v>13</v>
      </c>
      <c r="C11" s="509" t="s">
        <v>453</v>
      </c>
      <c r="D11" s="16">
        <v>100</v>
      </c>
      <c r="E11" s="16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20">
        <v>46266</v>
      </c>
      <c r="O11" s="21">
        <f>SUMIF(A$7:A$40,N11,D$7:D$40)+SUMIF(A$7:A$40,N11,G$7:G$40)</f>
        <v>225</v>
      </c>
      <c r="P11" s="21">
        <f>SUMIF(A$7:A$40,N11,E$7:E$40)+SUMIF(A$7:A$40,N11,J$7:J$40)</f>
        <v>1250</v>
      </c>
      <c r="Q11" s="21">
        <f>SUMIF(A$7:A$40,N11,F$7:F$40)</f>
        <v>1000</v>
      </c>
      <c r="R11" s="21">
        <f>SUMIF(A$7:A$53,N11,H$7:H$54)</f>
        <v>0</v>
      </c>
      <c r="S11" s="21">
        <f>SUMIF(A$7:A$53,N11,I$7:I$53)</f>
        <v>0</v>
      </c>
      <c r="T11" s="21">
        <f>SUMIF(A$7:A$40,N11,K$7:K$40)</f>
        <v>25</v>
      </c>
      <c r="U11" s="21">
        <f>SUMIF(A$7:A$54,N11,G$7:G$54)</f>
        <v>0</v>
      </c>
      <c r="V11" s="21">
        <f>SUMIF(A$7:A$54,N11,I$7:I$54)</f>
        <v>0</v>
      </c>
      <c r="X11" s="137">
        <f>X8/'Au Cal Leaching Tank'!K61</f>
        <v>1.1551941765891429</v>
      </c>
      <c r="Y11" s="137">
        <f>P54/'Au Cal Leaching Tank'!K61</f>
        <v>2.3103883531782858</v>
      </c>
      <c r="Z11" s="137">
        <f>Z8/'Au Cal Leaching Tank'!K61</f>
        <v>2.053678536158476</v>
      </c>
      <c r="AA11" s="137">
        <f>AA8/'Au Cal Leaching Tank'!K61</f>
        <v>5.1341963403961903E-2</v>
      </c>
      <c r="AB11" s="137">
        <f>AB8/'Au Cal Leaching Tank'!K61</f>
        <v>0</v>
      </c>
      <c r="AC11" s="137">
        <f>(AC8*25)/'Au Cal Leaching Tank'!K61</f>
        <v>0</v>
      </c>
    </row>
    <row r="12" spans="1:42" x14ac:dyDescent="0.3">
      <c r="A12" s="22">
        <v>46266</v>
      </c>
      <c r="B12" s="19" t="s">
        <v>14</v>
      </c>
      <c r="C12" s="509" t="s">
        <v>454</v>
      </c>
      <c r="D12" s="16">
        <v>125</v>
      </c>
      <c r="E12" s="16"/>
      <c r="F12" s="6"/>
      <c r="G12" s="6"/>
      <c r="H12" s="5"/>
      <c r="I12" s="6"/>
      <c r="J12" s="6"/>
      <c r="K12" s="6"/>
      <c r="L12" s="6"/>
      <c r="N12" s="20"/>
      <c r="O12" s="21"/>
      <c r="P12" s="21"/>
      <c r="Q12" s="21"/>
      <c r="R12" s="21"/>
      <c r="S12" s="21"/>
      <c r="T12" s="21"/>
      <c r="U12" s="21"/>
      <c r="V12" s="21"/>
      <c r="X12" s="137"/>
      <c r="Y12" s="137"/>
      <c r="Z12" s="137"/>
      <c r="AA12" s="137"/>
      <c r="AB12" s="137"/>
      <c r="AC12" s="137"/>
    </row>
    <row r="13" spans="1:42" x14ac:dyDescent="0.3">
      <c r="A13" s="22">
        <v>46267</v>
      </c>
      <c r="B13" s="19" t="s">
        <v>13</v>
      </c>
      <c r="C13" s="509" t="s">
        <v>453</v>
      </c>
      <c r="D13" s="16">
        <v>150</v>
      </c>
      <c r="E13" s="16"/>
      <c r="F13" s="6"/>
      <c r="G13" s="6"/>
      <c r="H13" s="5"/>
      <c r="I13" s="6"/>
      <c r="J13" s="16"/>
      <c r="K13" s="6">
        <v>25</v>
      </c>
      <c r="L13" s="6"/>
      <c r="N13" s="20">
        <v>46267</v>
      </c>
      <c r="O13" s="21">
        <v>275</v>
      </c>
      <c r="P13" s="21">
        <f>SUMIF(A$7:A$40,N13,E$7:E$40)+SUMIF(A$7:A$40,N13,J$7:J$40)</f>
        <v>0</v>
      </c>
      <c r="Q13" s="21">
        <f>SUMIF(A$7:A$40,N13,F$7:F$40)</f>
        <v>1000</v>
      </c>
      <c r="R13" s="21">
        <f>SUMIF(A$7:A$53,N13,H$7:H$54)</f>
        <v>0</v>
      </c>
      <c r="S13" s="21">
        <f>SUMIF(A$7:A$53,N13,I$7:I$53)</f>
        <v>0</v>
      </c>
      <c r="T13" s="21">
        <f>SUMIF(A$7:A$40,N13,K$7:K$40)</f>
        <v>25</v>
      </c>
      <c r="U13" s="21">
        <f>SUMIF(A$7:A$54,N13,G$7:G$54)</f>
        <v>0</v>
      </c>
      <c r="V13" s="21">
        <f>SUMIF(A$7:A$54,N13,I$7:I$54)</f>
        <v>0</v>
      </c>
      <c r="X13" s="250" t="s">
        <v>176</v>
      </c>
      <c r="Y13" s="250" t="s">
        <v>165</v>
      </c>
      <c r="Z13" s="250" t="s">
        <v>166</v>
      </c>
      <c r="AA13" s="250" t="s">
        <v>167</v>
      </c>
      <c r="AB13" s="250" t="s">
        <v>295</v>
      </c>
      <c r="AC13" s="250" t="s">
        <v>341</v>
      </c>
    </row>
    <row r="14" spans="1:42" x14ac:dyDescent="0.3">
      <c r="A14" s="22">
        <v>46267</v>
      </c>
      <c r="B14" s="19" t="s">
        <v>14</v>
      </c>
      <c r="C14" s="509" t="s">
        <v>454</v>
      </c>
      <c r="D14" s="16">
        <v>125</v>
      </c>
      <c r="E14" s="16"/>
      <c r="F14" s="6">
        <v>1000</v>
      </c>
      <c r="G14" s="6"/>
      <c r="H14" s="5"/>
      <c r="I14" s="6"/>
      <c r="J14" s="16"/>
      <c r="K14" s="6"/>
      <c r="L14" s="6"/>
      <c r="N14" s="20"/>
      <c r="O14" s="21"/>
      <c r="P14" s="21"/>
      <c r="Q14" s="21"/>
      <c r="R14" s="21"/>
      <c r="S14" s="21"/>
      <c r="T14" s="21"/>
      <c r="U14" s="21"/>
      <c r="V14" s="21"/>
      <c r="X14" s="530"/>
      <c r="Y14" s="530"/>
      <c r="Z14" s="530"/>
      <c r="AA14" s="530"/>
      <c r="AB14" s="530"/>
      <c r="AC14" s="530"/>
    </row>
    <row r="15" spans="1:42" x14ac:dyDescent="0.3">
      <c r="A15" s="22">
        <v>46268</v>
      </c>
      <c r="B15" s="19" t="s">
        <v>13</v>
      </c>
      <c r="C15" s="509" t="s">
        <v>453</v>
      </c>
      <c r="D15" s="16">
        <v>100</v>
      </c>
      <c r="E15" s="16"/>
      <c r="F15" s="6"/>
      <c r="G15" s="6"/>
      <c r="H15" s="5"/>
      <c r="I15" s="6"/>
      <c r="J15" s="16"/>
      <c r="K15" s="6"/>
      <c r="L15" s="6"/>
      <c r="N15" s="20">
        <v>46268</v>
      </c>
      <c r="O15" s="21">
        <f>SUMIF(A$7:A$40,N15,D$7:D$40)+SUMIF(A$7:A$40,N15,G$7:G$40)</f>
        <v>100</v>
      </c>
      <c r="P15" s="21">
        <f>SUMIF(A$7:A$40,N15,E$7:E$40)+SUMIF(A$7:A$40,N15,J$7:J$40)</f>
        <v>0</v>
      </c>
      <c r="Q15" s="21">
        <f>SUMIF(A$7:A$40,N15,F$7:F$40)</f>
        <v>0</v>
      </c>
      <c r="R15" s="21">
        <f>SUMIF(A$7:A$53,N15,H$7:H$54)</f>
        <v>0</v>
      </c>
      <c r="S15" s="21">
        <f>SUMIF(A$7:A$53,N15,I$7:I$53)</f>
        <v>0</v>
      </c>
      <c r="T15" s="21">
        <f>SUMIF(A$7:A$40,N15,K$7:K$40)</f>
        <v>0</v>
      </c>
      <c r="U15" s="21">
        <f>SUMIF(A$7:A$54,N15,G$7:G$54)</f>
        <v>0</v>
      </c>
      <c r="V15" s="21">
        <f>SUMIF(A$7:A$54,N15,I$7:I$54)</f>
        <v>0</v>
      </c>
    </row>
    <row r="16" spans="1:42" x14ac:dyDescent="0.3">
      <c r="A16" s="22">
        <v>46269</v>
      </c>
      <c r="B16" s="19"/>
      <c r="C16" s="19"/>
      <c r="D16" s="16"/>
      <c r="E16" s="16"/>
      <c r="F16" s="6"/>
      <c r="G16" s="6"/>
      <c r="H16" s="5"/>
      <c r="I16" s="6"/>
      <c r="J16" s="16"/>
      <c r="K16" s="6"/>
      <c r="L16" s="6"/>
      <c r="N16" s="20">
        <v>46269</v>
      </c>
      <c r="O16" s="21">
        <f>SUMIF(A$7:A$40,N16,D$7:D$40)+SUMIF(A$7:A$40,N16,G$7:G$40)</f>
        <v>0</v>
      </c>
      <c r="P16" s="21">
        <f>SUMIF(A$7:A$40,N16,E$7:E$40)+SUMIF(A$7:A$40,N16,J$7:J$40)</f>
        <v>0</v>
      </c>
      <c r="Q16" s="21">
        <f>SUMIF(A$7:A$40,N16,F$7:F$40)</f>
        <v>0</v>
      </c>
      <c r="R16" s="21">
        <f>SUMIF(A$7:A$53,N16,H$7:H$54)</f>
        <v>0</v>
      </c>
      <c r="S16" s="21">
        <f>SUMIF(A$7:A$53,N16,I$7:I$53)</f>
        <v>0</v>
      </c>
      <c r="T16" s="21">
        <f>SUMIF(A$7:A$40,N16,K$7:K$40)</f>
        <v>0</v>
      </c>
      <c r="U16" s="21">
        <f>SUMIF(A$7:A$54,N16,G$7:G$54)</f>
        <v>0</v>
      </c>
      <c r="V16" s="21">
        <f>SUMIF(A$7:A$54,N16,I$7:I$54)</f>
        <v>0</v>
      </c>
    </row>
    <row r="17" spans="1:27" x14ac:dyDescent="0.3">
      <c r="A17" s="22">
        <v>46270</v>
      </c>
      <c r="B17" s="19" t="s">
        <v>14</v>
      </c>
      <c r="C17" s="586" t="s">
        <v>454</v>
      </c>
      <c r="D17" s="16">
        <v>50</v>
      </c>
      <c r="E17" s="16"/>
      <c r="F17" s="6"/>
      <c r="G17" s="6"/>
      <c r="H17" s="5"/>
      <c r="I17" s="6"/>
      <c r="J17" s="16"/>
      <c r="K17" s="6"/>
      <c r="L17" s="6"/>
      <c r="N17" s="20">
        <v>46270</v>
      </c>
      <c r="O17" s="21">
        <f>SUMIF(A$7:A$40,N17,D$7:D$40)+SUMIF(A$7:A$40,N17,G$7:G$40)</f>
        <v>50</v>
      </c>
      <c r="P17" s="21">
        <f>SUMIF(A$7:A$40,N17,E$7:E$40)+SUMIF(A$7:A$40,N17,J$7:J$40)</f>
        <v>0</v>
      </c>
      <c r="Q17" s="21">
        <f>SUMIF(A$7:A$40,N17,F$7:F$40)</f>
        <v>0</v>
      </c>
      <c r="R17" s="21">
        <f>SUMIF(A$7:A$53,N17,H$7:H$54)</f>
        <v>0</v>
      </c>
      <c r="S17" s="21">
        <f>SUMIF(A$7:A$53,N17,I$7:I$53)</f>
        <v>0</v>
      </c>
      <c r="T17" s="21">
        <f>SUMIF(A$7:A$40,N17,K$7:K$40)</f>
        <v>0</v>
      </c>
      <c r="U17" s="21">
        <f>SUMIF(A$7:A$54,N17,G$7:G$54)</f>
        <v>0</v>
      </c>
      <c r="V17" s="21">
        <f>SUMIF(A$7:A$54,N17,I$7:I$54)</f>
        <v>0</v>
      </c>
    </row>
    <row r="18" spans="1:27" x14ac:dyDescent="0.3">
      <c r="A18" s="22">
        <v>46271</v>
      </c>
      <c r="B18" s="19" t="s">
        <v>13</v>
      </c>
      <c r="C18" s="598" t="s">
        <v>453</v>
      </c>
      <c r="D18" s="16">
        <v>175</v>
      </c>
      <c r="E18" s="16">
        <v>500</v>
      </c>
      <c r="F18" s="6"/>
      <c r="G18" s="6"/>
      <c r="H18" s="5"/>
      <c r="I18" s="6"/>
      <c r="J18" s="6"/>
      <c r="K18" s="6"/>
      <c r="L18" s="6"/>
      <c r="N18" s="20">
        <v>46271</v>
      </c>
      <c r="O18" s="21">
        <f>SUMIF(A$7:A$40,N18,D$7:D$40)+SUMIF(A$7:A$40,N18,G$7:G$40)</f>
        <v>175</v>
      </c>
      <c r="P18" s="21">
        <f>SUMIF(A$7:A$40,N18,E$7:E$40)+SUMIF(A$7:A$40,N18,J$7:J$40)</f>
        <v>500</v>
      </c>
      <c r="Q18" s="21">
        <f>SUMIF(A$7:A$40,N18,F$7:F$40)</f>
        <v>0</v>
      </c>
      <c r="R18" s="21">
        <f>SUMIF(A$7:A$53,N18,H$7:H$54)</f>
        <v>0</v>
      </c>
      <c r="S18" s="21">
        <f>SUMIF(A$7:A$53,N18,I$7:I$53)</f>
        <v>0</v>
      </c>
      <c r="T18" s="21">
        <f>SUMIF(A$7:A$40,N18,K$7:K$40)</f>
        <v>0</v>
      </c>
      <c r="U18" s="21">
        <f>SUMIF(A$7:A$54,N18,G$7:G$54)</f>
        <v>0</v>
      </c>
      <c r="V18" s="21">
        <f>SUMIF(A$7:A$54,N18,I$7:I$54)</f>
        <v>0</v>
      </c>
    </row>
    <row r="19" spans="1:27" x14ac:dyDescent="0.3">
      <c r="A19" s="22">
        <v>46272</v>
      </c>
      <c r="B19" s="19" t="s">
        <v>13</v>
      </c>
      <c r="C19" s="598" t="s">
        <v>529</v>
      </c>
      <c r="D19" s="16">
        <v>150</v>
      </c>
      <c r="E19" s="16">
        <v>250</v>
      </c>
      <c r="F19" s="6"/>
      <c r="G19" s="6"/>
      <c r="H19" s="5"/>
      <c r="I19" s="6"/>
      <c r="J19" s="6"/>
      <c r="K19" s="6"/>
      <c r="L19" s="6"/>
      <c r="N19" s="20">
        <v>46272</v>
      </c>
      <c r="O19" s="21">
        <f>SUMIF(A$7:A$40,N19,D$7:D$40)+SUMIF(A$7:A$40,N19,G$7:G$40)</f>
        <v>150</v>
      </c>
      <c r="P19" s="21">
        <f>SUMIF(A$7:A$40,N19,E$7:E$40)+SUMIF(A$7:A$40,N19,J$7:J$40)</f>
        <v>250</v>
      </c>
      <c r="Q19" s="21">
        <f>SUMIF(A$7:A$40,N19,F$7:F$40)</f>
        <v>0</v>
      </c>
      <c r="R19" s="21">
        <f>SUMIF(A$7:A$53,N19,H$7:H$54)</f>
        <v>0</v>
      </c>
      <c r="S19" s="21">
        <f>SUMIF(A$7:A$53,N19,I$7:I$53)</f>
        <v>0</v>
      </c>
      <c r="T19" s="21">
        <f>SUMIF(A$7:A$40,N19,K$7:K$40)</f>
        <v>0</v>
      </c>
      <c r="U19" s="21">
        <f>SUMIF(A$7:A$54,N19,G$7:G$54)</f>
        <v>0</v>
      </c>
      <c r="V19" s="21">
        <f>SUMIF(A$7:A$54,N19,I$7:I$54)</f>
        <v>0</v>
      </c>
      <c r="X19" t="s">
        <v>326</v>
      </c>
    </row>
    <row r="20" spans="1:27" x14ac:dyDescent="0.3">
      <c r="A20" s="22">
        <v>46272</v>
      </c>
      <c r="B20" s="19" t="s">
        <v>14</v>
      </c>
      <c r="C20" s="19"/>
      <c r="D20" s="16"/>
      <c r="E20" s="16"/>
      <c r="F20" s="6"/>
      <c r="G20" s="6"/>
      <c r="H20" s="5"/>
      <c r="I20" s="6"/>
      <c r="J20" s="6"/>
      <c r="K20" s="6"/>
      <c r="L20" s="6"/>
      <c r="N20" s="20"/>
      <c r="O20" s="21"/>
      <c r="P20" s="21"/>
      <c r="Q20" s="21"/>
      <c r="R20" s="21"/>
      <c r="S20" s="21"/>
      <c r="T20" s="21"/>
      <c r="U20" s="21"/>
      <c r="V20" s="21"/>
    </row>
    <row r="21" spans="1:27" x14ac:dyDescent="0.3">
      <c r="A21" s="22">
        <v>46273</v>
      </c>
      <c r="B21" s="19"/>
      <c r="C21" s="19"/>
      <c r="D21" s="16"/>
      <c r="E21" s="16"/>
      <c r="F21" s="6"/>
      <c r="G21" s="6"/>
      <c r="H21" s="5"/>
      <c r="I21" s="6"/>
      <c r="J21" s="6"/>
      <c r="K21" s="6"/>
      <c r="L21" s="6"/>
      <c r="N21" s="20">
        <v>46273</v>
      </c>
      <c r="O21" s="21">
        <f t="shared" ref="O21:O36" si="1">SUMIF(A$7:A$40,N21,D$7:D$40)+SUMIF(A$7:A$40,N21,G$7:G$40)</f>
        <v>0</v>
      </c>
      <c r="P21" s="21">
        <f t="shared" ref="P21:P53" si="2">SUMIF(A$7:A$40,N21,E$7:E$40)+SUMIF(A$7:A$40,N21,J$7:J$40)</f>
        <v>0</v>
      </c>
      <c r="Q21" s="21">
        <f t="shared" ref="Q21:Q53" si="3">SUMIF(A$7:A$40,N21,F$7:F$40)</f>
        <v>0</v>
      </c>
      <c r="R21" s="21">
        <f t="shared" ref="R21:R53" si="4">SUMIF(A$7:A$53,N21,H$7:H$54)</f>
        <v>0</v>
      </c>
      <c r="S21" s="21">
        <f t="shared" ref="S21:S53" si="5">SUMIF(A$7:A$53,N21,I$7:I$53)</f>
        <v>0</v>
      </c>
      <c r="T21" s="21">
        <f t="shared" ref="T21:T34" si="6">SUMIF(A$7:A$40,N21,K$7:K$40)</f>
        <v>0</v>
      </c>
      <c r="U21" s="21">
        <f t="shared" ref="U21:U53" si="7">SUMIF(A$7:A$54,N21,G$7:G$54)</f>
        <v>0</v>
      </c>
      <c r="V21" s="21">
        <f t="shared" ref="V21:V53" si="8">SUMIF(A$7:A$54,N21,I$7:I$54)</f>
        <v>0</v>
      </c>
      <c r="X21" t="s">
        <v>526</v>
      </c>
      <c r="Y21" t="s">
        <v>527</v>
      </c>
      <c r="Z21" t="s">
        <v>528</v>
      </c>
      <c r="AA21" t="s">
        <v>306</v>
      </c>
    </row>
    <row r="22" spans="1:27" x14ac:dyDescent="0.3">
      <c r="A22" s="22">
        <v>46274</v>
      </c>
      <c r="B22" s="19"/>
      <c r="C22" s="19"/>
      <c r="D22" s="16"/>
      <c r="E22" s="16"/>
      <c r="F22" s="6"/>
      <c r="G22" s="6"/>
      <c r="H22" s="5"/>
      <c r="I22" s="6"/>
      <c r="J22" s="6"/>
      <c r="K22" s="6"/>
      <c r="L22" s="6"/>
      <c r="N22" s="20">
        <v>46274</v>
      </c>
      <c r="O22" s="21">
        <f t="shared" si="1"/>
        <v>0</v>
      </c>
      <c r="P22" s="21">
        <f t="shared" si="2"/>
        <v>0</v>
      </c>
      <c r="Q22" s="21">
        <f t="shared" si="3"/>
        <v>0</v>
      </c>
      <c r="R22" s="21">
        <f t="shared" si="4"/>
        <v>0</v>
      </c>
      <c r="S22" s="21">
        <f t="shared" si="5"/>
        <v>0</v>
      </c>
      <c r="T22" s="21">
        <f t="shared" si="6"/>
        <v>0</v>
      </c>
      <c r="U22" s="21">
        <f t="shared" si="7"/>
        <v>0</v>
      </c>
      <c r="V22" s="21">
        <f t="shared" si="8"/>
        <v>0</v>
      </c>
      <c r="X22">
        <v>48000</v>
      </c>
      <c r="Y22">
        <v>2300</v>
      </c>
      <c r="Z22">
        <v>30000</v>
      </c>
      <c r="AA22">
        <v>44000</v>
      </c>
    </row>
    <row r="23" spans="1:27" x14ac:dyDescent="0.3">
      <c r="A23" s="22">
        <v>46275</v>
      </c>
      <c r="B23" s="19"/>
      <c r="C23" s="19"/>
      <c r="D23" s="16"/>
      <c r="E23" s="16"/>
      <c r="F23" s="6"/>
      <c r="G23" s="6"/>
      <c r="H23" s="5"/>
      <c r="I23" s="6"/>
      <c r="J23" s="6"/>
      <c r="K23" s="6"/>
      <c r="L23" s="6"/>
      <c r="N23" s="20">
        <v>46275</v>
      </c>
      <c r="O23" s="21">
        <f t="shared" si="1"/>
        <v>0</v>
      </c>
      <c r="P23" s="21">
        <f t="shared" si="2"/>
        <v>0</v>
      </c>
      <c r="Q23" s="21">
        <f t="shared" si="3"/>
        <v>0</v>
      </c>
      <c r="R23" s="21">
        <f t="shared" si="4"/>
        <v>0</v>
      </c>
      <c r="S23" s="21">
        <f t="shared" si="5"/>
        <v>0</v>
      </c>
      <c r="T23" s="21">
        <f t="shared" si="6"/>
        <v>0</v>
      </c>
      <c r="U23" s="21">
        <f t="shared" si="7"/>
        <v>0</v>
      </c>
      <c r="V23" s="21">
        <f t="shared" si="8"/>
        <v>0</v>
      </c>
      <c r="X23" s="296"/>
    </row>
    <row r="24" spans="1:27" x14ac:dyDescent="0.3">
      <c r="A24" s="22">
        <v>46276</v>
      </c>
      <c r="B24" s="19"/>
      <c r="C24" s="19"/>
      <c r="D24" s="16"/>
      <c r="E24" s="16"/>
      <c r="F24" s="6"/>
      <c r="G24" s="6"/>
      <c r="H24" s="5"/>
      <c r="I24" s="6"/>
      <c r="J24" s="6"/>
      <c r="K24" s="6"/>
      <c r="L24" s="6"/>
      <c r="N24" s="20">
        <v>46276</v>
      </c>
      <c r="O24" s="21">
        <f t="shared" si="1"/>
        <v>0</v>
      </c>
      <c r="P24" s="21">
        <f t="shared" si="2"/>
        <v>0</v>
      </c>
      <c r="Q24" s="21">
        <f t="shared" si="3"/>
        <v>0</v>
      </c>
      <c r="R24" s="21">
        <f t="shared" si="4"/>
        <v>0</v>
      </c>
      <c r="S24" s="21">
        <f t="shared" si="5"/>
        <v>0</v>
      </c>
      <c r="T24" s="21">
        <f t="shared" si="6"/>
        <v>0</v>
      </c>
      <c r="U24" s="21">
        <f t="shared" si="7"/>
        <v>0</v>
      </c>
      <c r="V24" s="21">
        <f t="shared" si="8"/>
        <v>0</v>
      </c>
      <c r="X24">
        <f>X22*O54</f>
        <v>54000000</v>
      </c>
      <c r="Y24">
        <f>P54*Y22</f>
        <v>5175000</v>
      </c>
      <c r="Z24">
        <f>Z22*T54</f>
        <v>1500000</v>
      </c>
      <c r="AA24">
        <f>AA22*Q54</f>
        <v>88000000</v>
      </c>
    </row>
    <row r="25" spans="1:27" x14ac:dyDescent="0.3">
      <c r="A25" s="22">
        <v>46277</v>
      </c>
      <c r="B25" s="19"/>
      <c r="C25" s="19"/>
      <c r="D25" s="16"/>
      <c r="E25" s="16"/>
      <c r="F25" s="6"/>
      <c r="G25" s="6"/>
      <c r="H25" s="5"/>
      <c r="I25" s="6"/>
      <c r="J25" s="6"/>
      <c r="K25" s="6"/>
      <c r="L25" s="6"/>
      <c r="N25" s="20">
        <v>46277</v>
      </c>
      <c r="O25" s="21">
        <f t="shared" si="1"/>
        <v>0</v>
      </c>
      <c r="P25" s="21">
        <f t="shared" si="2"/>
        <v>0</v>
      </c>
      <c r="Q25" s="21">
        <f t="shared" si="3"/>
        <v>0</v>
      </c>
      <c r="R25" s="21">
        <f t="shared" si="4"/>
        <v>0</v>
      </c>
      <c r="S25" s="21">
        <f t="shared" si="5"/>
        <v>0</v>
      </c>
      <c r="T25" s="21">
        <f t="shared" si="6"/>
        <v>0</v>
      </c>
      <c r="U25" s="21">
        <f t="shared" si="7"/>
        <v>0</v>
      </c>
      <c r="V25" s="21">
        <f t="shared" si="8"/>
        <v>0</v>
      </c>
    </row>
    <row r="26" spans="1:27" x14ac:dyDescent="0.3">
      <c r="A26" s="22">
        <v>46278</v>
      </c>
      <c r="B26" s="19"/>
      <c r="C26" s="19"/>
      <c r="D26" s="16"/>
      <c r="E26" s="16"/>
      <c r="F26" s="6"/>
      <c r="G26" s="6"/>
      <c r="H26" s="5"/>
      <c r="I26" s="6"/>
      <c r="J26" s="6"/>
      <c r="K26" s="6"/>
      <c r="L26" s="6"/>
      <c r="N26" s="20">
        <v>46278</v>
      </c>
      <c r="O26" s="21">
        <f t="shared" si="1"/>
        <v>0</v>
      </c>
      <c r="P26" s="21">
        <f t="shared" si="2"/>
        <v>0</v>
      </c>
      <c r="Q26" s="21">
        <f t="shared" si="3"/>
        <v>0</v>
      </c>
      <c r="R26" s="21">
        <f t="shared" si="4"/>
        <v>0</v>
      </c>
      <c r="S26" s="21">
        <f t="shared" si="5"/>
        <v>0</v>
      </c>
      <c r="T26" s="21">
        <f t="shared" si="6"/>
        <v>0</v>
      </c>
      <c r="U26" s="21">
        <f t="shared" si="7"/>
        <v>0</v>
      </c>
      <c r="V26" s="21">
        <f t="shared" si="8"/>
        <v>0</v>
      </c>
      <c r="X26" s="296"/>
    </row>
    <row r="27" spans="1:27" x14ac:dyDescent="0.3">
      <c r="A27" s="22">
        <v>46279</v>
      </c>
      <c r="B27" s="19"/>
      <c r="C27" s="19"/>
      <c r="D27" s="16"/>
      <c r="E27" s="16"/>
      <c r="F27" s="16"/>
      <c r="G27" s="16"/>
      <c r="H27" s="48"/>
      <c r="I27" s="16"/>
      <c r="J27" s="16"/>
      <c r="K27" s="6"/>
      <c r="L27" s="6"/>
      <c r="N27" s="20">
        <v>46279</v>
      </c>
      <c r="O27" s="21">
        <f t="shared" si="1"/>
        <v>0</v>
      </c>
      <c r="P27" s="21">
        <f t="shared" si="2"/>
        <v>0</v>
      </c>
      <c r="Q27" s="21">
        <f t="shared" si="3"/>
        <v>0</v>
      </c>
      <c r="R27" s="21">
        <f t="shared" si="4"/>
        <v>0</v>
      </c>
      <c r="S27" s="21">
        <f t="shared" si="5"/>
        <v>0</v>
      </c>
      <c r="T27" s="21">
        <f t="shared" si="6"/>
        <v>0</v>
      </c>
      <c r="U27" s="21">
        <f t="shared" si="7"/>
        <v>0</v>
      </c>
      <c r="V27" s="21">
        <f t="shared" si="8"/>
        <v>0</v>
      </c>
    </row>
    <row r="28" spans="1:27" x14ac:dyDescent="0.3">
      <c r="A28" s="22">
        <v>46280</v>
      </c>
      <c r="B28" s="19"/>
      <c r="C28" s="19"/>
      <c r="D28" s="16"/>
      <c r="E28" s="16"/>
      <c r="F28" s="16"/>
      <c r="G28" s="16"/>
      <c r="H28" s="48"/>
      <c r="I28" s="16"/>
      <c r="J28" s="16"/>
      <c r="K28" s="6"/>
      <c r="L28" s="6"/>
      <c r="N28" s="20">
        <v>46280</v>
      </c>
      <c r="O28" s="21">
        <f t="shared" si="1"/>
        <v>0</v>
      </c>
      <c r="P28" s="21">
        <f t="shared" si="2"/>
        <v>0</v>
      </c>
      <c r="Q28" s="21">
        <f t="shared" si="3"/>
        <v>0</v>
      </c>
      <c r="R28" s="21">
        <f t="shared" si="4"/>
        <v>0</v>
      </c>
      <c r="S28" s="21">
        <f t="shared" si="5"/>
        <v>0</v>
      </c>
      <c r="T28" s="21">
        <f t="shared" si="6"/>
        <v>0</v>
      </c>
      <c r="U28" s="21">
        <f t="shared" si="7"/>
        <v>0</v>
      </c>
      <c r="V28" s="21">
        <f t="shared" si="8"/>
        <v>0</v>
      </c>
    </row>
    <row r="29" spans="1:27" x14ac:dyDescent="0.3">
      <c r="A29" s="22">
        <v>46281</v>
      </c>
      <c r="B29" s="19"/>
      <c r="C29" s="19"/>
      <c r="D29" s="16"/>
      <c r="E29" s="16"/>
      <c r="F29" s="16"/>
      <c r="G29" s="16"/>
      <c r="H29" s="48"/>
      <c r="I29" s="16"/>
      <c r="J29" s="16"/>
      <c r="K29" s="6"/>
      <c r="L29" s="6"/>
      <c r="N29" s="20">
        <v>46281</v>
      </c>
      <c r="O29" s="21">
        <f t="shared" si="1"/>
        <v>0</v>
      </c>
      <c r="P29" s="21">
        <f t="shared" si="2"/>
        <v>0</v>
      </c>
      <c r="Q29" s="21">
        <f t="shared" si="3"/>
        <v>0</v>
      </c>
      <c r="R29" s="21">
        <f t="shared" si="4"/>
        <v>0</v>
      </c>
      <c r="S29" s="21">
        <f t="shared" si="5"/>
        <v>0</v>
      </c>
      <c r="T29" s="21">
        <f t="shared" si="6"/>
        <v>0</v>
      </c>
      <c r="U29" s="21">
        <f t="shared" si="7"/>
        <v>0</v>
      </c>
      <c r="V29" s="21">
        <f t="shared" si="8"/>
        <v>0</v>
      </c>
    </row>
    <row r="30" spans="1:27" x14ac:dyDescent="0.3">
      <c r="A30" s="22">
        <v>46282</v>
      </c>
      <c r="B30" s="19"/>
      <c r="C30" s="19"/>
      <c r="D30" s="16"/>
      <c r="E30" s="16"/>
      <c r="F30" s="6"/>
      <c r="G30" s="6"/>
      <c r="H30" s="5"/>
      <c r="I30" s="6"/>
      <c r="J30" s="16"/>
      <c r="K30" s="6"/>
      <c r="L30" s="6"/>
      <c r="N30" s="20">
        <v>46282</v>
      </c>
      <c r="O30" s="21">
        <f t="shared" si="1"/>
        <v>0</v>
      </c>
      <c r="P30" s="21">
        <f t="shared" si="2"/>
        <v>0</v>
      </c>
      <c r="Q30" s="21">
        <f t="shared" si="3"/>
        <v>0</v>
      </c>
      <c r="R30" s="21">
        <f t="shared" si="4"/>
        <v>0</v>
      </c>
      <c r="S30" s="21">
        <f t="shared" si="5"/>
        <v>0</v>
      </c>
      <c r="T30" s="21">
        <f t="shared" si="6"/>
        <v>0</v>
      </c>
      <c r="U30" s="21">
        <f t="shared" si="7"/>
        <v>0</v>
      </c>
      <c r="V30" s="21">
        <f t="shared" si="8"/>
        <v>0</v>
      </c>
    </row>
    <row r="31" spans="1:27" x14ac:dyDescent="0.3">
      <c r="A31" s="22">
        <v>46283</v>
      </c>
      <c r="B31" s="19"/>
      <c r="C31" s="19"/>
      <c r="D31" s="16"/>
      <c r="E31" s="16"/>
      <c r="F31" s="6"/>
      <c r="G31" s="6"/>
      <c r="H31" s="5"/>
      <c r="I31" s="6"/>
      <c r="J31" s="16"/>
      <c r="K31" s="6"/>
      <c r="L31" s="6"/>
      <c r="N31" s="20">
        <v>46283</v>
      </c>
      <c r="O31" s="21">
        <f t="shared" si="1"/>
        <v>0</v>
      </c>
      <c r="P31" s="21">
        <f t="shared" si="2"/>
        <v>0</v>
      </c>
      <c r="Q31" s="21">
        <f t="shared" si="3"/>
        <v>0</v>
      </c>
      <c r="R31" s="21">
        <f t="shared" si="4"/>
        <v>0</v>
      </c>
      <c r="S31" s="21">
        <f t="shared" si="5"/>
        <v>0</v>
      </c>
      <c r="T31" s="21">
        <f t="shared" si="6"/>
        <v>0</v>
      </c>
      <c r="U31" s="21">
        <f t="shared" si="7"/>
        <v>0</v>
      </c>
      <c r="V31" s="21">
        <f t="shared" si="8"/>
        <v>0</v>
      </c>
    </row>
    <row r="32" spans="1:27" x14ac:dyDescent="0.3">
      <c r="A32" s="22">
        <v>46284</v>
      </c>
      <c r="B32" s="19"/>
      <c r="C32" s="19"/>
      <c r="D32" s="16"/>
      <c r="E32" s="16"/>
      <c r="F32" s="6"/>
      <c r="G32" s="6"/>
      <c r="H32" s="5"/>
      <c r="I32" s="6"/>
      <c r="J32" s="16"/>
      <c r="K32" s="6"/>
      <c r="L32" s="6"/>
      <c r="N32" s="20">
        <v>46284</v>
      </c>
      <c r="O32" s="21">
        <f t="shared" si="1"/>
        <v>0</v>
      </c>
      <c r="P32" s="21">
        <f t="shared" si="2"/>
        <v>0</v>
      </c>
      <c r="Q32" s="21">
        <f t="shared" si="3"/>
        <v>0</v>
      </c>
      <c r="R32" s="21">
        <f t="shared" si="4"/>
        <v>0</v>
      </c>
      <c r="S32" s="21">
        <f t="shared" si="5"/>
        <v>0</v>
      </c>
      <c r="T32" s="21">
        <f t="shared" si="6"/>
        <v>0</v>
      </c>
      <c r="U32" s="21">
        <f t="shared" si="7"/>
        <v>0</v>
      </c>
      <c r="V32" s="21">
        <f t="shared" si="8"/>
        <v>0</v>
      </c>
    </row>
    <row r="33" spans="1:22" x14ac:dyDescent="0.3">
      <c r="A33" s="22">
        <v>46285</v>
      </c>
      <c r="B33" s="19"/>
      <c r="C33" s="19"/>
      <c r="D33" s="16"/>
      <c r="E33" s="16"/>
      <c r="F33" s="6"/>
      <c r="G33" s="6"/>
      <c r="H33" s="5"/>
      <c r="I33" s="6"/>
      <c r="J33" s="16"/>
      <c r="K33" s="6"/>
      <c r="L33" s="6"/>
      <c r="N33" s="20">
        <v>46285</v>
      </c>
      <c r="O33" s="21">
        <f t="shared" si="1"/>
        <v>0</v>
      </c>
      <c r="P33" s="21">
        <f t="shared" si="2"/>
        <v>0</v>
      </c>
      <c r="Q33" s="21">
        <f t="shared" si="3"/>
        <v>0</v>
      </c>
      <c r="R33" s="21">
        <f t="shared" si="4"/>
        <v>0</v>
      </c>
      <c r="S33" s="21">
        <f t="shared" si="5"/>
        <v>0</v>
      </c>
      <c r="T33" s="21">
        <f t="shared" si="6"/>
        <v>0</v>
      </c>
      <c r="U33" s="21">
        <f t="shared" si="7"/>
        <v>0</v>
      </c>
      <c r="V33" s="21">
        <f t="shared" si="8"/>
        <v>0</v>
      </c>
    </row>
    <row r="34" spans="1:22" x14ac:dyDescent="0.3">
      <c r="A34" s="22">
        <v>46286</v>
      </c>
      <c r="B34" s="19"/>
      <c r="C34" s="19"/>
      <c r="D34" s="16"/>
      <c r="E34" s="16"/>
      <c r="F34" s="6"/>
      <c r="G34" s="6"/>
      <c r="H34" s="5"/>
      <c r="I34" s="6"/>
      <c r="J34" s="16"/>
      <c r="K34" s="6"/>
      <c r="L34" s="6"/>
      <c r="N34" s="20">
        <v>46286</v>
      </c>
      <c r="O34" s="21">
        <f t="shared" si="1"/>
        <v>0</v>
      </c>
      <c r="P34" s="21">
        <f t="shared" si="2"/>
        <v>0</v>
      </c>
      <c r="Q34" s="21">
        <f t="shared" si="3"/>
        <v>0</v>
      </c>
      <c r="R34" s="21">
        <f t="shared" si="4"/>
        <v>0</v>
      </c>
      <c r="S34" s="21">
        <f t="shared" si="5"/>
        <v>0</v>
      </c>
      <c r="T34" s="21">
        <f t="shared" si="6"/>
        <v>0</v>
      </c>
      <c r="U34" s="21">
        <f t="shared" si="7"/>
        <v>0</v>
      </c>
      <c r="V34" s="21">
        <f t="shared" si="8"/>
        <v>0</v>
      </c>
    </row>
    <row r="35" spans="1:22" x14ac:dyDescent="0.3">
      <c r="A35" s="22">
        <v>46287</v>
      </c>
      <c r="B35" s="19"/>
      <c r="C35" s="19"/>
      <c r="D35" s="16"/>
      <c r="E35" s="16"/>
      <c r="F35" s="6"/>
      <c r="G35" s="6"/>
      <c r="H35" s="5"/>
      <c r="I35" s="6"/>
      <c r="J35" s="16"/>
      <c r="K35" s="6"/>
      <c r="L35" s="6"/>
      <c r="N35" s="20">
        <v>46287</v>
      </c>
      <c r="O35" s="21">
        <f t="shared" si="1"/>
        <v>0</v>
      </c>
      <c r="P35" s="21">
        <f t="shared" si="2"/>
        <v>0</v>
      </c>
      <c r="Q35" s="21">
        <f t="shared" si="3"/>
        <v>0</v>
      </c>
      <c r="R35" s="21">
        <f t="shared" si="4"/>
        <v>0</v>
      </c>
      <c r="S35" s="21">
        <f t="shared" si="5"/>
        <v>0</v>
      </c>
      <c r="T35" s="21">
        <f t="shared" ref="T35:T53" si="9">SUMIF(A$7:A$53,N35,K$7:K$54)</f>
        <v>0</v>
      </c>
      <c r="U35" s="21">
        <f t="shared" si="7"/>
        <v>0</v>
      </c>
      <c r="V35" s="21">
        <f t="shared" si="8"/>
        <v>0</v>
      </c>
    </row>
    <row r="36" spans="1:22" x14ac:dyDescent="0.3">
      <c r="A36" s="22">
        <v>46288</v>
      </c>
      <c r="B36" s="19"/>
      <c r="C36" s="19"/>
      <c r="D36" s="16"/>
      <c r="E36" s="16"/>
      <c r="F36" s="6"/>
      <c r="G36" s="6"/>
      <c r="H36" s="5"/>
      <c r="I36" s="6"/>
      <c r="J36" s="16"/>
      <c r="K36" s="6"/>
      <c r="L36" s="6"/>
      <c r="N36" s="20">
        <v>46288</v>
      </c>
      <c r="O36" s="21">
        <f t="shared" si="1"/>
        <v>0</v>
      </c>
      <c r="P36" s="21">
        <f t="shared" si="2"/>
        <v>0</v>
      </c>
      <c r="Q36" s="21">
        <f t="shared" si="3"/>
        <v>0</v>
      </c>
      <c r="R36" s="21">
        <f t="shared" si="4"/>
        <v>0</v>
      </c>
      <c r="S36" s="21">
        <f t="shared" si="5"/>
        <v>0</v>
      </c>
      <c r="T36" s="21">
        <f t="shared" si="9"/>
        <v>0</v>
      </c>
      <c r="U36" s="21">
        <f t="shared" si="7"/>
        <v>0</v>
      </c>
      <c r="V36" s="21">
        <f t="shared" si="8"/>
        <v>0</v>
      </c>
    </row>
    <row r="37" spans="1:22" x14ac:dyDescent="0.3">
      <c r="A37" s="22">
        <v>46289</v>
      </c>
      <c r="B37" s="19"/>
      <c r="C37" s="19"/>
      <c r="D37" s="16"/>
      <c r="E37" s="16"/>
      <c r="F37" s="6"/>
      <c r="G37" s="6"/>
      <c r="H37" s="5"/>
      <c r="I37" s="6"/>
      <c r="J37" s="16"/>
      <c r="K37" s="6"/>
      <c r="L37" s="6"/>
      <c r="N37" s="20">
        <v>46289</v>
      </c>
      <c r="O37" s="21">
        <f t="shared" ref="O37:O53" si="10">SUMIF(A$7:A$54,N37,D$7:D$54)+SUMIF(A$7:A$40,N37,G$7:G$54)</f>
        <v>0</v>
      </c>
      <c r="P37" s="21">
        <f t="shared" si="2"/>
        <v>0</v>
      </c>
      <c r="Q37" s="21">
        <f t="shared" si="3"/>
        <v>0</v>
      </c>
      <c r="R37" s="21">
        <f t="shared" si="4"/>
        <v>0</v>
      </c>
      <c r="S37" s="21">
        <f t="shared" si="5"/>
        <v>0</v>
      </c>
      <c r="T37" s="21">
        <f t="shared" si="9"/>
        <v>0</v>
      </c>
      <c r="U37" s="21">
        <f t="shared" si="7"/>
        <v>0</v>
      </c>
      <c r="V37" s="21">
        <f t="shared" si="8"/>
        <v>0</v>
      </c>
    </row>
    <row r="38" spans="1:22" x14ac:dyDescent="0.3">
      <c r="A38" s="22">
        <v>46290</v>
      </c>
      <c r="B38" s="19"/>
      <c r="C38" s="19"/>
      <c r="D38" s="16"/>
      <c r="E38" s="16"/>
      <c r="F38" s="6"/>
      <c r="G38" s="6"/>
      <c r="H38" s="5"/>
      <c r="I38" s="6"/>
      <c r="J38" s="6"/>
      <c r="K38" s="6"/>
      <c r="L38" s="77"/>
      <c r="N38" s="20">
        <v>46290</v>
      </c>
      <c r="O38" s="21">
        <f t="shared" si="10"/>
        <v>0</v>
      </c>
      <c r="P38" s="21">
        <f t="shared" si="2"/>
        <v>0</v>
      </c>
      <c r="Q38" s="21">
        <f t="shared" si="3"/>
        <v>0</v>
      </c>
      <c r="R38" s="21">
        <f t="shared" si="4"/>
        <v>0</v>
      </c>
      <c r="S38" s="21">
        <f t="shared" si="5"/>
        <v>0</v>
      </c>
      <c r="T38" s="21">
        <f t="shared" si="9"/>
        <v>0</v>
      </c>
      <c r="U38" s="21">
        <f t="shared" si="7"/>
        <v>0</v>
      </c>
      <c r="V38" s="21">
        <f t="shared" si="8"/>
        <v>0</v>
      </c>
    </row>
    <row r="39" spans="1:22" x14ac:dyDescent="0.3">
      <c r="A39" s="22">
        <v>46291</v>
      </c>
      <c r="B39" s="19"/>
      <c r="C39" s="19"/>
      <c r="D39" s="16"/>
      <c r="E39" s="16"/>
      <c r="F39" s="6"/>
      <c r="G39" s="6"/>
      <c r="H39" s="5"/>
      <c r="I39" s="6"/>
      <c r="J39" s="6"/>
      <c r="K39" s="6"/>
      <c r="L39" s="6"/>
      <c r="N39" s="20">
        <v>46291</v>
      </c>
      <c r="O39" s="21">
        <f t="shared" si="10"/>
        <v>0</v>
      </c>
      <c r="P39" s="21">
        <f t="shared" si="2"/>
        <v>0</v>
      </c>
      <c r="Q39" s="21">
        <f t="shared" si="3"/>
        <v>0</v>
      </c>
      <c r="R39" s="21">
        <f t="shared" si="4"/>
        <v>0</v>
      </c>
      <c r="S39" s="21">
        <f t="shared" si="5"/>
        <v>0</v>
      </c>
      <c r="T39" s="21">
        <f t="shared" si="9"/>
        <v>0</v>
      </c>
      <c r="U39" s="21">
        <f t="shared" si="7"/>
        <v>0</v>
      </c>
      <c r="V39" s="21">
        <f t="shared" si="8"/>
        <v>0</v>
      </c>
    </row>
    <row r="40" spans="1:22" x14ac:dyDescent="0.3">
      <c r="A40" s="22">
        <v>46292</v>
      </c>
      <c r="B40" s="19"/>
      <c r="C40" s="19"/>
      <c r="D40" s="16"/>
      <c r="E40" s="16"/>
      <c r="F40" s="6"/>
      <c r="G40" s="6"/>
      <c r="H40" s="5"/>
      <c r="I40" s="6"/>
      <c r="J40" s="6"/>
      <c r="K40" s="6"/>
      <c r="L40" s="6"/>
      <c r="N40" s="20">
        <v>46292</v>
      </c>
      <c r="O40" s="21">
        <f t="shared" si="10"/>
        <v>0</v>
      </c>
      <c r="P40" s="21">
        <f t="shared" si="2"/>
        <v>0</v>
      </c>
      <c r="Q40" s="21">
        <f t="shared" si="3"/>
        <v>0</v>
      </c>
      <c r="R40" s="21">
        <f t="shared" si="4"/>
        <v>0</v>
      </c>
      <c r="S40" s="21">
        <f t="shared" si="5"/>
        <v>0</v>
      </c>
      <c r="T40" s="21">
        <f t="shared" si="9"/>
        <v>0</v>
      </c>
      <c r="U40" s="21">
        <f t="shared" si="7"/>
        <v>0</v>
      </c>
      <c r="V40" s="21">
        <f t="shared" si="8"/>
        <v>0</v>
      </c>
    </row>
    <row r="41" spans="1:22" x14ac:dyDescent="0.3">
      <c r="A41" s="22">
        <v>46293</v>
      </c>
      <c r="B41" s="19"/>
      <c r="C41" s="19"/>
      <c r="D41" s="16"/>
      <c r="E41" s="16"/>
      <c r="F41" s="6"/>
      <c r="G41" s="6"/>
      <c r="H41" s="5"/>
      <c r="I41" s="6"/>
      <c r="J41" s="6"/>
      <c r="K41" s="6"/>
      <c r="L41" s="6"/>
      <c r="N41" s="20">
        <v>46293</v>
      </c>
      <c r="O41" s="21">
        <f t="shared" si="10"/>
        <v>0</v>
      </c>
      <c r="P41" s="21">
        <f t="shared" si="2"/>
        <v>0</v>
      </c>
      <c r="Q41" s="21">
        <f t="shared" si="3"/>
        <v>0</v>
      </c>
      <c r="R41" s="21">
        <f t="shared" si="4"/>
        <v>0</v>
      </c>
      <c r="S41" s="21">
        <f t="shared" si="5"/>
        <v>0</v>
      </c>
      <c r="T41" s="21">
        <f t="shared" si="9"/>
        <v>0</v>
      </c>
      <c r="U41" s="21">
        <f t="shared" si="7"/>
        <v>0</v>
      </c>
      <c r="V41" s="21">
        <f t="shared" si="8"/>
        <v>0</v>
      </c>
    </row>
    <row r="42" spans="1:22" x14ac:dyDescent="0.3">
      <c r="A42" s="22">
        <v>46294</v>
      </c>
      <c r="B42" s="19"/>
      <c r="C42" s="19"/>
      <c r="D42" s="16"/>
      <c r="E42" s="16"/>
      <c r="F42" s="6"/>
      <c r="G42" s="6"/>
      <c r="H42" s="5"/>
      <c r="I42" s="6"/>
      <c r="J42" s="6"/>
      <c r="K42" s="6"/>
      <c r="L42" s="6"/>
      <c r="N42" s="20">
        <v>46294</v>
      </c>
      <c r="O42" s="21">
        <f t="shared" si="10"/>
        <v>0</v>
      </c>
      <c r="P42" s="21">
        <f t="shared" si="2"/>
        <v>0</v>
      </c>
      <c r="Q42" s="21">
        <f t="shared" si="3"/>
        <v>0</v>
      </c>
      <c r="R42" s="21">
        <f t="shared" si="4"/>
        <v>0</v>
      </c>
      <c r="S42" s="21">
        <f t="shared" si="5"/>
        <v>0</v>
      </c>
      <c r="T42" s="21">
        <f t="shared" si="9"/>
        <v>0</v>
      </c>
      <c r="U42" s="21">
        <f t="shared" si="7"/>
        <v>0</v>
      </c>
      <c r="V42" s="21">
        <f t="shared" si="8"/>
        <v>0</v>
      </c>
    </row>
    <row r="43" spans="1:22" x14ac:dyDescent="0.3">
      <c r="A43" s="22">
        <v>46295</v>
      </c>
      <c r="B43" s="19"/>
      <c r="C43" s="19"/>
      <c r="D43" s="16"/>
      <c r="E43" s="16"/>
      <c r="F43" s="6"/>
      <c r="G43" s="6"/>
      <c r="H43" s="5"/>
      <c r="I43" s="6"/>
      <c r="J43" s="6"/>
      <c r="K43" s="6"/>
      <c r="L43" s="6"/>
      <c r="N43" s="20">
        <v>46295</v>
      </c>
      <c r="O43" s="21">
        <f t="shared" si="10"/>
        <v>0</v>
      </c>
      <c r="P43" s="21">
        <f t="shared" si="2"/>
        <v>0</v>
      </c>
      <c r="Q43" s="21">
        <f t="shared" si="3"/>
        <v>0</v>
      </c>
      <c r="R43" s="21">
        <f t="shared" si="4"/>
        <v>0</v>
      </c>
      <c r="S43" s="21">
        <f t="shared" si="5"/>
        <v>0</v>
      </c>
      <c r="T43" s="21">
        <f t="shared" si="9"/>
        <v>0</v>
      </c>
      <c r="U43" s="21">
        <f t="shared" si="7"/>
        <v>0</v>
      </c>
      <c r="V43" s="21">
        <f t="shared" si="8"/>
        <v>0</v>
      </c>
    </row>
    <row r="44" spans="1:22" x14ac:dyDescent="0.3">
      <c r="A44" s="22">
        <v>46296</v>
      </c>
      <c r="B44" s="19"/>
      <c r="C44" s="19"/>
      <c r="D44" s="16"/>
      <c r="E44" s="16"/>
      <c r="F44" s="6"/>
      <c r="G44" s="6"/>
      <c r="H44" s="5"/>
      <c r="I44" s="6"/>
      <c r="J44" s="6"/>
      <c r="K44" s="6"/>
      <c r="L44" s="6"/>
      <c r="N44" s="20">
        <v>46296</v>
      </c>
      <c r="O44" s="21">
        <f t="shared" si="10"/>
        <v>0</v>
      </c>
      <c r="P44" s="21">
        <f t="shared" si="2"/>
        <v>0</v>
      </c>
      <c r="Q44" s="21">
        <f t="shared" si="3"/>
        <v>0</v>
      </c>
      <c r="R44" s="21">
        <f t="shared" si="4"/>
        <v>0</v>
      </c>
      <c r="S44" s="21">
        <f t="shared" si="5"/>
        <v>0</v>
      </c>
      <c r="T44" s="21">
        <f t="shared" si="9"/>
        <v>0</v>
      </c>
      <c r="U44" s="21">
        <f t="shared" si="7"/>
        <v>0</v>
      </c>
      <c r="V44" s="21">
        <f t="shared" si="8"/>
        <v>0</v>
      </c>
    </row>
    <row r="45" spans="1:22" x14ac:dyDescent="0.3">
      <c r="A45" s="22">
        <v>46297</v>
      </c>
      <c r="B45" s="19"/>
      <c r="C45" s="19"/>
      <c r="D45" s="16"/>
      <c r="E45" s="16"/>
      <c r="F45" s="6"/>
      <c r="G45" s="6"/>
      <c r="H45" s="5"/>
      <c r="I45" s="6"/>
      <c r="J45" s="6"/>
      <c r="K45" s="6"/>
      <c r="L45" s="6"/>
      <c r="N45" s="20">
        <v>46297</v>
      </c>
      <c r="O45" s="21">
        <f t="shared" si="10"/>
        <v>0</v>
      </c>
      <c r="P45" s="21">
        <f t="shared" si="2"/>
        <v>0</v>
      </c>
      <c r="Q45" s="21">
        <f t="shared" si="3"/>
        <v>0</v>
      </c>
      <c r="R45" s="21">
        <f t="shared" si="4"/>
        <v>0</v>
      </c>
      <c r="S45" s="21">
        <f t="shared" si="5"/>
        <v>0</v>
      </c>
      <c r="T45" s="21">
        <f t="shared" si="9"/>
        <v>0</v>
      </c>
      <c r="U45" s="21">
        <f t="shared" si="7"/>
        <v>0</v>
      </c>
      <c r="V45" s="21">
        <f t="shared" si="8"/>
        <v>0</v>
      </c>
    </row>
    <row r="46" spans="1:22" x14ac:dyDescent="0.3">
      <c r="A46" s="22">
        <v>46298</v>
      </c>
      <c r="B46" s="19"/>
      <c r="C46" s="19"/>
      <c r="D46" s="16"/>
      <c r="E46" s="16"/>
      <c r="F46" s="6"/>
      <c r="G46" s="6"/>
      <c r="H46" s="5"/>
      <c r="I46" s="6"/>
      <c r="J46" s="6"/>
      <c r="K46" s="6"/>
      <c r="L46" s="6"/>
      <c r="N46" s="20">
        <v>46298</v>
      </c>
      <c r="O46" s="21">
        <f t="shared" si="10"/>
        <v>0</v>
      </c>
      <c r="P46" s="21">
        <f t="shared" si="2"/>
        <v>0</v>
      </c>
      <c r="Q46" s="21">
        <f t="shared" si="3"/>
        <v>0</v>
      </c>
      <c r="R46" s="21">
        <f t="shared" si="4"/>
        <v>0</v>
      </c>
      <c r="S46" s="21">
        <f t="shared" si="5"/>
        <v>0</v>
      </c>
      <c r="T46" s="21">
        <f t="shared" si="9"/>
        <v>0</v>
      </c>
      <c r="U46" s="21">
        <f t="shared" si="7"/>
        <v>0</v>
      </c>
      <c r="V46" s="21">
        <f t="shared" si="8"/>
        <v>0</v>
      </c>
    </row>
    <row r="47" spans="1:22" x14ac:dyDescent="0.3">
      <c r="A47" s="22">
        <v>46299</v>
      </c>
      <c r="B47" s="19"/>
      <c r="C47" s="19"/>
      <c r="D47" s="16"/>
      <c r="E47" s="16"/>
      <c r="F47" s="6"/>
      <c r="G47" s="6"/>
      <c r="H47" s="5"/>
      <c r="I47" s="6"/>
      <c r="J47" s="6"/>
      <c r="K47" s="6"/>
      <c r="L47" s="6"/>
      <c r="N47" s="20">
        <v>46299</v>
      </c>
      <c r="O47" s="21">
        <f t="shared" si="10"/>
        <v>0</v>
      </c>
      <c r="P47" s="21">
        <f t="shared" si="2"/>
        <v>0</v>
      </c>
      <c r="Q47" s="21">
        <f t="shared" si="3"/>
        <v>0</v>
      </c>
      <c r="R47" s="21">
        <f t="shared" si="4"/>
        <v>0</v>
      </c>
      <c r="S47" s="21">
        <f t="shared" si="5"/>
        <v>0</v>
      </c>
      <c r="T47" s="21">
        <f t="shared" si="9"/>
        <v>0</v>
      </c>
      <c r="U47" s="21">
        <f t="shared" si="7"/>
        <v>0</v>
      </c>
      <c r="V47" s="21">
        <f t="shared" si="8"/>
        <v>0</v>
      </c>
    </row>
    <row r="48" spans="1:22" x14ac:dyDescent="0.3">
      <c r="A48" s="22">
        <v>46300</v>
      </c>
      <c r="B48" s="19"/>
      <c r="C48" s="19"/>
      <c r="D48" s="16"/>
      <c r="E48" s="16"/>
      <c r="F48" s="6"/>
      <c r="G48" s="6"/>
      <c r="H48" s="5"/>
      <c r="I48" s="6"/>
      <c r="J48" s="6"/>
      <c r="K48" s="6"/>
      <c r="L48" s="6"/>
      <c r="N48" s="20">
        <v>46300</v>
      </c>
      <c r="O48" s="21">
        <f t="shared" si="10"/>
        <v>0</v>
      </c>
      <c r="P48" s="21">
        <f t="shared" si="2"/>
        <v>0</v>
      </c>
      <c r="Q48" s="21">
        <f t="shared" si="3"/>
        <v>0</v>
      </c>
      <c r="R48" s="21">
        <f t="shared" si="4"/>
        <v>0</v>
      </c>
      <c r="S48" s="21">
        <f t="shared" si="5"/>
        <v>0</v>
      </c>
      <c r="T48" s="21">
        <f t="shared" si="9"/>
        <v>0</v>
      </c>
      <c r="U48" s="21">
        <f t="shared" si="7"/>
        <v>0</v>
      </c>
      <c r="V48" s="21">
        <f t="shared" si="8"/>
        <v>0</v>
      </c>
    </row>
    <row r="49" spans="1:22" x14ac:dyDescent="0.3">
      <c r="A49" s="22">
        <v>46301</v>
      </c>
      <c r="B49" s="19"/>
      <c r="C49" s="19"/>
      <c r="D49" s="16"/>
      <c r="E49" s="16"/>
      <c r="F49" s="6"/>
      <c r="G49" s="6"/>
      <c r="H49" s="5"/>
      <c r="I49" s="6"/>
      <c r="J49" s="6"/>
      <c r="K49" s="6"/>
      <c r="L49" s="6"/>
      <c r="N49" s="20">
        <v>46301</v>
      </c>
      <c r="O49" s="21">
        <f t="shared" si="10"/>
        <v>0</v>
      </c>
      <c r="P49" s="21">
        <f t="shared" si="2"/>
        <v>0</v>
      </c>
      <c r="Q49" s="21">
        <f t="shared" si="3"/>
        <v>0</v>
      </c>
      <c r="R49" s="21">
        <f t="shared" si="4"/>
        <v>0</v>
      </c>
      <c r="S49" s="21">
        <f t="shared" si="5"/>
        <v>0</v>
      </c>
      <c r="T49" s="21">
        <f t="shared" si="9"/>
        <v>0</v>
      </c>
      <c r="U49" s="21">
        <f t="shared" si="7"/>
        <v>0</v>
      </c>
      <c r="V49" s="21">
        <f t="shared" si="8"/>
        <v>0</v>
      </c>
    </row>
    <row r="50" spans="1:22" x14ac:dyDescent="0.3">
      <c r="A50" s="22">
        <v>46302</v>
      </c>
      <c r="B50" s="19"/>
      <c r="C50" s="19"/>
      <c r="D50" s="16"/>
      <c r="E50" s="16"/>
      <c r="F50" s="6"/>
      <c r="G50" s="6"/>
      <c r="H50" s="5"/>
      <c r="I50" s="6"/>
      <c r="J50" s="6"/>
      <c r="K50" s="6"/>
      <c r="L50" s="6"/>
      <c r="N50" s="20">
        <v>46302</v>
      </c>
      <c r="O50" s="21">
        <f t="shared" si="10"/>
        <v>0</v>
      </c>
      <c r="P50" s="21">
        <f t="shared" si="2"/>
        <v>0</v>
      </c>
      <c r="Q50" s="21">
        <f t="shared" si="3"/>
        <v>0</v>
      </c>
      <c r="R50" s="21">
        <f t="shared" si="4"/>
        <v>0</v>
      </c>
      <c r="S50" s="21">
        <f t="shared" si="5"/>
        <v>0</v>
      </c>
      <c r="T50" s="21">
        <f t="shared" si="9"/>
        <v>0</v>
      </c>
      <c r="U50" s="21">
        <f t="shared" si="7"/>
        <v>0</v>
      </c>
      <c r="V50" s="21">
        <f t="shared" si="8"/>
        <v>0</v>
      </c>
    </row>
    <row r="51" spans="1:22" x14ac:dyDescent="0.3">
      <c r="A51" s="22">
        <v>46303</v>
      </c>
      <c r="B51" s="19"/>
      <c r="C51" s="19"/>
      <c r="D51" s="16"/>
      <c r="E51" s="16"/>
      <c r="F51" s="6"/>
      <c r="G51" s="6"/>
      <c r="H51" s="5"/>
      <c r="I51" s="6"/>
      <c r="J51" s="6"/>
      <c r="K51" s="6"/>
      <c r="L51" s="6"/>
      <c r="N51" s="20">
        <v>46303</v>
      </c>
      <c r="O51" s="21">
        <f t="shared" si="10"/>
        <v>0</v>
      </c>
      <c r="P51" s="21">
        <f t="shared" si="2"/>
        <v>0</v>
      </c>
      <c r="Q51" s="21">
        <f t="shared" si="3"/>
        <v>0</v>
      </c>
      <c r="R51" s="21">
        <f t="shared" si="4"/>
        <v>0</v>
      </c>
      <c r="S51" s="21">
        <f t="shared" si="5"/>
        <v>0</v>
      </c>
      <c r="T51" s="21">
        <f t="shared" si="9"/>
        <v>0</v>
      </c>
      <c r="U51" s="21">
        <f t="shared" si="7"/>
        <v>0</v>
      </c>
      <c r="V51" s="21">
        <f t="shared" si="8"/>
        <v>0</v>
      </c>
    </row>
    <row r="52" spans="1:22" x14ac:dyDescent="0.3">
      <c r="A52" s="22">
        <v>46304</v>
      </c>
      <c r="B52" s="19"/>
      <c r="C52" s="19"/>
      <c r="D52" s="16"/>
      <c r="E52" s="16"/>
      <c r="F52" s="6"/>
      <c r="G52" s="6"/>
      <c r="H52" s="5"/>
      <c r="I52" s="6"/>
      <c r="J52" s="6"/>
      <c r="K52" s="6"/>
      <c r="L52" s="6"/>
      <c r="N52" s="20">
        <v>46304</v>
      </c>
      <c r="O52" s="21">
        <f t="shared" si="10"/>
        <v>0</v>
      </c>
      <c r="P52" s="21">
        <f t="shared" si="2"/>
        <v>0</v>
      </c>
      <c r="Q52" s="21">
        <f t="shared" si="3"/>
        <v>0</v>
      </c>
      <c r="R52" s="21">
        <f t="shared" si="4"/>
        <v>0</v>
      </c>
      <c r="S52" s="21">
        <f t="shared" si="5"/>
        <v>0</v>
      </c>
      <c r="T52" s="21">
        <f t="shared" si="9"/>
        <v>0</v>
      </c>
      <c r="U52" s="21">
        <f t="shared" si="7"/>
        <v>0</v>
      </c>
      <c r="V52" s="21">
        <f t="shared" si="8"/>
        <v>0</v>
      </c>
    </row>
    <row r="53" spans="1:22" x14ac:dyDescent="0.3">
      <c r="A53" s="22">
        <v>46305</v>
      </c>
      <c r="B53" s="19"/>
      <c r="C53" s="19"/>
      <c r="D53" s="16"/>
      <c r="E53" s="16"/>
      <c r="F53" s="6"/>
      <c r="G53" s="6"/>
      <c r="H53" s="5"/>
      <c r="I53" s="6"/>
      <c r="J53" s="6"/>
      <c r="K53" s="6"/>
      <c r="L53" s="6"/>
      <c r="N53" s="20">
        <v>46305</v>
      </c>
      <c r="O53" s="21">
        <f t="shared" si="10"/>
        <v>0</v>
      </c>
      <c r="P53" s="21">
        <f t="shared" si="2"/>
        <v>0</v>
      </c>
      <c r="Q53" s="21">
        <f t="shared" si="3"/>
        <v>0</v>
      </c>
      <c r="R53" s="21">
        <f t="shared" si="4"/>
        <v>0</v>
      </c>
      <c r="S53" s="21">
        <f t="shared" si="5"/>
        <v>0</v>
      </c>
      <c r="T53" s="21">
        <f t="shared" si="9"/>
        <v>0</v>
      </c>
      <c r="U53" s="21">
        <f t="shared" si="7"/>
        <v>0</v>
      </c>
      <c r="V53" s="21">
        <f t="shared" si="8"/>
        <v>0</v>
      </c>
    </row>
    <row r="54" spans="1:22" x14ac:dyDescent="0.3">
      <c r="A54" s="22"/>
      <c r="B54" s="19"/>
      <c r="C54" s="19"/>
      <c r="D54" s="16"/>
      <c r="E54" s="16"/>
      <c r="F54" s="6"/>
      <c r="G54" s="6"/>
      <c r="H54" s="5"/>
      <c r="I54" s="6"/>
      <c r="J54" s="6"/>
      <c r="K54" s="6"/>
      <c r="L54" s="6"/>
      <c r="N54" s="23" t="s">
        <v>18</v>
      </c>
      <c r="O54" s="24">
        <f>SUM(O7:O53)</f>
        <v>1125</v>
      </c>
      <c r="P54" s="24">
        <f t="shared" ref="P54:V54" si="11">SUM(P7:P53)</f>
        <v>2250</v>
      </c>
      <c r="Q54" s="24">
        <f t="shared" si="11"/>
        <v>2000</v>
      </c>
      <c r="R54" s="24">
        <f t="shared" si="11"/>
        <v>0</v>
      </c>
      <c r="S54" s="24">
        <f t="shared" si="11"/>
        <v>0</v>
      </c>
      <c r="T54" s="24">
        <f t="shared" si="11"/>
        <v>50</v>
      </c>
      <c r="U54" s="24">
        <f t="shared" si="11"/>
        <v>0</v>
      </c>
      <c r="V54" s="24">
        <f t="shared" si="11"/>
        <v>0</v>
      </c>
    </row>
    <row r="56" spans="1:22" x14ac:dyDescent="0.3">
      <c r="O56">
        <f>O54*X22</f>
        <v>54000000</v>
      </c>
      <c r="P56">
        <f>P54*Y22</f>
        <v>5175000</v>
      </c>
      <c r="Q56">
        <f>Q54*AA22</f>
        <v>88000000</v>
      </c>
      <c r="T56">
        <f>Z22*T54</f>
        <v>1500000</v>
      </c>
    </row>
  </sheetData>
  <mergeCells count="9"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54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90"/>
  <sheetViews>
    <sheetView view="pageBreakPreview" zoomScale="74" zoomScaleNormal="44" workbookViewId="0">
      <pane ySplit="5" topLeftCell="A25" activePane="bottomLeft" state="frozen"/>
      <selection pane="bottomLeft" activeCell="E61" sqref="E61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bestFit="1" customWidth="1"/>
    <col min="5" max="5" width="6" style="1" bestFit="1" customWidth="1"/>
    <col min="6" max="6" width="9.6640625" style="318" bestFit="1" customWidth="1"/>
    <col min="7" max="7" width="13.77734375" style="1" bestFit="1" customWidth="1"/>
    <col min="8" max="8" width="14.5546875" style="321" customWidth="1"/>
    <col min="9" max="9" width="10.44140625" style="323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388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658" t="s">
        <v>0</v>
      </c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659"/>
      <c r="N4" s="659"/>
      <c r="O4" s="660"/>
    </row>
    <row r="5" spans="2:27" ht="57.6" customHeight="1" thickBot="1" x14ac:dyDescent="0.35">
      <c r="B5" s="671" t="s">
        <v>1</v>
      </c>
      <c r="C5" s="672"/>
      <c r="D5" s="325" t="s">
        <v>293</v>
      </c>
      <c r="E5" s="392" t="s">
        <v>2</v>
      </c>
      <c r="F5" s="326" t="s">
        <v>3</v>
      </c>
      <c r="G5" s="327" t="s">
        <v>4</v>
      </c>
      <c r="H5" s="328" t="s">
        <v>5</v>
      </c>
      <c r="I5" s="329" t="s">
        <v>6</v>
      </c>
      <c r="J5" s="391" t="s">
        <v>7</v>
      </c>
      <c r="K5" s="391" t="s">
        <v>8</v>
      </c>
      <c r="L5" s="393" t="s">
        <v>9</v>
      </c>
      <c r="M5" s="391" t="s">
        <v>10</v>
      </c>
      <c r="N5" s="391" t="s">
        <v>11</v>
      </c>
      <c r="O5" s="394" t="s">
        <v>177</v>
      </c>
      <c r="S5" s="650" t="s">
        <v>12</v>
      </c>
      <c r="T5" s="651"/>
      <c r="W5" s="630" t="s">
        <v>19</v>
      </c>
      <c r="X5" s="630"/>
      <c r="Y5" s="630"/>
      <c r="Z5" s="630"/>
      <c r="AA5" s="630"/>
    </row>
    <row r="6" spans="2:27" ht="13.95" customHeight="1" thickBot="1" x14ac:dyDescent="0.4">
      <c r="B6" s="654">
        <v>46174</v>
      </c>
      <c r="C6" s="655"/>
      <c r="D6" s="330" t="s">
        <v>13</v>
      </c>
      <c r="E6" s="331"/>
      <c r="F6" s="332"/>
      <c r="G6" s="333"/>
      <c r="H6" s="334"/>
      <c r="I6" s="335" t="str">
        <f>IFERROR((VLOOKUP(G6,S$6:T$8,2,FALSE)),"")</f>
        <v/>
      </c>
      <c r="J6" s="336"/>
      <c r="K6" s="337" t="str">
        <f>IFERROR((F6*I6*J6),"")</f>
        <v/>
      </c>
      <c r="L6" s="338" t="str">
        <f>IFERROR(((F6*I6)*J6)*(1-H6),"")</f>
        <v/>
      </c>
      <c r="M6" s="338" t="str">
        <f>IFERROR((K6/12),"")</f>
        <v/>
      </c>
      <c r="N6" s="669">
        <f>SUM(L6:L7)</f>
        <v>0</v>
      </c>
      <c r="O6" s="339"/>
      <c r="P6" s="4"/>
      <c r="S6" s="309" t="s">
        <v>441</v>
      </c>
      <c r="T6" s="6">
        <v>0.5</v>
      </c>
      <c r="U6" s="1">
        <v>0.6</v>
      </c>
      <c r="W6" s="17" t="s">
        <v>172</v>
      </c>
      <c r="X6" s="17" t="s">
        <v>20</v>
      </c>
      <c r="Y6" s="17" t="s">
        <v>21</v>
      </c>
      <c r="Z6" s="17" t="s">
        <v>22</v>
      </c>
      <c r="AA6" s="17" t="s">
        <v>23</v>
      </c>
    </row>
    <row r="7" spans="2:27" ht="13.95" customHeight="1" thickBot="1" x14ac:dyDescent="0.4">
      <c r="B7" s="656"/>
      <c r="C7" s="657"/>
      <c r="D7" s="340" t="s">
        <v>14</v>
      </c>
      <c r="E7" s="341"/>
      <c r="F7" s="342"/>
      <c r="G7" s="343"/>
      <c r="H7" s="344"/>
      <c r="I7" s="335" t="str">
        <f t="shared" ref="I7" si="0">IFERROR((VLOOKUP(G7,S$6:T$8,2,FALSE)),"")</f>
        <v/>
      </c>
      <c r="J7" s="336"/>
      <c r="K7" s="337" t="str">
        <f>IFERROR((F7*I7*J7),"")</f>
        <v/>
      </c>
      <c r="L7" s="338" t="str">
        <f t="shared" ref="L7:L9" si="1">IFERROR(((F7*I7)*J7)*(1-H7),"")</f>
        <v/>
      </c>
      <c r="M7" s="338" t="str">
        <f t="shared" ref="M7:M9" si="2">IFERROR((K7/12),"")</f>
        <v/>
      </c>
      <c r="N7" s="670"/>
      <c r="O7" s="339"/>
      <c r="S7" s="5" t="s">
        <v>15</v>
      </c>
      <c r="T7" s="6">
        <v>0.8</v>
      </c>
      <c r="W7" s="6"/>
      <c r="X7" s="16">
        <v>185</v>
      </c>
      <c r="Y7" s="16">
        <v>2860</v>
      </c>
      <c r="Z7" s="16">
        <v>2795</v>
      </c>
      <c r="AA7" s="49">
        <f>(Y7-Z7)/Y7</f>
        <v>2.2727272727272728E-2</v>
      </c>
    </row>
    <row r="8" spans="2:27" ht="13.95" customHeight="1" thickBot="1" x14ac:dyDescent="0.4">
      <c r="B8" s="663">
        <v>46175</v>
      </c>
      <c r="C8" s="664"/>
      <c r="D8" s="395" t="s">
        <v>13</v>
      </c>
      <c r="E8" s="396" t="s">
        <v>170</v>
      </c>
      <c r="F8" s="397">
        <v>141</v>
      </c>
      <c r="G8" s="398" t="s">
        <v>441</v>
      </c>
      <c r="H8" s="399">
        <v>0.18</v>
      </c>
      <c r="I8" s="400">
        <f>IFERROR((VLOOKUP(G8,S$6:T$8,2,FALSE)),"")</f>
        <v>0.5</v>
      </c>
      <c r="J8" s="336">
        <v>1.35</v>
      </c>
      <c r="K8" s="401">
        <f t="shared" ref="K8:K61" si="3">IFERROR((F8*I8*J8),"")</f>
        <v>95.175000000000011</v>
      </c>
      <c r="L8" s="402">
        <f t="shared" si="1"/>
        <v>78.043500000000009</v>
      </c>
      <c r="M8" s="402">
        <f>IFERROR((K8/6),"")</f>
        <v>15.862500000000002</v>
      </c>
      <c r="N8" s="667">
        <f>SUM(L8:L9)</f>
        <v>78.043500000000009</v>
      </c>
      <c r="O8" s="403"/>
      <c r="S8" s="5" t="s">
        <v>16</v>
      </c>
      <c r="T8" s="6">
        <v>2.5</v>
      </c>
      <c r="U8" s="1">
        <v>3</v>
      </c>
      <c r="W8" s="6"/>
      <c r="X8" s="16">
        <v>180</v>
      </c>
      <c r="Y8" s="16">
        <v>3025</v>
      </c>
      <c r="Z8" s="16">
        <v>2935</v>
      </c>
      <c r="AA8" s="49">
        <f>(Y8-Z8)/Y8</f>
        <v>2.9752066115702479E-2</v>
      </c>
    </row>
    <row r="9" spans="2:27" ht="18.600000000000001" thickBot="1" x14ac:dyDescent="0.4">
      <c r="B9" s="665"/>
      <c r="C9" s="666"/>
      <c r="D9" s="404" t="s">
        <v>14</v>
      </c>
      <c r="E9" s="405"/>
      <c r="F9" s="406"/>
      <c r="G9" s="445"/>
      <c r="H9" s="407"/>
      <c r="I9" s="408" t="str">
        <f t="shared" ref="I9:I86" si="4">IFERROR((VLOOKUP(G9,S$6:T$8,2,FALSE)),"")</f>
        <v/>
      </c>
      <c r="J9" s="336"/>
      <c r="K9" s="401" t="str">
        <f t="shared" si="3"/>
        <v/>
      </c>
      <c r="L9" s="402" t="str">
        <f t="shared" si="1"/>
        <v/>
      </c>
      <c r="M9" s="402" t="str">
        <f t="shared" si="2"/>
        <v/>
      </c>
      <c r="N9" s="668"/>
      <c r="O9" s="410"/>
      <c r="S9" s="8"/>
      <c r="W9" s="6"/>
      <c r="X9" s="16">
        <v>175</v>
      </c>
      <c r="Y9" s="16">
        <v>2535</v>
      </c>
      <c r="Z9" s="16">
        <v>2430</v>
      </c>
      <c r="AA9" s="49">
        <f>(Y9-Z9)/Y9</f>
        <v>4.142011834319527E-2</v>
      </c>
    </row>
    <row r="10" spans="2:27" ht="18.600000000000001" thickBot="1" x14ac:dyDescent="0.4">
      <c r="B10" s="654">
        <v>46176</v>
      </c>
      <c r="C10" s="655"/>
      <c r="D10" s="330" t="s">
        <v>13</v>
      </c>
      <c r="E10" s="331" t="s">
        <v>170</v>
      </c>
      <c r="F10" s="332">
        <v>32</v>
      </c>
      <c r="G10" s="449" t="s">
        <v>441</v>
      </c>
      <c r="H10" s="334">
        <v>0.18</v>
      </c>
      <c r="I10" s="335">
        <f t="shared" si="4"/>
        <v>0.5</v>
      </c>
      <c r="J10" s="336">
        <v>1.35</v>
      </c>
      <c r="K10" s="337">
        <f t="shared" si="3"/>
        <v>21.6</v>
      </c>
      <c r="L10" s="338">
        <f t="shared" ref="L10:L61" si="5">IFERROR(((F10*I10)*J10)*(1-H10),"")</f>
        <v>17.712000000000003</v>
      </c>
      <c r="M10" s="338">
        <f t="shared" ref="M10:M61" si="6">IFERROR((K10/12),"")</f>
        <v>1.8</v>
      </c>
      <c r="N10" s="673">
        <f>SUM(L10:L11)</f>
        <v>17.712000000000003</v>
      </c>
      <c r="O10" s="348"/>
      <c r="S10" s="8"/>
      <c r="W10" s="6"/>
      <c r="X10" s="6"/>
      <c r="Y10" s="16">
        <v>2695</v>
      </c>
      <c r="Z10" s="16">
        <v>2555</v>
      </c>
      <c r="AA10" s="49">
        <f t="shared" ref="AA10:AA14" si="7">(Y10-Z10)/Y10</f>
        <v>5.1948051948051951E-2</v>
      </c>
    </row>
    <row r="11" spans="2:27" ht="18.600000000000001" thickBot="1" x14ac:dyDescent="0.4">
      <c r="B11" s="656"/>
      <c r="C11" s="657"/>
      <c r="D11" s="340" t="s">
        <v>14</v>
      </c>
      <c r="E11" s="341"/>
      <c r="F11" s="345"/>
      <c r="G11" s="448"/>
      <c r="H11" s="344"/>
      <c r="I11" s="346" t="str">
        <f t="shared" si="4"/>
        <v/>
      </c>
      <c r="J11" s="336"/>
      <c r="K11" s="337" t="str">
        <f t="shared" si="3"/>
        <v/>
      </c>
      <c r="L11" s="349" t="str">
        <f t="shared" si="5"/>
        <v/>
      </c>
      <c r="M11" s="350" t="str">
        <f t="shared" si="6"/>
        <v/>
      </c>
      <c r="N11" s="674"/>
      <c r="O11" s="351"/>
      <c r="S11" s="8"/>
      <c r="W11" s="6"/>
      <c r="X11" s="6"/>
      <c r="Y11" s="16">
        <v>2530</v>
      </c>
      <c r="Z11" s="16">
        <v>2460</v>
      </c>
      <c r="AA11" s="49">
        <f>(Y11-Z11)/Y11</f>
        <v>2.766798418972332E-2</v>
      </c>
    </row>
    <row r="12" spans="2:27" ht="18.600000000000001" thickBot="1" x14ac:dyDescent="0.4">
      <c r="B12" s="663">
        <v>46177</v>
      </c>
      <c r="C12" s="664"/>
      <c r="D12" s="395" t="s">
        <v>13</v>
      </c>
      <c r="E12" s="396" t="s">
        <v>173</v>
      </c>
      <c r="F12" s="397">
        <v>282</v>
      </c>
      <c r="G12" s="398" t="s">
        <v>441</v>
      </c>
      <c r="H12" s="399">
        <v>0.17</v>
      </c>
      <c r="I12" s="400">
        <f t="shared" si="4"/>
        <v>0.5</v>
      </c>
      <c r="J12" s="336">
        <v>1.35</v>
      </c>
      <c r="K12" s="401">
        <f t="shared" si="3"/>
        <v>190.35000000000002</v>
      </c>
      <c r="L12" s="402">
        <f t="shared" si="5"/>
        <v>157.9905</v>
      </c>
      <c r="M12" s="402">
        <f t="shared" si="6"/>
        <v>15.862500000000002</v>
      </c>
      <c r="N12" s="667">
        <f t="shared" ref="N12" si="8">SUM(L12:L13)</f>
        <v>157.9905</v>
      </c>
      <c r="O12" s="403"/>
      <c r="W12" s="6"/>
      <c r="X12" s="6"/>
      <c r="Y12" s="16">
        <v>2130</v>
      </c>
      <c r="Z12" s="16">
        <v>2075</v>
      </c>
      <c r="AA12" s="49">
        <f t="shared" si="7"/>
        <v>2.5821596244131457E-2</v>
      </c>
    </row>
    <row r="13" spans="2:27" ht="18.600000000000001" thickBot="1" x14ac:dyDescent="0.4">
      <c r="B13" s="665"/>
      <c r="C13" s="666"/>
      <c r="D13" s="404" t="s">
        <v>14</v>
      </c>
      <c r="E13" s="405"/>
      <c r="F13" s="406"/>
      <c r="G13" s="447"/>
      <c r="H13" s="407"/>
      <c r="I13" s="408" t="str">
        <f t="shared" si="4"/>
        <v/>
      </c>
      <c r="J13" s="336"/>
      <c r="K13" s="401" t="str">
        <f t="shared" si="3"/>
        <v/>
      </c>
      <c r="L13" s="409" t="str">
        <f t="shared" si="5"/>
        <v/>
      </c>
      <c r="M13" s="411" t="str">
        <f t="shared" si="6"/>
        <v/>
      </c>
      <c r="N13" s="668"/>
      <c r="O13" s="403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654">
        <v>46252</v>
      </c>
      <c r="C14" s="655"/>
      <c r="D14" s="330" t="s">
        <v>13</v>
      </c>
      <c r="E14" s="331" t="s">
        <v>200</v>
      </c>
      <c r="F14" s="332">
        <v>62</v>
      </c>
      <c r="G14" s="449" t="s">
        <v>441</v>
      </c>
      <c r="H14" s="334">
        <v>0.12</v>
      </c>
      <c r="I14" s="335">
        <f t="shared" si="4"/>
        <v>0.5</v>
      </c>
      <c r="J14" s="336">
        <v>1.39</v>
      </c>
      <c r="K14" s="337">
        <f>IFERROR((F14*I14*J14),"")</f>
        <v>43.089999999999996</v>
      </c>
      <c r="L14" s="338">
        <f t="shared" si="5"/>
        <v>37.919199999999996</v>
      </c>
      <c r="M14" s="338">
        <f>IFERROR((K14/12),"")</f>
        <v>3.5908333333333329</v>
      </c>
      <c r="N14" s="673">
        <f t="shared" ref="N14" si="9">SUM(L14:L15)</f>
        <v>37.919199999999996</v>
      </c>
      <c r="O14" s="339" t="s">
        <v>419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656"/>
      <c r="C15" s="657"/>
      <c r="D15" s="340" t="s">
        <v>14</v>
      </c>
      <c r="E15" s="352"/>
      <c r="F15" s="345"/>
      <c r="G15" s="448"/>
      <c r="H15" s="344"/>
      <c r="I15" s="346" t="str">
        <f t="shared" si="4"/>
        <v/>
      </c>
      <c r="J15" s="336"/>
      <c r="K15" s="353" t="str">
        <f t="shared" si="3"/>
        <v/>
      </c>
      <c r="L15" s="349" t="str">
        <f t="shared" si="5"/>
        <v/>
      </c>
      <c r="M15" s="350" t="str">
        <f t="shared" si="6"/>
        <v/>
      </c>
      <c r="N15" s="674"/>
      <c r="O15" s="339"/>
    </row>
    <row r="16" spans="2:27" ht="18.600000000000001" thickBot="1" x14ac:dyDescent="0.4">
      <c r="B16" s="663">
        <v>46253</v>
      </c>
      <c r="C16" s="664"/>
      <c r="D16" s="395" t="s">
        <v>13</v>
      </c>
      <c r="E16" s="396" t="s">
        <v>200</v>
      </c>
      <c r="F16" s="397">
        <v>463</v>
      </c>
      <c r="G16" s="398" t="s">
        <v>441</v>
      </c>
      <c r="H16" s="399">
        <v>0.12</v>
      </c>
      <c r="I16" s="400">
        <f t="shared" si="4"/>
        <v>0.5</v>
      </c>
      <c r="J16" s="336">
        <v>1.39</v>
      </c>
      <c r="K16" s="401">
        <f t="shared" si="3"/>
        <v>321.78499999999997</v>
      </c>
      <c r="L16" s="402">
        <f>IFERROR(((F16*I16)*J16)*(1-H16),"")</f>
        <v>283.17079999999999</v>
      </c>
      <c r="M16" s="402">
        <f t="shared" si="6"/>
        <v>26.815416666666664</v>
      </c>
      <c r="N16" s="667">
        <f>SUM(L16:L17)</f>
        <v>283.17079999999999</v>
      </c>
      <c r="O16" s="403" t="s">
        <v>417</v>
      </c>
      <c r="S16" s="1">
        <f>S14/1.4</f>
        <v>45.714285714285715</v>
      </c>
    </row>
    <row r="17" spans="2:23" ht="18.600000000000001" thickBot="1" x14ac:dyDescent="0.4">
      <c r="B17" s="665"/>
      <c r="C17" s="666"/>
      <c r="D17" s="404" t="s">
        <v>14</v>
      </c>
      <c r="E17" s="412"/>
      <c r="F17" s="406"/>
      <c r="G17" s="447"/>
      <c r="H17" s="407"/>
      <c r="I17" s="408" t="str">
        <f t="shared" si="4"/>
        <v/>
      </c>
      <c r="J17" s="336"/>
      <c r="K17" s="413" t="str">
        <f t="shared" si="3"/>
        <v/>
      </c>
      <c r="L17" s="409" t="str">
        <f t="shared" si="5"/>
        <v/>
      </c>
      <c r="M17" s="411" t="str">
        <f t="shared" si="6"/>
        <v/>
      </c>
      <c r="N17" s="668"/>
      <c r="O17" s="403" t="s">
        <v>396</v>
      </c>
    </row>
    <row r="18" spans="2:23" ht="18.600000000000001" thickBot="1" x14ac:dyDescent="0.4">
      <c r="B18" s="654">
        <v>46254</v>
      </c>
      <c r="C18" s="655"/>
      <c r="D18" s="330" t="s">
        <v>13</v>
      </c>
      <c r="E18" s="331" t="s">
        <v>200</v>
      </c>
      <c r="F18" s="332">
        <v>539</v>
      </c>
      <c r="G18" s="449" t="s">
        <v>441</v>
      </c>
      <c r="H18" s="334">
        <v>0.1</v>
      </c>
      <c r="I18" s="335">
        <f>IFERROR((VLOOKUP(G18,S$6:T$8,2,FALSE)),"")</f>
        <v>0.5</v>
      </c>
      <c r="J18" s="336">
        <v>1.39</v>
      </c>
      <c r="K18" s="337">
        <f t="shared" si="3"/>
        <v>374.60499999999996</v>
      </c>
      <c r="L18" s="338">
        <f>IFERROR(((F18*I18)*J18)*(1-H18),"")</f>
        <v>337.14449999999999</v>
      </c>
      <c r="M18" s="338">
        <f>IFERROR((K18/12),"")</f>
        <v>31.217083333333331</v>
      </c>
      <c r="N18" s="673">
        <f>SUM(L18:L19)-V20</f>
        <v>337.14449999999999</v>
      </c>
      <c r="O18" s="339" t="s">
        <v>417</v>
      </c>
      <c r="T18" s="3"/>
      <c r="V18" s="1">
        <f>(T8*3)*(1-12%)</f>
        <v>6.6</v>
      </c>
      <c r="W18" s="1" t="s">
        <v>201</v>
      </c>
    </row>
    <row r="19" spans="2:23" ht="18.600000000000001" thickBot="1" x14ac:dyDescent="0.4">
      <c r="B19" s="656"/>
      <c r="C19" s="657"/>
      <c r="D19" s="354" t="s">
        <v>14</v>
      </c>
      <c r="E19" s="355"/>
      <c r="F19" s="356"/>
      <c r="G19" s="446"/>
      <c r="H19" s="358"/>
      <c r="I19" s="359" t="str">
        <f t="shared" si="4"/>
        <v/>
      </c>
      <c r="J19" s="336"/>
      <c r="K19" s="360" t="str">
        <f t="shared" si="3"/>
        <v/>
      </c>
      <c r="L19" s="361" t="str">
        <f t="shared" si="5"/>
        <v/>
      </c>
      <c r="M19" s="362" t="str">
        <f t="shared" si="6"/>
        <v/>
      </c>
      <c r="N19" s="675"/>
      <c r="O19" s="339" t="s">
        <v>418</v>
      </c>
      <c r="T19" s="123"/>
    </row>
    <row r="20" spans="2:23" ht="18.600000000000001" thickBot="1" x14ac:dyDescent="0.4">
      <c r="B20" s="654">
        <v>46255</v>
      </c>
      <c r="C20" s="655"/>
      <c r="D20" s="330" t="s">
        <v>13</v>
      </c>
      <c r="E20" s="331" t="s">
        <v>200</v>
      </c>
      <c r="F20" s="332">
        <v>409</v>
      </c>
      <c r="G20" s="449" t="s">
        <v>441</v>
      </c>
      <c r="H20" s="334">
        <v>0.1</v>
      </c>
      <c r="I20" s="335">
        <f>IFERROR((VLOOKUP(G20,S$6:T$8,2,FALSE)),"")</f>
        <v>0.5</v>
      </c>
      <c r="J20" s="336">
        <v>1.39</v>
      </c>
      <c r="K20" s="337">
        <f t="shared" ref="K20:K21" si="10">IFERROR((F20*I20*J20),"")</f>
        <v>284.255</v>
      </c>
      <c r="L20" s="338">
        <f>IFERROR(((F20*I20)*J20)*(1-H20),"")</f>
        <v>255.8295</v>
      </c>
      <c r="M20" s="338">
        <f>IFERROR(((K20+K21)/12),"")</f>
        <v>26.583749999999998</v>
      </c>
      <c r="N20" s="673">
        <f>SUM(L20:L21)</f>
        <v>287.10449999999997</v>
      </c>
      <c r="O20" s="339" t="str">
        <f>'Crushing Down Time Hours'!G9</f>
        <v>isitrahat jumat 11-13, 16:20-16:55 Perbaikan Cone Crusher</v>
      </c>
      <c r="S20" s="2"/>
      <c r="T20" s="123"/>
    </row>
    <row r="21" spans="2:23" ht="18.600000000000001" thickBot="1" x14ac:dyDescent="0.4">
      <c r="B21" s="656"/>
      <c r="C21" s="657"/>
      <c r="D21" s="354" t="s">
        <v>14</v>
      </c>
      <c r="E21" s="355"/>
      <c r="F21" s="356">
        <v>10</v>
      </c>
      <c r="G21" s="357" t="s">
        <v>16</v>
      </c>
      <c r="H21" s="358">
        <v>0.1</v>
      </c>
      <c r="I21" s="359">
        <f t="shared" ref="I21" si="11">IFERROR((VLOOKUP(G21,S$6:T$8,2,FALSE)),"")</f>
        <v>2.5</v>
      </c>
      <c r="J21" s="336">
        <v>1.39</v>
      </c>
      <c r="K21" s="360">
        <f t="shared" si="10"/>
        <v>34.75</v>
      </c>
      <c r="L21" s="361">
        <f t="shared" ref="L21" si="12">IFERROR(((F21*I21)*J21)*(1-H21),"")</f>
        <v>31.275000000000002</v>
      </c>
      <c r="M21" s="362"/>
      <c r="N21" s="675"/>
      <c r="O21" s="339"/>
      <c r="S21" s="2"/>
      <c r="T21" s="124"/>
    </row>
    <row r="22" spans="2:23" ht="18.600000000000001" thickBot="1" x14ac:dyDescent="0.4">
      <c r="B22" s="654">
        <v>46256</v>
      </c>
      <c r="C22" s="655"/>
      <c r="D22" s="330" t="s">
        <v>13</v>
      </c>
      <c r="E22" s="331" t="s">
        <v>200</v>
      </c>
      <c r="F22" s="332">
        <v>315</v>
      </c>
      <c r="G22" s="333" t="s">
        <v>441</v>
      </c>
      <c r="H22" s="334">
        <v>0.1</v>
      </c>
      <c r="I22" s="335">
        <f>IFERROR((VLOOKUP(G22,S$6:T$8,2,FALSE)),"")</f>
        <v>0.5</v>
      </c>
      <c r="J22" s="336">
        <v>1.39</v>
      </c>
      <c r="K22" s="337">
        <f t="shared" si="3"/>
        <v>218.92499999999998</v>
      </c>
      <c r="L22" s="338">
        <f t="shared" si="5"/>
        <v>197.0325</v>
      </c>
      <c r="M22" s="363">
        <f t="shared" si="6"/>
        <v>18.243749999999999</v>
      </c>
      <c r="N22" s="673">
        <f>SUM(L22:L23)-V24</f>
        <v>197.0325</v>
      </c>
      <c r="O22" s="347" t="str">
        <f>'Crushing Down Time Hours'!G10</f>
        <v xml:space="preserve">Material Habis hanya running 9 Jam </v>
      </c>
      <c r="Q22" s="4"/>
      <c r="S22" s="3"/>
      <c r="T22" s="123"/>
    </row>
    <row r="23" spans="2:23" ht="18.600000000000001" thickBot="1" x14ac:dyDescent="0.4">
      <c r="B23" s="656"/>
      <c r="C23" s="657"/>
      <c r="D23" s="340" t="s">
        <v>14</v>
      </c>
      <c r="E23" s="352"/>
      <c r="F23" s="345"/>
      <c r="G23" s="343"/>
      <c r="H23" s="344"/>
      <c r="I23" s="346" t="str">
        <f t="shared" si="4"/>
        <v/>
      </c>
      <c r="J23" s="336"/>
      <c r="K23" s="353" t="str">
        <f t="shared" si="3"/>
        <v/>
      </c>
      <c r="L23" s="349" t="str">
        <f t="shared" si="5"/>
        <v/>
      </c>
      <c r="M23" s="364" t="str">
        <f t="shared" si="6"/>
        <v/>
      </c>
      <c r="N23" s="674"/>
      <c r="O23" s="339"/>
      <c r="P23" s="11"/>
      <c r="T23" s="123"/>
    </row>
    <row r="24" spans="2:23" ht="18.600000000000001" thickBot="1" x14ac:dyDescent="0.4">
      <c r="B24" s="654">
        <v>46257</v>
      </c>
      <c r="C24" s="655"/>
      <c r="D24" s="330" t="s">
        <v>13</v>
      </c>
      <c r="E24" s="331"/>
      <c r="F24" s="332"/>
      <c r="G24" s="333"/>
      <c r="H24" s="334"/>
      <c r="I24" s="335" t="str">
        <f t="shared" si="4"/>
        <v/>
      </c>
      <c r="J24" s="336"/>
      <c r="K24" s="337" t="str">
        <f t="shared" si="3"/>
        <v/>
      </c>
      <c r="L24" s="338" t="str">
        <f t="shared" si="5"/>
        <v/>
      </c>
      <c r="M24" s="338" t="str">
        <f t="shared" si="6"/>
        <v/>
      </c>
      <c r="N24" s="673">
        <f>SUM(L24:L25)-V26</f>
        <v>0</v>
      </c>
      <c r="O24" s="339"/>
    </row>
    <row r="25" spans="2:23" ht="18.600000000000001" thickBot="1" x14ac:dyDescent="0.4">
      <c r="B25" s="656"/>
      <c r="C25" s="657"/>
      <c r="D25" s="340" t="s">
        <v>14</v>
      </c>
      <c r="E25" s="352"/>
      <c r="F25" s="345"/>
      <c r="G25" s="343"/>
      <c r="H25" s="334"/>
      <c r="I25" s="346" t="str">
        <f t="shared" si="4"/>
        <v/>
      </c>
      <c r="J25" s="336"/>
      <c r="K25" s="353" t="str">
        <f t="shared" si="3"/>
        <v/>
      </c>
      <c r="L25" s="349" t="str">
        <f t="shared" si="5"/>
        <v/>
      </c>
      <c r="M25" s="350" t="str">
        <f t="shared" si="6"/>
        <v/>
      </c>
      <c r="N25" s="674"/>
      <c r="O25" s="339"/>
      <c r="T25" s="3"/>
    </row>
    <row r="26" spans="2:23" ht="18.600000000000001" thickBot="1" x14ac:dyDescent="0.4">
      <c r="B26" s="654">
        <v>46258</v>
      </c>
      <c r="C26" s="655"/>
      <c r="D26" s="330" t="s">
        <v>13</v>
      </c>
      <c r="E26" s="331" t="s">
        <v>200</v>
      </c>
      <c r="F26" s="332">
        <v>234</v>
      </c>
      <c r="G26" s="333" t="s">
        <v>441</v>
      </c>
      <c r="H26" s="334">
        <v>0.1</v>
      </c>
      <c r="I26" s="335">
        <f t="shared" si="4"/>
        <v>0.5</v>
      </c>
      <c r="J26" s="336">
        <v>1.39</v>
      </c>
      <c r="K26" s="337">
        <f t="shared" si="3"/>
        <v>162.63</v>
      </c>
      <c r="L26" s="338">
        <f t="shared" si="5"/>
        <v>146.36699999999999</v>
      </c>
      <c r="M26" s="338">
        <f t="shared" si="6"/>
        <v>13.5525</v>
      </c>
      <c r="N26" s="673">
        <f>SUM(L26:L27)-V28</f>
        <v>162.00449999999998</v>
      </c>
      <c r="O26" s="339" t="str">
        <f>'Crushing Down Time Hours'!G12</f>
        <v>istirahat jam 12-13, material habis dan selesai jam 17:30</v>
      </c>
      <c r="P26" s="4"/>
      <c r="Q26" s="11"/>
      <c r="T26" s="2"/>
    </row>
    <row r="27" spans="2:23" ht="18.600000000000001" thickBot="1" x14ac:dyDescent="0.4">
      <c r="B27" s="656"/>
      <c r="C27" s="657"/>
      <c r="D27" s="340" t="s">
        <v>14</v>
      </c>
      <c r="E27" s="352" t="s">
        <v>170</v>
      </c>
      <c r="F27" s="345">
        <v>5</v>
      </c>
      <c r="G27" s="343" t="s">
        <v>16</v>
      </c>
      <c r="H27" s="344">
        <v>0.1</v>
      </c>
      <c r="I27" s="346">
        <f t="shared" si="4"/>
        <v>2.5</v>
      </c>
      <c r="J27" s="336">
        <v>1.39</v>
      </c>
      <c r="K27" s="365">
        <f t="shared" si="3"/>
        <v>17.375</v>
      </c>
      <c r="L27" s="349">
        <f t="shared" si="5"/>
        <v>15.637500000000001</v>
      </c>
      <c r="M27" s="350">
        <f t="shared" si="6"/>
        <v>1.4479166666666667</v>
      </c>
      <c r="N27" s="674"/>
      <c r="O27" s="339"/>
    </row>
    <row r="28" spans="2:23" ht="18.600000000000001" thickBot="1" x14ac:dyDescent="0.4">
      <c r="B28" s="654">
        <v>46259</v>
      </c>
      <c r="C28" s="655"/>
      <c r="D28" s="330" t="s">
        <v>13</v>
      </c>
      <c r="E28" s="331"/>
      <c r="F28" s="332"/>
      <c r="G28" s="333"/>
      <c r="H28" s="334"/>
      <c r="I28" s="335" t="str">
        <f t="shared" si="4"/>
        <v/>
      </c>
      <c r="J28" s="336"/>
      <c r="K28" s="337" t="str">
        <f t="shared" si="3"/>
        <v/>
      </c>
      <c r="L28" s="338" t="str">
        <f>IFERROR(((F28*I28)*J28)*(1-H28),"")</f>
        <v/>
      </c>
      <c r="M28" s="338" t="str">
        <f t="shared" si="6"/>
        <v/>
      </c>
      <c r="N28" s="669">
        <f>SUM(L28:L29)</f>
        <v>0</v>
      </c>
      <c r="O28" s="339"/>
    </row>
    <row r="29" spans="2:23" ht="18.600000000000001" thickBot="1" x14ac:dyDescent="0.4">
      <c r="B29" s="656"/>
      <c r="C29" s="657"/>
      <c r="D29" s="340" t="s">
        <v>14</v>
      </c>
      <c r="E29" s="352"/>
      <c r="F29" s="345"/>
      <c r="G29" s="343"/>
      <c r="H29" s="344"/>
      <c r="I29" s="335" t="str">
        <f t="shared" si="4"/>
        <v/>
      </c>
      <c r="J29" s="336"/>
      <c r="K29" s="337" t="str">
        <f t="shared" si="3"/>
        <v/>
      </c>
      <c r="L29" s="349" t="str">
        <f t="shared" si="5"/>
        <v/>
      </c>
      <c r="M29" s="350" t="str">
        <f t="shared" si="6"/>
        <v/>
      </c>
      <c r="N29" s="670"/>
      <c r="O29" s="339"/>
      <c r="P29" s="11"/>
    </row>
    <row r="30" spans="2:23" ht="18.600000000000001" thickBot="1" x14ac:dyDescent="0.4">
      <c r="B30" s="654">
        <v>46260</v>
      </c>
      <c r="C30" s="655"/>
      <c r="D30" s="330" t="s">
        <v>13</v>
      </c>
      <c r="E30" s="331"/>
      <c r="F30" s="332"/>
      <c r="G30" s="333"/>
      <c r="H30" s="334"/>
      <c r="I30" s="335" t="str">
        <f t="shared" si="4"/>
        <v/>
      </c>
      <c r="J30" s="336"/>
      <c r="K30" s="337" t="str">
        <f t="shared" si="3"/>
        <v/>
      </c>
      <c r="L30" s="338" t="str">
        <f t="shared" si="5"/>
        <v/>
      </c>
      <c r="M30" s="338" t="str">
        <f t="shared" si="6"/>
        <v/>
      </c>
      <c r="N30" s="669">
        <f t="shared" ref="N30" si="13">SUM(L30:L31)</f>
        <v>0</v>
      </c>
      <c r="O30" s="339"/>
    </row>
    <row r="31" spans="2:23" ht="18.600000000000001" thickBot="1" x14ac:dyDescent="0.4">
      <c r="B31" s="656"/>
      <c r="C31" s="657"/>
      <c r="D31" s="340" t="s">
        <v>14</v>
      </c>
      <c r="E31" s="352"/>
      <c r="F31" s="345"/>
      <c r="G31" s="343"/>
      <c r="H31" s="344"/>
      <c r="I31" s="335" t="str">
        <f t="shared" si="4"/>
        <v/>
      </c>
      <c r="J31" s="336"/>
      <c r="K31" s="337" t="str">
        <f t="shared" si="3"/>
        <v/>
      </c>
      <c r="L31" s="349" t="str">
        <f t="shared" si="5"/>
        <v/>
      </c>
      <c r="M31" s="350" t="str">
        <f t="shared" si="6"/>
        <v/>
      </c>
      <c r="N31" s="670"/>
      <c r="O31" s="339"/>
    </row>
    <row r="32" spans="2:23" ht="54.6" thickBot="1" x14ac:dyDescent="0.4">
      <c r="B32" s="654">
        <v>46261</v>
      </c>
      <c r="C32" s="655"/>
      <c r="D32" s="330" t="s">
        <v>13</v>
      </c>
      <c r="E32" s="331" t="s">
        <v>429</v>
      </c>
      <c r="F32" s="332">
        <v>202</v>
      </c>
      <c r="G32" s="333" t="s">
        <v>441</v>
      </c>
      <c r="H32" s="334">
        <v>0.11</v>
      </c>
      <c r="I32" s="335">
        <f t="shared" si="4"/>
        <v>0.5</v>
      </c>
      <c r="J32" s="336">
        <v>1.39</v>
      </c>
      <c r="K32" s="337">
        <f t="shared" si="3"/>
        <v>140.38999999999999</v>
      </c>
      <c r="L32" s="338">
        <f t="shared" si="5"/>
        <v>124.94709999999999</v>
      </c>
      <c r="M32" s="338">
        <f t="shared" si="6"/>
        <v>11.699166666666665</v>
      </c>
      <c r="N32" s="669">
        <f>SUM(L32:L33)</f>
        <v>124.94709999999999</v>
      </c>
      <c r="O32" s="441" t="str">
        <f>'Crushing Down Time Hours'!G15</f>
        <v>Start Crusher jam 10:00, dikarenakan bari loading material jam 08:00, pada jam 15:30-17:15 stop dikarenakan material stuck pada cone crusher</v>
      </c>
      <c r="S32" s="11"/>
      <c r="W32" s="11"/>
    </row>
    <row r="33" spans="2:24" ht="18.600000000000001" thickBot="1" x14ac:dyDescent="0.4">
      <c r="B33" s="656"/>
      <c r="C33" s="657"/>
      <c r="D33" s="340" t="s">
        <v>14</v>
      </c>
      <c r="E33" s="352"/>
      <c r="F33" s="345"/>
      <c r="G33" s="343"/>
      <c r="H33" s="344"/>
      <c r="I33" s="335" t="str">
        <f t="shared" si="4"/>
        <v/>
      </c>
      <c r="J33" s="336"/>
      <c r="K33" s="337" t="str">
        <f t="shared" si="3"/>
        <v/>
      </c>
      <c r="L33" s="349" t="str">
        <f t="shared" si="5"/>
        <v/>
      </c>
      <c r="M33" s="350" t="str">
        <f t="shared" si="6"/>
        <v/>
      </c>
      <c r="N33" s="670"/>
      <c r="O33" s="339"/>
    </row>
    <row r="34" spans="2:24" ht="18.600000000000001" thickBot="1" x14ac:dyDescent="0.4">
      <c r="B34" s="654">
        <v>46262</v>
      </c>
      <c r="C34" s="655"/>
      <c r="D34" s="330" t="s">
        <v>13</v>
      </c>
      <c r="E34" s="331" t="s">
        <v>170</v>
      </c>
      <c r="F34" s="332">
        <v>290</v>
      </c>
      <c r="G34" s="333" t="s">
        <v>441</v>
      </c>
      <c r="H34" s="334">
        <v>0.11</v>
      </c>
      <c r="I34" s="335">
        <f t="shared" si="4"/>
        <v>0.5</v>
      </c>
      <c r="J34" s="336">
        <v>1.3</v>
      </c>
      <c r="K34" s="337">
        <f t="shared" si="3"/>
        <v>188.5</v>
      </c>
      <c r="L34" s="338">
        <f t="shared" si="5"/>
        <v>167.76500000000001</v>
      </c>
      <c r="M34" s="338">
        <f t="shared" si="6"/>
        <v>15.708333333333334</v>
      </c>
      <c r="N34" s="669">
        <f>SUM(L34:L35)</f>
        <v>167.76500000000001</v>
      </c>
      <c r="O34" s="339" t="str">
        <f>'Crushing Down Time Hours'!G16</f>
        <v>Start Crusher jam 08:00, istirahat jam 11:00-13:00</v>
      </c>
      <c r="P34" s="12"/>
      <c r="Q34" s="12"/>
      <c r="R34" s="12"/>
      <c r="S34" s="3"/>
      <c r="T34" s="12"/>
      <c r="U34" s="12"/>
      <c r="V34" s="12"/>
      <c r="W34" s="3"/>
      <c r="X34" s="3"/>
    </row>
    <row r="35" spans="2:24" ht="18.600000000000001" thickBot="1" x14ac:dyDescent="0.4">
      <c r="B35" s="656"/>
      <c r="C35" s="657"/>
      <c r="D35" s="340" t="s">
        <v>14</v>
      </c>
      <c r="E35" s="352"/>
      <c r="F35" s="345"/>
      <c r="G35" s="343"/>
      <c r="H35" s="344"/>
      <c r="I35" s="335" t="str">
        <f t="shared" si="4"/>
        <v/>
      </c>
      <c r="J35" s="336"/>
      <c r="K35" s="337" t="str">
        <f t="shared" si="3"/>
        <v/>
      </c>
      <c r="L35" s="349" t="str">
        <f>IFERROR(((F35*I35)*J35)*(1-H35),"")</f>
        <v/>
      </c>
      <c r="M35" s="350" t="str">
        <f t="shared" si="6"/>
        <v/>
      </c>
      <c r="N35" s="670"/>
      <c r="O35" s="339"/>
    </row>
    <row r="36" spans="2:24" ht="18.600000000000001" thickBot="1" x14ac:dyDescent="0.35">
      <c r="B36" s="654">
        <v>46263</v>
      </c>
      <c r="C36" s="655"/>
      <c r="D36" s="330" t="s">
        <v>13</v>
      </c>
      <c r="E36" s="331" t="s">
        <v>170</v>
      </c>
      <c r="F36" s="332">
        <v>411</v>
      </c>
      <c r="G36" s="333" t="s">
        <v>441</v>
      </c>
      <c r="H36" s="334">
        <v>0.1</v>
      </c>
      <c r="I36" s="335">
        <f t="shared" si="4"/>
        <v>0.5</v>
      </c>
      <c r="J36" s="336">
        <v>1.3</v>
      </c>
      <c r="K36" s="337">
        <f t="shared" si="3"/>
        <v>267.15000000000003</v>
      </c>
      <c r="L36" s="338">
        <f t="shared" si="5"/>
        <v>240.43500000000003</v>
      </c>
      <c r="M36" s="338">
        <f t="shared" ref="M36:M37" si="14">IFERROR((K36/12),"")</f>
        <v>22.262500000000003</v>
      </c>
      <c r="N36" s="669">
        <f>SUM(L36:L37)</f>
        <v>240.43500000000003</v>
      </c>
      <c r="O36" s="680" t="str">
        <f>'Crushing Down Time Hours'!G17</f>
        <v>istirahat jam 12-13, 14:00-15:00 ada loading material dari mining</v>
      </c>
    </row>
    <row r="37" spans="2:24" ht="18.600000000000001" thickBot="1" x14ac:dyDescent="0.35">
      <c r="B37" s="656"/>
      <c r="C37" s="657"/>
      <c r="D37" s="340" t="s">
        <v>14</v>
      </c>
      <c r="E37" s="352"/>
      <c r="F37" s="345"/>
      <c r="G37" s="343"/>
      <c r="H37" s="344"/>
      <c r="I37" s="335" t="str">
        <f t="shared" si="4"/>
        <v/>
      </c>
      <c r="J37" s="336"/>
      <c r="K37" s="337" t="str">
        <f t="shared" si="3"/>
        <v/>
      </c>
      <c r="L37" s="349" t="str">
        <f t="shared" si="5"/>
        <v/>
      </c>
      <c r="M37" s="350" t="str">
        <f t="shared" si="14"/>
        <v/>
      </c>
      <c r="N37" s="670"/>
      <c r="O37" s="681"/>
    </row>
    <row r="38" spans="2:24" ht="18.600000000000001" thickBot="1" x14ac:dyDescent="0.4">
      <c r="B38" s="654">
        <v>46264</v>
      </c>
      <c r="C38" s="655"/>
      <c r="D38" s="330" t="s">
        <v>13</v>
      </c>
      <c r="E38" s="331" t="s">
        <v>170</v>
      </c>
      <c r="F38" s="332">
        <v>92</v>
      </c>
      <c r="G38" s="333" t="s">
        <v>441</v>
      </c>
      <c r="H38" s="334">
        <v>0.1</v>
      </c>
      <c r="I38" s="335">
        <f t="shared" si="4"/>
        <v>0.5</v>
      </c>
      <c r="J38" s="336">
        <v>1.3</v>
      </c>
      <c r="K38" s="337">
        <f t="shared" si="3"/>
        <v>59.800000000000004</v>
      </c>
      <c r="L38" s="338">
        <f t="shared" si="5"/>
        <v>53.820000000000007</v>
      </c>
      <c r="M38" s="338">
        <f t="shared" si="6"/>
        <v>4.9833333333333334</v>
      </c>
      <c r="N38" s="669">
        <f t="shared" ref="N38" si="15">SUM(L38:L39)</f>
        <v>53.820000000000007</v>
      </c>
      <c r="O38" s="339"/>
      <c r="Q38" s="4"/>
    </row>
    <row r="39" spans="2:24" ht="18.600000000000001" thickBot="1" x14ac:dyDescent="0.4">
      <c r="B39" s="656"/>
      <c r="C39" s="657"/>
      <c r="D39" s="340" t="s">
        <v>14</v>
      </c>
      <c r="E39" s="352"/>
      <c r="F39" s="345"/>
      <c r="G39" s="343"/>
      <c r="H39" s="344"/>
      <c r="I39" s="335" t="str">
        <f t="shared" si="4"/>
        <v/>
      </c>
      <c r="J39" s="336"/>
      <c r="K39" s="337" t="str">
        <f t="shared" si="3"/>
        <v/>
      </c>
      <c r="L39" s="349" t="str">
        <f t="shared" si="5"/>
        <v/>
      </c>
      <c r="M39" s="350" t="str">
        <f t="shared" si="6"/>
        <v/>
      </c>
      <c r="N39" s="670"/>
      <c r="O39" s="339"/>
    </row>
    <row r="40" spans="2:24" ht="18.600000000000001" thickBot="1" x14ac:dyDescent="0.4">
      <c r="B40" s="654">
        <v>46265</v>
      </c>
      <c r="C40" s="655"/>
      <c r="D40" s="330" t="s">
        <v>13</v>
      </c>
      <c r="E40" s="331"/>
      <c r="F40" s="332"/>
      <c r="G40" s="333"/>
      <c r="H40" s="334"/>
      <c r="I40" s="335" t="str">
        <f t="shared" si="4"/>
        <v/>
      </c>
      <c r="J40" s="336"/>
      <c r="K40" s="337" t="str">
        <f t="shared" si="3"/>
        <v/>
      </c>
      <c r="L40" s="338" t="str">
        <f>IFERROR(((F40*I40)*J40)*(1-H40),"")</f>
        <v/>
      </c>
      <c r="M40" s="338" t="str">
        <f t="shared" si="6"/>
        <v/>
      </c>
      <c r="N40" s="669">
        <f>SUM(L40:L41)</f>
        <v>0</v>
      </c>
      <c r="O40" s="339"/>
    </row>
    <row r="41" spans="2:24" ht="18.600000000000001" thickBot="1" x14ac:dyDescent="0.4">
      <c r="B41" s="656"/>
      <c r="C41" s="657"/>
      <c r="D41" s="340" t="s">
        <v>14</v>
      </c>
      <c r="E41" s="352"/>
      <c r="F41" s="345"/>
      <c r="G41" s="343"/>
      <c r="H41" s="344"/>
      <c r="I41" s="335" t="str">
        <f t="shared" si="4"/>
        <v/>
      </c>
      <c r="J41" s="336"/>
      <c r="K41" s="337" t="str">
        <f t="shared" si="3"/>
        <v/>
      </c>
      <c r="L41" s="349" t="str">
        <f t="shared" si="5"/>
        <v/>
      </c>
      <c r="M41" s="350" t="str">
        <f t="shared" si="6"/>
        <v/>
      </c>
      <c r="N41" s="670"/>
      <c r="O41" s="339"/>
    </row>
    <row r="42" spans="2:24" ht="18.600000000000001" thickBot="1" x14ac:dyDescent="0.4">
      <c r="B42" s="654">
        <v>46266</v>
      </c>
      <c r="C42" s="655"/>
      <c r="D42" s="330" t="s">
        <v>13</v>
      </c>
      <c r="E42" s="366"/>
      <c r="F42" s="367"/>
      <c r="G42" s="368"/>
      <c r="H42" s="369"/>
      <c r="I42" s="335" t="str">
        <f t="shared" si="4"/>
        <v/>
      </c>
      <c r="J42" s="336"/>
      <c r="K42" s="337" t="str">
        <f t="shared" si="3"/>
        <v/>
      </c>
      <c r="L42" s="338" t="str">
        <f t="shared" si="5"/>
        <v/>
      </c>
      <c r="M42" s="338" t="str">
        <f t="shared" si="6"/>
        <v/>
      </c>
      <c r="N42" s="669">
        <f t="shared" ref="N42" si="16">SUM(L42:L43)</f>
        <v>0</v>
      </c>
      <c r="O42" s="339"/>
    </row>
    <row r="43" spans="2:24" ht="18.600000000000001" thickBot="1" x14ac:dyDescent="0.4">
      <c r="B43" s="656"/>
      <c r="C43" s="657"/>
      <c r="D43" s="340" t="s">
        <v>14</v>
      </c>
      <c r="E43" s="352"/>
      <c r="F43" s="345"/>
      <c r="G43" s="343"/>
      <c r="H43" s="344"/>
      <c r="I43" s="335" t="str">
        <f t="shared" si="4"/>
        <v/>
      </c>
      <c r="J43" s="336"/>
      <c r="K43" s="337" t="str">
        <f t="shared" si="3"/>
        <v/>
      </c>
      <c r="L43" s="349" t="str">
        <f t="shared" si="5"/>
        <v/>
      </c>
      <c r="M43" s="350" t="str">
        <f t="shared" si="6"/>
        <v/>
      </c>
      <c r="N43" s="670"/>
      <c r="O43" s="339"/>
    </row>
    <row r="44" spans="2:24" ht="18.600000000000001" thickBot="1" x14ac:dyDescent="0.4">
      <c r="B44" s="654">
        <v>46267</v>
      </c>
      <c r="C44" s="655"/>
      <c r="D44" s="330" t="s">
        <v>13</v>
      </c>
      <c r="E44" s="366"/>
      <c r="F44" s="367"/>
      <c r="G44" s="368"/>
      <c r="H44" s="369"/>
      <c r="I44" s="335" t="str">
        <f t="shared" si="4"/>
        <v/>
      </c>
      <c r="J44" s="336"/>
      <c r="K44" s="337" t="str">
        <f t="shared" si="3"/>
        <v/>
      </c>
      <c r="L44" s="338" t="str">
        <f t="shared" si="5"/>
        <v/>
      </c>
      <c r="M44" s="338" t="str">
        <f t="shared" si="6"/>
        <v/>
      </c>
      <c r="N44" s="669">
        <f t="shared" ref="N44" si="17">SUM(L44:L45)</f>
        <v>0</v>
      </c>
      <c r="O44" s="339"/>
    </row>
    <row r="45" spans="2:24" ht="18.600000000000001" thickBot="1" x14ac:dyDescent="0.4">
      <c r="B45" s="656"/>
      <c r="C45" s="657"/>
      <c r="D45" s="340" t="s">
        <v>14</v>
      </c>
      <c r="E45" s="352"/>
      <c r="F45" s="345"/>
      <c r="G45" s="343"/>
      <c r="H45" s="344"/>
      <c r="I45" s="335" t="str">
        <f t="shared" si="4"/>
        <v/>
      </c>
      <c r="J45" s="336"/>
      <c r="K45" s="337" t="str">
        <f t="shared" si="3"/>
        <v/>
      </c>
      <c r="L45" s="370" t="str">
        <f t="shared" si="5"/>
        <v/>
      </c>
      <c r="M45" s="371" t="str">
        <f>IFERROR((K45/12),"")</f>
        <v/>
      </c>
      <c r="N45" s="670"/>
      <c r="O45" s="339"/>
    </row>
    <row r="46" spans="2:24" ht="18.600000000000001" thickBot="1" x14ac:dyDescent="0.4">
      <c r="B46" s="654">
        <v>46268</v>
      </c>
      <c r="C46" s="655"/>
      <c r="D46" s="330" t="s">
        <v>13</v>
      </c>
      <c r="E46" s="366"/>
      <c r="F46" s="367"/>
      <c r="G46" s="368"/>
      <c r="H46" s="369"/>
      <c r="I46" s="335" t="str">
        <f t="shared" si="4"/>
        <v/>
      </c>
      <c r="J46" s="336"/>
      <c r="K46" s="337" t="str">
        <f t="shared" si="3"/>
        <v/>
      </c>
      <c r="L46" s="338" t="str">
        <f t="shared" si="5"/>
        <v/>
      </c>
      <c r="M46" s="338" t="str">
        <f t="shared" si="6"/>
        <v/>
      </c>
      <c r="N46" s="669">
        <f t="shared" ref="N46:N58" si="18">SUM(L46:L47)</f>
        <v>0</v>
      </c>
      <c r="O46" s="339"/>
    </row>
    <row r="47" spans="2:24" ht="18.600000000000001" thickBot="1" x14ac:dyDescent="0.4">
      <c r="B47" s="656"/>
      <c r="C47" s="657"/>
      <c r="D47" s="340" t="s">
        <v>14</v>
      </c>
      <c r="E47" s="352"/>
      <c r="F47" s="345"/>
      <c r="G47" s="343"/>
      <c r="H47" s="344"/>
      <c r="I47" s="335" t="str">
        <f t="shared" si="4"/>
        <v/>
      </c>
      <c r="J47" s="336"/>
      <c r="K47" s="337" t="str">
        <f t="shared" si="3"/>
        <v/>
      </c>
      <c r="L47" s="349" t="str">
        <f t="shared" si="5"/>
        <v/>
      </c>
      <c r="M47" s="350" t="str">
        <f t="shared" si="6"/>
        <v/>
      </c>
      <c r="N47" s="670"/>
      <c r="O47" s="339"/>
    </row>
    <row r="48" spans="2:24" ht="18.600000000000001" thickBot="1" x14ac:dyDescent="0.4">
      <c r="B48" s="654">
        <v>46269</v>
      </c>
      <c r="C48" s="655"/>
      <c r="D48" s="330" t="s">
        <v>13</v>
      </c>
      <c r="E48" s="366"/>
      <c r="F48" s="367"/>
      <c r="G48" s="368"/>
      <c r="H48" s="369"/>
      <c r="I48" s="335" t="str">
        <f t="shared" si="4"/>
        <v/>
      </c>
      <c r="J48" s="336"/>
      <c r="K48" s="337" t="str">
        <f t="shared" si="3"/>
        <v/>
      </c>
      <c r="L48" s="338" t="str">
        <f t="shared" si="5"/>
        <v/>
      </c>
      <c r="M48" s="338" t="str">
        <f>IFERROR((K48/12),"")</f>
        <v/>
      </c>
      <c r="N48" s="669">
        <f t="shared" si="18"/>
        <v>0</v>
      </c>
      <c r="O48" s="339"/>
    </row>
    <row r="49" spans="2:22" ht="18.600000000000001" thickBot="1" x14ac:dyDescent="0.4">
      <c r="B49" s="656"/>
      <c r="C49" s="657"/>
      <c r="D49" s="340" t="s">
        <v>14</v>
      </c>
      <c r="E49" s="352"/>
      <c r="F49" s="345"/>
      <c r="G49" s="343"/>
      <c r="H49" s="344"/>
      <c r="I49" s="335" t="str">
        <f t="shared" si="4"/>
        <v/>
      </c>
      <c r="J49" s="336"/>
      <c r="K49" s="337" t="str">
        <f t="shared" si="3"/>
        <v/>
      </c>
      <c r="L49" s="349" t="str">
        <f t="shared" si="5"/>
        <v/>
      </c>
      <c r="M49" s="350" t="str">
        <f>IFERROR((K49/12),"")</f>
        <v/>
      </c>
      <c r="N49" s="670"/>
      <c r="O49" s="339"/>
    </row>
    <row r="50" spans="2:22" ht="18.600000000000001" thickBot="1" x14ac:dyDescent="0.4">
      <c r="B50" s="654">
        <v>46270</v>
      </c>
      <c r="C50" s="655"/>
      <c r="D50" s="330" t="s">
        <v>13</v>
      </c>
      <c r="E50" s="366"/>
      <c r="F50" s="367"/>
      <c r="G50" s="368"/>
      <c r="H50" s="372"/>
      <c r="I50" s="335" t="str">
        <f t="shared" si="4"/>
        <v/>
      </c>
      <c r="J50" s="336"/>
      <c r="K50" s="337" t="str">
        <f t="shared" si="3"/>
        <v/>
      </c>
      <c r="L50" s="338" t="str">
        <f t="shared" si="5"/>
        <v/>
      </c>
      <c r="M50" s="338" t="str">
        <f t="shared" si="6"/>
        <v/>
      </c>
      <c r="N50" s="669">
        <f t="shared" si="18"/>
        <v>0</v>
      </c>
      <c r="O50" s="339"/>
      <c r="R50" s="1">
        <f>180/12</f>
        <v>15</v>
      </c>
    </row>
    <row r="51" spans="2:22" ht="18.600000000000001" thickBot="1" x14ac:dyDescent="0.4">
      <c r="B51" s="656"/>
      <c r="C51" s="657"/>
      <c r="D51" s="340" t="s">
        <v>14</v>
      </c>
      <c r="E51" s="352"/>
      <c r="F51" s="345"/>
      <c r="G51" s="343"/>
      <c r="H51" s="344"/>
      <c r="I51" s="335" t="str">
        <f t="shared" si="4"/>
        <v/>
      </c>
      <c r="J51" s="336"/>
      <c r="K51" s="337" t="str">
        <f t="shared" si="3"/>
        <v/>
      </c>
      <c r="L51" s="349" t="str">
        <f t="shared" si="5"/>
        <v/>
      </c>
      <c r="M51" s="350" t="str">
        <f t="shared" si="6"/>
        <v/>
      </c>
      <c r="N51" s="670"/>
      <c r="O51" s="339"/>
      <c r="P51" s="4"/>
    </row>
    <row r="52" spans="2:22" ht="18.600000000000001" thickBot="1" x14ac:dyDescent="0.4">
      <c r="B52" s="654">
        <v>46271</v>
      </c>
      <c r="C52" s="655"/>
      <c r="D52" s="330" t="s">
        <v>13</v>
      </c>
      <c r="E52" s="366"/>
      <c r="F52" s="367"/>
      <c r="G52" s="368"/>
      <c r="H52" s="369"/>
      <c r="I52" s="335" t="str">
        <f t="shared" si="4"/>
        <v/>
      </c>
      <c r="J52" s="336"/>
      <c r="K52" s="337" t="str">
        <f t="shared" si="3"/>
        <v/>
      </c>
      <c r="L52" s="338" t="str">
        <f t="shared" si="5"/>
        <v/>
      </c>
      <c r="M52" s="338" t="str">
        <f t="shared" si="6"/>
        <v/>
      </c>
      <c r="N52" s="669">
        <f t="shared" si="18"/>
        <v>0</v>
      </c>
      <c r="O52" s="339"/>
    </row>
    <row r="53" spans="2:22" ht="18.600000000000001" thickBot="1" x14ac:dyDescent="0.4">
      <c r="B53" s="656"/>
      <c r="C53" s="657"/>
      <c r="D53" s="340" t="s">
        <v>14</v>
      </c>
      <c r="E53" s="352"/>
      <c r="F53" s="345"/>
      <c r="G53" s="343"/>
      <c r="H53" s="344"/>
      <c r="I53" s="335" t="str">
        <f>IFERROR((VLOOKUP(G53,S$6:T$8,2,FALSE)),"")</f>
        <v/>
      </c>
      <c r="J53" s="336"/>
      <c r="K53" s="337" t="str">
        <f>IFERROR((F53*I53*J53),"")</f>
        <v/>
      </c>
      <c r="L53" s="349" t="str">
        <f t="shared" si="5"/>
        <v/>
      </c>
      <c r="M53" s="350" t="str">
        <f t="shared" si="6"/>
        <v/>
      </c>
      <c r="N53" s="670"/>
      <c r="O53" s="339"/>
      <c r="R53" s="1">
        <f>R50*4</f>
        <v>60</v>
      </c>
    </row>
    <row r="54" spans="2:22" ht="18.600000000000001" thickBot="1" x14ac:dyDescent="0.4">
      <c r="B54" s="654">
        <v>46272</v>
      </c>
      <c r="C54" s="655"/>
      <c r="D54" s="330" t="s">
        <v>13</v>
      </c>
      <c r="E54" s="352"/>
      <c r="F54" s="345"/>
      <c r="G54" s="368"/>
      <c r="H54" s="369"/>
      <c r="I54" s="335" t="str">
        <f t="shared" si="4"/>
        <v/>
      </c>
      <c r="J54" s="336"/>
      <c r="K54" s="337" t="str">
        <f t="shared" si="3"/>
        <v/>
      </c>
      <c r="L54" s="338" t="str">
        <f t="shared" si="5"/>
        <v/>
      </c>
      <c r="M54" s="338" t="str">
        <f t="shared" si="6"/>
        <v/>
      </c>
      <c r="N54" s="669">
        <f t="shared" si="18"/>
        <v>0</v>
      </c>
      <c r="O54" s="339"/>
    </row>
    <row r="55" spans="2:22" ht="18.600000000000001" thickBot="1" x14ac:dyDescent="0.4">
      <c r="B55" s="656"/>
      <c r="C55" s="657"/>
      <c r="D55" s="340" t="s">
        <v>14</v>
      </c>
      <c r="E55" s="352"/>
      <c r="F55" s="345"/>
      <c r="G55" s="343"/>
      <c r="H55" s="344"/>
      <c r="I55" s="335" t="str">
        <f t="shared" si="4"/>
        <v/>
      </c>
      <c r="J55" s="336"/>
      <c r="K55" s="337" t="str">
        <f t="shared" si="3"/>
        <v/>
      </c>
      <c r="L55" s="349" t="str">
        <f t="shared" si="5"/>
        <v/>
      </c>
      <c r="M55" s="350" t="str">
        <f t="shared" si="6"/>
        <v/>
      </c>
      <c r="N55" s="670"/>
      <c r="O55" s="339"/>
      <c r="R55" s="1">
        <f>R53*1.7</f>
        <v>102</v>
      </c>
      <c r="S55" s="1">
        <v>9570</v>
      </c>
    </row>
    <row r="56" spans="2:22" ht="18.600000000000001" thickBot="1" x14ac:dyDescent="0.4">
      <c r="B56" s="654">
        <v>46273</v>
      </c>
      <c r="C56" s="655"/>
      <c r="D56" s="330" t="s">
        <v>13</v>
      </c>
      <c r="E56" s="366"/>
      <c r="F56" s="367"/>
      <c r="G56" s="368"/>
      <c r="H56" s="369"/>
      <c r="I56" s="335" t="str">
        <f t="shared" si="4"/>
        <v/>
      </c>
      <c r="J56" s="336"/>
      <c r="K56" s="337" t="str">
        <f t="shared" si="3"/>
        <v/>
      </c>
      <c r="L56" s="338" t="str">
        <f t="shared" si="5"/>
        <v/>
      </c>
      <c r="M56" s="338" t="str">
        <f t="shared" si="6"/>
        <v/>
      </c>
      <c r="N56" s="669">
        <f t="shared" si="18"/>
        <v>0</v>
      </c>
      <c r="O56" s="339"/>
      <c r="R56" s="4"/>
      <c r="S56" s="1">
        <v>9795</v>
      </c>
      <c r="U56" s="2"/>
      <c r="V56" s="2"/>
    </row>
    <row r="57" spans="2:22" ht="18.600000000000001" thickBot="1" x14ac:dyDescent="0.4">
      <c r="B57" s="656"/>
      <c r="C57" s="657"/>
      <c r="D57" s="340" t="s">
        <v>14</v>
      </c>
      <c r="E57" s="352"/>
      <c r="F57" s="345"/>
      <c r="G57" s="343"/>
      <c r="H57" s="344"/>
      <c r="I57" s="335" t="str">
        <f t="shared" si="4"/>
        <v/>
      </c>
      <c r="J57" s="336"/>
      <c r="K57" s="337" t="str">
        <f t="shared" si="3"/>
        <v/>
      </c>
      <c r="L57" s="349" t="str">
        <f t="shared" si="5"/>
        <v/>
      </c>
      <c r="M57" s="350" t="str">
        <f t="shared" si="6"/>
        <v/>
      </c>
      <c r="N57" s="670"/>
      <c r="O57" s="339"/>
      <c r="Q57" s="4"/>
      <c r="R57" s="4"/>
      <c r="S57" s="1">
        <v>1190</v>
      </c>
    </row>
    <row r="58" spans="2:22" ht="18.600000000000001" thickBot="1" x14ac:dyDescent="0.4">
      <c r="B58" s="654">
        <v>46274</v>
      </c>
      <c r="C58" s="655"/>
      <c r="D58" s="330" t="s">
        <v>13</v>
      </c>
      <c r="E58" s="366"/>
      <c r="F58" s="367"/>
      <c r="G58" s="368"/>
      <c r="H58" s="369"/>
      <c r="I58" s="335" t="str">
        <f t="shared" si="4"/>
        <v/>
      </c>
      <c r="J58" s="336"/>
      <c r="K58" s="337" t="str">
        <f t="shared" si="3"/>
        <v/>
      </c>
      <c r="L58" s="338" t="str">
        <f t="shared" si="5"/>
        <v/>
      </c>
      <c r="M58" s="338" t="str">
        <f t="shared" si="6"/>
        <v/>
      </c>
      <c r="N58" s="669">
        <f t="shared" si="18"/>
        <v>0</v>
      </c>
      <c r="O58" s="339"/>
      <c r="P58" s="11"/>
      <c r="S58" s="1">
        <f>S56-S57</f>
        <v>8605</v>
      </c>
    </row>
    <row r="59" spans="2:22" ht="18.600000000000001" thickBot="1" x14ac:dyDescent="0.4">
      <c r="B59" s="656"/>
      <c r="C59" s="657"/>
      <c r="D59" s="340" t="s">
        <v>14</v>
      </c>
      <c r="E59" s="352"/>
      <c r="F59" s="345"/>
      <c r="G59" s="343"/>
      <c r="H59" s="369"/>
      <c r="I59" s="335" t="str">
        <f t="shared" si="4"/>
        <v/>
      </c>
      <c r="J59" s="336"/>
      <c r="K59" s="353" t="str">
        <f t="shared" si="3"/>
        <v/>
      </c>
      <c r="L59" s="349" t="str">
        <f t="shared" si="5"/>
        <v/>
      </c>
      <c r="M59" s="350" t="str">
        <f t="shared" si="6"/>
        <v/>
      </c>
      <c r="N59" s="670"/>
      <c r="O59" s="339"/>
      <c r="P59" s="4"/>
      <c r="S59" s="2">
        <f>(S55-S58)/S55</f>
        <v>0.10083594566353186</v>
      </c>
    </row>
    <row r="60" spans="2:22" ht="18.600000000000001" thickBot="1" x14ac:dyDescent="0.4">
      <c r="B60" s="654">
        <v>46275</v>
      </c>
      <c r="C60" s="655"/>
      <c r="D60" s="330" t="s">
        <v>13</v>
      </c>
      <c r="E60" s="366"/>
      <c r="F60" s="367"/>
      <c r="G60" s="368"/>
      <c r="H60" s="369"/>
      <c r="I60" s="335" t="str">
        <f t="shared" si="4"/>
        <v/>
      </c>
      <c r="J60" s="336"/>
      <c r="K60" s="337" t="str">
        <f t="shared" si="3"/>
        <v/>
      </c>
      <c r="L60" s="338" t="str">
        <f t="shared" si="5"/>
        <v/>
      </c>
      <c r="M60" s="363" t="str">
        <f>IFERROR((K60/12),"")</f>
        <v/>
      </c>
      <c r="N60" s="661">
        <f>SUM(L60:L61)</f>
        <v>0</v>
      </c>
      <c r="O60" s="339"/>
      <c r="P60" s="11"/>
    </row>
    <row r="61" spans="2:22" ht="18.600000000000001" thickBot="1" x14ac:dyDescent="0.4">
      <c r="B61" s="656"/>
      <c r="C61" s="657"/>
      <c r="D61" s="340" t="s">
        <v>14</v>
      </c>
      <c r="E61" s="352"/>
      <c r="F61" s="345"/>
      <c r="G61" s="343"/>
      <c r="H61" s="344"/>
      <c r="I61" s="335" t="str">
        <f t="shared" si="4"/>
        <v/>
      </c>
      <c r="J61" s="336"/>
      <c r="K61" s="365" t="str">
        <f t="shared" si="3"/>
        <v/>
      </c>
      <c r="L61" s="349" t="str">
        <f t="shared" si="5"/>
        <v/>
      </c>
      <c r="M61" s="364" t="str">
        <f t="shared" si="6"/>
        <v/>
      </c>
      <c r="N61" s="662"/>
      <c r="O61" s="339"/>
      <c r="P61" s="11"/>
    </row>
    <row r="62" spans="2:22" ht="18.600000000000001" thickBot="1" x14ac:dyDescent="0.4">
      <c r="B62" s="654">
        <v>46276</v>
      </c>
      <c r="C62" s="655"/>
      <c r="D62" s="330" t="s">
        <v>13</v>
      </c>
      <c r="E62" s="366"/>
      <c r="F62" s="367"/>
      <c r="G62" s="368"/>
      <c r="H62" s="369"/>
      <c r="I62" s="335" t="str">
        <f t="shared" si="4"/>
        <v/>
      </c>
      <c r="J62" s="336"/>
      <c r="K62" s="337" t="str">
        <f t="shared" ref="K62:K63" si="19">IFERROR((F62*I62*J62),"")</f>
        <v/>
      </c>
      <c r="L62" s="338" t="str">
        <f t="shared" ref="L62:L63" si="20">IFERROR(((F62*I62)*J62)*(1-H62),"")</f>
        <v/>
      </c>
      <c r="M62" s="363" t="str">
        <f t="shared" ref="M62:M63" si="21">IFERROR((K62/12),"")</f>
        <v/>
      </c>
      <c r="N62" s="661">
        <f>SUM(L62:L63)</f>
        <v>0</v>
      </c>
      <c r="O62" s="339"/>
      <c r="P62" s="11"/>
    </row>
    <row r="63" spans="2:22" ht="18.600000000000001" thickBot="1" x14ac:dyDescent="0.4">
      <c r="B63" s="656"/>
      <c r="C63" s="657"/>
      <c r="D63" s="340" t="s">
        <v>14</v>
      </c>
      <c r="E63" s="352"/>
      <c r="F63" s="345"/>
      <c r="G63" s="343"/>
      <c r="H63" s="344"/>
      <c r="I63" s="335" t="str">
        <f t="shared" si="4"/>
        <v/>
      </c>
      <c r="J63" s="336"/>
      <c r="K63" s="365" t="str">
        <f t="shared" si="19"/>
        <v/>
      </c>
      <c r="L63" s="349" t="str">
        <f t="shared" si="20"/>
        <v/>
      </c>
      <c r="M63" s="364" t="str">
        <f t="shared" si="21"/>
        <v/>
      </c>
      <c r="N63" s="662"/>
      <c r="O63" s="339"/>
      <c r="P63" s="11"/>
    </row>
    <row r="64" spans="2:22" ht="18.600000000000001" thickBot="1" x14ac:dyDescent="0.4">
      <c r="B64" s="654">
        <v>46277</v>
      </c>
      <c r="C64" s="655"/>
      <c r="D64" s="330" t="s">
        <v>13</v>
      </c>
      <c r="E64" s="366"/>
      <c r="F64" s="367"/>
      <c r="G64" s="368"/>
      <c r="H64" s="369"/>
      <c r="I64" s="335" t="str">
        <f t="shared" si="4"/>
        <v/>
      </c>
      <c r="J64" s="336"/>
      <c r="K64" s="337" t="str">
        <f t="shared" ref="K64:K65" si="22">IFERROR((F64*I64*J64),"")</f>
        <v/>
      </c>
      <c r="L64" s="338" t="str">
        <f t="shared" ref="L64:L65" si="23">IFERROR(((F64*I64)*J64)*(1-H64),"")</f>
        <v/>
      </c>
      <c r="M64" s="363" t="str">
        <f t="shared" ref="M64:M65" si="24">IFERROR((K64/12),"")</f>
        <v/>
      </c>
      <c r="N64" s="661">
        <f>SUM(L64:L65)</f>
        <v>0</v>
      </c>
      <c r="O64" s="339"/>
      <c r="P64" s="11"/>
    </row>
    <row r="65" spans="2:16" ht="18.600000000000001" thickBot="1" x14ac:dyDescent="0.4">
      <c r="B65" s="656"/>
      <c r="C65" s="657"/>
      <c r="D65" s="340" t="s">
        <v>14</v>
      </c>
      <c r="E65" s="352"/>
      <c r="F65" s="345"/>
      <c r="G65" s="343"/>
      <c r="H65" s="344"/>
      <c r="I65" s="335" t="str">
        <f t="shared" si="4"/>
        <v/>
      </c>
      <c r="J65" s="336"/>
      <c r="K65" s="365" t="str">
        <f t="shared" si="22"/>
        <v/>
      </c>
      <c r="L65" s="349" t="str">
        <f t="shared" si="23"/>
        <v/>
      </c>
      <c r="M65" s="364" t="str">
        <f t="shared" si="24"/>
        <v/>
      </c>
      <c r="N65" s="662"/>
      <c r="O65" s="339"/>
      <c r="P65" s="11"/>
    </row>
    <row r="66" spans="2:16" ht="18.600000000000001" thickBot="1" x14ac:dyDescent="0.4">
      <c r="B66" s="654">
        <v>46278</v>
      </c>
      <c r="C66" s="655"/>
      <c r="D66" s="330" t="s">
        <v>13</v>
      </c>
      <c r="E66" s="366"/>
      <c r="F66" s="367"/>
      <c r="G66" s="368"/>
      <c r="H66" s="369"/>
      <c r="I66" s="335" t="str">
        <f t="shared" si="4"/>
        <v/>
      </c>
      <c r="J66" s="336"/>
      <c r="K66" s="337" t="str">
        <f t="shared" ref="K66:K67" si="25">IFERROR((F66*I66*J66),"")</f>
        <v/>
      </c>
      <c r="L66" s="338" t="str">
        <f t="shared" ref="L66:L67" si="26">IFERROR(((F66*I66)*J66)*(1-H66),"")</f>
        <v/>
      </c>
      <c r="M66" s="363" t="str">
        <f t="shared" ref="M66:M67" si="27">IFERROR((K66/12),"")</f>
        <v/>
      </c>
      <c r="N66" s="661">
        <f>SUM(L66:L67)</f>
        <v>0</v>
      </c>
      <c r="O66" s="339"/>
      <c r="P66" s="11"/>
    </row>
    <row r="67" spans="2:16" ht="18.600000000000001" thickBot="1" x14ac:dyDescent="0.4">
      <c r="B67" s="656"/>
      <c r="C67" s="657"/>
      <c r="D67" s="340" t="s">
        <v>14</v>
      </c>
      <c r="E67" s="352"/>
      <c r="F67" s="345"/>
      <c r="G67" s="343"/>
      <c r="H67" s="344"/>
      <c r="I67" s="335" t="str">
        <f t="shared" si="4"/>
        <v/>
      </c>
      <c r="J67" s="336"/>
      <c r="K67" s="365" t="str">
        <f t="shared" si="25"/>
        <v/>
      </c>
      <c r="L67" s="349" t="str">
        <f t="shared" si="26"/>
        <v/>
      </c>
      <c r="M67" s="364" t="str">
        <f t="shared" si="27"/>
        <v/>
      </c>
      <c r="N67" s="662"/>
      <c r="O67" s="339"/>
      <c r="P67" s="11"/>
    </row>
    <row r="68" spans="2:16" ht="18.600000000000001" thickBot="1" x14ac:dyDescent="0.4">
      <c r="B68" s="654">
        <v>46279</v>
      </c>
      <c r="C68" s="655"/>
      <c r="D68" s="330" t="s">
        <v>13</v>
      </c>
      <c r="E68" s="366"/>
      <c r="F68" s="367"/>
      <c r="G68" s="368"/>
      <c r="H68" s="369"/>
      <c r="I68" s="335" t="str">
        <f t="shared" si="4"/>
        <v/>
      </c>
      <c r="J68" s="336"/>
      <c r="K68" s="337" t="str">
        <f t="shared" ref="K68:K75" si="28">IFERROR((F68*I68*J68),"")</f>
        <v/>
      </c>
      <c r="L68" s="338" t="str">
        <f t="shared" ref="L68:L75" si="29">IFERROR(((F68*I68)*J68)*(1-H68),"")</f>
        <v/>
      </c>
      <c r="M68" s="363" t="str">
        <f t="shared" ref="M68:M75" si="30">IFERROR((K68/12),"")</f>
        <v/>
      </c>
      <c r="N68" s="661">
        <f t="shared" ref="N68" si="31">SUM(L68:L69)</f>
        <v>0</v>
      </c>
      <c r="O68" s="339"/>
      <c r="P68" s="11"/>
    </row>
    <row r="69" spans="2:16" ht="18.600000000000001" thickBot="1" x14ac:dyDescent="0.4">
      <c r="B69" s="656"/>
      <c r="C69" s="657"/>
      <c r="D69" s="340" t="s">
        <v>14</v>
      </c>
      <c r="E69" s="352"/>
      <c r="F69" s="345"/>
      <c r="G69" s="343"/>
      <c r="H69" s="344"/>
      <c r="I69" s="335" t="str">
        <f t="shared" si="4"/>
        <v/>
      </c>
      <c r="J69" s="336"/>
      <c r="K69" s="365" t="str">
        <f t="shared" si="28"/>
        <v/>
      </c>
      <c r="L69" s="349" t="str">
        <f t="shared" si="29"/>
        <v/>
      </c>
      <c r="M69" s="364" t="str">
        <f t="shared" si="30"/>
        <v/>
      </c>
      <c r="N69" s="662"/>
      <c r="O69" s="339"/>
      <c r="P69" s="11"/>
    </row>
    <row r="70" spans="2:16" ht="18.600000000000001" thickBot="1" x14ac:dyDescent="0.4">
      <c r="B70" s="654">
        <v>46280</v>
      </c>
      <c r="C70" s="655"/>
      <c r="D70" s="330" t="s">
        <v>13</v>
      </c>
      <c r="E70" s="366"/>
      <c r="F70" s="367"/>
      <c r="G70" s="368"/>
      <c r="H70" s="369"/>
      <c r="I70" s="335" t="str">
        <f t="shared" si="4"/>
        <v/>
      </c>
      <c r="J70" s="336"/>
      <c r="K70" s="337" t="str">
        <f t="shared" si="28"/>
        <v/>
      </c>
      <c r="L70" s="338" t="str">
        <f t="shared" si="29"/>
        <v/>
      </c>
      <c r="M70" s="363" t="str">
        <f t="shared" si="30"/>
        <v/>
      </c>
      <c r="N70" s="661">
        <f t="shared" ref="N70" si="32">SUM(L70:L71)</f>
        <v>0</v>
      </c>
      <c r="O70" s="339"/>
      <c r="P70" s="11"/>
    </row>
    <row r="71" spans="2:16" ht="18.600000000000001" thickBot="1" x14ac:dyDescent="0.4">
      <c r="B71" s="656"/>
      <c r="C71" s="657"/>
      <c r="D71" s="340" t="s">
        <v>14</v>
      </c>
      <c r="E71" s="352"/>
      <c r="F71" s="345"/>
      <c r="G71" s="343"/>
      <c r="H71" s="344"/>
      <c r="I71" s="335" t="str">
        <f t="shared" si="4"/>
        <v/>
      </c>
      <c r="J71" s="336"/>
      <c r="K71" s="365" t="str">
        <f t="shared" si="28"/>
        <v/>
      </c>
      <c r="L71" s="349" t="str">
        <f t="shared" si="29"/>
        <v/>
      </c>
      <c r="M71" s="364" t="str">
        <f t="shared" si="30"/>
        <v/>
      </c>
      <c r="N71" s="662"/>
      <c r="O71" s="339"/>
      <c r="P71" s="11"/>
    </row>
    <row r="72" spans="2:16" ht="18.600000000000001" thickBot="1" x14ac:dyDescent="0.4">
      <c r="B72" s="654">
        <v>46281</v>
      </c>
      <c r="C72" s="655"/>
      <c r="D72" s="330" t="s">
        <v>13</v>
      </c>
      <c r="E72" s="366"/>
      <c r="F72" s="367"/>
      <c r="G72" s="368"/>
      <c r="H72" s="369"/>
      <c r="I72" s="335" t="str">
        <f t="shared" si="4"/>
        <v/>
      </c>
      <c r="J72" s="336"/>
      <c r="K72" s="337" t="str">
        <f t="shared" si="28"/>
        <v/>
      </c>
      <c r="L72" s="338" t="str">
        <f t="shared" si="29"/>
        <v/>
      </c>
      <c r="M72" s="363" t="str">
        <f t="shared" si="30"/>
        <v/>
      </c>
      <c r="N72" s="661">
        <f t="shared" ref="N72" si="33">SUM(L72:L73)</f>
        <v>0</v>
      </c>
      <c r="O72" s="339"/>
      <c r="P72" s="11"/>
    </row>
    <row r="73" spans="2:16" ht="18.600000000000001" thickBot="1" x14ac:dyDescent="0.4">
      <c r="B73" s="656"/>
      <c r="C73" s="657"/>
      <c r="D73" s="340" t="s">
        <v>14</v>
      </c>
      <c r="E73" s="352"/>
      <c r="F73" s="345"/>
      <c r="G73" s="343"/>
      <c r="H73" s="344"/>
      <c r="I73" s="335" t="str">
        <f t="shared" si="4"/>
        <v/>
      </c>
      <c r="J73" s="336"/>
      <c r="K73" s="365" t="str">
        <f t="shared" si="28"/>
        <v/>
      </c>
      <c r="L73" s="349" t="str">
        <f t="shared" si="29"/>
        <v/>
      </c>
      <c r="M73" s="364" t="str">
        <f t="shared" si="30"/>
        <v/>
      </c>
      <c r="N73" s="662"/>
      <c r="O73" s="339"/>
      <c r="P73" s="11"/>
    </row>
    <row r="74" spans="2:16" ht="18.600000000000001" thickBot="1" x14ac:dyDescent="0.4">
      <c r="B74" s="654">
        <v>46282</v>
      </c>
      <c r="C74" s="655"/>
      <c r="D74" s="330" t="s">
        <v>13</v>
      </c>
      <c r="E74" s="366"/>
      <c r="F74" s="367"/>
      <c r="G74" s="368"/>
      <c r="H74" s="369"/>
      <c r="I74" s="335" t="str">
        <f t="shared" si="4"/>
        <v/>
      </c>
      <c r="J74" s="336"/>
      <c r="K74" s="337" t="str">
        <f t="shared" si="28"/>
        <v/>
      </c>
      <c r="L74" s="338" t="str">
        <f t="shared" si="29"/>
        <v/>
      </c>
      <c r="M74" s="363" t="str">
        <f t="shared" si="30"/>
        <v/>
      </c>
      <c r="N74" s="661">
        <f t="shared" ref="N74" si="34">SUM(L74:L75)</f>
        <v>0</v>
      </c>
      <c r="O74" s="339"/>
      <c r="P74" s="11"/>
    </row>
    <row r="75" spans="2:16" ht="18.600000000000001" thickBot="1" x14ac:dyDescent="0.4">
      <c r="B75" s="656"/>
      <c r="C75" s="657"/>
      <c r="D75" s="340" t="s">
        <v>14</v>
      </c>
      <c r="E75" s="352"/>
      <c r="F75" s="345"/>
      <c r="G75" s="343"/>
      <c r="H75" s="344"/>
      <c r="I75" s="335" t="str">
        <f t="shared" si="4"/>
        <v/>
      </c>
      <c r="J75" s="336"/>
      <c r="K75" s="365" t="str">
        <f t="shared" si="28"/>
        <v/>
      </c>
      <c r="L75" s="349" t="str">
        <f t="shared" si="29"/>
        <v/>
      </c>
      <c r="M75" s="364" t="str">
        <f t="shared" si="30"/>
        <v/>
      </c>
      <c r="N75" s="662"/>
      <c r="O75" s="339"/>
      <c r="P75" s="11"/>
    </row>
    <row r="76" spans="2:16" ht="18.600000000000001" thickBot="1" x14ac:dyDescent="0.4">
      <c r="B76" s="654">
        <v>46283</v>
      </c>
      <c r="C76" s="655"/>
      <c r="D76" s="330" t="s">
        <v>13</v>
      </c>
      <c r="E76" s="366"/>
      <c r="F76" s="367"/>
      <c r="G76" s="368"/>
      <c r="H76" s="369"/>
      <c r="I76" s="335" t="str">
        <f t="shared" si="4"/>
        <v/>
      </c>
      <c r="J76" s="336"/>
      <c r="K76" s="337" t="str">
        <f t="shared" ref="K76:K79" si="35">IFERROR((F76*I76*J76),"")</f>
        <v/>
      </c>
      <c r="L76" s="338" t="str">
        <f>IFERROR(((F76*I76)*J76)*(1-H76),"")</f>
        <v/>
      </c>
      <c r="M76" s="363" t="str">
        <f t="shared" ref="M76:M79" si="36">IFERROR((K76/12),"")</f>
        <v/>
      </c>
      <c r="N76" s="661">
        <f>SUM(L76:L77)</f>
        <v>0</v>
      </c>
      <c r="O76" s="339"/>
      <c r="P76" s="11"/>
    </row>
    <row r="77" spans="2:16" ht="18.600000000000001" thickBot="1" x14ac:dyDescent="0.4">
      <c r="B77" s="656"/>
      <c r="C77" s="657"/>
      <c r="D77" s="340" t="s">
        <v>14</v>
      </c>
      <c r="E77" s="352"/>
      <c r="F77" s="345"/>
      <c r="G77" s="343"/>
      <c r="H77" s="344"/>
      <c r="I77" s="335" t="str">
        <f t="shared" si="4"/>
        <v/>
      </c>
      <c r="J77" s="336"/>
      <c r="K77" s="365" t="str">
        <f t="shared" si="35"/>
        <v/>
      </c>
      <c r="L77" s="349" t="str">
        <f t="shared" ref="L77:L79" si="37">IFERROR(((F77*I77)*J77)*(1-H77),"")</f>
        <v/>
      </c>
      <c r="M77" s="364" t="str">
        <f t="shared" si="36"/>
        <v/>
      </c>
      <c r="N77" s="662"/>
      <c r="O77" s="339"/>
      <c r="P77" s="11"/>
    </row>
    <row r="78" spans="2:16" ht="18.600000000000001" thickBot="1" x14ac:dyDescent="0.4">
      <c r="B78" s="654">
        <v>46284</v>
      </c>
      <c r="C78" s="655"/>
      <c r="D78" s="330" t="s">
        <v>13</v>
      </c>
      <c r="E78" s="366"/>
      <c r="F78" s="367"/>
      <c r="G78" s="368"/>
      <c r="H78" s="369"/>
      <c r="I78" s="335" t="str">
        <f t="shared" si="4"/>
        <v/>
      </c>
      <c r="J78" s="336"/>
      <c r="K78" s="337" t="str">
        <f t="shared" si="35"/>
        <v/>
      </c>
      <c r="L78" s="338" t="str">
        <f t="shared" si="37"/>
        <v/>
      </c>
      <c r="M78" s="363" t="str">
        <f t="shared" si="36"/>
        <v/>
      </c>
      <c r="N78" s="661">
        <f t="shared" ref="N78" si="38">SUM(L78:L79)</f>
        <v>0</v>
      </c>
      <c r="O78" s="339"/>
      <c r="P78" s="11"/>
    </row>
    <row r="79" spans="2:16" ht="18.600000000000001" thickBot="1" x14ac:dyDescent="0.4">
      <c r="B79" s="656"/>
      <c r="C79" s="657"/>
      <c r="D79" s="340" t="s">
        <v>14</v>
      </c>
      <c r="E79" s="352"/>
      <c r="F79" s="345"/>
      <c r="G79" s="343"/>
      <c r="H79" s="344"/>
      <c r="I79" s="335" t="str">
        <f t="shared" si="4"/>
        <v/>
      </c>
      <c r="J79" s="336"/>
      <c r="K79" s="365" t="str">
        <f t="shared" si="35"/>
        <v/>
      </c>
      <c r="L79" s="349" t="str">
        <f t="shared" si="37"/>
        <v/>
      </c>
      <c r="M79" s="364" t="str">
        <f t="shared" si="36"/>
        <v/>
      </c>
      <c r="N79" s="662"/>
      <c r="O79" s="339"/>
      <c r="P79" s="11"/>
    </row>
    <row r="80" spans="2:16" ht="18.600000000000001" thickBot="1" x14ac:dyDescent="0.4">
      <c r="B80" s="654">
        <v>46285</v>
      </c>
      <c r="C80" s="655"/>
      <c r="D80" s="330" t="s">
        <v>13</v>
      </c>
      <c r="E80" s="366"/>
      <c r="F80" s="367"/>
      <c r="G80" s="368"/>
      <c r="H80" s="369"/>
      <c r="I80" s="335" t="str">
        <f t="shared" si="4"/>
        <v/>
      </c>
      <c r="J80" s="336"/>
      <c r="K80" s="337" t="str">
        <f t="shared" ref="K80:K83" si="39">IFERROR((F80*I80*J80),"")</f>
        <v/>
      </c>
      <c r="L80" s="338" t="str">
        <f t="shared" ref="L80:L83" si="40">IFERROR(((F80*I80)*J80)*(1-H80),"")</f>
        <v/>
      </c>
      <c r="M80" s="363" t="str">
        <f t="shared" ref="M80:M83" si="41">IFERROR((K80/12),"")</f>
        <v/>
      </c>
      <c r="N80" s="661">
        <f t="shared" ref="N80" si="42">SUM(L80:L81)</f>
        <v>0</v>
      </c>
      <c r="O80" s="339"/>
      <c r="P80" s="11"/>
    </row>
    <row r="81" spans="2:19" ht="18.600000000000001" thickBot="1" x14ac:dyDescent="0.4">
      <c r="B81" s="656"/>
      <c r="C81" s="657"/>
      <c r="D81" s="340" t="s">
        <v>14</v>
      </c>
      <c r="E81" s="352"/>
      <c r="F81" s="345"/>
      <c r="G81" s="343"/>
      <c r="H81" s="344"/>
      <c r="I81" s="335" t="str">
        <f t="shared" si="4"/>
        <v/>
      </c>
      <c r="J81" s="336"/>
      <c r="K81" s="365" t="str">
        <f t="shared" si="39"/>
        <v/>
      </c>
      <c r="L81" s="349" t="str">
        <f t="shared" si="40"/>
        <v/>
      </c>
      <c r="M81" s="364" t="str">
        <f t="shared" si="41"/>
        <v/>
      </c>
      <c r="N81" s="662"/>
      <c r="O81" s="339"/>
      <c r="P81" s="11"/>
    </row>
    <row r="82" spans="2:19" ht="18.600000000000001" thickBot="1" x14ac:dyDescent="0.4">
      <c r="B82" s="654">
        <v>46286</v>
      </c>
      <c r="C82" s="655"/>
      <c r="D82" s="330" t="s">
        <v>13</v>
      </c>
      <c r="E82" s="366"/>
      <c r="F82" s="367"/>
      <c r="G82" s="368"/>
      <c r="H82" s="369"/>
      <c r="I82" s="335" t="str">
        <f t="shared" si="4"/>
        <v/>
      </c>
      <c r="J82" s="336"/>
      <c r="K82" s="337" t="str">
        <f t="shared" si="39"/>
        <v/>
      </c>
      <c r="L82" s="338" t="str">
        <f t="shared" si="40"/>
        <v/>
      </c>
      <c r="M82" s="363" t="str">
        <f t="shared" si="41"/>
        <v/>
      </c>
      <c r="N82" s="661">
        <f t="shared" ref="N82" si="43">SUM(L82:L83)</f>
        <v>0</v>
      </c>
      <c r="O82" s="339"/>
      <c r="P82" s="11"/>
    </row>
    <row r="83" spans="2:19" ht="18.600000000000001" thickBot="1" x14ac:dyDescent="0.4">
      <c r="B83" s="656"/>
      <c r="C83" s="657"/>
      <c r="D83" s="340" t="s">
        <v>14</v>
      </c>
      <c r="E83" s="352"/>
      <c r="F83" s="345"/>
      <c r="G83" s="343"/>
      <c r="H83" s="344"/>
      <c r="I83" s="335" t="str">
        <f t="shared" si="4"/>
        <v/>
      </c>
      <c r="J83" s="336"/>
      <c r="K83" s="365" t="str">
        <f t="shared" si="39"/>
        <v/>
      </c>
      <c r="L83" s="349" t="str">
        <f t="shared" si="40"/>
        <v/>
      </c>
      <c r="M83" s="364" t="str">
        <f t="shared" si="41"/>
        <v/>
      </c>
      <c r="N83" s="662"/>
      <c r="O83" s="339"/>
      <c r="P83" s="11"/>
    </row>
    <row r="84" spans="2:19" ht="18.600000000000001" thickBot="1" x14ac:dyDescent="0.4">
      <c r="B84" s="654">
        <v>46287</v>
      </c>
      <c r="C84" s="655"/>
      <c r="D84" s="330" t="s">
        <v>13</v>
      </c>
      <c r="E84" s="366"/>
      <c r="F84" s="367"/>
      <c r="G84" s="368"/>
      <c r="H84" s="369"/>
      <c r="I84" s="335" t="str">
        <f t="shared" si="4"/>
        <v/>
      </c>
      <c r="J84" s="336"/>
      <c r="K84" s="337" t="str">
        <f t="shared" ref="K84:K85" si="44">IFERROR((F84*I84*J84),"")</f>
        <v/>
      </c>
      <c r="L84" s="338" t="str">
        <f t="shared" ref="L84:L85" si="45">IFERROR(((F84*I84)*J84)*(1-H84),"")</f>
        <v/>
      </c>
      <c r="M84" s="363" t="str">
        <f t="shared" ref="M84:M85" si="46">IFERROR((K84/12),"")</f>
        <v/>
      </c>
      <c r="N84" s="661">
        <f t="shared" ref="N84" si="47">SUM(L84:L85)</f>
        <v>0</v>
      </c>
      <c r="O84" s="339"/>
      <c r="P84" s="11"/>
    </row>
    <row r="85" spans="2:19" ht="18.600000000000001" thickBot="1" x14ac:dyDescent="0.4">
      <c r="B85" s="656"/>
      <c r="C85" s="657"/>
      <c r="D85" s="340" t="s">
        <v>14</v>
      </c>
      <c r="E85" s="352"/>
      <c r="F85" s="345"/>
      <c r="G85" s="343"/>
      <c r="H85" s="344"/>
      <c r="I85" s="335" t="str">
        <f t="shared" si="4"/>
        <v/>
      </c>
      <c r="J85" s="336"/>
      <c r="K85" s="365" t="str">
        <f t="shared" si="44"/>
        <v/>
      </c>
      <c r="L85" s="349" t="str">
        <f t="shared" si="45"/>
        <v/>
      </c>
      <c r="M85" s="364" t="str">
        <f t="shared" si="46"/>
        <v/>
      </c>
      <c r="N85" s="662"/>
      <c r="O85" s="339"/>
      <c r="P85" s="11"/>
    </row>
    <row r="86" spans="2:19" ht="18" x14ac:dyDescent="0.35">
      <c r="B86" s="676" t="s">
        <v>17</v>
      </c>
      <c r="C86" s="677"/>
      <c r="D86" s="373"/>
      <c r="E86" s="374"/>
      <c r="F86" s="375">
        <f>AVERAGE(F6:F85)</f>
        <v>232.46666666666667</v>
      </c>
      <c r="G86" s="376"/>
      <c r="H86" s="377">
        <f>AVERAGE(H6:H83)</f>
        <v>0.11933333333333337</v>
      </c>
      <c r="I86" s="378" t="str">
        <f t="shared" si="4"/>
        <v/>
      </c>
      <c r="J86" s="379"/>
      <c r="K86" s="380">
        <f>AVERAGE(K6:K67)</f>
        <v>161.35866666666666</v>
      </c>
      <c r="L86" s="381">
        <f>AVERAGE(L6:L79)</f>
        <v>143.00594000000004</v>
      </c>
      <c r="M86" s="382">
        <f>AVERAGE(M6:M16)</f>
        <v>12.786250000000001</v>
      </c>
      <c r="N86" s="389">
        <f>AVERAGE(N6:N83)</f>
        <v>55.002284615384632</v>
      </c>
      <c r="O86" s="339"/>
      <c r="S86" s="4"/>
    </row>
    <row r="87" spans="2:19" ht="18.600000000000001" thickBot="1" x14ac:dyDescent="0.4">
      <c r="B87" s="678" t="s">
        <v>18</v>
      </c>
      <c r="C87" s="679"/>
      <c r="D87" s="383"/>
      <c r="E87" s="383"/>
      <c r="F87" s="384">
        <f>SUM(F6:F83)</f>
        <v>3487</v>
      </c>
      <c r="G87" s="383"/>
      <c r="H87" s="385"/>
      <c r="I87" s="385"/>
      <c r="J87" s="383"/>
      <c r="K87" s="386"/>
      <c r="L87" s="387"/>
      <c r="M87" s="383"/>
      <c r="N87" s="390">
        <f>SUM(N6:N85)</f>
        <v>2145.0891000000006</v>
      </c>
      <c r="O87" s="339"/>
      <c r="Q87" s="4"/>
      <c r="R87" s="4"/>
      <c r="S87" s="2"/>
    </row>
    <row r="88" spans="2:19" ht="15" thickBot="1" x14ac:dyDescent="0.35">
      <c r="D88" s="7"/>
      <c r="F88" s="319"/>
      <c r="H88" s="322"/>
      <c r="I88" s="324"/>
    </row>
    <row r="89" spans="2:19" x14ac:dyDescent="0.3">
      <c r="K89" s="13"/>
    </row>
    <row r="90" spans="2:19" x14ac:dyDescent="0.3">
      <c r="F90" s="320"/>
      <c r="I90" s="320"/>
    </row>
  </sheetData>
  <mergeCells count="87"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</mergeCells>
  <phoneticPr fontId="52" type="noConversion"/>
  <dataValidations count="1">
    <dataValidation type="list" allowBlank="1" showInputMessage="1" showErrorMessage="1" sqref="G6:G86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8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12"/>
  <sheetViews>
    <sheetView topLeftCell="K103" zoomScale="78" zoomScaleNormal="55" workbookViewId="0">
      <selection activeCell="T145" sqref="T145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42.44140625" style="1" bestFit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415" customWidth="1"/>
    <col min="9" max="9" width="9.5546875" style="415" customWidth="1"/>
    <col min="10" max="10" width="11.21875" style="415" customWidth="1"/>
    <col min="11" max="11" width="12" style="415" customWidth="1"/>
    <col min="12" max="12" width="11.77734375" style="415" customWidth="1"/>
    <col min="13" max="13" width="14.44140625" style="415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5"/>
    <col min="32" max="16384" width="8.88671875" style="1"/>
  </cols>
  <sheetData>
    <row r="1" spans="2:31" ht="15" thickBot="1" x14ac:dyDescent="0.35">
      <c r="AD1" s="16">
        <v>1</v>
      </c>
      <c r="AE1" s="16">
        <v>4.7E-2</v>
      </c>
    </row>
    <row r="2" spans="2:31" ht="15" thickBot="1" x14ac:dyDescent="0.35">
      <c r="B2" s="682" t="s">
        <v>420</v>
      </c>
      <c r="C2" s="683"/>
      <c r="D2" s="683"/>
      <c r="E2" s="683"/>
      <c r="F2" s="683"/>
      <c r="G2" s="683"/>
      <c r="H2" s="683"/>
      <c r="I2" s="683"/>
      <c r="J2" s="683"/>
      <c r="K2" s="683"/>
      <c r="L2" s="683"/>
      <c r="M2" s="684"/>
      <c r="AD2" s="16">
        <v>2</v>
      </c>
      <c r="AE2" s="16">
        <v>9.9000000000000005E-2</v>
      </c>
    </row>
    <row r="3" spans="2:31" ht="15" thickBot="1" x14ac:dyDescent="0.35">
      <c r="B3" s="682" t="s">
        <v>198</v>
      </c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4"/>
      <c r="AD3" s="16">
        <v>3</v>
      </c>
      <c r="AE3" s="16">
        <v>0.16</v>
      </c>
    </row>
    <row r="4" spans="2:31" x14ac:dyDescent="0.3">
      <c r="B4" s="154"/>
      <c r="C4" s="154"/>
      <c r="D4" s="154"/>
      <c r="E4" s="154"/>
      <c r="F4" s="154"/>
      <c r="G4" s="154"/>
      <c r="H4" s="416"/>
      <c r="I4" s="416"/>
      <c r="J4" s="416"/>
      <c r="K4" s="416"/>
      <c r="L4" s="416"/>
      <c r="M4" s="416"/>
      <c r="AD4" s="16">
        <v>4</v>
      </c>
      <c r="AE4" s="16">
        <v>0.16700000000000001</v>
      </c>
    </row>
    <row r="5" spans="2:31" x14ac:dyDescent="0.3">
      <c r="B5" s="154"/>
      <c r="C5" s="154"/>
      <c r="D5" s="154"/>
      <c r="E5" s="154"/>
      <c r="F5" s="154"/>
      <c r="G5" s="154"/>
      <c r="H5" s="416"/>
      <c r="I5" s="416"/>
      <c r="J5" s="416"/>
      <c r="K5" s="416"/>
      <c r="L5" s="416"/>
      <c r="M5" s="416"/>
      <c r="O5" s="1">
        <f>1.42*0.95</f>
        <v>1.349</v>
      </c>
      <c r="AD5" s="16">
        <v>5</v>
      </c>
      <c r="AE5" s="6">
        <v>0.17799999999999999</v>
      </c>
    </row>
    <row r="6" spans="2:31" x14ac:dyDescent="0.3">
      <c r="AD6" s="16">
        <v>6</v>
      </c>
      <c r="AE6" s="6">
        <v>0.17899999999999999</v>
      </c>
    </row>
    <row r="7" spans="2:31" ht="33.6" customHeight="1" x14ac:dyDescent="0.3">
      <c r="B7" s="83" t="s">
        <v>71</v>
      </c>
      <c r="C7" s="83" t="s">
        <v>1</v>
      </c>
      <c r="D7" s="414" t="s">
        <v>179</v>
      </c>
      <c r="E7" s="414" t="s">
        <v>180</v>
      </c>
      <c r="F7" s="414" t="s">
        <v>181</v>
      </c>
      <c r="G7" s="414" t="s">
        <v>182</v>
      </c>
      <c r="H7" s="414" t="s">
        <v>183</v>
      </c>
      <c r="I7" s="414" t="s">
        <v>184</v>
      </c>
      <c r="J7" s="414" t="s">
        <v>380</v>
      </c>
      <c r="K7" s="414" t="s">
        <v>381</v>
      </c>
      <c r="L7" s="414" t="s">
        <v>186</v>
      </c>
      <c r="M7" s="414" t="s">
        <v>196</v>
      </c>
      <c r="Q7" s="630" t="s">
        <v>346</v>
      </c>
      <c r="R7" s="630"/>
      <c r="S7" s="630"/>
      <c r="T7" s="630"/>
      <c r="U7" s="630"/>
      <c r="V7" s="630"/>
      <c r="AD7" s="16">
        <v>7</v>
      </c>
      <c r="AE7" s="6">
        <v>0.21</v>
      </c>
    </row>
    <row r="8" spans="2:31" x14ac:dyDescent="0.3">
      <c r="B8" s="16">
        <v>1</v>
      </c>
      <c r="C8" s="84">
        <v>46174</v>
      </c>
      <c r="D8" s="16" t="s">
        <v>188</v>
      </c>
      <c r="E8" s="16" t="s">
        <v>192</v>
      </c>
      <c r="F8" s="16" t="s">
        <v>343</v>
      </c>
      <c r="G8" s="16"/>
      <c r="H8" s="417">
        <v>41</v>
      </c>
      <c r="I8" s="417">
        <v>1.35</v>
      </c>
      <c r="J8" s="422">
        <f>H8*I8</f>
        <v>55.35</v>
      </c>
      <c r="K8" s="422">
        <f>I8*G8</f>
        <v>0</v>
      </c>
      <c r="L8" s="417">
        <v>1.0269999999999999</v>
      </c>
      <c r="M8" s="422">
        <f>L8*J8</f>
        <v>56.844449999999995</v>
      </c>
      <c r="N8" s="1" t="s">
        <v>206</v>
      </c>
      <c r="O8" s="1">
        <f>MEDIAN(L8:L39)</f>
        <v>1.1160000000000001</v>
      </c>
      <c r="Q8" s="306" t="s">
        <v>71</v>
      </c>
      <c r="R8" s="306" t="s">
        <v>347</v>
      </c>
      <c r="S8" s="306" t="s">
        <v>1</v>
      </c>
      <c r="T8" s="306" t="s">
        <v>348</v>
      </c>
      <c r="U8" s="306" t="s">
        <v>349</v>
      </c>
      <c r="V8" s="306" t="s">
        <v>350</v>
      </c>
      <c r="AD8" s="16">
        <v>8</v>
      </c>
      <c r="AE8" s="16">
        <v>0.21199999999999999</v>
      </c>
    </row>
    <row r="9" spans="2:31" x14ac:dyDescent="0.3">
      <c r="B9" s="16">
        <v>2</v>
      </c>
      <c r="C9" s="84">
        <v>46174</v>
      </c>
      <c r="D9" s="16" t="s">
        <v>187</v>
      </c>
      <c r="E9" s="16" t="s">
        <v>197</v>
      </c>
      <c r="F9" s="16" t="s">
        <v>344</v>
      </c>
      <c r="G9" s="16"/>
      <c r="H9" s="417">
        <v>16</v>
      </c>
      <c r="I9" s="417">
        <v>1.35</v>
      </c>
      <c r="J9" s="422">
        <f t="shared" ref="J9:J12" si="0">H9*I9</f>
        <v>21.6</v>
      </c>
      <c r="K9" s="422">
        <f t="shared" ref="K9:K12" si="1">I9*G9</f>
        <v>0</v>
      </c>
      <c r="L9" s="417">
        <v>1.228</v>
      </c>
      <c r="M9" s="422">
        <f t="shared" ref="M9:M39" si="2">L9*J9</f>
        <v>26.524800000000003</v>
      </c>
      <c r="N9" s="38" t="s">
        <v>421</v>
      </c>
      <c r="O9" s="131">
        <f>AVERAGE(L8:L39)</f>
        <v>1.7894999999999999</v>
      </c>
      <c r="Q9" s="16">
        <v>1</v>
      </c>
      <c r="R9" s="6" t="s">
        <v>351</v>
      </c>
      <c r="S9" s="73">
        <v>46197</v>
      </c>
      <c r="T9" s="6">
        <v>0.54600000000000004</v>
      </c>
      <c r="U9" s="6"/>
      <c r="V9" s="6"/>
      <c r="Y9" s="307" t="s">
        <v>269</v>
      </c>
      <c r="Z9" s="150">
        <f>AVERAGE(T9:T261)</f>
        <v>0.89901503759398493</v>
      </c>
      <c r="AA9" s="131"/>
      <c r="AD9" s="16">
        <v>9</v>
      </c>
      <c r="AE9" s="16">
        <v>0.23100000000000001</v>
      </c>
    </row>
    <row r="10" spans="2:31" x14ac:dyDescent="0.3">
      <c r="B10" s="16">
        <v>3</v>
      </c>
      <c r="C10" s="84">
        <v>46175</v>
      </c>
      <c r="D10" s="16" t="s">
        <v>189</v>
      </c>
      <c r="E10" s="16" t="s">
        <v>194</v>
      </c>
      <c r="F10" s="16" t="s">
        <v>345</v>
      </c>
      <c r="G10" s="16"/>
      <c r="H10" s="417">
        <v>93</v>
      </c>
      <c r="I10" s="417">
        <v>1.35</v>
      </c>
      <c r="J10" s="422">
        <f t="shared" si="0"/>
        <v>125.55000000000001</v>
      </c>
      <c r="K10" s="422">
        <f t="shared" si="1"/>
        <v>0</v>
      </c>
      <c r="L10" s="425">
        <v>0.6</v>
      </c>
      <c r="M10" s="422">
        <f t="shared" si="2"/>
        <v>75.33</v>
      </c>
      <c r="Q10" s="16">
        <v>2</v>
      </c>
      <c r="R10" s="6" t="s">
        <v>352</v>
      </c>
      <c r="S10" s="73">
        <v>46197</v>
      </c>
      <c r="T10" s="6">
        <v>0.57599999999999996</v>
      </c>
      <c r="U10" s="6"/>
      <c r="V10" s="6"/>
      <c r="Y10" s="307" t="s">
        <v>206</v>
      </c>
      <c r="Z10" s="150">
        <f>MEDIAN(T9:T330)</f>
        <v>0.66200000000000003</v>
      </c>
      <c r="AD10" s="16">
        <v>10</v>
      </c>
      <c r="AE10" s="16">
        <v>0.24</v>
      </c>
    </row>
    <row r="11" spans="2:31" x14ac:dyDescent="0.3">
      <c r="B11" s="16">
        <v>4</v>
      </c>
      <c r="C11" s="84">
        <v>46175</v>
      </c>
      <c r="D11" s="16" t="s">
        <v>190</v>
      </c>
      <c r="E11" s="16" t="s">
        <v>195</v>
      </c>
      <c r="F11" s="16" t="s">
        <v>343</v>
      </c>
      <c r="G11" s="16"/>
      <c r="H11" s="417">
        <v>40</v>
      </c>
      <c r="I11" s="417">
        <v>1.35</v>
      </c>
      <c r="J11" s="422">
        <f t="shared" si="0"/>
        <v>54</v>
      </c>
      <c r="K11" s="422">
        <f t="shared" si="1"/>
        <v>0</v>
      </c>
      <c r="L11" s="417">
        <v>1.0269999999999999</v>
      </c>
      <c r="M11" s="422">
        <f t="shared" si="2"/>
        <v>55.457999999999998</v>
      </c>
      <c r="O11" s="38"/>
      <c r="Q11" s="16">
        <v>3</v>
      </c>
      <c r="R11" s="6" t="s">
        <v>353</v>
      </c>
      <c r="S11" s="73">
        <v>46197</v>
      </c>
      <c r="T11" s="6">
        <v>0.83899999999999997</v>
      </c>
      <c r="U11" s="6"/>
      <c r="V11" s="6"/>
      <c r="Y11" s="307" t="s">
        <v>204</v>
      </c>
      <c r="Z11" s="150">
        <f>MIN(T9:T353)</f>
        <v>4.7E-2</v>
      </c>
      <c r="AD11" s="16">
        <v>11</v>
      </c>
      <c r="AE11" s="16">
        <v>0.24199999999999999</v>
      </c>
    </row>
    <row r="12" spans="2:31" x14ac:dyDescent="0.3">
      <c r="B12" s="16">
        <v>5</v>
      </c>
      <c r="C12" s="84">
        <v>46175</v>
      </c>
      <c r="D12" s="16" t="s">
        <v>191</v>
      </c>
      <c r="E12" s="16" t="s">
        <v>193</v>
      </c>
      <c r="F12" s="16" t="s">
        <v>344</v>
      </c>
      <c r="G12" s="16"/>
      <c r="H12" s="417">
        <v>13</v>
      </c>
      <c r="I12" s="417">
        <v>1.35</v>
      </c>
      <c r="J12" s="422">
        <f t="shared" si="0"/>
        <v>17.55</v>
      </c>
      <c r="K12" s="422">
        <f t="shared" si="1"/>
        <v>0</v>
      </c>
      <c r="L12" s="417">
        <v>1.228</v>
      </c>
      <c r="M12" s="422">
        <f t="shared" si="2"/>
        <v>21.551400000000001</v>
      </c>
      <c r="Q12" s="16">
        <v>4</v>
      </c>
      <c r="R12" s="6" t="s">
        <v>354</v>
      </c>
      <c r="S12" s="73">
        <v>46197</v>
      </c>
      <c r="T12" s="6">
        <v>2.0110000000000001</v>
      </c>
      <c r="U12" s="6"/>
      <c r="V12" s="6"/>
      <c r="Y12" s="307" t="s">
        <v>203</v>
      </c>
      <c r="Z12" s="150">
        <f>MAX(T9:T242)</f>
        <v>4.383</v>
      </c>
      <c r="AD12" s="16">
        <v>12</v>
      </c>
      <c r="AE12" s="16">
        <v>0.252</v>
      </c>
    </row>
    <row r="13" spans="2:31" x14ac:dyDescent="0.3">
      <c r="B13" s="16">
        <v>6</v>
      </c>
      <c r="C13" s="84">
        <v>46249</v>
      </c>
      <c r="D13" s="16"/>
      <c r="E13" s="16" t="s">
        <v>382</v>
      </c>
      <c r="F13" s="16" t="s">
        <v>382</v>
      </c>
      <c r="G13" s="16">
        <v>200</v>
      </c>
      <c r="H13" s="417">
        <v>310</v>
      </c>
      <c r="I13" s="417">
        <v>1.39</v>
      </c>
      <c r="J13" s="422">
        <f>H13*I13</f>
        <v>430.9</v>
      </c>
      <c r="K13" s="422">
        <f t="shared" ref="K13:K22" si="3">I13*G13</f>
        <v>278</v>
      </c>
      <c r="L13" s="417">
        <v>1.1220000000000001</v>
      </c>
      <c r="M13" s="422">
        <f t="shared" si="2"/>
        <v>483.46980000000002</v>
      </c>
      <c r="Q13" s="16">
        <v>5</v>
      </c>
      <c r="R13" s="6" t="s">
        <v>355</v>
      </c>
      <c r="S13" s="73">
        <v>46197</v>
      </c>
      <c r="T13" s="6">
        <v>0.94399999999999995</v>
      </c>
      <c r="U13" s="6"/>
      <c r="V13" s="6"/>
      <c r="Y13" s="308" t="s">
        <v>376</v>
      </c>
      <c r="Z13" s="49">
        <f>((Z9-Z10)/(Z9+Z10)/2)</f>
        <v>7.5916961683886008E-2</v>
      </c>
      <c r="AA13" s="131"/>
      <c r="AD13" s="16">
        <v>13</v>
      </c>
      <c r="AE13" s="16">
        <v>0.253</v>
      </c>
    </row>
    <row r="14" spans="2:31" x14ac:dyDescent="0.3">
      <c r="B14" s="16">
        <v>7</v>
      </c>
      <c r="C14" s="84">
        <v>46250</v>
      </c>
      <c r="D14" s="16"/>
      <c r="E14" s="16" t="s">
        <v>383</v>
      </c>
      <c r="F14" s="16" t="s">
        <v>383</v>
      </c>
      <c r="G14" s="16">
        <v>220</v>
      </c>
      <c r="H14" s="417">
        <v>190</v>
      </c>
      <c r="I14" s="417">
        <v>1.39</v>
      </c>
      <c r="J14" s="422">
        <f>H14*I14</f>
        <v>264.09999999999997</v>
      </c>
      <c r="K14" s="422">
        <f t="shared" si="3"/>
        <v>305.79999999999995</v>
      </c>
      <c r="L14" s="417">
        <v>1.1220000000000001</v>
      </c>
      <c r="M14" s="422">
        <f t="shared" si="2"/>
        <v>296.3202</v>
      </c>
      <c r="O14" s="1">
        <f>MEDIAN(L8:L22)</f>
        <v>1.1100000000000001</v>
      </c>
      <c r="Q14" s="16">
        <v>6</v>
      </c>
      <c r="R14" s="6" t="s">
        <v>356</v>
      </c>
      <c r="S14" s="73">
        <v>46197</v>
      </c>
      <c r="T14" s="6">
        <v>0.70199999999999996</v>
      </c>
      <c r="U14" s="6"/>
      <c r="V14" s="6"/>
      <c r="Y14" s="308" t="s">
        <v>270</v>
      </c>
      <c r="Z14" s="150">
        <f>Z9-Z10</f>
        <v>0.2370150375939849</v>
      </c>
      <c r="AD14" s="16">
        <v>14</v>
      </c>
      <c r="AE14" s="16">
        <v>0.30399999999999999</v>
      </c>
    </row>
    <row r="15" spans="2:31" x14ac:dyDescent="0.3">
      <c r="B15" s="16">
        <v>8</v>
      </c>
      <c r="C15" s="84">
        <v>46251</v>
      </c>
      <c r="D15" s="16"/>
      <c r="E15" s="16"/>
      <c r="F15" s="16" t="s">
        <v>343</v>
      </c>
      <c r="G15" s="16">
        <v>210</v>
      </c>
      <c r="H15" s="417">
        <v>34</v>
      </c>
      <c r="I15" s="417">
        <v>1.39</v>
      </c>
      <c r="J15" s="422">
        <f>H15*I15</f>
        <v>47.26</v>
      </c>
      <c r="K15" s="422">
        <f t="shared" si="3"/>
        <v>291.89999999999998</v>
      </c>
      <c r="L15" s="417">
        <v>1.02</v>
      </c>
      <c r="M15" s="422">
        <f t="shared" si="2"/>
        <v>48.205199999999998</v>
      </c>
      <c r="N15" s="131"/>
      <c r="Q15" s="16">
        <v>7</v>
      </c>
      <c r="R15" s="6" t="s">
        <v>357</v>
      </c>
      <c r="S15" s="73">
        <v>46197</v>
      </c>
      <c r="T15" s="6">
        <v>3.2160000000000002</v>
      </c>
      <c r="U15" s="6"/>
      <c r="V15" s="6"/>
      <c r="AD15" s="16">
        <v>15</v>
      </c>
      <c r="AE15" s="16">
        <v>0.308</v>
      </c>
    </row>
    <row r="16" spans="2:31" x14ac:dyDescent="0.3">
      <c r="B16" s="16">
        <v>9</v>
      </c>
      <c r="C16" s="84">
        <v>46252</v>
      </c>
      <c r="D16" s="417"/>
      <c r="E16" s="16"/>
      <c r="F16" s="16" t="s">
        <v>343</v>
      </c>
      <c r="G16" s="16">
        <v>30</v>
      </c>
      <c r="H16" s="417">
        <v>64</v>
      </c>
      <c r="I16" s="417">
        <v>1.39</v>
      </c>
      <c r="J16" s="422">
        <f>H16*I16</f>
        <v>88.96</v>
      </c>
      <c r="K16" s="422">
        <f t="shared" si="3"/>
        <v>41.699999999999996</v>
      </c>
      <c r="L16" s="456">
        <v>1.02</v>
      </c>
      <c r="M16" s="422">
        <f t="shared" si="2"/>
        <v>90.739199999999997</v>
      </c>
      <c r="Q16" s="16">
        <v>8</v>
      </c>
      <c r="R16" s="6" t="s">
        <v>358</v>
      </c>
      <c r="S16" s="73">
        <v>46197</v>
      </c>
      <c r="T16" s="6">
        <v>0.56200000000000006</v>
      </c>
      <c r="U16" s="6"/>
      <c r="V16" s="6"/>
      <c r="AD16" s="16">
        <v>16</v>
      </c>
      <c r="AE16" s="16">
        <v>0.31</v>
      </c>
    </row>
    <row r="17" spans="2:38" x14ac:dyDescent="0.3">
      <c r="B17" s="16">
        <v>10</v>
      </c>
      <c r="C17" s="84">
        <v>46253</v>
      </c>
      <c r="D17" s="16"/>
      <c r="E17" s="16"/>
      <c r="F17" s="16" t="s">
        <v>343</v>
      </c>
      <c r="G17" s="16">
        <v>60</v>
      </c>
      <c r="H17" s="417">
        <v>62</v>
      </c>
      <c r="I17" s="417">
        <v>1.39</v>
      </c>
      <c r="J17" s="422">
        <f t="shared" ref="J17:J39" si="4">H17*I17</f>
        <v>86.179999999999993</v>
      </c>
      <c r="K17" s="422">
        <f t="shared" si="3"/>
        <v>83.399999999999991</v>
      </c>
      <c r="L17" s="417">
        <v>0.93500000000000005</v>
      </c>
      <c r="M17" s="422">
        <f t="shared" si="2"/>
        <v>80.578299999999999</v>
      </c>
      <c r="Q17" s="16">
        <v>9</v>
      </c>
      <c r="R17" s="6" t="s">
        <v>359</v>
      </c>
      <c r="S17" s="73">
        <v>46197</v>
      </c>
      <c r="T17" s="6">
        <v>0.79</v>
      </c>
      <c r="U17" s="6"/>
      <c r="V17" s="6"/>
      <c r="Z17" s="131"/>
      <c r="AD17" s="16">
        <v>17</v>
      </c>
      <c r="AE17" s="16">
        <v>0.318</v>
      </c>
    </row>
    <row r="18" spans="2:38" x14ac:dyDescent="0.3">
      <c r="B18" s="16">
        <v>11</v>
      </c>
      <c r="C18" s="84">
        <v>46254</v>
      </c>
      <c r="D18" s="16"/>
      <c r="E18" s="16"/>
      <c r="F18" s="16" t="s">
        <v>343</v>
      </c>
      <c r="G18" s="16">
        <v>60</v>
      </c>
      <c r="H18" s="417">
        <v>108</v>
      </c>
      <c r="I18" s="417">
        <v>1.39</v>
      </c>
      <c r="J18" s="422">
        <f t="shared" si="4"/>
        <v>150.11999999999998</v>
      </c>
      <c r="K18" s="422">
        <f t="shared" si="3"/>
        <v>83.399999999999991</v>
      </c>
      <c r="L18" s="417">
        <v>1.1100000000000001</v>
      </c>
      <c r="M18" s="422">
        <f t="shared" si="2"/>
        <v>166.63319999999999</v>
      </c>
      <c r="N18" s="1">
        <v>1358</v>
      </c>
      <c r="Q18" s="16">
        <v>10</v>
      </c>
      <c r="R18" s="6" t="s">
        <v>360</v>
      </c>
      <c r="S18" s="73">
        <v>46197</v>
      </c>
      <c r="T18" s="6">
        <v>1.583</v>
      </c>
      <c r="U18" s="6"/>
      <c r="V18" s="6"/>
      <c r="AD18" s="16">
        <v>18</v>
      </c>
      <c r="AE18" s="16">
        <v>0.32300000000000001</v>
      </c>
    </row>
    <row r="19" spans="2:38" x14ac:dyDescent="0.3">
      <c r="B19" s="16">
        <v>12</v>
      </c>
      <c r="C19" s="84">
        <v>46255</v>
      </c>
      <c r="D19" s="16"/>
      <c r="E19" s="16"/>
      <c r="F19" s="16" t="s">
        <v>343</v>
      </c>
      <c r="G19" s="16">
        <v>150</v>
      </c>
      <c r="H19" s="417">
        <v>130</v>
      </c>
      <c r="I19" s="417">
        <v>1.39</v>
      </c>
      <c r="J19" s="422">
        <f>H19*I19</f>
        <v>180.7</v>
      </c>
      <c r="K19" s="422">
        <f t="shared" si="3"/>
        <v>208.49999999999997</v>
      </c>
      <c r="L19" s="417">
        <v>12.308999999999999</v>
      </c>
      <c r="M19" s="422">
        <f t="shared" si="2"/>
        <v>2224.2362999999996</v>
      </c>
      <c r="Q19" s="16">
        <v>11</v>
      </c>
      <c r="R19" s="6" t="s">
        <v>361</v>
      </c>
      <c r="S19" s="73">
        <v>46181</v>
      </c>
      <c r="T19" s="6">
        <v>1.9630000000000001</v>
      </c>
      <c r="U19" s="6"/>
      <c r="V19" s="6"/>
      <c r="AD19" s="16">
        <v>19</v>
      </c>
      <c r="AE19" s="16">
        <v>0.32600000000000001</v>
      </c>
    </row>
    <row r="20" spans="2:38" x14ac:dyDescent="0.3">
      <c r="B20" s="16">
        <v>13</v>
      </c>
      <c r="C20" s="84">
        <v>46257</v>
      </c>
      <c r="D20" s="16"/>
      <c r="E20" s="16"/>
      <c r="F20" s="16" t="s">
        <v>343</v>
      </c>
      <c r="G20" s="16">
        <v>110</v>
      </c>
      <c r="H20" s="417">
        <v>94</v>
      </c>
      <c r="I20" s="417">
        <v>1.39</v>
      </c>
      <c r="J20" s="422">
        <f t="shared" si="4"/>
        <v>130.66</v>
      </c>
      <c r="K20" s="422">
        <f t="shared" si="3"/>
        <v>152.89999999999998</v>
      </c>
      <c r="L20" s="417">
        <v>0.86</v>
      </c>
      <c r="M20" s="422">
        <f t="shared" si="2"/>
        <v>112.3676</v>
      </c>
      <c r="O20" s="1">
        <f>N18*1.39</f>
        <v>1887.62</v>
      </c>
      <c r="Q20" s="16">
        <v>12</v>
      </c>
      <c r="R20" s="6" t="s">
        <v>362</v>
      </c>
      <c r="S20" s="73">
        <v>46181</v>
      </c>
      <c r="T20" s="6">
        <v>0.73499999999999999</v>
      </c>
      <c r="U20" s="6"/>
      <c r="V20" s="6"/>
      <c r="AD20" s="16">
        <v>20</v>
      </c>
      <c r="AE20" s="6">
        <v>0.33600000000000002</v>
      </c>
    </row>
    <row r="21" spans="2:38" x14ac:dyDescent="0.3">
      <c r="B21" s="16">
        <v>14</v>
      </c>
      <c r="C21" s="84">
        <v>46261</v>
      </c>
      <c r="D21" s="16"/>
      <c r="E21" s="16"/>
      <c r="F21" s="16" t="s">
        <v>343</v>
      </c>
      <c r="G21" s="16">
        <v>100</v>
      </c>
      <c r="H21" s="417">
        <v>310</v>
      </c>
      <c r="I21" s="443">
        <v>1.3</v>
      </c>
      <c r="J21" s="422">
        <f t="shared" si="4"/>
        <v>403</v>
      </c>
      <c r="K21" s="422">
        <f t="shared" si="3"/>
        <v>130</v>
      </c>
      <c r="L21" s="417">
        <v>1.2969999999999999</v>
      </c>
      <c r="M21" s="422">
        <f t="shared" si="2"/>
        <v>522.69099999999992</v>
      </c>
      <c r="Q21" s="16">
        <v>13</v>
      </c>
      <c r="R21" s="6" t="s">
        <v>363</v>
      </c>
      <c r="S21" s="73">
        <v>46181</v>
      </c>
      <c r="T21" s="6">
        <v>0.34799999999999998</v>
      </c>
      <c r="U21" s="6"/>
      <c r="V21" s="6"/>
      <c r="AD21" s="16">
        <v>21</v>
      </c>
      <c r="AE21" s="16">
        <v>0.33700000000000002</v>
      </c>
    </row>
    <row r="22" spans="2:38" x14ac:dyDescent="0.3">
      <c r="B22" s="16">
        <v>15</v>
      </c>
      <c r="C22" s="73">
        <v>46262</v>
      </c>
      <c r="D22" s="6"/>
      <c r="E22" s="6"/>
      <c r="F22" s="16" t="s">
        <v>343</v>
      </c>
      <c r="G22" s="16">
        <v>280</v>
      </c>
      <c r="H22" s="417">
        <v>56</v>
      </c>
      <c r="I22" s="443">
        <v>1.3</v>
      </c>
      <c r="J22" s="422">
        <f t="shared" si="4"/>
        <v>72.8</v>
      </c>
      <c r="K22" s="422">
        <f t="shared" si="3"/>
        <v>364</v>
      </c>
      <c r="L22" s="417">
        <v>1.4970000000000001</v>
      </c>
      <c r="M22" s="422">
        <f t="shared" si="2"/>
        <v>108.9816</v>
      </c>
      <c r="O22" s="1">
        <f>366*1.39</f>
        <v>508.73999999999995</v>
      </c>
      <c r="Q22" s="16">
        <v>14</v>
      </c>
      <c r="R22" s="6" t="s">
        <v>364</v>
      </c>
      <c r="S22" s="73">
        <v>46181</v>
      </c>
      <c r="T22" s="6">
        <v>1.2929999999999999</v>
      </c>
      <c r="U22" s="6"/>
      <c r="V22" s="6"/>
      <c r="AD22" s="16">
        <v>22</v>
      </c>
      <c r="AE22" s="16">
        <v>0.34</v>
      </c>
    </row>
    <row r="23" spans="2:38" x14ac:dyDescent="0.3">
      <c r="B23" s="16">
        <v>16</v>
      </c>
      <c r="C23" s="459">
        <v>46263</v>
      </c>
      <c r="D23" s="458"/>
      <c r="E23" s="458"/>
      <c r="F23" s="458"/>
      <c r="G23" s="301"/>
      <c r="H23" s="301"/>
      <c r="I23" s="301"/>
      <c r="J23" s="301"/>
      <c r="K23" s="301"/>
      <c r="L23" s="418"/>
      <c r="M23" s="422">
        <f t="shared" si="2"/>
        <v>0</v>
      </c>
      <c r="Q23" s="16">
        <v>15</v>
      </c>
      <c r="R23" s="6" t="s">
        <v>365</v>
      </c>
      <c r="S23" s="73">
        <v>46181</v>
      </c>
      <c r="T23" s="6">
        <v>0.43</v>
      </c>
      <c r="U23" s="6"/>
      <c r="V23" s="6"/>
      <c r="AD23" s="16">
        <v>23</v>
      </c>
      <c r="AE23" s="16">
        <v>0.34399999999999997</v>
      </c>
    </row>
    <row r="24" spans="2:38" x14ac:dyDescent="0.3">
      <c r="B24" s="16">
        <v>17</v>
      </c>
      <c r="C24" s="459">
        <v>46264</v>
      </c>
      <c r="D24" s="6"/>
      <c r="E24" s="6"/>
      <c r="F24" s="6"/>
      <c r="G24" s="6"/>
      <c r="H24" s="418"/>
      <c r="I24" s="417">
        <v>1.35</v>
      </c>
      <c r="J24" s="422">
        <f t="shared" si="4"/>
        <v>0</v>
      </c>
      <c r="K24" s="422"/>
      <c r="L24" s="418"/>
      <c r="M24" s="422">
        <f t="shared" si="2"/>
        <v>0</v>
      </c>
      <c r="Q24" s="16">
        <v>16</v>
      </c>
      <c r="R24" s="6" t="s">
        <v>366</v>
      </c>
      <c r="S24" s="73">
        <v>46180</v>
      </c>
      <c r="T24" s="6">
        <v>0.55800000000000005</v>
      </c>
      <c r="U24" s="6"/>
      <c r="V24" s="6"/>
      <c r="AD24" s="16">
        <v>24</v>
      </c>
      <c r="AE24" s="16">
        <v>0.34799999999999998</v>
      </c>
    </row>
    <row r="25" spans="2:38" x14ac:dyDescent="0.3">
      <c r="B25" s="16">
        <v>18</v>
      </c>
      <c r="C25" s="459">
        <v>46265</v>
      </c>
      <c r="D25" s="6"/>
      <c r="E25" s="6"/>
      <c r="F25" s="6" t="s">
        <v>343</v>
      </c>
      <c r="G25" s="6"/>
      <c r="H25" s="418">
        <v>23</v>
      </c>
      <c r="I25" s="417">
        <v>1.3</v>
      </c>
      <c r="J25" s="422">
        <f t="shared" si="4"/>
        <v>29.900000000000002</v>
      </c>
      <c r="K25" s="422"/>
      <c r="L25" s="418">
        <v>1.23</v>
      </c>
      <c r="M25" s="422">
        <f t="shared" si="2"/>
        <v>36.777000000000001</v>
      </c>
      <c r="Q25" s="16">
        <v>17</v>
      </c>
      <c r="R25" s="6" t="s">
        <v>367</v>
      </c>
      <c r="S25" s="73">
        <v>46180</v>
      </c>
      <c r="T25" s="6">
        <v>0.60399999999999998</v>
      </c>
      <c r="U25" s="6"/>
      <c r="V25" s="6"/>
      <c r="AD25" s="16">
        <v>25</v>
      </c>
      <c r="AE25" s="16">
        <v>0.35099999999999998</v>
      </c>
    </row>
    <row r="26" spans="2:38" x14ac:dyDescent="0.3">
      <c r="B26" s="16">
        <v>19</v>
      </c>
      <c r="C26" s="6"/>
      <c r="D26" s="6"/>
      <c r="E26" s="6"/>
      <c r="F26" s="6"/>
      <c r="G26" s="6"/>
      <c r="H26" s="418"/>
      <c r="I26" s="417">
        <v>1.35</v>
      </c>
      <c r="J26" s="422">
        <f t="shared" si="4"/>
        <v>0</v>
      </c>
      <c r="K26" s="422"/>
      <c r="L26" s="418"/>
      <c r="M26" s="422">
        <f t="shared" si="2"/>
        <v>0</v>
      </c>
      <c r="Q26" s="16">
        <v>18</v>
      </c>
      <c r="R26" s="6" t="s">
        <v>368</v>
      </c>
      <c r="S26" s="73">
        <v>46180</v>
      </c>
      <c r="T26" s="6">
        <v>4.383</v>
      </c>
      <c r="U26" s="6"/>
      <c r="V26" s="6"/>
      <c r="AD26" s="16">
        <v>26</v>
      </c>
      <c r="AE26" s="16">
        <v>0.35099999999999998</v>
      </c>
      <c r="AL26" s="13"/>
    </row>
    <row r="27" spans="2:38" x14ac:dyDescent="0.3">
      <c r="B27" s="16">
        <v>20</v>
      </c>
      <c r="C27" s="6"/>
      <c r="D27" s="6"/>
      <c r="E27" s="6"/>
      <c r="F27" s="6"/>
      <c r="G27" s="6"/>
      <c r="H27" s="418"/>
      <c r="I27" s="417">
        <v>1.35</v>
      </c>
      <c r="J27" s="422">
        <f t="shared" si="4"/>
        <v>0</v>
      </c>
      <c r="K27" s="422"/>
      <c r="L27" s="418"/>
      <c r="M27" s="422">
        <f t="shared" si="2"/>
        <v>0</v>
      </c>
      <c r="O27" s="1">
        <f>4/7</f>
        <v>0.5714285714285714</v>
      </c>
      <c r="Q27" s="16">
        <v>19</v>
      </c>
      <c r="R27" s="6" t="s">
        <v>369</v>
      </c>
      <c r="S27" s="73">
        <v>46180</v>
      </c>
      <c r="T27" s="6">
        <v>3.2330000000000001</v>
      </c>
      <c r="U27" s="6"/>
      <c r="V27" s="6"/>
      <c r="AD27" s="16">
        <v>27</v>
      </c>
      <c r="AE27" s="16">
        <v>0.35099999999999998</v>
      </c>
    </row>
    <row r="28" spans="2:38" x14ac:dyDescent="0.3">
      <c r="B28" s="16">
        <v>21</v>
      </c>
      <c r="C28" s="6"/>
      <c r="D28" s="6"/>
      <c r="E28" s="6"/>
      <c r="F28" s="6"/>
      <c r="G28" s="6"/>
      <c r="H28" s="418"/>
      <c r="I28" s="417">
        <v>1.35</v>
      </c>
      <c r="J28" s="422">
        <f t="shared" si="4"/>
        <v>0</v>
      </c>
      <c r="K28" s="422"/>
      <c r="L28" s="418"/>
      <c r="M28" s="422">
        <f t="shared" si="2"/>
        <v>0</v>
      </c>
      <c r="O28" s="1">
        <f>3/7</f>
        <v>0.42857142857142855</v>
      </c>
      <c r="Q28" s="16">
        <v>20</v>
      </c>
      <c r="R28" s="6" t="s">
        <v>370</v>
      </c>
      <c r="S28" s="73">
        <v>46180</v>
      </c>
      <c r="T28" s="6">
        <v>1.635</v>
      </c>
      <c r="U28" s="6"/>
      <c r="V28" s="6"/>
      <c r="AD28" s="16">
        <v>28</v>
      </c>
      <c r="AE28" s="16">
        <v>0.35399999999999998</v>
      </c>
    </row>
    <row r="29" spans="2:38" x14ac:dyDescent="0.3">
      <c r="B29" s="16">
        <v>22</v>
      </c>
      <c r="C29" s="6"/>
      <c r="D29" s="6"/>
      <c r="E29" s="6"/>
      <c r="F29" s="6"/>
      <c r="G29" s="6"/>
      <c r="H29" s="418"/>
      <c r="I29" s="417">
        <v>1.35</v>
      </c>
      <c r="J29" s="422">
        <f t="shared" si="4"/>
        <v>0</v>
      </c>
      <c r="K29" s="422"/>
      <c r="L29" s="418"/>
      <c r="M29" s="422">
        <f t="shared" si="2"/>
        <v>0</v>
      </c>
      <c r="Q29" s="16">
        <v>21</v>
      </c>
      <c r="R29" s="6" t="s">
        <v>371</v>
      </c>
      <c r="S29" s="73">
        <v>46180</v>
      </c>
      <c r="T29" s="6">
        <v>1.2390000000000001</v>
      </c>
      <c r="U29" s="6"/>
      <c r="V29" s="6"/>
      <c r="AD29" s="16">
        <v>29</v>
      </c>
      <c r="AE29" s="16">
        <v>0.35699999999999998</v>
      </c>
    </row>
    <row r="30" spans="2:38" x14ac:dyDescent="0.3">
      <c r="B30" s="16">
        <v>23</v>
      </c>
      <c r="C30" s="6"/>
      <c r="D30" s="6"/>
      <c r="E30" s="6"/>
      <c r="F30" s="6"/>
      <c r="G30" s="6"/>
      <c r="H30" s="418"/>
      <c r="I30" s="417">
        <v>1.35</v>
      </c>
      <c r="J30" s="422">
        <f t="shared" si="4"/>
        <v>0</v>
      </c>
      <c r="K30" s="422"/>
      <c r="L30" s="418"/>
      <c r="M30" s="422">
        <f t="shared" si="2"/>
        <v>0</v>
      </c>
      <c r="Q30" s="16">
        <v>22</v>
      </c>
      <c r="R30" s="6" t="s">
        <v>372</v>
      </c>
      <c r="S30" s="73">
        <v>46180</v>
      </c>
      <c r="T30" s="6">
        <v>0.84699999999999998</v>
      </c>
      <c r="U30" s="6"/>
      <c r="V30" s="6"/>
      <c r="AD30" s="16">
        <v>30</v>
      </c>
      <c r="AE30" s="6">
        <v>0.35799999999999998</v>
      </c>
    </row>
    <row r="31" spans="2:38" x14ac:dyDescent="0.3">
      <c r="B31" s="16">
        <v>24</v>
      </c>
      <c r="C31" s="6"/>
      <c r="D31" s="6"/>
      <c r="E31" s="6"/>
      <c r="F31" s="6"/>
      <c r="G31" s="6"/>
      <c r="H31" s="418"/>
      <c r="I31" s="417">
        <v>1.35</v>
      </c>
      <c r="J31" s="422">
        <f t="shared" si="4"/>
        <v>0</v>
      </c>
      <c r="K31" s="422"/>
      <c r="L31" s="418"/>
      <c r="M31" s="422">
        <f t="shared" si="2"/>
        <v>0</v>
      </c>
      <c r="Q31" s="16">
        <v>23</v>
      </c>
      <c r="R31" s="6" t="s">
        <v>366</v>
      </c>
      <c r="S31" s="73">
        <v>46176</v>
      </c>
      <c r="T31" s="6">
        <v>2.72</v>
      </c>
      <c r="U31" s="6"/>
      <c r="V31" s="6"/>
      <c r="AD31" s="16">
        <v>31</v>
      </c>
      <c r="AE31" s="16">
        <v>0.38800000000000001</v>
      </c>
    </row>
    <row r="32" spans="2:38" x14ac:dyDescent="0.3">
      <c r="B32" s="16">
        <v>25</v>
      </c>
      <c r="C32" s="6"/>
      <c r="D32" s="6"/>
      <c r="E32" s="6"/>
      <c r="F32" s="6"/>
      <c r="G32" s="6"/>
      <c r="H32" s="418"/>
      <c r="I32" s="417">
        <v>1.35</v>
      </c>
      <c r="J32" s="422">
        <f t="shared" si="4"/>
        <v>0</v>
      </c>
      <c r="K32" s="422"/>
      <c r="L32" s="418"/>
      <c r="M32" s="422">
        <f t="shared" si="2"/>
        <v>0</v>
      </c>
      <c r="Q32" s="16">
        <v>24</v>
      </c>
      <c r="R32" s="6" t="s">
        <v>367</v>
      </c>
      <c r="S32" s="73">
        <v>46176</v>
      </c>
      <c r="T32" s="6">
        <v>0.57599999999999996</v>
      </c>
      <c r="U32" s="6"/>
      <c r="V32" s="6"/>
      <c r="AD32" s="16">
        <v>32</v>
      </c>
      <c r="AE32" s="6">
        <v>0.38800000000000001</v>
      </c>
    </row>
    <row r="33" spans="2:38" x14ac:dyDescent="0.3">
      <c r="B33" s="16">
        <v>26</v>
      </c>
      <c r="C33" s="6"/>
      <c r="D33" s="6"/>
      <c r="E33" s="6"/>
      <c r="F33" s="6"/>
      <c r="G33" s="6"/>
      <c r="H33" s="418"/>
      <c r="I33" s="417">
        <v>1.35</v>
      </c>
      <c r="J33" s="422">
        <f t="shared" si="4"/>
        <v>0</v>
      </c>
      <c r="K33" s="422"/>
      <c r="L33" s="418"/>
      <c r="M33" s="422">
        <f t="shared" si="2"/>
        <v>0</v>
      </c>
      <c r="Q33" s="16">
        <v>25</v>
      </c>
      <c r="R33" s="6" t="s">
        <v>368</v>
      </c>
      <c r="S33" s="73">
        <v>46176</v>
      </c>
      <c r="T33" s="6">
        <v>0.66300000000000003</v>
      </c>
      <c r="U33" s="6"/>
      <c r="V33" s="6"/>
      <c r="AD33" s="16">
        <v>33</v>
      </c>
      <c r="AE33" s="16">
        <v>0.40699999999999997</v>
      </c>
    </row>
    <row r="34" spans="2:38" x14ac:dyDescent="0.3">
      <c r="B34" s="16">
        <v>27</v>
      </c>
      <c r="C34" s="6"/>
      <c r="D34" s="6"/>
      <c r="E34" s="6"/>
      <c r="F34" s="6"/>
      <c r="G34" s="6"/>
      <c r="H34" s="418"/>
      <c r="I34" s="417">
        <v>1.35</v>
      </c>
      <c r="J34" s="422">
        <f t="shared" si="4"/>
        <v>0</v>
      </c>
      <c r="K34" s="422"/>
      <c r="L34" s="418"/>
      <c r="M34" s="422">
        <f t="shared" si="2"/>
        <v>0</v>
      </c>
      <c r="Q34" s="16">
        <v>26</v>
      </c>
      <c r="R34" s="6" t="s">
        <v>369</v>
      </c>
      <c r="S34" s="73">
        <v>46176</v>
      </c>
      <c r="T34" s="6">
        <v>1.8220000000000001</v>
      </c>
      <c r="U34" s="6"/>
      <c r="V34" s="6"/>
      <c r="AD34" s="16">
        <v>34</v>
      </c>
      <c r="AE34" s="6">
        <v>0.42</v>
      </c>
    </row>
    <row r="35" spans="2:38" x14ac:dyDescent="0.3">
      <c r="B35" s="16">
        <v>28</v>
      </c>
      <c r="C35" s="6"/>
      <c r="D35" s="6"/>
      <c r="E35" s="6"/>
      <c r="F35" s="6"/>
      <c r="G35" s="6"/>
      <c r="H35" s="418"/>
      <c r="I35" s="417">
        <v>1.35</v>
      </c>
      <c r="J35" s="422">
        <f t="shared" si="4"/>
        <v>0</v>
      </c>
      <c r="K35" s="422"/>
      <c r="L35" s="418"/>
      <c r="M35" s="422">
        <f t="shared" si="2"/>
        <v>0</v>
      </c>
      <c r="Q35" s="16">
        <v>27</v>
      </c>
      <c r="R35" s="6" t="s">
        <v>370</v>
      </c>
      <c r="S35" s="73">
        <v>46176</v>
      </c>
      <c r="T35" s="6">
        <v>0.79700000000000004</v>
      </c>
      <c r="U35" s="6"/>
      <c r="V35" s="6"/>
      <c r="AD35" s="16">
        <v>35</v>
      </c>
      <c r="AE35" s="16">
        <v>0.42199999999999999</v>
      </c>
    </row>
    <row r="36" spans="2:38" x14ac:dyDescent="0.3">
      <c r="B36" s="16">
        <v>29</v>
      </c>
      <c r="C36" s="6"/>
      <c r="D36" s="6"/>
      <c r="E36" s="6"/>
      <c r="F36" s="6"/>
      <c r="G36" s="6"/>
      <c r="H36" s="418"/>
      <c r="I36" s="417">
        <v>1.35</v>
      </c>
      <c r="J36" s="422">
        <f t="shared" si="4"/>
        <v>0</v>
      </c>
      <c r="K36" s="422"/>
      <c r="L36" s="418"/>
      <c r="M36" s="422">
        <f t="shared" si="2"/>
        <v>0</v>
      </c>
      <c r="Q36" s="16">
        <v>28</v>
      </c>
      <c r="R36" s="6" t="s">
        <v>371</v>
      </c>
      <c r="S36" s="73">
        <v>46176</v>
      </c>
      <c r="T36" s="6">
        <v>1.3919999999999999</v>
      </c>
      <c r="U36" s="6"/>
      <c r="V36" s="6"/>
      <c r="AD36" s="16">
        <v>36</v>
      </c>
      <c r="AE36" s="16">
        <v>0.43</v>
      </c>
    </row>
    <row r="37" spans="2:38" x14ac:dyDescent="0.3">
      <c r="B37" s="16">
        <v>30</v>
      </c>
      <c r="C37" s="6"/>
      <c r="D37" s="6"/>
      <c r="E37" s="6"/>
      <c r="F37" s="6"/>
      <c r="G37" s="6"/>
      <c r="H37" s="418"/>
      <c r="I37" s="417">
        <v>1.35</v>
      </c>
      <c r="J37" s="422">
        <f t="shared" si="4"/>
        <v>0</v>
      </c>
      <c r="K37" s="422"/>
      <c r="L37" s="418"/>
      <c r="M37" s="422">
        <f t="shared" si="2"/>
        <v>0</v>
      </c>
      <c r="Q37" s="16">
        <v>29</v>
      </c>
      <c r="R37" s="6" t="s">
        <v>372</v>
      </c>
      <c r="S37" s="73">
        <v>46176</v>
      </c>
      <c r="T37" s="6">
        <v>0.70699999999999996</v>
      </c>
      <c r="U37" s="6"/>
      <c r="V37" s="6"/>
      <c r="AD37" s="16">
        <v>37</v>
      </c>
      <c r="AE37" s="16">
        <v>0.438</v>
      </c>
    </row>
    <row r="38" spans="2:38" ht="15" thickBot="1" x14ac:dyDescent="0.35">
      <c r="B38" s="16">
        <v>31</v>
      </c>
      <c r="C38" s="6"/>
      <c r="D38" s="6"/>
      <c r="E38" s="6"/>
      <c r="F38" s="6"/>
      <c r="G38" s="6"/>
      <c r="H38" s="418"/>
      <c r="I38" s="417">
        <v>1.35</v>
      </c>
      <c r="J38" s="422">
        <f t="shared" si="4"/>
        <v>0</v>
      </c>
      <c r="K38" s="422"/>
      <c r="L38" s="418"/>
      <c r="M38" s="422">
        <f t="shared" si="2"/>
        <v>0</v>
      </c>
      <c r="Q38" s="16">
        <v>30</v>
      </c>
      <c r="R38" s="6" t="s">
        <v>373</v>
      </c>
      <c r="S38" s="73">
        <v>46176</v>
      </c>
      <c r="T38" s="6">
        <v>1.552</v>
      </c>
      <c r="U38" s="6"/>
      <c r="V38" s="6"/>
      <c r="AD38" s="16">
        <v>38</v>
      </c>
      <c r="AE38" s="16">
        <v>0.45400000000000001</v>
      </c>
    </row>
    <row r="39" spans="2:38" x14ac:dyDescent="0.3">
      <c r="B39" s="16">
        <v>32</v>
      </c>
      <c r="C39" s="6"/>
      <c r="D39" s="6"/>
      <c r="E39" s="6"/>
      <c r="F39" s="6"/>
      <c r="G39" s="6"/>
      <c r="H39" s="418"/>
      <c r="I39" s="417">
        <v>1.35</v>
      </c>
      <c r="J39" s="422">
        <f t="shared" si="4"/>
        <v>0</v>
      </c>
      <c r="K39" s="422"/>
      <c r="L39" s="418"/>
      <c r="M39" s="422">
        <f t="shared" si="2"/>
        <v>0</v>
      </c>
      <c r="Q39" s="16">
        <v>31</v>
      </c>
      <c r="R39" s="6" t="s">
        <v>374</v>
      </c>
      <c r="S39" s="73">
        <v>46176</v>
      </c>
      <c r="T39" s="6">
        <v>0.76500000000000001</v>
      </c>
      <c r="U39" s="6"/>
      <c r="V39" s="6"/>
      <c r="AD39" s="16">
        <v>39</v>
      </c>
      <c r="AE39" s="16">
        <v>0.45500000000000002</v>
      </c>
      <c r="AG39" s="685" t="s">
        <v>423</v>
      </c>
      <c r="AH39" s="686"/>
      <c r="AI39" s="686"/>
      <c r="AJ39" s="686"/>
      <c r="AK39" s="686"/>
      <c r="AL39" s="687"/>
    </row>
    <row r="40" spans="2:38" x14ac:dyDescent="0.3">
      <c r="B40" s="147" t="s">
        <v>122</v>
      </c>
      <c r="C40" s="147"/>
      <c r="D40" s="147"/>
      <c r="E40" s="147"/>
      <c r="F40" s="147"/>
      <c r="G40" s="147"/>
      <c r="H40" s="419"/>
      <c r="I40" s="419"/>
      <c r="J40" s="419"/>
      <c r="K40" s="419"/>
      <c r="L40" s="457">
        <f>AVERAGE(L8:L22)</f>
        <v>1.8267999999999998</v>
      </c>
      <c r="M40" s="427">
        <f>SUM(M8:M39)</f>
        <v>4406.7080500000002</v>
      </c>
      <c r="N40" s="15"/>
      <c r="O40" s="153"/>
      <c r="Q40" s="16">
        <v>32</v>
      </c>
      <c r="R40" s="6" t="s">
        <v>375</v>
      </c>
      <c r="S40" s="73">
        <v>46176</v>
      </c>
      <c r="T40" s="6">
        <v>1.2350000000000001</v>
      </c>
      <c r="U40" s="6"/>
      <c r="V40" s="6"/>
      <c r="AD40" s="16">
        <v>40</v>
      </c>
      <c r="AE40" s="16">
        <v>0.45800000000000002</v>
      </c>
      <c r="AG40" s="688"/>
      <c r="AH40" s="689"/>
      <c r="AI40" s="689"/>
      <c r="AJ40" s="689"/>
      <c r="AK40" s="689"/>
      <c r="AL40" s="690"/>
    </row>
    <row r="41" spans="2:38" x14ac:dyDescent="0.3">
      <c r="B41" s="147" t="s">
        <v>18</v>
      </c>
      <c r="C41" s="147"/>
      <c r="D41" s="151"/>
      <c r="E41" s="151"/>
      <c r="F41" s="151"/>
      <c r="G41" s="151">
        <f>SUM(G8:G39)</f>
        <v>1420</v>
      </c>
      <c r="H41" s="420">
        <f>SUM(H8:H39)</f>
        <v>1584</v>
      </c>
      <c r="I41" s="420"/>
      <c r="J41" s="423">
        <f>SUM(J8:J39)</f>
        <v>2158.6300000000006</v>
      </c>
      <c r="K41" s="423">
        <f>SUM(K8:K39)</f>
        <v>1939.6</v>
      </c>
      <c r="L41" s="457">
        <f>MEDIAN(L8:L22)</f>
        <v>1.1100000000000001</v>
      </c>
      <c r="M41" s="423">
        <f>L41*J41</f>
        <v>2396.0793000000008</v>
      </c>
      <c r="N41" s="12"/>
      <c r="Q41" s="227">
        <v>33</v>
      </c>
      <c r="R41" s="227" t="s">
        <v>384</v>
      </c>
      <c r="S41" s="84">
        <v>46251</v>
      </c>
      <c r="T41" s="16">
        <v>1.0349999999999999</v>
      </c>
      <c r="U41" s="227"/>
      <c r="V41" s="227"/>
      <c r="AD41" s="16">
        <v>41</v>
      </c>
      <c r="AE41" s="6">
        <v>0.48799999999999999</v>
      </c>
      <c r="AG41" s="428">
        <v>1</v>
      </c>
      <c r="AH41" s="38">
        <v>0.81</v>
      </c>
      <c r="AJ41" s="1">
        <v>1</v>
      </c>
      <c r="AK41" s="193">
        <v>1.6</v>
      </c>
      <c r="AL41" s="429"/>
    </row>
    <row r="42" spans="2:38" x14ac:dyDescent="0.3">
      <c r="L42" s="426"/>
      <c r="Q42" s="227">
        <v>34</v>
      </c>
      <c r="R42" s="227" t="s">
        <v>385</v>
      </c>
      <c r="S42" s="84">
        <v>46251</v>
      </c>
      <c r="T42" s="16">
        <v>0.52600000000000002</v>
      </c>
      <c r="U42" s="227"/>
      <c r="V42" s="227"/>
      <c r="Y42" s="2"/>
      <c r="AD42" s="16">
        <v>42</v>
      </c>
      <c r="AE42" s="16">
        <v>0.48899999999999999</v>
      </c>
      <c r="AG42" s="428">
        <v>2</v>
      </c>
      <c r="AH42" s="38">
        <v>0.81</v>
      </c>
      <c r="AJ42" s="1">
        <v>2</v>
      </c>
      <c r="AK42" s="193">
        <v>1.6</v>
      </c>
      <c r="AL42" s="429"/>
    </row>
    <row r="43" spans="2:38" ht="43.2" x14ac:dyDescent="0.3">
      <c r="L43" s="444" t="s">
        <v>440</v>
      </c>
      <c r="M43" s="443">
        <f>M40/J41</f>
        <v>2.0414374163242424</v>
      </c>
      <c r="Q43" s="227">
        <v>35</v>
      </c>
      <c r="R43" s="227" t="s">
        <v>386</v>
      </c>
      <c r="S43" s="84">
        <v>46251</v>
      </c>
      <c r="T43" s="16">
        <v>0.81599999999999995</v>
      </c>
      <c r="U43" s="227"/>
      <c r="V43" s="227"/>
      <c r="AD43" s="16">
        <v>43</v>
      </c>
      <c r="AE43" s="16">
        <v>0.501</v>
      </c>
      <c r="AG43" s="428">
        <v>3</v>
      </c>
      <c r="AH43" s="38">
        <v>0.81</v>
      </c>
      <c r="AJ43" s="1">
        <v>3</v>
      </c>
      <c r="AK43" s="193">
        <v>1.6</v>
      </c>
      <c r="AL43" s="429"/>
    </row>
    <row r="44" spans="2:38" x14ac:dyDescent="0.3">
      <c r="I44" s="421"/>
      <c r="J44" s="421"/>
      <c r="K44" s="421"/>
      <c r="L44" s="426"/>
      <c r="Q44" s="227">
        <v>36</v>
      </c>
      <c r="R44" s="227" t="s">
        <v>387</v>
      </c>
      <c r="S44" s="84">
        <v>46251</v>
      </c>
      <c r="T44" s="16">
        <v>0.34399999999999997</v>
      </c>
      <c r="U44" s="227"/>
      <c r="V44" s="227"/>
      <c r="AD44" s="16">
        <v>44</v>
      </c>
      <c r="AE44" s="16">
        <v>0.502</v>
      </c>
      <c r="AG44" s="428">
        <v>4</v>
      </c>
      <c r="AH44" s="38">
        <v>0.81</v>
      </c>
      <c r="AJ44" s="1">
        <v>4</v>
      </c>
      <c r="AK44" s="193">
        <v>1.6</v>
      </c>
      <c r="AL44" s="429"/>
    </row>
    <row r="45" spans="2:38" x14ac:dyDescent="0.3">
      <c r="I45" s="421"/>
      <c r="Q45" s="227">
        <v>37</v>
      </c>
      <c r="R45" s="227" t="s">
        <v>388</v>
      </c>
      <c r="S45" s="84">
        <v>46251</v>
      </c>
      <c r="T45" s="16">
        <v>0.30399999999999999</v>
      </c>
      <c r="U45" s="227"/>
      <c r="V45" s="227"/>
      <c r="AD45" s="16">
        <v>45</v>
      </c>
      <c r="AE45" s="16">
        <v>0.50600000000000001</v>
      </c>
      <c r="AG45" s="428">
        <v>5</v>
      </c>
      <c r="AH45" s="38">
        <v>0.81</v>
      </c>
      <c r="AJ45" s="1">
        <v>5</v>
      </c>
      <c r="AK45" s="193">
        <v>1.6</v>
      </c>
      <c r="AL45" s="429"/>
    </row>
    <row r="46" spans="2:38" x14ac:dyDescent="0.3">
      <c r="J46" s="421"/>
      <c r="Q46" s="227">
        <v>38</v>
      </c>
      <c r="R46" s="227" t="s">
        <v>389</v>
      </c>
      <c r="S46" s="84">
        <v>46251</v>
      </c>
      <c r="T46" s="16">
        <v>0.74399999999999999</v>
      </c>
      <c r="U46" s="227"/>
      <c r="V46" s="227"/>
      <c r="AD46" s="16">
        <v>46</v>
      </c>
      <c r="AE46" s="16">
        <v>0.52600000000000002</v>
      </c>
      <c r="AG46" s="428">
        <v>6</v>
      </c>
      <c r="AH46" s="38">
        <v>0.81</v>
      </c>
      <c r="AJ46" s="1">
        <v>6</v>
      </c>
      <c r="AK46" s="193">
        <v>1.6</v>
      </c>
      <c r="AL46" s="429"/>
    </row>
    <row r="47" spans="2:38" x14ac:dyDescent="0.3">
      <c r="B47" s="1" t="s">
        <v>379</v>
      </c>
      <c r="C47" s="84">
        <v>46245</v>
      </c>
      <c r="D47" s="16" t="s">
        <v>377</v>
      </c>
      <c r="E47" s="16" t="s">
        <v>378</v>
      </c>
      <c r="F47" s="16"/>
      <c r="G47" s="16"/>
      <c r="H47" s="417">
        <v>271</v>
      </c>
      <c r="I47" s="417">
        <v>1.35</v>
      </c>
      <c r="J47" s="422">
        <f>H47*I47</f>
        <v>365.85</v>
      </c>
      <c r="K47" s="424"/>
      <c r="M47" s="421"/>
      <c r="Q47" s="227">
        <v>39</v>
      </c>
      <c r="R47" s="227" t="s">
        <v>390</v>
      </c>
      <c r="S47" s="84">
        <v>46251</v>
      </c>
      <c r="T47" s="16">
        <v>0.56299999999999994</v>
      </c>
      <c r="U47" s="227"/>
      <c r="V47" s="227"/>
      <c r="AD47" s="16">
        <v>47</v>
      </c>
      <c r="AE47" s="6">
        <v>0.53800000000000003</v>
      </c>
      <c r="AG47" s="428">
        <v>7</v>
      </c>
      <c r="AH47" s="38">
        <v>0.81</v>
      </c>
      <c r="AJ47" s="1">
        <v>7</v>
      </c>
      <c r="AK47" s="193">
        <v>1.6</v>
      </c>
      <c r="AL47" s="429"/>
    </row>
    <row r="48" spans="2:38" x14ac:dyDescent="0.3">
      <c r="J48" s="421"/>
      <c r="Q48" s="227">
        <v>40</v>
      </c>
      <c r="R48" s="227" t="s">
        <v>391</v>
      </c>
      <c r="S48" s="84">
        <v>46251</v>
      </c>
      <c r="T48" s="16">
        <v>0.438</v>
      </c>
      <c r="U48" s="227"/>
      <c r="V48" s="227"/>
      <c r="AD48" s="16">
        <v>48</v>
      </c>
      <c r="AE48" s="16">
        <v>0.54600000000000004</v>
      </c>
      <c r="AG48" s="428">
        <v>8</v>
      </c>
      <c r="AH48" s="38">
        <v>0.81</v>
      </c>
      <c r="AJ48" s="1">
        <v>8</v>
      </c>
      <c r="AK48" s="193">
        <v>1.6</v>
      </c>
      <c r="AL48" s="429"/>
    </row>
    <row r="49" spans="7:38" x14ac:dyDescent="0.3">
      <c r="Q49" s="227">
        <v>41</v>
      </c>
      <c r="R49" s="227" t="s">
        <v>392</v>
      </c>
      <c r="S49" s="84">
        <v>46251</v>
      </c>
      <c r="T49" s="16">
        <v>0.45800000000000002</v>
      </c>
      <c r="U49" s="227"/>
      <c r="V49" s="227"/>
      <c r="AD49" s="16">
        <v>49</v>
      </c>
      <c r="AE49" s="16">
        <v>0.55500000000000005</v>
      </c>
      <c r="AG49" s="428">
        <v>9</v>
      </c>
      <c r="AH49" s="38">
        <v>0.81</v>
      </c>
      <c r="AJ49" s="1">
        <v>9</v>
      </c>
      <c r="AK49" s="193">
        <v>1.6</v>
      </c>
      <c r="AL49" s="429"/>
    </row>
    <row r="50" spans="7:38" x14ac:dyDescent="0.3">
      <c r="G50" s="16">
        <v>41</v>
      </c>
      <c r="J50" s="421"/>
      <c r="Q50" s="227">
        <v>42</v>
      </c>
      <c r="R50" s="227" t="s">
        <v>393</v>
      </c>
      <c r="S50" s="84">
        <v>46252</v>
      </c>
      <c r="T50" s="16">
        <v>0.55800000000000005</v>
      </c>
      <c r="U50" s="227"/>
      <c r="V50" s="227"/>
      <c r="AD50" s="16">
        <v>50</v>
      </c>
      <c r="AE50" s="16">
        <v>0.55600000000000005</v>
      </c>
      <c r="AG50" s="428">
        <v>10</v>
      </c>
      <c r="AH50" s="38">
        <v>0.81</v>
      </c>
      <c r="AJ50" s="1">
        <v>10</v>
      </c>
      <c r="AK50" s="193">
        <v>1.6</v>
      </c>
      <c r="AL50" s="429"/>
    </row>
    <row r="51" spans="7:38" x14ac:dyDescent="0.3">
      <c r="G51" s="16">
        <v>16</v>
      </c>
      <c r="Q51" s="227">
        <v>43</v>
      </c>
      <c r="R51" s="227" t="s">
        <v>394</v>
      </c>
      <c r="S51" s="84">
        <v>46252</v>
      </c>
      <c r="T51" s="16">
        <v>0.501</v>
      </c>
      <c r="U51" s="227"/>
      <c r="V51" s="227"/>
      <c r="AD51" s="16">
        <v>51</v>
      </c>
      <c r="AE51" s="16">
        <v>0.55800000000000005</v>
      </c>
      <c r="AG51" s="428">
        <v>11</v>
      </c>
      <c r="AH51" s="38">
        <v>0.81</v>
      </c>
      <c r="AJ51" s="1">
        <v>11</v>
      </c>
      <c r="AK51" s="193">
        <v>1.6</v>
      </c>
      <c r="AL51" s="429"/>
    </row>
    <row r="52" spans="7:38" x14ac:dyDescent="0.3">
      <c r="G52" s="16">
        <v>93</v>
      </c>
      <c r="I52" s="421"/>
      <c r="Q52" s="227">
        <v>44</v>
      </c>
      <c r="R52" s="227" t="s">
        <v>395</v>
      </c>
      <c r="S52" s="84">
        <v>46252</v>
      </c>
      <c r="T52" s="16">
        <v>1.25</v>
      </c>
      <c r="U52" s="227"/>
      <c r="V52" s="227"/>
      <c r="AD52" s="16">
        <v>52</v>
      </c>
      <c r="AE52" s="16">
        <v>0.55800000000000005</v>
      </c>
      <c r="AG52" s="428">
        <v>12</v>
      </c>
      <c r="AH52" s="38">
        <v>0.81</v>
      </c>
      <c r="AJ52" s="1">
        <v>12</v>
      </c>
      <c r="AK52" s="193">
        <v>1.6</v>
      </c>
      <c r="AL52" s="429"/>
    </row>
    <row r="53" spans="7:38" x14ac:dyDescent="0.3">
      <c r="G53" s="16">
        <v>40</v>
      </c>
      <c r="H53" s="415">
        <f>1800+1000</f>
        <v>2800</v>
      </c>
      <c r="Q53" s="227">
        <v>45</v>
      </c>
      <c r="R53" s="227" t="s">
        <v>399</v>
      </c>
      <c r="S53" s="317">
        <v>46253</v>
      </c>
      <c r="T53" s="227">
        <v>0.35099999999999998</v>
      </c>
      <c r="U53" s="227"/>
      <c r="V53" s="227"/>
      <c r="AD53" s="16">
        <v>53</v>
      </c>
      <c r="AE53" s="16">
        <v>0.56200000000000006</v>
      </c>
      <c r="AG53" s="428">
        <v>13</v>
      </c>
      <c r="AH53" s="38">
        <v>0.81</v>
      </c>
      <c r="AJ53" s="1">
        <v>13</v>
      </c>
      <c r="AK53" s="193">
        <v>1.6</v>
      </c>
      <c r="AL53" s="429"/>
    </row>
    <row r="54" spans="7:38" x14ac:dyDescent="0.3">
      <c r="G54" s="16">
        <v>13</v>
      </c>
      <c r="Q54" s="227">
        <v>46</v>
      </c>
      <c r="R54" s="227" t="s">
        <v>400</v>
      </c>
      <c r="S54" s="317">
        <v>46253</v>
      </c>
      <c r="T54" s="227">
        <v>2.028</v>
      </c>
      <c r="U54" s="227"/>
      <c r="V54" s="227"/>
      <c r="AD54" s="16">
        <v>54</v>
      </c>
      <c r="AE54" s="16">
        <v>0.56299999999999994</v>
      </c>
      <c r="AG54" s="428">
        <v>14</v>
      </c>
      <c r="AH54" s="38">
        <v>0.81</v>
      </c>
      <c r="AJ54" s="1">
        <v>14</v>
      </c>
      <c r="AK54" s="193">
        <v>1.6</v>
      </c>
      <c r="AL54" s="429"/>
    </row>
    <row r="55" spans="7:38" x14ac:dyDescent="0.3">
      <c r="G55" s="16">
        <v>190</v>
      </c>
      <c r="Q55" s="227">
        <v>47</v>
      </c>
      <c r="R55" s="227" t="s">
        <v>401</v>
      </c>
      <c r="S55" s="317">
        <v>46253</v>
      </c>
      <c r="T55" s="227">
        <v>1.8380000000000001</v>
      </c>
      <c r="U55" s="227"/>
      <c r="V55" s="227"/>
      <c r="AD55" s="16">
        <v>55</v>
      </c>
      <c r="AE55" s="16">
        <v>0.57399999999999995</v>
      </c>
      <c r="AG55" s="428">
        <v>15</v>
      </c>
      <c r="AH55" s="38">
        <v>0.81</v>
      </c>
      <c r="AJ55" s="1">
        <v>15</v>
      </c>
      <c r="AK55" s="193">
        <v>1.6</v>
      </c>
      <c r="AL55" s="429"/>
    </row>
    <row r="56" spans="7:38" x14ac:dyDescent="0.3">
      <c r="G56" s="16">
        <v>220</v>
      </c>
      <c r="Q56" s="227">
        <v>48</v>
      </c>
      <c r="R56" s="227" t="s">
        <v>402</v>
      </c>
      <c r="S56" s="317">
        <v>46253</v>
      </c>
      <c r="T56" s="227">
        <v>1.3220000000000001</v>
      </c>
      <c r="U56" s="227"/>
      <c r="V56" s="227"/>
      <c r="AD56" s="16">
        <v>56</v>
      </c>
      <c r="AE56" s="16">
        <v>0.57599999999999996</v>
      </c>
      <c r="AG56" s="428">
        <v>16</v>
      </c>
      <c r="AH56" s="38">
        <v>0.81</v>
      </c>
      <c r="AJ56" s="1">
        <v>16</v>
      </c>
      <c r="AK56" s="193">
        <v>1.6</v>
      </c>
      <c r="AL56" s="429"/>
    </row>
    <row r="57" spans="7:38" x14ac:dyDescent="0.3">
      <c r="Q57" s="227">
        <v>49</v>
      </c>
      <c r="R57" s="227" t="s">
        <v>403</v>
      </c>
      <c r="S57" s="317">
        <v>46253</v>
      </c>
      <c r="T57" s="227">
        <v>0.65100000000000002</v>
      </c>
      <c r="U57" s="227"/>
      <c r="V57" s="227"/>
      <c r="AD57" s="16">
        <v>57</v>
      </c>
      <c r="AE57" s="16">
        <v>0.57599999999999996</v>
      </c>
      <c r="AG57" s="428">
        <v>17</v>
      </c>
      <c r="AH57" s="38">
        <v>0.81</v>
      </c>
      <c r="AJ57" s="1">
        <v>17</v>
      </c>
      <c r="AK57" s="193">
        <v>1.6</v>
      </c>
      <c r="AL57" s="429"/>
    </row>
    <row r="58" spans="7:38" x14ac:dyDescent="0.3">
      <c r="Q58" s="227">
        <v>50</v>
      </c>
      <c r="R58" s="227" t="s">
        <v>404</v>
      </c>
      <c r="S58" s="317">
        <v>46253</v>
      </c>
      <c r="T58" s="227">
        <v>0.50600000000000001</v>
      </c>
      <c r="U58" s="227"/>
      <c r="V58" s="227"/>
      <c r="AD58" s="16">
        <v>58</v>
      </c>
      <c r="AE58" s="16">
        <v>0.60399999999999998</v>
      </c>
      <c r="AG58" s="428">
        <v>18</v>
      </c>
      <c r="AH58" s="38">
        <v>0.81</v>
      </c>
      <c r="AJ58" s="1">
        <v>18</v>
      </c>
      <c r="AK58" s="193">
        <v>1.6</v>
      </c>
      <c r="AL58" s="429"/>
    </row>
    <row r="59" spans="7:38" x14ac:dyDescent="0.3">
      <c r="Q59" s="227">
        <v>51</v>
      </c>
      <c r="R59" s="227" t="s">
        <v>405</v>
      </c>
      <c r="S59" s="317">
        <v>46253</v>
      </c>
      <c r="T59" s="227">
        <v>0.67300000000000004</v>
      </c>
      <c r="U59" s="227"/>
      <c r="V59" s="227"/>
      <c r="AD59" s="16">
        <v>59</v>
      </c>
      <c r="AE59" s="16">
        <v>0.60399999999999998</v>
      </c>
      <c r="AG59" s="428">
        <v>19</v>
      </c>
      <c r="AH59" s="38">
        <v>0.81</v>
      </c>
      <c r="AJ59" s="1">
        <v>19</v>
      </c>
      <c r="AK59" s="193">
        <v>1.6</v>
      </c>
      <c r="AL59" s="429"/>
    </row>
    <row r="60" spans="7:38" x14ac:dyDescent="0.3">
      <c r="Q60" s="227">
        <v>52</v>
      </c>
      <c r="R60" s="227" t="s">
        <v>406</v>
      </c>
      <c r="S60" s="317">
        <v>46253</v>
      </c>
      <c r="T60" s="227">
        <v>0.66200000000000003</v>
      </c>
      <c r="U60" s="227"/>
      <c r="V60" s="227"/>
      <c r="AD60" s="16">
        <v>60</v>
      </c>
      <c r="AE60" s="6">
        <v>0.61099999999999999</v>
      </c>
      <c r="AG60" s="428">
        <v>20</v>
      </c>
      <c r="AH60" s="38">
        <v>0.81</v>
      </c>
      <c r="AJ60" s="1">
        <v>20</v>
      </c>
      <c r="AK60" s="193">
        <v>1.6</v>
      </c>
      <c r="AL60" s="429"/>
    </row>
    <row r="61" spans="7:38" x14ac:dyDescent="0.3">
      <c r="Q61" s="227">
        <v>53</v>
      </c>
      <c r="R61" s="227" t="s">
        <v>407</v>
      </c>
      <c r="S61" s="317">
        <v>46253</v>
      </c>
      <c r="T61" s="227">
        <v>0.55500000000000005</v>
      </c>
      <c r="U61" s="227"/>
      <c r="V61" s="227"/>
      <c r="AD61" s="16">
        <v>61</v>
      </c>
      <c r="AE61" s="6">
        <v>0.61299999999999999</v>
      </c>
      <c r="AG61" s="428">
        <v>21</v>
      </c>
      <c r="AH61" s="38">
        <v>0.81</v>
      </c>
      <c r="AJ61" s="1">
        <v>21</v>
      </c>
      <c r="AK61" s="193">
        <v>1.6</v>
      </c>
      <c r="AL61" s="429"/>
    </row>
    <row r="62" spans="7:38" x14ac:dyDescent="0.3">
      <c r="Q62" s="227">
        <v>54</v>
      </c>
      <c r="R62" s="227" t="s">
        <v>408</v>
      </c>
      <c r="S62" s="317">
        <v>46253</v>
      </c>
      <c r="T62" s="227">
        <v>0.81299999999999994</v>
      </c>
      <c r="U62" s="227"/>
      <c r="V62" s="227"/>
      <c r="AD62" s="16">
        <v>62</v>
      </c>
      <c r="AE62" s="6">
        <v>0.61299999999999999</v>
      </c>
      <c r="AG62" s="428">
        <v>22</v>
      </c>
      <c r="AH62" s="38">
        <v>0.81</v>
      </c>
      <c r="AJ62" s="1">
        <v>22</v>
      </c>
      <c r="AK62" s="193">
        <v>1.6</v>
      </c>
      <c r="AL62" s="429"/>
    </row>
    <row r="63" spans="7:38" x14ac:dyDescent="0.3">
      <c r="Q63" s="227">
        <v>55</v>
      </c>
      <c r="R63" s="227" t="s">
        <v>409</v>
      </c>
      <c r="S63" s="317">
        <v>46253</v>
      </c>
      <c r="T63" s="227">
        <v>1.147</v>
      </c>
      <c r="U63" s="227"/>
      <c r="V63" s="227"/>
      <c r="AD63" s="16">
        <v>63</v>
      </c>
      <c r="AE63" s="16">
        <v>0.61599999999999999</v>
      </c>
      <c r="AG63" s="428">
        <v>23</v>
      </c>
      <c r="AH63" s="38">
        <v>0.81</v>
      </c>
      <c r="AJ63" s="1">
        <v>23</v>
      </c>
      <c r="AK63" s="193">
        <v>1.6</v>
      </c>
      <c r="AL63" s="429"/>
    </row>
    <row r="64" spans="7:38" x14ac:dyDescent="0.3">
      <c r="Q64" s="227">
        <v>56</v>
      </c>
      <c r="R64" s="227" t="s">
        <v>410</v>
      </c>
      <c r="S64" s="317">
        <v>46253</v>
      </c>
      <c r="T64" s="227">
        <v>1.9410000000000001</v>
      </c>
      <c r="U64" s="227"/>
      <c r="V64" s="227"/>
      <c r="AD64" s="16">
        <v>64</v>
      </c>
      <c r="AE64" s="16">
        <v>0.63200000000000001</v>
      </c>
      <c r="AG64" s="428">
        <v>24</v>
      </c>
      <c r="AH64" s="38">
        <v>0.81</v>
      </c>
      <c r="AJ64" s="1">
        <v>24</v>
      </c>
      <c r="AK64" s="193">
        <v>1.6</v>
      </c>
      <c r="AL64" s="429"/>
    </row>
    <row r="65" spans="17:38" x14ac:dyDescent="0.3">
      <c r="Q65" s="227">
        <v>57</v>
      </c>
      <c r="R65" s="227" t="s">
        <v>411</v>
      </c>
      <c r="S65" s="317">
        <v>46253</v>
      </c>
      <c r="T65" s="227">
        <v>0.48899999999999999</v>
      </c>
      <c r="U65" s="227"/>
      <c r="V65" s="227"/>
      <c r="AD65" s="16">
        <v>65</v>
      </c>
      <c r="AE65" s="16">
        <v>0.63500000000000001</v>
      </c>
      <c r="AG65" s="428">
        <v>25</v>
      </c>
      <c r="AH65" s="38">
        <v>0.81</v>
      </c>
      <c r="AJ65" s="1">
        <v>25</v>
      </c>
      <c r="AK65" s="193">
        <v>1.6</v>
      </c>
      <c r="AL65" s="429"/>
    </row>
    <row r="66" spans="17:38" x14ac:dyDescent="0.3">
      <c r="Q66" s="227">
        <v>58</v>
      </c>
      <c r="R66" s="227" t="s">
        <v>412</v>
      </c>
      <c r="S66" s="317">
        <v>46253</v>
      </c>
      <c r="T66" s="227">
        <v>0.55600000000000005</v>
      </c>
      <c r="U66" s="227"/>
      <c r="V66" s="227"/>
      <c r="AD66" s="16">
        <v>66</v>
      </c>
      <c r="AE66" s="16">
        <v>0.65100000000000002</v>
      </c>
      <c r="AG66" s="428">
        <v>26</v>
      </c>
      <c r="AH66" s="38">
        <v>0.81</v>
      </c>
      <c r="AJ66" s="1">
        <v>26</v>
      </c>
      <c r="AK66" s="193">
        <v>1.6</v>
      </c>
      <c r="AL66" s="429"/>
    </row>
    <row r="67" spans="17:38" x14ac:dyDescent="0.3">
      <c r="Q67" s="227">
        <v>59</v>
      </c>
      <c r="R67" s="227" t="s">
        <v>413</v>
      </c>
      <c r="S67" s="317">
        <v>46253</v>
      </c>
      <c r="T67" s="6">
        <v>3.032</v>
      </c>
      <c r="U67" s="6"/>
      <c r="V67" s="6"/>
      <c r="AD67" s="16">
        <v>67</v>
      </c>
      <c r="AE67" s="16">
        <v>0.66200000000000003</v>
      </c>
      <c r="AG67" s="428">
        <v>27</v>
      </c>
      <c r="AH67" s="38">
        <v>0.81</v>
      </c>
      <c r="AJ67" s="1">
        <v>27</v>
      </c>
      <c r="AK67" s="193">
        <v>1.6</v>
      </c>
      <c r="AL67" s="429"/>
    </row>
    <row r="68" spans="17:38" x14ac:dyDescent="0.3">
      <c r="Q68" s="227">
        <v>60</v>
      </c>
      <c r="R68" s="227" t="s">
        <v>393</v>
      </c>
      <c r="S68" s="317">
        <v>46253</v>
      </c>
      <c r="T68" s="6">
        <v>0.63200000000000001</v>
      </c>
      <c r="U68" s="6"/>
      <c r="V68" s="6"/>
      <c r="AD68" s="16">
        <v>68</v>
      </c>
      <c r="AE68" s="16">
        <v>0.66300000000000003</v>
      </c>
      <c r="AG68" s="428">
        <v>28</v>
      </c>
      <c r="AH68" s="38">
        <v>0.81</v>
      </c>
      <c r="AJ68" s="1">
        <v>28</v>
      </c>
      <c r="AK68" s="193">
        <v>1.6</v>
      </c>
      <c r="AL68" s="429"/>
    </row>
    <row r="69" spans="17:38" x14ac:dyDescent="0.3">
      <c r="Q69" s="227">
        <v>61</v>
      </c>
      <c r="R69" s="227" t="s">
        <v>394</v>
      </c>
      <c r="S69" s="317">
        <v>46253</v>
      </c>
      <c r="T69" s="6">
        <v>1.0429999999999999</v>
      </c>
      <c r="U69" s="6"/>
      <c r="V69" s="6"/>
      <c r="AD69" s="16">
        <v>69</v>
      </c>
      <c r="AE69" s="16">
        <v>0.67300000000000004</v>
      </c>
      <c r="AG69" s="428">
        <v>29</v>
      </c>
      <c r="AH69" s="38">
        <v>0.81</v>
      </c>
      <c r="AJ69" s="1">
        <v>29</v>
      </c>
      <c r="AK69" s="193">
        <v>1.6</v>
      </c>
      <c r="AL69" s="429"/>
    </row>
    <row r="70" spans="17:38" x14ac:dyDescent="0.3">
      <c r="Q70" s="227">
        <v>62</v>
      </c>
      <c r="R70" s="227" t="s">
        <v>395</v>
      </c>
      <c r="S70" s="317">
        <v>46253</v>
      </c>
      <c r="T70" s="6">
        <v>1.59</v>
      </c>
      <c r="U70" s="6"/>
      <c r="V70" s="6"/>
      <c r="AD70" s="16">
        <v>70</v>
      </c>
      <c r="AE70" s="16">
        <v>0.69599999999999995</v>
      </c>
      <c r="AG70" s="428">
        <v>30</v>
      </c>
      <c r="AH70" s="38">
        <v>0.81</v>
      </c>
      <c r="AJ70" s="1">
        <v>30</v>
      </c>
      <c r="AK70" s="193">
        <v>1.6</v>
      </c>
      <c r="AL70" s="429"/>
    </row>
    <row r="71" spans="17:38" x14ac:dyDescent="0.3">
      <c r="Q71" s="227">
        <v>63</v>
      </c>
      <c r="R71" s="227" t="s">
        <v>414</v>
      </c>
      <c r="S71" s="317">
        <v>46253</v>
      </c>
      <c r="T71" s="6">
        <v>0.33700000000000002</v>
      </c>
      <c r="U71" s="6"/>
      <c r="V71" s="6"/>
      <c r="AD71" s="16">
        <v>71</v>
      </c>
      <c r="AE71" s="16">
        <v>0.70199999999999996</v>
      </c>
      <c r="AG71" s="428">
        <v>31</v>
      </c>
      <c r="AH71" s="38">
        <v>0.81</v>
      </c>
      <c r="AJ71" s="1">
        <v>31</v>
      </c>
      <c r="AK71" s="193">
        <v>1.6</v>
      </c>
      <c r="AL71" s="429"/>
    </row>
    <row r="72" spans="17:38" x14ac:dyDescent="0.3">
      <c r="Q72" s="227">
        <v>64</v>
      </c>
      <c r="R72" s="227" t="s">
        <v>415</v>
      </c>
      <c r="S72" s="317">
        <v>46253</v>
      </c>
      <c r="T72" s="6">
        <v>0.252</v>
      </c>
      <c r="U72" s="6"/>
      <c r="V72" s="6"/>
      <c r="AD72" s="16">
        <v>72</v>
      </c>
      <c r="AE72" s="16">
        <v>0.70699999999999996</v>
      </c>
      <c r="AG72" s="428">
        <v>32</v>
      </c>
      <c r="AH72" s="38">
        <v>0.81</v>
      </c>
      <c r="AJ72" s="1">
        <v>32</v>
      </c>
      <c r="AK72" s="193">
        <v>1.6</v>
      </c>
      <c r="AL72" s="429"/>
    </row>
    <row r="73" spans="17:38" x14ac:dyDescent="0.3">
      <c r="Q73" s="227">
        <v>65</v>
      </c>
      <c r="R73" s="227" t="s">
        <v>399</v>
      </c>
      <c r="S73" s="317">
        <v>46254</v>
      </c>
      <c r="T73" s="6">
        <v>0.90500000000000003</v>
      </c>
      <c r="U73" s="6"/>
      <c r="V73" s="6"/>
      <c r="AD73" s="16">
        <v>73</v>
      </c>
      <c r="AE73" s="16">
        <v>0.73199999999999998</v>
      </c>
      <c r="AG73" s="428">
        <v>33</v>
      </c>
      <c r="AH73" s="38">
        <v>0.81</v>
      </c>
      <c r="AJ73" s="1">
        <v>33</v>
      </c>
      <c r="AK73" s="193">
        <v>1.6</v>
      </c>
      <c r="AL73" s="429"/>
    </row>
    <row r="74" spans="17:38" x14ac:dyDescent="0.3">
      <c r="Q74" s="227">
        <v>66</v>
      </c>
      <c r="R74" s="227" t="s">
        <v>401</v>
      </c>
      <c r="S74" s="317">
        <v>46254</v>
      </c>
      <c r="T74" s="6">
        <v>0.91200000000000003</v>
      </c>
      <c r="U74" s="6"/>
      <c r="V74" s="6"/>
      <c r="AD74" s="16">
        <v>74</v>
      </c>
      <c r="AE74" s="16">
        <v>0.73499999999999999</v>
      </c>
      <c r="AG74" s="428">
        <v>34</v>
      </c>
      <c r="AH74" s="38">
        <v>0.81</v>
      </c>
      <c r="AJ74" s="1">
        <v>34</v>
      </c>
      <c r="AK74" s="193">
        <v>1.6</v>
      </c>
      <c r="AL74" s="429"/>
    </row>
    <row r="75" spans="17:38" x14ac:dyDescent="0.3">
      <c r="Q75" s="227">
        <v>67</v>
      </c>
      <c r="R75" s="227" t="s">
        <v>403</v>
      </c>
      <c r="S75" s="317">
        <v>46254</v>
      </c>
      <c r="T75" s="6">
        <v>0.21199999999999999</v>
      </c>
      <c r="U75" s="6"/>
      <c r="V75" s="6"/>
      <c r="AD75" s="16">
        <v>75</v>
      </c>
      <c r="AE75" s="16">
        <v>0.74399999999999999</v>
      </c>
      <c r="AG75" s="428">
        <v>35</v>
      </c>
      <c r="AH75" s="38">
        <v>0.81</v>
      </c>
      <c r="AJ75" s="1">
        <v>35</v>
      </c>
      <c r="AK75" s="193">
        <v>1.6</v>
      </c>
      <c r="AL75" s="429"/>
    </row>
    <row r="76" spans="17:38" x14ac:dyDescent="0.3">
      <c r="Q76" s="227">
        <v>68</v>
      </c>
      <c r="R76" s="227" t="s">
        <v>405</v>
      </c>
      <c r="S76" s="317">
        <v>46254</v>
      </c>
      <c r="T76" s="6">
        <v>0.32300000000000001</v>
      </c>
      <c r="U76" s="6"/>
      <c r="V76" s="6"/>
      <c r="AD76" s="16">
        <v>76</v>
      </c>
      <c r="AE76" s="16">
        <v>0.751</v>
      </c>
      <c r="AG76" s="428">
        <v>36</v>
      </c>
      <c r="AH76" s="38">
        <v>0.81</v>
      </c>
      <c r="AJ76" s="1">
        <v>36</v>
      </c>
      <c r="AK76" s="193">
        <v>1.6</v>
      </c>
      <c r="AL76" s="429"/>
    </row>
    <row r="77" spans="17:38" x14ac:dyDescent="0.3">
      <c r="Q77" s="227">
        <v>69</v>
      </c>
      <c r="R77" s="227" t="s">
        <v>407</v>
      </c>
      <c r="S77" s="317">
        <v>46254</v>
      </c>
      <c r="T77" s="6">
        <v>0.63500000000000001</v>
      </c>
      <c r="U77" s="6"/>
      <c r="V77" s="6"/>
      <c r="AD77" s="16">
        <v>77</v>
      </c>
      <c r="AE77" s="16">
        <v>0.76500000000000001</v>
      </c>
      <c r="AG77" s="428">
        <v>37</v>
      </c>
      <c r="AH77" s="38">
        <v>0.81</v>
      </c>
      <c r="AJ77" s="1">
        <v>37</v>
      </c>
      <c r="AK77" s="193">
        <v>1.6</v>
      </c>
      <c r="AL77" s="429"/>
    </row>
    <row r="78" spans="17:38" x14ac:dyDescent="0.3">
      <c r="Q78" s="227">
        <v>70</v>
      </c>
      <c r="R78" s="227" t="s">
        <v>409</v>
      </c>
      <c r="S78" s="317">
        <v>46254</v>
      </c>
      <c r="T78" s="6">
        <v>0.45500000000000002</v>
      </c>
      <c r="U78" s="6"/>
      <c r="V78" s="6"/>
      <c r="AD78" s="16">
        <v>78</v>
      </c>
      <c r="AE78" s="16">
        <v>0.79</v>
      </c>
      <c r="AG78" s="428">
        <v>38</v>
      </c>
      <c r="AH78" s="38">
        <v>0.81</v>
      </c>
      <c r="AJ78" s="1">
        <v>38</v>
      </c>
      <c r="AK78" s="193">
        <v>1.6</v>
      </c>
      <c r="AL78" s="429"/>
    </row>
    <row r="79" spans="17:38" x14ac:dyDescent="0.3">
      <c r="Q79" s="227">
        <v>71</v>
      </c>
      <c r="R79" s="227" t="s">
        <v>411</v>
      </c>
      <c r="S79" s="317">
        <v>46254</v>
      </c>
      <c r="T79" s="6">
        <v>9.9000000000000005E-2</v>
      </c>
      <c r="U79" s="6"/>
      <c r="V79" s="6"/>
      <c r="AD79" s="16">
        <v>79</v>
      </c>
      <c r="AE79" s="16">
        <v>0.79700000000000004</v>
      </c>
      <c r="AG79" s="428">
        <v>39</v>
      </c>
      <c r="AH79" s="38">
        <v>0.81</v>
      </c>
      <c r="AJ79" s="1">
        <v>39</v>
      </c>
      <c r="AK79" s="193">
        <v>1.6</v>
      </c>
      <c r="AL79" s="429"/>
    </row>
    <row r="80" spans="17:38" x14ac:dyDescent="0.3">
      <c r="Q80" s="227">
        <v>72</v>
      </c>
      <c r="R80" s="227" t="s">
        <v>413</v>
      </c>
      <c r="S80" s="317">
        <v>46254</v>
      </c>
      <c r="T80" s="6">
        <v>0.69599999999999995</v>
      </c>
      <c r="U80" s="6"/>
      <c r="V80" s="6"/>
      <c r="AD80" s="16">
        <v>80</v>
      </c>
      <c r="AE80" s="16">
        <v>0.80200000000000005</v>
      </c>
      <c r="AG80" s="428">
        <v>40</v>
      </c>
      <c r="AH80" s="38">
        <v>0.81</v>
      </c>
      <c r="AJ80" s="1">
        <v>40</v>
      </c>
      <c r="AK80" s="193">
        <v>1.6</v>
      </c>
      <c r="AL80" s="429"/>
    </row>
    <row r="81" spans="17:38" x14ac:dyDescent="0.3">
      <c r="Q81" s="227">
        <v>73</v>
      </c>
      <c r="R81" s="227" t="s">
        <v>394</v>
      </c>
      <c r="S81" s="317">
        <v>46254</v>
      </c>
      <c r="T81" s="6">
        <v>0.34</v>
      </c>
      <c r="U81" s="6"/>
      <c r="V81" s="6"/>
      <c r="AD81" s="16">
        <v>81</v>
      </c>
      <c r="AE81" s="16">
        <v>0.81299999999999994</v>
      </c>
      <c r="AG81" s="428">
        <v>41</v>
      </c>
      <c r="AH81" s="38">
        <v>0.81</v>
      </c>
      <c r="AJ81" s="1">
        <v>41</v>
      </c>
      <c r="AK81" s="193">
        <v>1.6</v>
      </c>
      <c r="AL81" s="429"/>
    </row>
    <row r="82" spans="17:38" x14ac:dyDescent="0.3">
      <c r="Q82" s="227">
        <v>74</v>
      </c>
      <c r="R82" s="227" t="s">
        <v>414</v>
      </c>
      <c r="S82" s="317">
        <v>46254</v>
      </c>
      <c r="T82" s="6">
        <v>0.98199999999999998</v>
      </c>
      <c r="U82" s="6"/>
      <c r="V82" s="6"/>
      <c r="AD82" s="16">
        <v>82</v>
      </c>
      <c r="AE82" s="16">
        <v>0.81599999999999995</v>
      </c>
      <c r="AG82" s="428">
        <v>42</v>
      </c>
      <c r="AH82" s="38">
        <v>0.81</v>
      </c>
      <c r="AJ82" s="1">
        <v>42</v>
      </c>
      <c r="AK82" s="193">
        <v>1.6</v>
      </c>
      <c r="AL82" s="429"/>
    </row>
    <row r="83" spans="17:38" x14ac:dyDescent="0.3">
      <c r="Q83" s="227">
        <v>75</v>
      </c>
      <c r="R83" s="227" t="s">
        <v>416</v>
      </c>
      <c r="S83" s="317">
        <v>46254</v>
      </c>
      <c r="T83" s="6">
        <v>1.0880000000000001</v>
      </c>
      <c r="U83" s="6"/>
      <c r="V83" s="6"/>
      <c r="AD83" s="16">
        <v>83</v>
      </c>
      <c r="AE83" s="6">
        <v>0.83599999999999997</v>
      </c>
      <c r="AG83" s="428">
        <v>43</v>
      </c>
      <c r="AH83" s="38">
        <v>0.81</v>
      </c>
      <c r="AJ83" s="1">
        <v>43</v>
      </c>
      <c r="AK83" s="193">
        <v>1.6</v>
      </c>
      <c r="AL83" s="429"/>
    </row>
    <row r="84" spans="17:38" x14ac:dyDescent="0.3">
      <c r="Q84" s="227">
        <v>76</v>
      </c>
      <c r="R84" s="227" t="s">
        <v>399</v>
      </c>
      <c r="S84" s="317">
        <v>46255</v>
      </c>
      <c r="T84" s="6">
        <v>0.57399999999999995</v>
      </c>
      <c r="U84" s="6"/>
      <c r="V84" s="6"/>
      <c r="AD84" s="16">
        <v>84</v>
      </c>
      <c r="AE84" s="16">
        <v>0.83899999999999997</v>
      </c>
      <c r="AG84" s="428">
        <v>44</v>
      </c>
      <c r="AH84" s="38">
        <v>0.81</v>
      </c>
      <c r="AJ84" s="1">
        <v>44</v>
      </c>
      <c r="AK84" s="193">
        <v>1.6</v>
      </c>
      <c r="AL84" s="429"/>
    </row>
    <row r="85" spans="17:38" x14ac:dyDescent="0.3">
      <c r="Q85" s="227">
        <v>77</v>
      </c>
      <c r="R85" s="227" t="s">
        <v>401</v>
      </c>
      <c r="S85" s="317">
        <v>46255</v>
      </c>
      <c r="T85" s="6">
        <v>0.35399999999999998</v>
      </c>
      <c r="U85" s="6"/>
      <c r="V85" s="6"/>
      <c r="AD85" s="16">
        <v>85</v>
      </c>
      <c r="AE85" s="16">
        <v>0.84699999999999998</v>
      </c>
      <c r="AG85" s="428">
        <v>45</v>
      </c>
      <c r="AH85" s="38">
        <v>0.81</v>
      </c>
      <c r="AJ85" s="1">
        <v>45</v>
      </c>
      <c r="AK85" s="193">
        <v>1.6</v>
      </c>
      <c r="AL85" s="429"/>
    </row>
    <row r="86" spans="17:38" x14ac:dyDescent="0.3">
      <c r="Q86" s="227">
        <v>78</v>
      </c>
      <c r="R86" s="227" t="s">
        <v>403</v>
      </c>
      <c r="S86" s="317">
        <v>46255</v>
      </c>
      <c r="T86" s="6">
        <v>0.80200000000000005</v>
      </c>
      <c r="U86" s="6"/>
      <c r="V86" s="6"/>
      <c r="AD86" s="16">
        <v>86</v>
      </c>
      <c r="AE86" s="16">
        <v>0.86299999999999999</v>
      </c>
      <c r="AG86" s="428">
        <v>46</v>
      </c>
      <c r="AH86" s="38">
        <v>0.81</v>
      </c>
      <c r="AJ86" s="1">
        <v>46</v>
      </c>
      <c r="AK86" s="193">
        <v>1.6</v>
      </c>
      <c r="AL86" s="429"/>
    </row>
    <row r="87" spans="17:38" x14ac:dyDescent="0.3">
      <c r="Q87" s="227">
        <v>79</v>
      </c>
      <c r="R87" s="227" t="s">
        <v>405</v>
      </c>
      <c r="S87" s="317">
        <v>46255</v>
      </c>
      <c r="T87" s="6">
        <v>0.16</v>
      </c>
      <c r="U87" s="6"/>
      <c r="V87" s="6"/>
      <c r="AD87" s="16">
        <v>87</v>
      </c>
      <c r="AE87" s="16">
        <v>0.90500000000000003</v>
      </c>
      <c r="AG87" s="428">
        <v>47</v>
      </c>
      <c r="AH87" s="38">
        <v>0.81</v>
      </c>
      <c r="AJ87" s="1">
        <v>47</v>
      </c>
      <c r="AK87" s="193">
        <v>1.6</v>
      </c>
      <c r="AL87" s="429"/>
    </row>
    <row r="88" spans="17:38" x14ac:dyDescent="0.3">
      <c r="Q88" s="227">
        <v>80</v>
      </c>
      <c r="R88" s="227" t="s">
        <v>407</v>
      </c>
      <c r="S88" s="317">
        <v>46255</v>
      </c>
      <c r="T88" s="6">
        <v>0.96199999999999997</v>
      </c>
      <c r="U88" s="6"/>
      <c r="V88" s="6"/>
      <c r="AD88" s="16">
        <v>88</v>
      </c>
      <c r="AE88" s="16">
        <v>0.91200000000000003</v>
      </c>
      <c r="AG88" s="428">
        <v>48</v>
      </c>
      <c r="AH88" s="38">
        <v>0.81</v>
      </c>
      <c r="AJ88" s="1">
        <v>48</v>
      </c>
      <c r="AK88" s="193">
        <v>1.6</v>
      </c>
      <c r="AL88" s="429"/>
    </row>
    <row r="89" spans="17:38" x14ac:dyDescent="0.3">
      <c r="Q89" s="227">
        <v>81</v>
      </c>
      <c r="R89" s="227" t="s">
        <v>409</v>
      </c>
      <c r="S89" s="317">
        <v>46255</v>
      </c>
      <c r="T89" s="6">
        <v>0.42199999999999999</v>
      </c>
      <c r="U89" s="6"/>
      <c r="V89" s="6"/>
      <c r="AD89" s="16">
        <v>89</v>
      </c>
      <c r="AE89" s="6">
        <v>0.91700000000000004</v>
      </c>
      <c r="AG89" s="428">
        <v>49</v>
      </c>
      <c r="AH89" s="38">
        <v>0.81</v>
      </c>
      <c r="AJ89" s="1">
        <v>49</v>
      </c>
      <c r="AK89" s="193">
        <v>1.6</v>
      </c>
      <c r="AL89" s="429"/>
    </row>
    <row r="90" spans="17:38" x14ac:dyDescent="0.3">
      <c r="Q90" s="227">
        <v>82</v>
      </c>
      <c r="R90" s="227" t="s">
        <v>411</v>
      </c>
      <c r="S90" s="317">
        <v>46255</v>
      </c>
      <c r="T90" s="6">
        <v>0.16700000000000001</v>
      </c>
      <c r="U90" s="6"/>
      <c r="V90" s="6"/>
      <c r="AD90" s="16">
        <v>90</v>
      </c>
      <c r="AE90" s="16">
        <v>0.94399999999999995</v>
      </c>
      <c r="AG90" s="428">
        <v>50</v>
      </c>
      <c r="AH90" s="38">
        <v>0.81</v>
      </c>
      <c r="AJ90" s="1">
        <v>50</v>
      </c>
      <c r="AK90" s="193">
        <v>1.6</v>
      </c>
      <c r="AL90" s="429"/>
    </row>
    <row r="91" spans="17:38" x14ac:dyDescent="0.3">
      <c r="Q91" s="227">
        <v>83</v>
      </c>
      <c r="R91" s="227" t="s">
        <v>413</v>
      </c>
      <c r="S91" s="317">
        <v>46255</v>
      </c>
      <c r="T91" s="6">
        <v>0.31</v>
      </c>
      <c r="U91" s="6"/>
      <c r="V91" s="6"/>
      <c r="AD91" s="16">
        <v>91</v>
      </c>
      <c r="AE91" s="16">
        <v>0.96199999999999997</v>
      </c>
      <c r="AG91" s="428">
        <v>51</v>
      </c>
      <c r="AH91" s="38">
        <v>0.81</v>
      </c>
      <c r="AJ91" s="1">
        <v>51</v>
      </c>
      <c r="AK91" s="193">
        <v>1.6</v>
      </c>
      <c r="AL91" s="429"/>
    </row>
    <row r="92" spans="17:38" x14ac:dyDescent="0.3">
      <c r="Q92" s="227">
        <v>84</v>
      </c>
      <c r="R92" s="227" t="s">
        <v>394</v>
      </c>
      <c r="S92" s="317">
        <v>46255</v>
      </c>
      <c r="T92" s="6">
        <v>0.23100000000000001</v>
      </c>
      <c r="U92" s="6"/>
      <c r="V92" s="6"/>
      <c r="AD92" s="16">
        <v>92</v>
      </c>
      <c r="AE92" s="16">
        <v>0.98199999999999998</v>
      </c>
      <c r="AG92" s="428">
        <v>52</v>
      </c>
      <c r="AH92" s="38">
        <v>0.81</v>
      </c>
      <c r="AJ92" s="1">
        <v>52</v>
      </c>
      <c r="AK92" s="193">
        <v>1.6</v>
      </c>
      <c r="AL92" s="429"/>
    </row>
    <row r="93" spans="17:38" x14ac:dyDescent="0.3">
      <c r="Q93" s="227">
        <v>85</v>
      </c>
      <c r="R93" s="227" t="s">
        <v>401</v>
      </c>
      <c r="S93" s="317">
        <v>46256</v>
      </c>
      <c r="T93" s="6">
        <v>2.5209999999999999</v>
      </c>
      <c r="U93" s="6">
        <f>T93*18</f>
        <v>45.378</v>
      </c>
      <c r="V93" s="6"/>
      <c r="W93" s="1">
        <f>SUM(U93:U101)/Crushing!N22</f>
        <v>0.51743747858855771</v>
      </c>
      <c r="X93" s="1">
        <f>AVERAGE(T93:T101)</f>
        <v>0.62933333333333319</v>
      </c>
      <c r="AD93" s="16">
        <v>93</v>
      </c>
      <c r="AE93" s="6">
        <v>0.98599999999999999</v>
      </c>
      <c r="AG93" s="428">
        <v>53</v>
      </c>
      <c r="AH93" s="38">
        <v>0.81</v>
      </c>
      <c r="AJ93" s="1">
        <v>53</v>
      </c>
      <c r="AK93" s="193">
        <v>1.6</v>
      </c>
      <c r="AL93" s="429"/>
    </row>
    <row r="94" spans="17:38" x14ac:dyDescent="0.3">
      <c r="Q94" s="227">
        <v>86</v>
      </c>
      <c r="R94" s="227" t="s">
        <v>403</v>
      </c>
      <c r="S94" s="317">
        <v>46256</v>
      </c>
      <c r="T94" s="6">
        <v>0.308</v>
      </c>
      <c r="U94" s="6">
        <f t="shared" ref="U94:U101" si="5">T94*18</f>
        <v>5.5439999999999996</v>
      </c>
      <c r="V94" s="6"/>
      <c r="X94" s="1">
        <f>X93-W93</f>
        <v>0.11189585474477548</v>
      </c>
      <c r="AD94" s="16">
        <v>94</v>
      </c>
      <c r="AE94" s="16">
        <v>1.0349999999999999</v>
      </c>
      <c r="AG94" s="428">
        <v>54</v>
      </c>
      <c r="AH94" s="38">
        <v>0.81</v>
      </c>
      <c r="AJ94" s="1">
        <v>54</v>
      </c>
      <c r="AK94" s="193">
        <v>1.6</v>
      </c>
      <c r="AL94" s="429"/>
    </row>
    <row r="95" spans="17:38" x14ac:dyDescent="0.3">
      <c r="Q95" s="227">
        <v>87</v>
      </c>
      <c r="R95" s="227" t="s">
        <v>405</v>
      </c>
      <c r="S95" s="317">
        <v>46256</v>
      </c>
      <c r="T95" s="6">
        <v>0.35099999999999998</v>
      </c>
      <c r="U95" s="6">
        <f t="shared" si="5"/>
        <v>6.3179999999999996</v>
      </c>
      <c r="V95" s="6"/>
      <c r="X95" s="1">
        <f>L19-X93</f>
        <v>11.679666666666666</v>
      </c>
      <c r="AD95" s="16">
        <v>95</v>
      </c>
      <c r="AE95" s="16">
        <v>1.0409999999999999</v>
      </c>
      <c r="AG95" s="428">
        <v>55</v>
      </c>
      <c r="AH95" s="38">
        <v>0.81</v>
      </c>
      <c r="AJ95" s="1">
        <v>55</v>
      </c>
      <c r="AK95" s="193">
        <v>1.6</v>
      </c>
      <c r="AL95" s="429"/>
    </row>
    <row r="96" spans="17:38" x14ac:dyDescent="0.3">
      <c r="Q96" s="227">
        <v>88</v>
      </c>
      <c r="R96" s="227" t="s">
        <v>407</v>
      </c>
      <c r="S96" s="317">
        <v>46256</v>
      </c>
      <c r="T96" s="6">
        <v>0.751</v>
      </c>
      <c r="U96" s="6">
        <f t="shared" si="5"/>
        <v>13.518000000000001</v>
      </c>
      <c r="V96" s="6"/>
      <c r="X96" s="1">
        <f>X95*18</f>
        <v>210.23399999999998</v>
      </c>
      <c r="AD96" s="16">
        <v>96</v>
      </c>
      <c r="AE96" s="16">
        <v>1.0429999999999999</v>
      </c>
      <c r="AG96" s="428">
        <v>56</v>
      </c>
      <c r="AH96" s="38">
        <v>0.81</v>
      </c>
      <c r="AJ96" s="1">
        <v>56</v>
      </c>
      <c r="AK96" s="193">
        <v>1.6</v>
      </c>
      <c r="AL96" s="429"/>
    </row>
    <row r="97" spans="2:38" x14ac:dyDescent="0.3">
      <c r="Q97" s="227">
        <v>89</v>
      </c>
      <c r="R97" s="227" t="s">
        <v>409</v>
      </c>
      <c r="S97" s="317">
        <v>46256</v>
      </c>
      <c r="T97" s="6">
        <v>0.60399999999999998</v>
      </c>
      <c r="U97" s="6">
        <f t="shared" si="5"/>
        <v>10.872</v>
      </c>
      <c r="V97" s="6"/>
      <c r="AD97" s="16">
        <v>97</v>
      </c>
      <c r="AE97" s="6">
        <v>1.044</v>
      </c>
      <c r="AG97" s="428">
        <v>57</v>
      </c>
      <c r="AH97" s="38">
        <v>0.81</v>
      </c>
      <c r="AJ97" s="1">
        <v>57</v>
      </c>
      <c r="AK97" s="193">
        <v>1.6</v>
      </c>
      <c r="AL97" s="429"/>
    </row>
    <row r="98" spans="2:38" x14ac:dyDescent="0.3">
      <c r="Q98" s="227">
        <v>90</v>
      </c>
      <c r="R98" s="227" t="s">
        <v>411</v>
      </c>
      <c r="S98" s="317">
        <v>46256</v>
      </c>
      <c r="T98" s="6">
        <v>4.7E-2</v>
      </c>
      <c r="U98" s="6">
        <f t="shared" si="5"/>
        <v>0.84599999999999997</v>
      </c>
      <c r="V98" s="6"/>
      <c r="AD98" s="16">
        <v>98</v>
      </c>
      <c r="AE98" s="16">
        <v>1.077</v>
      </c>
      <c r="AG98" s="428">
        <v>58</v>
      </c>
      <c r="AH98" s="38">
        <v>0.81</v>
      </c>
      <c r="AJ98" s="1">
        <v>58</v>
      </c>
      <c r="AK98" s="193">
        <v>1.6</v>
      </c>
      <c r="AL98" s="429"/>
    </row>
    <row r="99" spans="2:38" x14ac:dyDescent="0.3">
      <c r="Q99" s="227">
        <v>91</v>
      </c>
      <c r="R99" s="227" t="s">
        <v>413</v>
      </c>
      <c r="S99" s="317">
        <v>46256</v>
      </c>
      <c r="T99" s="6">
        <v>0.35699999999999998</v>
      </c>
      <c r="U99" s="6">
        <f t="shared" si="5"/>
        <v>6.4260000000000002</v>
      </c>
      <c r="V99" s="6"/>
      <c r="AD99" s="16">
        <v>99</v>
      </c>
      <c r="AE99" s="16">
        <v>1.0880000000000001</v>
      </c>
      <c r="AG99" s="428">
        <v>59</v>
      </c>
      <c r="AH99" s="38">
        <v>0.81</v>
      </c>
      <c r="AJ99" s="1">
        <v>59</v>
      </c>
      <c r="AK99" s="193">
        <v>1.6</v>
      </c>
      <c r="AL99" s="429"/>
    </row>
    <row r="100" spans="2:38" x14ac:dyDescent="0.3">
      <c r="Q100" s="227">
        <v>92</v>
      </c>
      <c r="R100" s="227" t="s">
        <v>394</v>
      </c>
      <c r="S100" s="317">
        <v>46256</v>
      </c>
      <c r="T100" s="6">
        <v>0.40699999999999997</v>
      </c>
      <c r="U100" s="6">
        <f t="shared" si="5"/>
        <v>7.3259999999999996</v>
      </c>
      <c r="V100" s="6"/>
      <c r="AD100" s="16">
        <v>100</v>
      </c>
      <c r="AE100" s="6">
        <v>1.1000000000000001</v>
      </c>
      <c r="AG100" s="428">
        <v>60</v>
      </c>
      <c r="AH100" s="38">
        <v>0.81</v>
      </c>
      <c r="AJ100" s="1">
        <v>60</v>
      </c>
      <c r="AK100" s="193">
        <v>1.6</v>
      </c>
      <c r="AL100" s="429"/>
    </row>
    <row r="101" spans="2:38" x14ac:dyDescent="0.3">
      <c r="Q101" s="227">
        <v>93</v>
      </c>
      <c r="R101" s="227" t="s">
        <v>414</v>
      </c>
      <c r="S101" s="317">
        <v>46256</v>
      </c>
      <c r="T101" s="6">
        <v>0.318</v>
      </c>
      <c r="U101" s="6">
        <f t="shared" si="5"/>
        <v>5.7240000000000002</v>
      </c>
      <c r="V101" s="6"/>
      <c r="AD101" s="16">
        <v>101</v>
      </c>
      <c r="AE101" s="6">
        <v>1.125</v>
      </c>
      <c r="AG101" s="428">
        <v>61</v>
      </c>
      <c r="AH101" s="38">
        <v>0.81</v>
      </c>
      <c r="AJ101" s="1">
        <v>61</v>
      </c>
      <c r="AK101" s="193">
        <v>1.6</v>
      </c>
      <c r="AL101" s="429"/>
    </row>
    <row r="102" spans="2:38" x14ac:dyDescent="0.3">
      <c r="Q102" s="227">
        <v>94</v>
      </c>
      <c r="R102" s="227" t="s">
        <v>399</v>
      </c>
      <c r="S102" s="317">
        <v>46258</v>
      </c>
      <c r="T102" s="6">
        <v>0.502</v>
      </c>
      <c r="U102" s="6"/>
      <c r="V102" s="6"/>
      <c r="AD102" s="16">
        <v>102</v>
      </c>
      <c r="AE102" s="16">
        <v>1.147</v>
      </c>
      <c r="AG102" s="428">
        <v>62</v>
      </c>
      <c r="AH102" s="38">
        <v>0.81</v>
      </c>
      <c r="AJ102" s="1">
        <v>62</v>
      </c>
      <c r="AK102" s="193">
        <v>1.6</v>
      </c>
      <c r="AL102" s="429"/>
    </row>
    <row r="103" spans="2:38" x14ac:dyDescent="0.3">
      <c r="Q103" s="227">
        <v>95</v>
      </c>
      <c r="R103" s="227" t="s">
        <v>401</v>
      </c>
      <c r="S103" s="317">
        <v>46258</v>
      </c>
      <c r="T103" s="6">
        <v>0.38800000000000001</v>
      </c>
      <c r="U103" s="6"/>
      <c r="V103" s="6"/>
      <c r="AD103" s="16">
        <v>103</v>
      </c>
      <c r="AE103" s="6">
        <v>1.2170000000000001</v>
      </c>
      <c r="AG103" s="428">
        <v>63</v>
      </c>
      <c r="AH103" s="38">
        <v>0.81</v>
      </c>
      <c r="AJ103" s="1">
        <v>63</v>
      </c>
      <c r="AK103" s="193">
        <v>1.6</v>
      </c>
      <c r="AL103" s="429"/>
    </row>
    <row r="104" spans="2:38" x14ac:dyDescent="0.3">
      <c r="Q104" s="227">
        <v>96</v>
      </c>
      <c r="R104" s="227" t="s">
        <v>403</v>
      </c>
      <c r="S104" s="317">
        <v>46258</v>
      </c>
      <c r="T104" s="6">
        <v>1.0409999999999999</v>
      </c>
      <c r="U104" s="6"/>
      <c r="V104" s="6"/>
      <c r="AD104" s="16">
        <v>104</v>
      </c>
      <c r="AE104" s="16">
        <v>1.2350000000000001</v>
      </c>
      <c r="AG104" s="428">
        <v>64</v>
      </c>
      <c r="AH104" s="38">
        <v>0.81</v>
      </c>
      <c r="AJ104" s="1">
        <v>64</v>
      </c>
      <c r="AK104" s="193">
        <v>1.6</v>
      </c>
      <c r="AL104" s="429"/>
    </row>
    <row r="105" spans="2:38" x14ac:dyDescent="0.3">
      <c r="Q105" s="227">
        <v>97</v>
      </c>
      <c r="R105" s="227" t="s">
        <v>405</v>
      </c>
      <c r="S105" s="317">
        <v>46258</v>
      </c>
      <c r="T105" s="6">
        <v>1.47</v>
      </c>
      <c r="U105" s="6"/>
      <c r="V105" s="6"/>
      <c r="AD105" s="16">
        <v>105</v>
      </c>
      <c r="AE105" s="16">
        <v>1.2390000000000001</v>
      </c>
      <c r="AG105" s="428">
        <v>65</v>
      </c>
      <c r="AH105" s="38">
        <v>0.81</v>
      </c>
      <c r="AJ105" s="1">
        <v>65</v>
      </c>
      <c r="AK105" s="193">
        <v>1.6</v>
      </c>
      <c r="AL105" s="429"/>
    </row>
    <row r="106" spans="2:38" x14ac:dyDescent="0.3">
      <c r="Q106" s="227">
        <v>98</v>
      </c>
      <c r="R106" s="227" t="s">
        <v>407</v>
      </c>
      <c r="S106" s="317">
        <v>46258</v>
      </c>
      <c r="T106" s="6">
        <v>3.8769999999999998</v>
      </c>
      <c r="U106" s="6"/>
      <c r="V106" s="6"/>
      <c r="AD106" s="16">
        <v>106</v>
      </c>
      <c r="AE106" s="16">
        <v>1.25</v>
      </c>
      <c r="AG106" s="428">
        <v>66</v>
      </c>
      <c r="AH106" s="38">
        <v>0.81</v>
      </c>
      <c r="AJ106" s="1">
        <v>66</v>
      </c>
      <c r="AK106" s="193">
        <v>1.6</v>
      </c>
      <c r="AL106" s="429"/>
    </row>
    <row r="107" spans="2:38" x14ac:dyDescent="0.3">
      <c r="Q107" s="227">
        <v>99</v>
      </c>
      <c r="R107" s="227" t="s">
        <v>409</v>
      </c>
      <c r="S107" s="317">
        <v>46258</v>
      </c>
      <c r="T107" s="6">
        <v>0.35099999999999998</v>
      </c>
      <c r="U107" s="6"/>
      <c r="V107" s="6"/>
      <c r="AD107" s="16">
        <v>107</v>
      </c>
      <c r="AE107" s="16">
        <v>1.2929999999999999</v>
      </c>
      <c r="AG107" s="428">
        <v>67</v>
      </c>
      <c r="AH107" s="38">
        <v>0.81</v>
      </c>
      <c r="AJ107" s="1">
        <v>67</v>
      </c>
      <c r="AK107" s="193">
        <v>1.6</v>
      </c>
      <c r="AL107" s="429"/>
    </row>
    <row r="108" spans="2:38" x14ac:dyDescent="0.3">
      <c r="Q108" s="227">
        <v>100</v>
      </c>
      <c r="R108" s="227" t="s">
        <v>411</v>
      </c>
      <c r="S108" s="317">
        <v>46258</v>
      </c>
      <c r="T108" s="6">
        <v>0.32600000000000001</v>
      </c>
      <c r="U108" s="6"/>
      <c r="V108" s="6"/>
      <c r="AD108" s="16">
        <v>108</v>
      </c>
      <c r="AE108" s="6">
        <v>1.2949999999999999</v>
      </c>
      <c r="AG108" s="428">
        <v>68</v>
      </c>
      <c r="AH108" s="38">
        <v>0.81</v>
      </c>
      <c r="AJ108" s="1">
        <v>68</v>
      </c>
      <c r="AK108" s="193">
        <v>1.6</v>
      </c>
      <c r="AL108" s="429"/>
    </row>
    <row r="109" spans="2:38" x14ac:dyDescent="0.3">
      <c r="Q109" s="227">
        <v>101</v>
      </c>
      <c r="R109" s="227" t="s">
        <v>413</v>
      </c>
      <c r="S109" s="317">
        <v>46258</v>
      </c>
      <c r="T109" s="6">
        <v>0.24</v>
      </c>
      <c r="U109" s="6"/>
      <c r="V109" s="6"/>
      <c r="AD109" s="16">
        <v>109</v>
      </c>
      <c r="AE109" s="6">
        <v>1.3080000000000001</v>
      </c>
      <c r="AG109" s="428">
        <v>69</v>
      </c>
      <c r="AH109" s="38">
        <v>0.81</v>
      </c>
      <c r="AJ109" s="1">
        <v>69</v>
      </c>
      <c r="AK109" s="193">
        <v>1.6</v>
      </c>
      <c r="AL109" s="429"/>
    </row>
    <row r="110" spans="2:38" x14ac:dyDescent="0.3">
      <c r="Q110" s="227">
        <v>102</v>
      </c>
      <c r="R110" s="227" t="s">
        <v>394</v>
      </c>
      <c r="S110" s="317">
        <v>46258</v>
      </c>
      <c r="T110" s="6">
        <v>1.077</v>
      </c>
      <c r="U110" s="6"/>
      <c r="V110" s="6"/>
      <c r="AD110" s="16">
        <v>110</v>
      </c>
      <c r="AE110" s="16">
        <v>1.3220000000000001</v>
      </c>
      <c r="AG110" s="428">
        <v>70</v>
      </c>
      <c r="AH110" s="38">
        <v>0.81</v>
      </c>
      <c r="AJ110" s="1">
        <v>70</v>
      </c>
      <c r="AK110" s="193">
        <v>1.6</v>
      </c>
      <c r="AL110" s="429"/>
    </row>
    <row r="111" spans="2:38" x14ac:dyDescent="0.3">
      <c r="Q111" s="227">
        <v>103</v>
      </c>
      <c r="R111" s="227" t="s">
        <v>407</v>
      </c>
      <c r="S111" s="317">
        <v>46261</v>
      </c>
      <c r="T111" s="6">
        <v>0.253</v>
      </c>
      <c r="U111" s="6"/>
      <c r="V111" s="6"/>
      <c r="AD111" s="16">
        <v>111</v>
      </c>
      <c r="AE111" s="6">
        <v>1.3280000000000001</v>
      </c>
      <c r="AG111" s="428">
        <v>71</v>
      </c>
      <c r="AH111" s="38">
        <v>0.81</v>
      </c>
      <c r="AJ111" s="1">
        <v>71</v>
      </c>
      <c r="AK111" s="193">
        <v>1.6</v>
      </c>
      <c r="AL111" s="429"/>
    </row>
    <row r="112" spans="2:38" x14ac:dyDescent="0.3">
      <c r="B112" s="691" t="s">
        <v>435</v>
      </c>
      <c r="C112" s="691"/>
      <c r="D112" s="691"/>
      <c r="E112" s="691"/>
      <c r="F112" s="691"/>
      <c r="G112" s="691"/>
      <c r="H112" s="691"/>
      <c r="I112" s="691"/>
      <c r="J112" s="691"/>
      <c r="Q112" s="227">
        <v>104</v>
      </c>
      <c r="R112" s="227" t="s">
        <v>409</v>
      </c>
      <c r="S112" s="317">
        <v>46261</v>
      </c>
      <c r="T112" s="6">
        <v>0.73199999999999998</v>
      </c>
      <c r="U112" s="6"/>
      <c r="V112" s="6"/>
      <c r="AD112" s="16">
        <v>112</v>
      </c>
      <c r="AE112" s="16">
        <v>1.3919999999999999</v>
      </c>
      <c r="AG112" s="428">
        <v>72</v>
      </c>
      <c r="AH112" s="38">
        <v>0.81</v>
      </c>
      <c r="AJ112" s="1">
        <v>72</v>
      </c>
      <c r="AK112" s="193">
        <v>1.6</v>
      </c>
      <c r="AL112" s="429"/>
    </row>
    <row r="113" spans="2:38" x14ac:dyDescent="0.3">
      <c r="B113" s="691"/>
      <c r="C113" s="691"/>
      <c r="D113" s="691"/>
      <c r="E113" s="691"/>
      <c r="F113" s="691"/>
      <c r="G113" s="691"/>
      <c r="H113" s="691"/>
      <c r="I113" s="691"/>
      <c r="J113" s="691"/>
      <c r="Q113" s="227">
        <v>105</v>
      </c>
      <c r="R113" s="227" t="s">
        <v>411</v>
      </c>
      <c r="S113" s="317">
        <v>46261</v>
      </c>
      <c r="T113" s="6">
        <v>0.45400000000000001</v>
      </c>
      <c r="U113" s="6"/>
      <c r="V113" s="6"/>
      <c r="AD113" s="16">
        <v>113</v>
      </c>
      <c r="AE113" s="16">
        <v>1.47</v>
      </c>
      <c r="AG113" s="428">
        <v>73</v>
      </c>
      <c r="AH113" s="38">
        <v>0.81</v>
      </c>
      <c r="AJ113" s="1">
        <v>73</v>
      </c>
      <c r="AK113" s="193">
        <v>1.6</v>
      </c>
      <c r="AL113" s="429"/>
    </row>
    <row r="114" spans="2:38" x14ac:dyDescent="0.3">
      <c r="Q114" s="227">
        <v>106</v>
      </c>
      <c r="R114" s="227" t="s">
        <v>413</v>
      </c>
      <c r="S114" s="317">
        <v>46261</v>
      </c>
      <c r="T114" s="6">
        <v>0.61599999999999999</v>
      </c>
      <c r="U114" s="6"/>
      <c r="V114" s="6"/>
      <c r="AD114" s="16">
        <v>114</v>
      </c>
      <c r="AE114" s="16">
        <v>1.552</v>
      </c>
      <c r="AG114" s="428">
        <v>74</v>
      </c>
      <c r="AH114" s="38">
        <v>0.81</v>
      </c>
      <c r="AJ114" s="1">
        <v>74</v>
      </c>
      <c r="AK114" s="193">
        <v>1.6</v>
      </c>
      <c r="AL114" s="429"/>
    </row>
    <row r="115" spans="2:38" x14ac:dyDescent="0.3">
      <c r="Q115" s="227">
        <v>107</v>
      </c>
      <c r="R115" s="227" t="s">
        <v>394</v>
      </c>
      <c r="S115" s="317">
        <v>46261</v>
      </c>
      <c r="T115" s="6">
        <v>0.24199999999999999</v>
      </c>
      <c r="U115" s="6"/>
      <c r="V115" s="6"/>
      <c r="AD115" s="16">
        <v>115</v>
      </c>
      <c r="AE115" s="16">
        <v>1.583</v>
      </c>
      <c r="AG115" s="428">
        <v>75</v>
      </c>
      <c r="AH115" s="38">
        <v>0.81</v>
      </c>
      <c r="AJ115" s="1">
        <v>75</v>
      </c>
      <c r="AK115" s="193">
        <v>1.6</v>
      </c>
      <c r="AL115" s="429"/>
    </row>
    <row r="116" spans="2:38" x14ac:dyDescent="0.3">
      <c r="Q116" s="227">
        <v>108</v>
      </c>
      <c r="R116" s="227" t="s">
        <v>414</v>
      </c>
      <c r="S116" s="317">
        <v>46261</v>
      </c>
      <c r="T116" s="6">
        <v>2.0979999999999999</v>
      </c>
      <c r="U116" s="6"/>
      <c r="V116" s="6"/>
      <c r="AD116" s="16">
        <v>116</v>
      </c>
      <c r="AE116" s="16">
        <v>1.59</v>
      </c>
      <c r="AG116" s="428">
        <v>76</v>
      </c>
      <c r="AH116" s="38">
        <v>0.81</v>
      </c>
      <c r="AJ116" s="1">
        <v>76</v>
      </c>
      <c r="AK116" s="193">
        <v>1.6</v>
      </c>
      <c r="AL116" s="429"/>
    </row>
    <row r="117" spans="2:38" x14ac:dyDescent="0.3">
      <c r="Q117" s="227">
        <v>109</v>
      </c>
      <c r="R117" s="227" t="s">
        <v>416</v>
      </c>
      <c r="S117" s="317">
        <v>46261</v>
      </c>
      <c r="T117" s="6">
        <v>0.86299999999999999</v>
      </c>
      <c r="U117" s="6"/>
      <c r="V117" s="6"/>
      <c r="AD117" s="16">
        <v>117</v>
      </c>
      <c r="AE117" s="16">
        <v>1.635</v>
      </c>
      <c r="AG117" s="428">
        <v>77</v>
      </c>
      <c r="AH117" s="38">
        <v>0.81</v>
      </c>
      <c r="AJ117" s="1">
        <v>77</v>
      </c>
      <c r="AK117" s="193">
        <v>1.6</v>
      </c>
      <c r="AL117" s="429"/>
    </row>
    <row r="118" spans="2:38" x14ac:dyDescent="0.3">
      <c r="Q118" s="227">
        <v>110</v>
      </c>
      <c r="R118" s="227" t="s">
        <v>399</v>
      </c>
      <c r="S118" s="317">
        <v>46262</v>
      </c>
      <c r="T118" s="6">
        <v>0.17899999999999999</v>
      </c>
      <c r="U118" s="6"/>
      <c r="V118" s="6"/>
      <c r="AD118" s="16">
        <v>118</v>
      </c>
      <c r="AE118" s="6">
        <v>1.718</v>
      </c>
      <c r="AG118" s="428">
        <v>78</v>
      </c>
      <c r="AH118" s="38">
        <v>0.81</v>
      </c>
      <c r="AJ118" s="1">
        <v>78</v>
      </c>
      <c r="AK118" s="193">
        <v>1.6</v>
      </c>
      <c r="AL118" s="429"/>
    </row>
    <row r="119" spans="2:38" x14ac:dyDescent="0.3">
      <c r="Q119" s="227">
        <v>111</v>
      </c>
      <c r="R119" s="227" t="s">
        <v>401</v>
      </c>
      <c r="S119" s="317">
        <v>46262</v>
      </c>
      <c r="T119" s="6">
        <v>0.17799999999999999</v>
      </c>
      <c r="U119" s="6"/>
      <c r="V119" s="6"/>
      <c r="AD119" s="16">
        <v>119</v>
      </c>
      <c r="AE119" s="6">
        <v>1.7190000000000001</v>
      </c>
      <c r="AG119" s="428">
        <v>79</v>
      </c>
      <c r="AH119" s="38">
        <v>0.81</v>
      </c>
      <c r="AJ119" s="1">
        <v>79</v>
      </c>
      <c r="AK119" s="193">
        <v>1.6</v>
      </c>
      <c r="AL119" s="429"/>
    </row>
    <row r="120" spans="2:38" x14ac:dyDescent="0.3">
      <c r="Q120" s="227">
        <v>112</v>
      </c>
      <c r="R120" s="227" t="s">
        <v>403</v>
      </c>
      <c r="S120" s="317">
        <v>46262</v>
      </c>
      <c r="T120" s="6">
        <v>1.1000000000000001</v>
      </c>
      <c r="U120" s="6"/>
      <c r="V120" s="6"/>
      <c r="AD120" s="16">
        <v>120</v>
      </c>
      <c r="AE120" s="16">
        <v>1.8220000000000001</v>
      </c>
      <c r="AG120" s="428">
        <v>80</v>
      </c>
      <c r="AH120" s="38">
        <v>0.81</v>
      </c>
      <c r="AJ120" s="1">
        <v>80</v>
      </c>
      <c r="AK120" s="193">
        <v>1.6</v>
      </c>
      <c r="AL120" s="429"/>
    </row>
    <row r="121" spans="2:38" x14ac:dyDescent="0.3">
      <c r="Q121" s="227">
        <v>113</v>
      </c>
      <c r="R121" s="227" t="s">
        <v>407</v>
      </c>
      <c r="S121" s="317">
        <v>46262</v>
      </c>
      <c r="T121" s="6">
        <v>0.61299999999999999</v>
      </c>
      <c r="U121" s="6"/>
      <c r="V121" s="6"/>
      <c r="AD121" s="16">
        <v>121</v>
      </c>
      <c r="AE121" s="16">
        <v>1.8380000000000001</v>
      </c>
      <c r="AG121" s="428">
        <v>81</v>
      </c>
      <c r="AH121" s="38">
        <v>0.81</v>
      </c>
      <c r="AJ121" s="1">
        <v>81</v>
      </c>
      <c r="AK121" s="193">
        <v>1.6</v>
      </c>
      <c r="AL121" s="429"/>
    </row>
    <row r="122" spans="2:38" x14ac:dyDescent="0.3">
      <c r="Q122" s="227">
        <v>114</v>
      </c>
      <c r="R122" s="227" t="s">
        <v>409</v>
      </c>
      <c r="S122" s="317">
        <v>46262</v>
      </c>
      <c r="T122" s="6">
        <v>0.33600000000000002</v>
      </c>
      <c r="U122" s="6"/>
      <c r="V122" s="6"/>
      <c r="AD122" s="16">
        <v>122</v>
      </c>
      <c r="AE122" s="16">
        <v>1.9410000000000001</v>
      </c>
      <c r="AG122" s="428">
        <v>82</v>
      </c>
      <c r="AH122" s="38">
        <v>0.81</v>
      </c>
      <c r="AJ122" s="1">
        <v>82</v>
      </c>
      <c r="AK122" s="193">
        <v>1.6</v>
      </c>
      <c r="AL122" s="429"/>
    </row>
    <row r="123" spans="2:38" x14ac:dyDescent="0.3">
      <c r="Q123" s="227">
        <v>115</v>
      </c>
      <c r="R123" s="227" t="s">
        <v>411</v>
      </c>
      <c r="S123" s="317">
        <v>46262</v>
      </c>
      <c r="T123" s="6">
        <v>0.61299999999999999</v>
      </c>
      <c r="U123" s="6"/>
      <c r="V123" s="6"/>
      <c r="AD123" s="16">
        <v>123</v>
      </c>
      <c r="AE123" s="16">
        <v>1.9630000000000001</v>
      </c>
      <c r="AG123" s="428">
        <v>83</v>
      </c>
      <c r="AH123" s="38">
        <v>0.81</v>
      </c>
      <c r="AJ123" s="1">
        <v>83</v>
      </c>
      <c r="AK123" s="193">
        <v>1.6</v>
      </c>
      <c r="AL123" s="429"/>
    </row>
    <row r="124" spans="2:38" x14ac:dyDescent="0.3">
      <c r="Q124" s="227">
        <v>116</v>
      </c>
      <c r="R124" s="227" t="s">
        <v>413</v>
      </c>
      <c r="S124" s="317">
        <v>46262</v>
      </c>
      <c r="T124" s="6">
        <v>1.125</v>
      </c>
      <c r="U124" s="6"/>
      <c r="V124" s="6"/>
      <c r="AD124" s="16">
        <v>124</v>
      </c>
      <c r="AE124" s="16">
        <v>2.0110000000000001</v>
      </c>
      <c r="AG124" s="428">
        <v>84</v>
      </c>
      <c r="AH124" s="38">
        <v>0.81</v>
      </c>
      <c r="AJ124" s="1">
        <v>84</v>
      </c>
      <c r="AK124" s="193">
        <v>1.6</v>
      </c>
      <c r="AL124" s="429"/>
    </row>
    <row r="125" spans="2:38" ht="15" thickBot="1" x14ac:dyDescent="0.35">
      <c r="Q125" s="227">
        <v>117</v>
      </c>
      <c r="R125" s="227" t="s">
        <v>394</v>
      </c>
      <c r="S125" s="317">
        <v>46262</v>
      </c>
      <c r="T125" s="6">
        <v>1.2949999999999999</v>
      </c>
      <c r="U125" s="6"/>
      <c r="V125" s="6"/>
      <c r="AD125" s="16">
        <v>125</v>
      </c>
      <c r="AE125" s="16">
        <v>2.028</v>
      </c>
      <c r="AG125" s="430">
        <v>85</v>
      </c>
      <c r="AH125" s="38">
        <v>0.81</v>
      </c>
      <c r="AI125" s="431"/>
      <c r="AJ125" s="1">
        <v>85</v>
      </c>
      <c r="AK125" s="193">
        <v>1.6</v>
      </c>
      <c r="AL125" s="432"/>
    </row>
    <row r="126" spans="2:38" x14ac:dyDescent="0.3">
      <c r="Q126" s="227">
        <v>118</v>
      </c>
      <c r="R126" s="227" t="s">
        <v>414</v>
      </c>
      <c r="S126" s="317">
        <v>46262</v>
      </c>
      <c r="T126" s="6">
        <v>0.53800000000000003</v>
      </c>
      <c r="U126" s="6"/>
      <c r="V126" s="6"/>
      <c r="AD126" s="16">
        <v>126</v>
      </c>
      <c r="AE126" s="16">
        <v>2.0979999999999999</v>
      </c>
      <c r="AG126" s="428">
        <v>86</v>
      </c>
      <c r="AH126" s="38">
        <v>0.81</v>
      </c>
    </row>
    <row r="127" spans="2:38" x14ac:dyDescent="0.3">
      <c r="Q127" s="227">
        <v>119</v>
      </c>
      <c r="R127" s="227" t="s">
        <v>399</v>
      </c>
      <c r="S127" s="317">
        <v>46263</v>
      </c>
      <c r="T127" s="6">
        <v>1.3080000000000001</v>
      </c>
      <c r="U127" s="6"/>
      <c r="V127" s="6"/>
      <c r="AD127" s="16">
        <v>127</v>
      </c>
      <c r="AE127" s="16">
        <v>2.5209999999999999</v>
      </c>
      <c r="AG127" s="428">
        <v>87</v>
      </c>
      <c r="AH127" s="38">
        <v>0.81</v>
      </c>
    </row>
    <row r="128" spans="2:38" ht="15" thickBot="1" x14ac:dyDescent="0.35">
      <c r="Q128" s="227">
        <v>120</v>
      </c>
      <c r="R128" s="227" t="s">
        <v>401</v>
      </c>
      <c r="S128" s="317">
        <v>46263</v>
      </c>
      <c r="T128" s="6">
        <v>0.48799999999999999</v>
      </c>
      <c r="U128" s="6"/>
      <c r="V128" s="6"/>
      <c r="AD128" s="16">
        <v>128</v>
      </c>
      <c r="AE128" s="16">
        <v>2.72</v>
      </c>
      <c r="AG128" s="430">
        <v>88</v>
      </c>
      <c r="AH128" s="38">
        <v>0.81</v>
      </c>
    </row>
    <row r="129" spans="17:34" x14ac:dyDescent="0.3">
      <c r="Q129" s="227">
        <v>121</v>
      </c>
      <c r="R129" s="227" t="s">
        <v>403</v>
      </c>
      <c r="S129" s="317">
        <v>46263</v>
      </c>
      <c r="T129" s="6">
        <v>1.7190000000000001</v>
      </c>
      <c r="U129" s="6"/>
      <c r="V129" s="6"/>
      <c r="AD129" s="16">
        <v>129</v>
      </c>
      <c r="AE129" s="16">
        <v>3.032</v>
      </c>
      <c r="AG129" s="428">
        <v>89</v>
      </c>
      <c r="AH129" s="38">
        <v>0.81</v>
      </c>
    </row>
    <row r="130" spans="17:34" x14ac:dyDescent="0.3">
      <c r="Q130" s="227">
        <v>122</v>
      </c>
      <c r="R130" s="227" t="s">
        <v>405</v>
      </c>
      <c r="S130" s="317">
        <v>46263</v>
      </c>
      <c r="T130" s="6">
        <v>1.718</v>
      </c>
      <c r="U130" s="6"/>
      <c r="V130" s="6"/>
      <c r="AD130" s="16">
        <v>130</v>
      </c>
      <c r="AE130" s="16">
        <v>3.2160000000000002</v>
      </c>
      <c r="AG130" s="428">
        <v>90</v>
      </c>
      <c r="AH130" s="38">
        <v>0.81</v>
      </c>
    </row>
    <row r="131" spans="17:34" ht="15" thickBot="1" x14ac:dyDescent="0.35">
      <c r="Q131" s="227">
        <v>123</v>
      </c>
      <c r="R131" s="227" t="s">
        <v>407</v>
      </c>
      <c r="S131" s="317">
        <v>46263</v>
      </c>
      <c r="T131" s="6">
        <v>1.3280000000000001</v>
      </c>
      <c r="U131" s="6"/>
      <c r="V131" s="6"/>
      <c r="AD131" s="16">
        <v>131</v>
      </c>
      <c r="AE131" s="16">
        <v>3.2330000000000001</v>
      </c>
      <c r="AG131" s="430">
        <v>91</v>
      </c>
      <c r="AH131" s="38">
        <v>0.81</v>
      </c>
    </row>
    <row r="132" spans="17:34" x14ac:dyDescent="0.3">
      <c r="Q132" s="227">
        <v>124</v>
      </c>
      <c r="R132" s="227" t="s">
        <v>409</v>
      </c>
      <c r="S132" s="317">
        <v>46263</v>
      </c>
      <c r="T132" s="6">
        <v>0.61099999999999999</v>
      </c>
      <c r="U132" s="6"/>
      <c r="V132" s="6"/>
      <c r="AD132" s="16">
        <v>132</v>
      </c>
      <c r="AE132" s="16">
        <v>3.8769999999999998</v>
      </c>
      <c r="AG132" s="428">
        <v>92</v>
      </c>
      <c r="AH132" s="38">
        <v>0.81</v>
      </c>
    </row>
    <row r="133" spans="17:34" x14ac:dyDescent="0.3">
      <c r="Q133" s="227">
        <v>125</v>
      </c>
      <c r="R133" s="227" t="s">
        <v>411</v>
      </c>
      <c r="S133" s="317">
        <v>46263</v>
      </c>
      <c r="T133" s="6">
        <v>0.35799999999999998</v>
      </c>
      <c r="U133" s="6"/>
      <c r="V133" s="6"/>
      <c r="AD133" s="16">
        <v>133</v>
      </c>
      <c r="AE133" s="16">
        <v>4.383</v>
      </c>
      <c r="AG133" s="428">
        <v>93</v>
      </c>
      <c r="AH133" s="38">
        <v>0.81</v>
      </c>
    </row>
    <row r="134" spans="17:34" x14ac:dyDescent="0.3">
      <c r="Q134" s="227">
        <v>126</v>
      </c>
      <c r="R134" s="227" t="s">
        <v>413</v>
      </c>
      <c r="S134" s="317">
        <v>46263</v>
      </c>
      <c r="T134" s="6">
        <v>0.21</v>
      </c>
      <c r="U134" s="6"/>
      <c r="V134" s="6"/>
      <c r="AG134" s="428">
        <v>94</v>
      </c>
      <c r="AH134" s="38">
        <v>0.81</v>
      </c>
    </row>
    <row r="135" spans="17:34" ht="15" thickBot="1" x14ac:dyDescent="0.35">
      <c r="Q135" s="227">
        <v>127</v>
      </c>
      <c r="R135" s="227" t="s">
        <v>394</v>
      </c>
      <c r="S135" s="317">
        <v>46263</v>
      </c>
      <c r="T135" s="6">
        <v>0.42</v>
      </c>
      <c r="U135" s="6"/>
      <c r="V135" s="6"/>
      <c r="AG135" s="430">
        <v>95</v>
      </c>
      <c r="AH135" s="38">
        <v>0.81</v>
      </c>
    </row>
    <row r="136" spans="17:34" x14ac:dyDescent="0.3">
      <c r="Q136" s="227">
        <v>128</v>
      </c>
      <c r="R136" s="227" t="s">
        <v>414</v>
      </c>
      <c r="S136" s="317">
        <v>46263</v>
      </c>
      <c r="T136" s="6">
        <v>1.044</v>
      </c>
      <c r="U136" s="6"/>
      <c r="V136" s="6"/>
      <c r="AG136" s="428">
        <v>96</v>
      </c>
      <c r="AH136" s="38">
        <v>0.81</v>
      </c>
    </row>
    <row r="137" spans="17:34" x14ac:dyDescent="0.3">
      <c r="Q137" s="227">
        <v>129</v>
      </c>
      <c r="R137" s="227" t="s">
        <v>416</v>
      </c>
      <c r="S137" s="317">
        <v>46263</v>
      </c>
      <c r="T137" s="6">
        <v>0.38800000000000001</v>
      </c>
      <c r="U137" s="6"/>
      <c r="V137" s="6"/>
      <c r="AG137" s="428">
        <v>97</v>
      </c>
      <c r="AH137" s="38">
        <v>0.81</v>
      </c>
    </row>
    <row r="138" spans="17:34" x14ac:dyDescent="0.3">
      <c r="Q138" s="227">
        <v>130</v>
      </c>
      <c r="R138" s="6" t="s">
        <v>401</v>
      </c>
      <c r="S138" s="317">
        <v>46264</v>
      </c>
      <c r="T138" s="6">
        <v>0.91700000000000004</v>
      </c>
      <c r="U138" s="6"/>
      <c r="V138" s="6"/>
      <c r="AG138" s="428">
        <v>98</v>
      </c>
      <c r="AH138" s="38">
        <v>0.81</v>
      </c>
    </row>
    <row r="139" spans="17:34" ht="15" thickBot="1" x14ac:dyDescent="0.35">
      <c r="Q139" s="227">
        <v>131</v>
      </c>
      <c r="R139" s="6" t="s">
        <v>446</v>
      </c>
      <c r="S139" s="317">
        <v>46264</v>
      </c>
      <c r="T139" s="6">
        <v>0.98599999999999999</v>
      </c>
      <c r="U139" s="6"/>
      <c r="V139" s="6"/>
      <c r="AG139" s="430">
        <v>99</v>
      </c>
      <c r="AH139" s="38">
        <v>0.81</v>
      </c>
    </row>
    <row r="140" spans="17:34" x14ac:dyDescent="0.3">
      <c r="Q140" s="227">
        <v>132</v>
      </c>
      <c r="R140" s="6" t="s">
        <v>447</v>
      </c>
      <c r="S140" s="317">
        <v>46264</v>
      </c>
      <c r="T140" s="6">
        <v>1.2170000000000001</v>
      </c>
      <c r="U140" s="6"/>
      <c r="V140" s="6"/>
      <c r="AG140" s="428">
        <v>100</v>
      </c>
      <c r="AH140" s="38">
        <v>0.81</v>
      </c>
    </row>
    <row r="141" spans="17:34" x14ac:dyDescent="0.3">
      <c r="Q141" s="227">
        <v>133</v>
      </c>
      <c r="R141" s="6" t="s">
        <v>448</v>
      </c>
      <c r="S141" s="317">
        <v>46264</v>
      </c>
      <c r="T141" s="6">
        <v>0.83599999999999997</v>
      </c>
      <c r="U141" s="6"/>
      <c r="V141" s="6"/>
      <c r="AG141" s="428">
        <v>101</v>
      </c>
      <c r="AH141" s="38">
        <v>0.81</v>
      </c>
    </row>
    <row r="142" spans="17:34" x14ac:dyDescent="0.3">
      <c r="Q142" s="227">
        <v>134</v>
      </c>
      <c r="R142" s="6"/>
      <c r="S142" s="317"/>
      <c r="T142" s="6"/>
      <c r="U142" s="6"/>
      <c r="V142" s="6"/>
      <c r="AG142" s="428">
        <v>102</v>
      </c>
      <c r="AH142" s="38">
        <v>0.81</v>
      </c>
    </row>
    <row r="143" spans="17:34" ht="15" thickBot="1" x14ac:dyDescent="0.35">
      <c r="Q143" s="227">
        <v>135</v>
      </c>
      <c r="R143" s="6"/>
      <c r="S143" s="317"/>
      <c r="T143" s="6"/>
      <c r="U143" s="6"/>
      <c r="V143" s="6"/>
      <c r="AG143" s="430">
        <v>103</v>
      </c>
      <c r="AH143" s="38">
        <v>0.81</v>
      </c>
    </row>
    <row r="144" spans="17:34" x14ac:dyDescent="0.3">
      <c r="Q144" s="227">
        <v>136</v>
      </c>
      <c r="R144" s="6"/>
      <c r="S144" s="317"/>
      <c r="T144" s="6"/>
      <c r="U144" s="6"/>
      <c r="V144" s="6"/>
      <c r="AG144" s="428">
        <v>104</v>
      </c>
      <c r="AH144" s="38">
        <v>0.81</v>
      </c>
    </row>
    <row r="145" spans="2:34" x14ac:dyDescent="0.3">
      <c r="Q145" s="227">
        <v>137</v>
      </c>
      <c r="R145" s="6"/>
      <c r="S145" s="317"/>
      <c r="T145" s="6"/>
      <c r="U145" s="6"/>
      <c r="V145" s="6"/>
      <c r="AG145" s="428">
        <v>105</v>
      </c>
      <c r="AH145" s="38">
        <v>0.81</v>
      </c>
    </row>
    <row r="146" spans="2:34" x14ac:dyDescent="0.3">
      <c r="Q146" s="227">
        <v>138</v>
      </c>
      <c r="R146" s="6"/>
      <c r="S146" s="317"/>
      <c r="T146" s="6"/>
      <c r="U146" s="6"/>
      <c r="V146" s="6"/>
      <c r="AG146" s="428">
        <v>106</v>
      </c>
      <c r="AH146" s="38">
        <v>0.81</v>
      </c>
    </row>
    <row r="147" spans="2:34" ht="15" thickBot="1" x14ac:dyDescent="0.35">
      <c r="B147" s="17" t="s">
        <v>71</v>
      </c>
      <c r="C147" s="17" t="s">
        <v>1</v>
      </c>
      <c r="D147" s="17" t="s">
        <v>436</v>
      </c>
      <c r="E147" s="17" t="s">
        <v>437</v>
      </c>
      <c r="F147" s="17" t="s">
        <v>439</v>
      </c>
      <c r="G147" s="17" t="s">
        <v>438</v>
      </c>
      <c r="Q147" s="227">
        <v>139</v>
      </c>
      <c r="R147" s="6"/>
      <c r="S147" s="317"/>
      <c r="T147" s="6"/>
      <c r="U147" s="6"/>
      <c r="V147" s="6"/>
      <c r="AG147" s="430">
        <v>107</v>
      </c>
      <c r="AH147" s="38">
        <v>0.81</v>
      </c>
    </row>
    <row r="148" spans="2:34" x14ac:dyDescent="0.3">
      <c r="B148" s="16">
        <v>1</v>
      </c>
      <c r="C148" s="84">
        <v>46261</v>
      </c>
      <c r="D148" s="16" t="s">
        <v>442</v>
      </c>
      <c r="E148" s="16">
        <v>1238</v>
      </c>
      <c r="F148" s="16">
        <v>1.39</v>
      </c>
      <c r="G148" s="50">
        <f>E148*F148</f>
        <v>1720.82</v>
      </c>
      <c r="Q148" s="227">
        <v>140</v>
      </c>
      <c r="R148" s="6"/>
      <c r="S148" s="317"/>
      <c r="T148" s="6"/>
      <c r="U148" s="6"/>
      <c r="V148" s="6"/>
      <c r="AG148" s="428">
        <v>108</v>
      </c>
      <c r="AH148" s="38">
        <v>0.81</v>
      </c>
    </row>
    <row r="149" spans="2:34" x14ac:dyDescent="0.3">
      <c r="B149" s="16"/>
      <c r="C149" s="84"/>
      <c r="D149" s="16"/>
      <c r="E149" s="16"/>
      <c r="F149" s="16"/>
      <c r="G149" s="16"/>
      <c r="Q149" s="227">
        <v>141</v>
      </c>
      <c r="R149" s="6"/>
      <c r="S149" s="317"/>
      <c r="T149" s="6"/>
      <c r="U149" s="6"/>
      <c r="V149" s="6"/>
      <c r="AG149" s="428">
        <v>109</v>
      </c>
      <c r="AH149" s="38">
        <v>0.81</v>
      </c>
    </row>
    <row r="150" spans="2:34" x14ac:dyDescent="0.3">
      <c r="Q150" s="227">
        <v>142</v>
      </c>
      <c r="R150" s="6"/>
      <c r="S150" s="317"/>
      <c r="T150" s="6"/>
      <c r="U150" s="6"/>
      <c r="V150" s="6"/>
      <c r="AG150" s="428">
        <v>110</v>
      </c>
      <c r="AH150" s="38">
        <v>0.81</v>
      </c>
    </row>
    <row r="151" spans="2:34" ht="15" thickBot="1" x14ac:dyDescent="0.35">
      <c r="Q151" s="227">
        <v>143</v>
      </c>
      <c r="R151" s="6"/>
      <c r="S151" s="317"/>
      <c r="T151" s="6"/>
      <c r="U151" s="6"/>
      <c r="V151" s="6"/>
      <c r="AG151" s="430">
        <v>111</v>
      </c>
      <c r="AH151" s="38">
        <v>0.81</v>
      </c>
    </row>
    <row r="152" spans="2:34" x14ac:dyDescent="0.3">
      <c r="Q152" s="227">
        <v>144</v>
      </c>
      <c r="R152" s="6"/>
      <c r="S152" s="317"/>
      <c r="T152" s="6"/>
      <c r="U152" s="6"/>
      <c r="V152" s="6"/>
      <c r="AG152" s="428">
        <v>112</v>
      </c>
      <c r="AH152" s="38">
        <v>0.81</v>
      </c>
    </row>
    <row r="153" spans="2:34" x14ac:dyDescent="0.3">
      <c r="Q153" s="227">
        <v>145</v>
      </c>
      <c r="R153" s="6"/>
      <c r="S153" s="317"/>
      <c r="T153" s="6"/>
      <c r="U153" s="6"/>
      <c r="V153" s="6"/>
      <c r="AG153" s="428">
        <v>113</v>
      </c>
      <c r="AH153" s="38">
        <v>0.81</v>
      </c>
    </row>
    <row r="154" spans="2:34" x14ac:dyDescent="0.3">
      <c r="Q154" s="227">
        <v>146</v>
      </c>
      <c r="R154" s="6"/>
      <c r="S154" s="317"/>
      <c r="T154" s="6"/>
      <c r="U154" s="6"/>
      <c r="V154" s="6"/>
      <c r="AG154" s="428">
        <v>114</v>
      </c>
      <c r="AH154" s="38">
        <v>0.81</v>
      </c>
    </row>
    <row r="155" spans="2:34" ht="15" thickBot="1" x14ac:dyDescent="0.35">
      <c r="Q155" s="227">
        <v>147</v>
      </c>
      <c r="R155" s="6"/>
      <c r="S155" s="317"/>
      <c r="T155" s="6"/>
      <c r="U155" s="6"/>
      <c r="V155" s="6"/>
      <c r="AG155" s="430">
        <v>115</v>
      </c>
      <c r="AH155" s="38">
        <v>0.81</v>
      </c>
    </row>
    <row r="156" spans="2:34" x14ac:dyDescent="0.3">
      <c r="Q156" s="227">
        <v>148</v>
      </c>
      <c r="R156" s="6"/>
      <c r="S156" s="317"/>
      <c r="T156" s="6"/>
      <c r="U156" s="6"/>
      <c r="V156" s="6"/>
      <c r="AG156" s="428">
        <v>116</v>
      </c>
      <c r="AH156" s="38">
        <v>0.81</v>
      </c>
    </row>
    <row r="157" spans="2:34" x14ac:dyDescent="0.3">
      <c r="Q157" s="227">
        <v>149</v>
      </c>
      <c r="R157" s="6"/>
      <c r="S157" s="317"/>
      <c r="T157" s="6"/>
      <c r="U157" s="6"/>
      <c r="V157" s="6"/>
      <c r="AG157" s="428">
        <v>117</v>
      </c>
      <c r="AH157" s="38">
        <v>0.81</v>
      </c>
    </row>
    <row r="158" spans="2:34" x14ac:dyDescent="0.3">
      <c r="Q158" s="227">
        <v>150</v>
      </c>
      <c r="R158" s="6"/>
      <c r="S158" s="317"/>
      <c r="T158" s="6"/>
      <c r="U158" s="6"/>
      <c r="V158" s="6"/>
      <c r="AG158" s="428">
        <v>118</v>
      </c>
      <c r="AH158" s="38">
        <v>0.81</v>
      </c>
    </row>
    <row r="159" spans="2:34" ht="15" thickBot="1" x14ac:dyDescent="0.35">
      <c r="Q159" s="227">
        <v>151</v>
      </c>
      <c r="R159" s="6"/>
      <c r="S159" s="317"/>
      <c r="T159" s="6"/>
      <c r="U159" s="6"/>
      <c r="V159" s="6"/>
      <c r="AG159" s="430">
        <v>119</v>
      </c>
      <c r="AH159" s="38">
        <v>0.81</v>
      </c>
    </row>
    <row r="160" spans="2:34" x14ac:dyDescent="0.3">
      <c r="Q160" s="227">
        <v>152</v>
      </c>
      <c r="R160" s="6"/>
      <c r="S160" s="317"/>
      <c r="T160" s="6"/>
      <c r="U160" s="6"/>
      <c r="V160" s="6"/>
      <c r="AG160" s="428">
        <v>120</v>
      </c>
      <c r="AH160" s="38">
        <v>0.81</v>
      </c>
    </row>
    <row r="161" spans="17:34" x14ac:dyDescent="0.3">
      <c r="Q161" s="227">
        <v>153</v>
      </c>
      <c r="R161" s="6"/>
      <c r="S161" s="317"/>
      <c r="T161" s="6"/>
      <c r="U161" s="6"/>
      <c r="V161" s="6"/>
      <c r="AG161" s="428">
        <v>121</v>
      </c>
      <c r="AH161" s="38">
        <v>0.81</v>
      </c>
    </row>
    <row r="162" spans="17:34" x14ac:dyDescent="0.3">
      <c r="Q162" s="227">
        <v>154</v>
      </c>
      <c r="R162" s="6"/>
      <c r="S162" s="317"/>
      <c r="T162" s="6"/>
      <c r="U162" s="6"/>
      <c r="V162" s="6"/>
      <c r="AG162" s="428">
        <v>122</v>
      </c>
      <c r="AH162" s="38">
        <v>0.81</v>
      </c>
    </row>
    <row r="163" spans="17:34" ht="15" thickBot="1" x14ac:dyDescent="0.35">
      <c r="Q163" s="227">
        <v>155</v>
      </c>
      <c r="R163" s="6"/>
      <c r="S163" s="317"/>
      <c r="T163" s="6"/>
      <c r="U163" s="6"/>
      <c r="V163" s="6"/>
      <c r="AG163" s="430">
        <v>123</v>
      </c>
      <c r="AH163" s="38">
        <v>0.81</v>
      </c>
    </row>
    <row r="164" spans="17:34" x14ac:dyDescent="0.3">
      <c r="Q164" s="227">
        <v>156</v>
      </c>
      <c r="R164" s="6"/>
      <c r="S164" s="317"/>
      <c r="T164" s="6"/>
      <c r="U164" s="6"/>
      <c r="V164" s="6"/>
      <c r="AG164" s="428">
        <v>124</v>
      </c>
      <c r="AH164" s="38">
        <v>0.81</v>
      </c>
    </row>
    <row r="165" spans="17:34" x14ac:dyDescent="0.3">
      <c r="Q165" s="227">
        <v>157</v>
      </c>
      <c r="R165" s="6"/>
      <c r="S165" s="317"/>
      <c r="T165" s="6"/>
      <c r="U165" s="6"/>
      <c r="V165" s="6"/>
      <c r="AG165" s="428">
        <v>125</v>
      </c>
      <c r="AH165" s="38">
        <v>0.81</v>
      </c>
    </row>
    <row r="166" spans="17:34" x14ac:dyDescent="0.3">
      <c r="Q166" s="227">
        <v>158</v>
      </c>
      <c r="R166" s="6"/>
      <c r="S166" s="317"/>
      <c r="T166" s="6"/>
      <c r="U166" s="6"/>
      <c r="V166" s="6"/>
      <c r="AG166" s="428">
        <v>126</v>
      </c>
      <c r="AH166" s="38">
        <v>0.81</v>
      </c>
    </row>
    <row r="167" spans="17:34" ht="15" thickBot="1" x14ac:dyDescent="0.35">
      <c r="Q167" s="227">
        <v>159</v>
      </c>
      <c r="R167" s="6"/>
      <c r="S167" s="317"/>
      <c r="T167" s="6"/>
      <c r="U167" s="6"/>
      <c r="V167" s="6"/>
      <c r="AG167" s="430">
        <v>127</v>
      </c>
      <c r="AH167" s="38">
        <v>0.81</v>
      </c>
    </row>
    <row r="168" spans="17:34" x14ac:dyDescent="0.3">
      <c r="Q168" s="227">
        <v>160</v>
      </c>
      <c r="R168" s="6"/>
      <c r="S168" s="317"/>
      <c r="T168" s="6"/>
      <c r="U168" s="6"/>
      <c r="V168" s="6"/>
      <c r="AG168" s="428">
        <v>128</v>
      </c>
      <c r="AH168" s="38">
        <v>0.81</v>
      </c>
    </row>
    <row r="169" spans="17:34" x14ac:dyDescent="0.3">
      <c r="Q169" s="227">
        <v>161</v>
      </c>
      <c r="R169" s="6"/>
      <c r="S169" s="317"/>
      <c r="T169" s="6"/>
      <c r="U169" s="6"/>
      <c r="V169" s="6"/>
      <c r="AG169" s="428">
        <v>129</v>
      </c>
      <c r="AH169" s="38">
        <v>0.81</v>
      </c>
    </row>
    <row r="170" spans="17:34" x14ac:dyDescent="0.3">
      <c r="Q170" s="227">
        <v>162</v>
      </c>
      <c r="R170" s="6"/>
      <c r="S170" s="317"/>
      <c r="T170" s="6"/>
      <c r="U170" s="6"/>
      <c r="V170" s="6"/>
      <c r="AG170" s="428">
        <v>130</v>
      </c>
      <c r="AH170" s="38">
        <v>0.81</v>
      </c>
    </row>
    <row r="171" spans="17:34" ht="15" thickBot="1" x14ac:dyDescent="0.35">
      <c r="Q171" s="227">
        <v>163</v>
      </c>
      <c r="R171" s="6"/>
      <c r="S171" s="317"/>
      <c r="T171" s="6"/>
      <c r="U171" s="6"/>
      <c r="V171" s="6"/>
      <c r="AG171" s="430">
        <v>131</v>
      </c>
      <c r="AH171" s="38">
        <v>0.81</v>
      </c>
    </row>
    <row r="172" spans="17:34" x14ac:dyDescent="0.3">
      <c r="Q172" s="227">
        <v>164</v>
      </c>
      <c r="R172" s="6"/>
      <c r="S172" s="317"/>
      <c r="T172" s="6"/>
      <c r="U172" s="6"/>
      <c r="V172" s="6"/>
      <c r="AG172" s="428">
        <v>132</v>
      </c>
      <c r="AH172" s="38">
        <v>0.81</v>
      </c>
    </row>
    <row r="173" spans="17:34" x14ac:dyDescent="0.3">
      <c r="Q173" s="227">
        <v>165</v>
      </c>
      <c r="R173" s="6"/>
      <c r="S173" s="317"/>
      <c r="T173" s="6"/>
      <c r="U173" s="6"/>
      <c r="V173" s="6"/>
      <c r="AG173" s="428">
        <v>133</v>
      </c>
      <c r="AH173" s="38">
        <v>0.81</v>
      </c>
    </row>
    <row r="174" spans="17:34" x14ac:dyDescent="0.3">
      <c r="Q174" s="227">
        <v>166</v>
      </c>
      <c r="R174" s="6"/>
      <c r="S174" s="317"/>
      <c r="T174" s="6"/>
      <c r="U174" s="6"/>
      <c r="V174" s="6"/>
    </row>
    <row r="175" spans="17:34" x14ac:dyDescent="0.3">
      <c r="Q175" s="227">
        <v>167</v>
      </c>
      <c r="R175" s="6"/>
      <c r="S175" s="317"/>
      <c r="T175" s="6"/>
      <c r="U175" s="6"/>
      <c r="V175" s="6"/>
    </row>
    <row r="176" spans="17:34" x14ac:dyDescent="0.3">
      <c r="Q176" s="227">
        <v>168</v>
      </c>
      <c r="R176" s="6"/>
      <c r="S176" s="317"/>
      <c r="T176" s="6"/>
      <c r="U176" s="6"/>
      <c r="V176" s="6"/>
    </row>
    <row r="177" spans="17:22" x14ac:dyDescent="0.3">
      <c r="Q177" s="227">
        <v>169</v>
      </c>
      <c r="R177" s="6"/>
      <c r="S177" s="317"/>
      <c r="T177" s="6"/>
      <c r="U177" s="6"/>
      <c r="V177" s="6"/>
    </row>
    <row r="178" spans="17:22" x14ac:dyDescent="0.3">
      <c r="Q178" s="227">
        <v>170</v>
      </c>
      <c r="R178" s="6"/>
      <c r="S178" s="317"/>
      <c r="T178" s="6"/>
      <c r="U178" s="6"/>
      <c r="V178" s="6"/>
    </row>
    <row r="179" spans="17:22" x14ac:dyDescent="0.3">
      <c r="Q179" s="227">
        <v>171</v>
      </c>
      <c r="R179" s="6"/>
      <c r="S179" s="317"/>
      <c r="T179" s="6"/>
      <c r="U179" s="6"/>
      <c r="V179" s="6"/>
    </row>
    <row r="180" spans="17:22" x14ac:dyDescent="0.3">
      <c r="Q180" s="227">
        <v>172</v>
      </c>
      <c r="R180" s="6"/>
      <c r="S180" s="317"/>
      <c r="T180" s="6"/>
      <c r="U180" s="6"/>
      <c r="V180" s="6"/>
    </row>
    <row r="181" spans="17:22" x14ac:dyDescent="0.3">
      <c r="Q181" s="227">
        <v>173</v>
      </c>
      <c r="R181" s="6"/>
      <c r="S181" s="317"/>
      <c r="T181" s="6"/>
      <c r="U181" s="6"/>
      <c r="V181" s="6"/>
    </row>
    <row r="182" spans="17:22" x14ac:dyDescent="0.3">
      <c r="Q182" s="227">
        <v>174</v>
      </c>
      <c r="R182" s="6"/>
      <c r="S182" s="317"/>
      <c r="T182" s="6"/>
      <c r="U182" s="6"/>
      <c r="V182" s="6"/>
    </row>
    <row r="183" spans="17:22" x14ac:dyDescent="0.3">
      <c r="Q183" s="227">
        <v>175</v>
      </c>
      <c r="R183" s="6"/>
      <c r="S183" s="317"/>
      <c r="T183" s="6"/>
      <c r="U183" s="6"/>
      <c r="V183" s="6"/>
    </row>
    <row r="184" spans="17:22" x14ac:dyDescent="0.3">
      <c r="Q184" s="227">
        <v>176</v>
      </c>
      <c r="R184" s="6"/>
      <c r="S184" s="317"/>
      <c r="T184" s="6"/>
      <c r="U184" s="6"/>
      <c r="V184" s="6"/>
    </row>
    <row r="185" spans="17:22" x14ac:dyDescent="0.3">
      <c r="Q185" s="227">
        <v>177</v>
      </c>
      <c r="R185" s="6"/>
      <c r="S185" s="317"/>
      <c r="T185" s="6"/>
      <c r="U185" s="6"/>
      <c r="V185" s="6"/>
    </row>
    <row r="186" spans="17:22" x14ac:dyDescent="0.3">
      <c r="Q186" s="227">
        <v>178</v>
      </c>
      <c r="R186" s="6"/>
      <c r="S186" s="317"/>
      <c r="T186" s="6"/>
      <c r="U186" s="6"/>
      <c r="V186" s="6"/>
    </row>
    <row r="187" spans="17:22" x14ac:dyDescent="0.3">
      <c r="Q187" s="227">
        <v>179</v>
      </c>
      <c r="R187" s="6"/>
      <c r="S187" s="317"/>
      <c r="T187" s="6"/>
      <c r="U187" s="6"/>
      <c r="V187" s="6"/>
    </row>
    <row r="188" spans="17:22" x14ac:dyDescent="0.3">
      <c r="Q188" s="227">
        <v>180</v>
      </c>
      <c r="R188" s="6"/>
      <c r="S188" s="317"/>
      <c r="T188" s="6"/>
      <c r="U188" s="6"/>
      <c r="V188" s="6"/>
    </row>
    <row r="189" spans="17:22" x14ac:dyDescent="0.3">
      <c r="Q189" s="227">
        <v>181</v>
      </c>
      <c r="R189" s="6"/>
      <c r="S189" s="317"/>
      <c r="T189" s="6"/>
      <c r="U189" s="6"/>
      <c r="V189" s="6"/>
    </row>
    <row r="190" spans="17:22" x14ac:dyDescent="0.3">
      <c r="Q190" s="227">
        <v>182</v>
      </c>
      <c r="R190" s="6"/>
      <c r="S190" s="317"/>
      <c r="T190" s="6"/>
      <c r="U190" s="6"/>
      <c r="V190" s="6"/>
    </row>
    <row r="191" spans="17:22" x14ac:dyDescent="0.3">
      <c r="Q191" s="227">
        <v>183</v>
      </c>
      <c r="R191" s="6"/>
      <c r="S191" s="317"/>
      <c r="T191" s="6"/>
      <c r="U191" s="6"/>
      <c r="V191" s="6"/>
    </row>
    <row r="192" spans="17:22" x14ac:dyDescent="0.3">
      <c r="Q192" s="227">
        <v>184</v>
      </c>
      <c r="R192" s="6"/>
      <c r="S192" s="317"/>
      <c r="T192" s="6"/>
      <c r="U192" s="6"/>
      <c r="V192" s="6"/>
    </row>
    <row r="193" spans="17:22" x14ac:dyDescent="0.3">
      <c r="Q193" s="227">
        <v>185</v>
      </c>
      <c r="R193" s="6"/>
      <c r="S193" s="317"/>
      <c r="T193" s="6"/>
      <c r="U193" s="6"/>
      <c r="V193" s="6"/>
    </row>
    <row r="194" spans="17:22" x14ac:dyDescent="0.3">
      <c r="Q194" s="227">
        <v>186</v>
      </c>
      <c r="R194" s="6"/>
      <c r="S194" s="317"/>
      <c r="T194" s="6"/>
      <c r="U194" s="6"/>
      <c r="V194" s="6"/>
    </row>
    <row r="195" spans="17:22" x14ac:dyDescent="0.3">
      <c r="Q195" s="227">
        <v>187</v>
      </c>
      <c r="R195" s="6"/>
      <c r="S195" s="317"/>
      <c r="T195" s="6"/>
      <c r="U195" s="6"/>
      <c r="V195" s="6"/>
    </row>
    <row r="196" spans="17:22" x14ac:dyDescent="0.3">
      <c r="Q196" s="227">
        <v>188</v>
      </c>
      <c r="R196" s="6"/>
      <c r="S196" s="317"/>
      <c r="T196" s="6"/>
      <c r="U196" s="6"/>
      <c r="V196" s="6"/>
    </row>
    <row r="197" spans="17:22" x14ac:dyDescent="0.3">
      <c r="Q197" s="227">
        <v>189</v>
      </c>
      <c r="R197" s="6"/>
      <c r="S197" s="317"/>
      <c r="T197" s="6"/>
      <c r="U197" s="6"/>
      <c r="V197" s="6"/>
    </row>
    <row r="198" spans="17:22" x14ac:dyDescent="0.3">
      <c r="Q198" s="227">
        <v>190</v>
      </c>
      <c r="R198" s="6"/>
      <c r="S198" s="317"/>
      <c r="T198" s="6"/>
      <c r="U198" s="6"/>
      <c r="V198" s="6"/>
    </row>
    <row r="199" spans="17:22" x14ac:dyDescent="0.3">
      <c r="Q199" s="227">
        <v>191</v>
      </c>
      <c r="R199" s="6"/>
      <c r="S199" s="317"/>
      <c r="T199" s="6"/>
      <c r="U199" s="6"/>
      <c r="V199" s="6"/>
    </row>
    <row r="200" spans="17:22" x14ac:dyDescent="0.3">
      <c r="Q200" s="227">
        <v>192</v>
      </c>
      <c r="R200" s="6"/>
      <c r="S200" s="317"/>
      <c r="T200" s="6"/>
      <c r="U200" s="6"/>
      <c r="V200" s="6"/>
    </row>
    <row r="201" spans="17:22" x14ac:dyDescent="0.3">
      <c r="Q201" s="227">
        <v>193</v>
      </c>
      <c r="R201" s="6"/>
      <c r="S201" s="317"/>
      <c r="T201" s="6"/>
      <c r="U201" s="6"/>
      <c r="V201" s="6"/>
    </row>
    <row r="202" spans="17:22" x14ac:dyDescent="0.3">
      <c r="Q202" s="227">
        <v>194</v>
      </c>
      <c r="R202" s="6"/>
      <c r="S202" s="317"/>
      <c r="T202" s="6"/>
      <c r="U202" s="6"/>
      <c r="V202" s="6"/>
    </row>
    <row r="203" spans="17:22" x14ac:dyDescent="0.3">
      <c r="Q203" s="227">
        <v>195</v>
      </c>
      <c r="R203" s="6"/>
      <c r="S203" s="317"/>
      <c r="T203" s="6"/>
      <c r="U203" s="6"/>
      <c r="V203" s="6"/>
    </row>
    <row r="204" spans="17:22" x14ac:dyDescent="0.3">
      <c r="Q204" s="227">
        <v>196</v>
      </c>
      <c r="R204" s="6"/>
      <c r="S204" s="317">
        <v>46253</v>
      </c>
      <c r="T204" s="6"/>
      <c r="U204" s="6"/>
      <c r="V204" s="6"/>
    </row>
    <row r="205" spans="17:22" x14ac:dyDescent="0.3">
      <c r="Q205" s="227">
        <v>197</v>
      </c>
      <c r="R205" s="6"/>
      <c r="S205" s="317">
        <v>46253</v>
      </c>
      <c r="T205" s="6"/>
      <c r="U205" s="6"/>
      <c r="V205" s="6"/>
    </row>
    <row r="206" spans="17:22" x14ac:dyDescent="0.3">
      <c r="Q206" s="227">
        <v>198</v>
      </c>
      <c r="R206" s="6"/>
      <c r="S206" s="317">
        <v>46253</v>
      </c>
      <c r="T206" s="6"/>
      <c r="U206" s="6"/>
      <c r="V206" s="6"/>
    </row>
    <row r="207" spans="17:22" x14ac:dyDescent="0.3">
      <c r="Q207" s="227">
        <v>199</v>
      </c>
      <c r="R207" s="6"/>
      <c r="S207" s="317">
        <v>46253</v>
      </c>
      <c r="T207" s="6"/>
      <c r="U207" s="6"/>
      <c r="V207" s="6"/>
    </row>
    <row r="208" spans="17:22" x14ac:dyDescent="0.3">
      <c r="Q208" s="227">
        <v>200</v>
      </c>
      <c r="R208" s="6"/>
      <c r="S208" s="317">
        <v>46253</v>
      </c>
      <c r="T208" s="6"/>
      <c r="U208" s="6"/>
      <c r="V208" s="6"/>
    </row>
    <row r="209" spans="17:22" x14ac:dyDescent="0.3">
      <c r="Q209" s="227">
        <v>201</v>
      </c>
      <c r="R209" s="6"/>
      <c r="S209" s="317">
        <v>46253</v>
      </c>
      <c r="T209" s="6"/>
      <c r="U209" s="6"/>
      <c r="V209" s="6"/>
    </row>
    <row r="210" spans="17:22" x14ac:dyDescent="0.3">
      <c r="Q210" s="227">
        <v>202</v>
      </c>
      <c r="R210" s="6"/>
      <c r="S210" s="317">
        <v>46253</v>
      </c>
      <c r="T210" s="6"/>
      <c r="U210" s="6"/>
      <c r="V210" s="6"/>
    </row>
    <row r="211" spans="17:22" x14ac:dyDescent="0.3">
      <c r="Q211" s="227">
        <v>203</v>
      </c>
      <c r="R211" s="6"/>
      <c r="S211" s="317">
        <v>46253</v>
      </c>
      <c r="T211" s="6"/>
      <c r="U211" s="6"/>
      <c r="V211" s="6"/>
    </row>
    <row r="212" spans="17:22" x14ac:dyDescent="0.3">
      <c r="Q212" s="227">
        <v>204</v>
      </c>
      <c r="R212" s="6"/>
      <c r="S212" s="317">
        <v>46253</v>
      </c>
      <c r="T212" s="6"/>
      <c r="U212" s="6"/>
      <c r="V212" s="6"/>
    </row>
  </sheetData>
  <sortState xmlns:xlrd2="http://schemas.microsoft.com/office/spreadsheetml/2017/richdata2" ref="AE1:AE213">
    <sortCondition ref="AE1:AE213"/>
  </sortState>
  <mergeCells count="5">
    <mergeCell ref="B2:M2"/>
    <mergeCell ref="B3:M3"/>
    <mergeCell ref="Q7:V7"/>
    <mergeCell ref="AG39:AL40"/>
    <mergeCell ref="B112:J113"/>
  </mergeCells>
  <phoneticPr fontId="52" type="noConversion"/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J100"/>
  <sheetViews>
    <sheetView topLeftCell="L1" zoomScale="67" zoomScaleNormal="60" workbookViewId="0">
      <pane ySplit="9" topLeftCell="A10" activePane="bottomLeft" state="frozen"/>
      <selection pane="bottomLeft" activeCell="S25" sqref="S25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.109375" style="1" bestFit="1" customWidth="1"/>
    <col min="5" max="5" width="16.33203125" style="15" customWidth="1"/>
    <col min="6" max="6" width="14.33203125" style="1" bestFit="1" customWidth="1"/>
    <col min="7" max="8" width="15.44140625" style="1" bestFit="1" customWidth="1"/>
    <col min="9" max="9" width="34.77734375" style="1" bestFit="1" customWidth="1"/>
    <col min="10" max="10" width="19.44140625" style="1" bestFit="1" customWidth="1"/>
    <col min="11" max="11" width="25.77734375" style="1" bestFit="1" customWidth="1"/>
    <col min="12" max="12" width="42.21875" style="1" bestFit="1" customWidth="1"/>
    <col min="13" max="13" width="20.44140625" style="1" bestFit="1" customWidth="1"/>
    <col min="14" max="17" width="20.44140625" style="1" customWidth="1"/>
    <col min="18" max="18" width="35.88671875" style="1" bestFit="1" customWidth="1"/>
    <col min="19" max="19" width="17.109375" style="1" bestFit="1" customWidth="1"/>
    <col min="20" max="20" width="17.109375" style="1" customWidth="1"/>
    <col min="21" max="21" width="9.44140625" style="1" customWidth="1"/>
    <col min="22" max="22" width="13.33203125" style="1" customWidth="1"/>
    <col min="23" max="23" width="9.88671875" style="1" customWidth="1"/>
    <col min="24" max="24" width="15.21875" style="1" customWidth="1"/>
    <col min="25" max="25" width="12.88671875" style="1" customWidth="1"/>
    <col min="26" max="26" width="18.33203125" style="1" customWidth="1"/>
    <col min="27" max="27" width="18.5546875" style="1" customWidth="1"/>
    <col min="28" max="28" width="15.6640625" style="1" customWidth="1"/>
    <col min="29" max="29" width="8.88671875" style="1"/>
    <col min="30" max="30" width="8.88671875" style="1" customWidth="1"/>
    <col min="31" max="32" width="8.88671875" style="1"/>
    <col min="33" max="33" width="17" style="1" bestFit="1" customWidth="1"/>
    <col min="34" max="34" width="8.88671875" style="1"/>
    <col min="35" max="35" width="16" style="1" customWidth="1"/>
    <col min="36" max="36" width="18.44140625" style="1" customWidth="1"/>
    <col min="37" max="37" width="15.33203125" style="1" customWidth="1"/>
    <col min="38" max="38" width="17.88671875" style="1" bestFit="1" customWidth="1"/>
    <col min="39" max="39" width="13.109375" style="1" customWidth="1"/>
    <col min="40" max="40" width="22.33203125" style="1" customWidth="1"/>
    <col min="41" max="42" width="15" style="1" customWidth="1"/>
    <col min="43" max="44" width="8.88671875" style="1"/>
    <col min="45" max="45" width="15.88671875" style="1" customWidth="1"/>
    <col min="46" max="46" width="21.5546875" style="14" bestFit="1" customWidth="1"/>
    <col min="47" max="47" width="15.88671875" style="1" customWidth="1"/>
    <col min="48" max="48" width="12.5546875" style="1" customWidth="1"/>
    <col min="49" max="49" width="8.88671875" style="1"/>
    <col min="50" max="51" width="9.109375" style="1" customWidth="1"/>
    <col min="52" max="52" width="8.88671875" style="1"/>
    <col min="53" max="53" width="11.44140625" style="1" customWidth="1"/>
    <col min="54" max="54" width="12.33203125" style="1" customWidth="1"/>
    <col min="55" max="57" width="8.88671875" style="1"/>
    <col min="58" max="58" width="9.33203125" style="1" bestFit="1" customWidth="1"/>
    <col min="59" max="16384" width="8.88671875" style="1"/>
  </cols>
  <sheetData>
    <row r="1" spans="2:62" ht="15" thickBot="1" x14ac:dyDescent="0.35"/>
    <row r="2" spans="2:62" ht="24" thickBot="1" x14ac:dyDescent="0.5">
      <c r="D2" s="696" t="s">
        <v>244</v>
      </c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  <c r="Y2" s="697"/>
      <c r="Z2" s="697"/>
      <c r="AA2" s="697"/>
      <c r="AB2" s="697"/>
      <c r="AC2" s="698"/>
    </row>
    <row r="3" spans="2:62" ht="24" thickBot="1" x14ac:dyDescent="0.5">
      <c r="D3" s="696" t="s">
        <v>198</v>
      </c>
      <c r="E3" s="697"/>
      <c r="F3" s="697"/>
      <c r="G3" s="697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W3" s="697"/>
      <c r="X3" s="697"/>
      <c r="Y3" s="697"/>
      <c r="Z3" s="697"/>
      <c r="AA3" s="697"/>
      <c r="AB3" s="697"/>
      <c r="AC3" s="698"/>
      <c r="AG3" s="153"/>
    </row>
    <row r="4" spans="2:62" ht="24" thickBot="1" x14ac:dyDescent="0.5">
      <c r="D4" s="702">
        <v>46143</v>
      </c>
      <c r="E4" s="703"/>
      <c r="F4" s="703"/>
      <c r="G4" s="703"/>
      <c r="H4" s="703"/>
      <c r="I4" s="703"/>
      <c r="J4" s="703"/>
      <c r="K4" s="703"/>
      <c r="L4" s="703"/>
      <c r="M4" s="703"/>
      <c r="N4" s="703"/>
      <c r="O4" s="703"/>
      <c r="P4" s="703"/>
      <c r="Q4" s="703"/>
      <c r="R4" s="703"/>
      <c r="S4" s="703"/>
      <c r="T4" s="703"/>
      <c r="U4" s="703"/>
      <c r="V4" s="703"/>
      <c r="W4" s="703"/>
      <c r="X4" s="703"/>
      <c r="Y4" s="703"/>
      <c r="Z4" s="703"/>
      <c r="AA4" s="703"/>
      <c r="AB4" s="703"/>
      <c r="AC4" s="704"/>
      <c r="AE4" s="503"/>
      <c r="AF4" s="2"/>
      <c r="AJ4" s="2"/>
    </row>
    <row r="5" spans="2:62" x14ac:dyDescent="0.3">
      <c r="F5" s="153"/>
      <c r="L5" s="13"/>
      <c r="AG5" s="2"/>
    </row>
    <row r="6" spans="2:62" x14ac:dyDescent="0.3">
      <c r="L6" s="13"/>
      <c r="S6" s="2"/>
      <c r="T6" s="13"/>
      <c r="AA6" s="12"/>
      <c r="AB6" s="2"/>
      <c r="AF6" s="13"/>
      <c r="AI6" s="54"/>
    </row>
    <row r="7" spans="2:62" x14ac:dyDescent="0.3">
      <c r="B7" s="695" t="s">
        <v>260</v>
      </c>
      <c r="C7" s="224" t="s">
        <v>334</v>
      </c>
      <c r="D7" s="695" t="s">
        <v>245</v>
      </c>
      <c r="E7" s="695" t="s">
        <v>246</v>
      </c>
      <c r="F7" s="695" t="s">
        <v>247</v>
      </c>
      <c r="G7" s="695" t="s">
        <v>248</v>
      </c>
      <c r="H7" s="695" t="s">
        <v>249</v>
      </c>
      <c r="I7" s="695" t="s">
        <v>145</v>
      </c>
      <c r="J7" s="695" t="s">
        <v>251</v>
      </c>
      <c r="K7" s="699" t="s">
        <v>250</v>
      </c>
      <c r="L7" s="261" t="s">
        <v>250</v>
      </c>
      <c r="M7" s="699" t="s">
        <v>299</v>
      </c>
      <c r="N7" s="261" t="s">
        <v>296</v>
      </c>
      <c r="O7" s="261" t="s">
        <v>460</v>
      </c>
      <c r="P7" s="261" t="s">
        <v>462</v>
      </c>
      <c r="Q7" s="261" t="s">
        <v>465</v>
      </c>
      <c r="R7" s="224" t="s">
        <v>286</v>
      </c>
      <c r="S7" s="695" t="s">
        <v>252</v>
      </c>
      <c r="T7" s="224" t="s">
        <v>308</v>
      </c>
      <c r="U7" s="695" t="s">
        <v>261</v>
      </c>
      <c r="V7" s="695"/>
      <c r="W7" s="695"/>
      <c r="X7" s="649" t="s">
        <v>263</v>
      </c>
      <c r="Y7" s="649"/>
      <c r="Z7" s="649"/>
      <c r="AA7" s="695" t="s">
        <v>270</v>
      </c>
      <c r="AB7" s="695" t="s">
        <v>294</v>
      </c>
      <c r="AC7" s="649" t="s">
        <v>257</v>
      </c>
      <c r="AD7" s="649"/>
      <c r="AE7" s="649"/>
      <c r="AF7" s="649"/>
      <c r="AG7" s="649"/>
      <c r="AH7" s="649"/>
      <c r="AI7" s="649" t="s">
        <v>267</v>
      </c>
      <c r="AJ7" s="649"/>
      <c r="AK7" s="649"/>
      <c r="AL7" s="649" t="s">
        <v>268</v>
      </c>
      <c r="AM7" s="649"/>
      <c r="AN7" s="649"/>
      <c r="AO7" s="147"/>
      <c r="AP7" s="302" t="s">
        <v>340</v>
      </c>
      <c r="AQ7" s="705" t="s">
        <v>274</v>
      </c>
      <c r="AR7" s="706"/>
      <c r="AS7" s="707"/>
      <c r="AT7" s="266"/>
      <c r="AU7" s="699" t="s">
        <v>306</v>
      </c>
      <c r="AV7" s="649" t="s">
        <v>303</v>
      </c>
      <c r="AW7" s="649"/>
      <c r="AX7" s="649"/>
      <c r="AY7" s="147" t="s">
        <v>297</v>
      </c>
      <c r="AZ7" s="649" t="s">
        <v>281</v>
      </c>
      <c r="BA7" s="649"/>
      <c r="BB7" s="649"/>
    </row>
    <row r="8" spans="2:62" x14ac:dyDescent="0.3">
      <c r="B8" s="695"/>
      <c r="C8" s="224" t="s">
        <v>300</v>
      </c>
      <c r="D8" s="695"/>
      <c r="E8" s="695"/>
      <c r="F8" s="695"/>
      <c r="G8" s="695"/>
      <c r="H8" s="695"/>
      <c r="I8" s="695"/>
      <c r="J8" s="695"/>
      <c r="K8" s="700"/>
      <c r="L8" s="262" t="s">
        <v>321</v>
      </c>
      <c r="M8" s="700"/>
      <c r="N8" s="262" t="s">
        <v>55</v>
      </c>
      <c r="O8" s="262" t="s">
        <v>461</v>
      </c>
      <c r="P8" s="262" t="s">
        <v>463</v>
      </c>
      <c r="Q8" s="262" t="s">
        <v>466</v>
      </c>
      <c r="R8" s="224" t="s">
        <v>287</v>
      </c>
      <c r="S8" s="695"/>
      <c r="T8" s="224" t="s">
        <v>185</v>
      </c>
      <c r="U8" s="695" t="s">
        <v>262</v>
      </c>
      <c r="V8" s="695"/>
      <c r="W8" s="695"/>
      <c r="X8" s="649" t="s">
        <v>479</v>
      </c>
      <c r="Y8" s="649"/>
      <c r="Z8" s="649"/>
      <c r="AA8" s="695"/>
      <c r="AB8" s="695"/>
      <c r="AC8" s="649" t="s">
        <v>264</v>
      </c>
      <c r="AD8" s="649"/>
      <c r="AE8" s="649"/>
      <c r="AF8" s="649" t="s">
        <v>265</v>
      </c>
      <c r="AG8" s="649"/>
      <c r="AH8" s="649"/>
      <c r="AI8" s="649" t="s">
        <v>266</v>
      </c>
      <c r="AJ8" s="649"/>
      <c r="AK8" s="649"/>
      <c r="AL8" s="649" t="s">
        <v>258</v>
      </c>
      <c r="AM8" s="649"/>
      <c r="AN8" s="649"/>
      <c r="AO8" s="147" t="s">
        <v>259</v>
      </c>
      <c r="AP8" s="303" t="s">
        <v>298</v>
      </c>
      <c r="AQ8" s="708"/>
      <c r="AR8" s="709"/>
      <c r="AS8" s="710"/>
      <c r="AT8" s="266" t="s">
        <v>305</v>
      </c>
      <c r="AU8" s="701"/>
      <c r="AV8" s="649" t="s">
        <v>262</v>
      </c>
      <c r="AW8" s="649"/>
      <c r="AX8" s="649"/>
      <c r="AY8" s="147" t="s">
        <v>298</v>
      </c>
      <c r="AZ8" s="649" t="s">
        <v>41</v>
      </c>
      <c r="BA8" s="649"/>
      <c r="BB8" s="649"/>
    </row>
    <row r="9" spans="2:62" x14ac:dyDescent="0.3">
      <c r="B9" s="695"/>
      <c r="C9" s="224" t="s">
        <v>301</v>
      </c>
      <c r="D9" s="695"/>
      <c r="E9" s="695"/>
      <c r="F9" s="695"/>
      <c r="G9" s="695"/>
      <c r="H9" s="695"/>
      <c r="I9" s="695"/>
      <c r="J9" s="695"/>
      <c r="K9" s="701"/>
      <c r="L9" s="223" t="s">
        <v>320</v>
      </c>
      <c r="M9" s="701"/>
      <c r="N9" s="223" t="s">
        <v>71</v>
      </c>
      <c r="O9" s="223"/>
      <c r="P9" s="223" t="s">
        <v>464</v>
      </c>
      <c r="Q9" s="223" t="s">
        <v>464</v>
      </c>
      <c r="R9" s="224" t="s">
        <v>288</v>
      </c>
      <c r="S9" s="695"/>
      <c r="T9" s="224" t="s">
        <v>309</v>
      </c>
      <c r="U9" s="224" t="s">
        <v>254</v>
      </c>
      <c r="V9" s="224" t="s">
        <v>255</v>
      </c>
      <c r="W9" s="224" t="s">
        <v>256</v>
      </c>
      <c r="X9" s="147" t="s">
        <v>254</v>
      </c>
      <c r="Y9" s="147" t="s">
        <v>255</v>
      </c>
      <c r="Z9" s="147" t="s">
        <v>256</v>
      </c>
      <c r="AA9" s="695"/>
      <c r="AB9" s="695"/>
      <c r="AC9" s="147" t="s">
        <v>254</v>
      </c>
      <c r="AD9" s="147" t="s">
        <v>255</v>
      </c>
      <c r="AE9" s="147" t="s">
        <v>256</v>
      </c>
      <c r="AF9" s="147" t="s">
        <v>254</v>
      </c>
      <c r="AG9" s="147" t="s">
        <v>255</v>
      </c>
      <c r="AH9" s="147" t="s">
        <v>256</v>
      </c>
      <c r="AI9" s="147" t="s">
        <v>254</v>
      </c>
      <c r="AJ9" s="147" t="s">
        <v>255</v>
      </c>
      <c r="AK9" s="147" t="s">
        <v>256</v>
      </c>
      <c r="AL9" s="147" t="s">
        <v>254</v>
      </c>
      <c r="AM9" s="147" t="s">
        <v>255</v>
      </c>
      <c r="AN9" s="147" t="s">
        <v>256</v>
      </c>
      <c r="AO9" s="147" t="s">
        <v>254</v>
      </c>
      <c r="AP9" s="147" t="s">
        <v>71</v>
      </c>
      <c r="AQ9" s="147" t="s">
        <v>254</v>
      </c>
      <c r="AR9" s="147" t="s">
        <v>255</v>
      </c>
      <c r="AS9" s="147" t="s">
        <v>256</v>
      </c>
      <c r="AT9" s="266"/>
      <c r="AU9" s="147" t="s">
        <v>307</v>
      </c>
      <c r="AV9" s="147" t="s">
        <v>254</v>
      </c>
      <c r="AW9" s="147" t="s">
        <v>255</v>
      </c>
      <c r="AX9" s="147" t="s">
        <v>256</v>
      </c>
      <c r="AY9" s="147" t="s">
        <v>71</v>
      </c>
      <c r="AZ9" s="147" t="s">
        <v>254</v>
      </c>
      <c r="BA9" s="147" t="s">
        <v>255</v>
      </c>
      <c r="BB9" s="147" t="s">
        <v>256</v>
      </c>
      <c r="BD9" s="15"/>
      <c r="BE9" s="15" t="s">
        <v>278</v>
      </c>
      <c r="BF9" s="15" t="s">
        <v>279</v>
      </c>
      <c r="BG9" s="15" t="s">
        <v>280</v>
      </c>
    </row>
    <row r="10" spans="2:62" x14ac:dyDescent="0.3">
      <c r="B10" s="16">
        <v>1</v>
      </c>
      <c r="C10" s="50">
        <f>SUM('Milling and Leach Feed'!P5:P8)</f>
        <v>45.333333333333329</v>
      </c>
      <c r="D10" s="16">
        <v>2</v>
      </c>
      <c r="E10" s="84">
        <v>46267</v>
      </c>
      <c r="F10" s="115">
        <v>0.25</v>
      </c>
      <c r="G10" s="84">
        <v>46269</v>
      </c>
      <c r="H10" s="115">
        <v>0.25</v>
      </c>
      <c r="I10" s="16">
        <v>557</v>
      </c>
      <c r="J10" s="51">
        <v>0.41</v>
      </c>
      <c r="K10" s="50">
        <f>J10*I10*M10</f>
        <v>292.31359999999995</v>
      </c>
      <c r="L10" s="50"/>
      <c r="M10" s="16">
        <v>1.28</v>
      </c>
      <c r="N10" s="16">
        <v>2</v>
      </c>
      <c r="O10" s="51">
        <v>0.39900000000000002</v>
      </c>
      <c r="P10" s="16">
        <v>1.2649999999999999</v>
      </c>
      <c r="Q10" s="50">
        <v>107.85</v>
      </c>
      <c r="R10" s="50">
        <f>Q10*P10*O10</f>
        <v>54.435669749999995</v>
      </c>
      <c r="S10" s="50">
        <f>K10*((1-J10)/J10)</f>
        <v>420.64640000000003</v>
      </c>
      <c r="T10" s="50">
        <f>K10</f>
        <v>292.31359999999995</v>
      </c>
      <c r="U10" s="150">
        <f>AVERAGE('Milling and Leach Feed'!T5:T8)</f>
        <v>0.70799999999999996</v>
      </c>
      <c r="V10" s="150">
        <f>AVERAGE('Milling and Leach Feed'!U5:U8)</f>
        <v>0.53525</v>
      </c>
      <c r="W10" s="150">
        <f>AVERAGE('Milling and Leach Feed'!V5:V8)</f>
        <v>7.2224166666666676</v>
      </c>
      <c r="X10" s="150">
        <f>SUM('Milling and Leach Feed'!W5:W8)/'Au Cal Leaching Tank'!K10</f>
        <v>0.65897435796966009</v>
      </c>
      <c r="Y10" s="150">
        <f>SUM('Milling and Leach Feed'!X5:X8)/'Au Cal Leaching Tank'!K10</f>
        <v>0.56643603797540276</v>
      </c>
      <c r="Z10" s="150">
        <f>SUM('Milling and Leach Feed'!Y5:Y8)/'Au Cal Leaching Tank'!K10</f>
        <v>7.4363798214475381</v>
      </c>
      <c r="AA10" s="288">
        <f>U10-X10</f>
        <v>4.9025642030339878E-2</v>
      </c>
      <c r="AB10" s="49">
        <f>((U10-X10)/(U10+X10)/2)</f>
        <v>1.7932173249817464E-2</v>
      </c>
      <c r="AC10" s="150">
        <f>'LT Floculation'!G6</f>
        <v>0.11299999999999999</v>
      </c>
      <c r="AD10" s="150">
        <f>'LT Floculation'!H6</f>
        <v>0.61749999999999994</v>
      </c>
      <c r="AE10" s="150">
        <f>'LT Floculation'!I6</f>
        <v>8.6916666666666664</v>
      </c>
      <c r="AF10" s="16">
        <v>0.02</v>
      </c>
      <c r="AG10" s="6"/>
      <c r="AH10" s="6"/>
      <c r="AI10" s="50">
        <f>U10*$K$10</f>
        <v>206.95802879999997</v>
      </c>
      <c r="AJ10" s="50">
        <f t="shared" ref="AJ10" si="0">Y10*$K$10</f>
        <v>165.57695743032667</v>
      </c>
      <c r="AK10" s="50">
        <f>Z10*$K$10</f>
        <v>2173.7549565746867</v>
      </c>
      <c r="AL10" s="50">
        <f>AC10*K10</f>
        <v>33.031436799999994</v>
      </c>
      <c r="AM10" s="50">
        <f>AD10*K10</f>
        <v>180.50364799999994</v>
      </c>
      <c r="AN10" s="50">
        <f>AE10*K10</f>
        <v>2540.6923733333329</v>
      </c>
      <c r="AO10" s="50">
        <f>AF10*S10</f>
        <v>8.4129280000000008</v>
      </c>
      <c r="AP10" s="50">
        <v>1</v>
      </c>
      <c r="AQ10" s="49">
        <f>((AI10-(AL10+AO10))/AI10)</f>
        <v>0.79974507372192372</v>
      </c>
      <c r="AR10" s="49">
        <f t="shared" ref="AR10" si="1">((AJ10-AM10)/AJ10)*0.95</f>
        <v>-8.5642086080465488E-2</v>
      </c>
      <c r="AS10" s="49">
        <f>((AK10-AN10)/AK10)*0.95</f>
        <v>-0.16036331273972498</v>
      </c>
      <c r="AT10" s="273">
        <v>2</v>
      </c>
      <c r="AU10" s="537">
        <v>1</v>
      </c>
      <c r="AV10" s="50">
        <f>AZ10/$AU10</f>
        <v>165.51366399999998</v>
      </c>
      <c r="AW10" s="50">
        <f t="shared" ref="AV10:AX11" si="2">BA10/$AU10</f>
        <v>-14.926690569673269</v>
      </c>
      <c r="AX10" s="50">
        <f t="shared" si="2"/>
        <v>-366.93741675864612</v>
      </c>
      <c r="AY10" s="50">
        <v>1</v>
      </c>
      <c r="AZ10" s="50">
        <f>(AI10-AL10-AO10)</f>
        <v>165.51366399999998</v>
      </c>
      <c r="BA10" s="50">
        <f>(AJ10-AM10)</f>
        <v>-14.926690569673269</v>
      </c>
      <c r="BB10" s="50">
        <f>(AK10-AN10)</f>
        <v>-366.93741675864612</v>
      </c>
      <c r="BD10" s="54">
        <f>SUM(AZ10:BB10)</f>
        <v>-216.35044332831941</v>
      </c>
      <c r="BE10" s="12">
        <f>AZ10/BD10</f>
        <v>-0.76502576770238995</v>
      </c>
      <c r="BF10" s="12">
        <f>BA10/BD10</f>
        <v>6.8993112933082787E-2</v>
      </c>
      <c r="BG10" s="12">
        <f>BB10/BD10</f>
        <v>1.6960326547693072</v>
      </c>
    </row>
    <row r="11" spans="2:62" x14ac:dyDescent="0.3">
      <c r="B11" s="16">
        <v>2</v>
      </c>
      <c r="C11" s="50">
        <f>SUM('Milling and Leach Feed'!P9:P12)</f>
        <v>33.016666666666666</v>
      </c>
      <c r="D11" s="16">
        <v>3</v>
      </c>
      <c r="E11" s="84">
        <v>46268</v>
      </c>
      <c r="F11" s="115">
        <v>0.75</v>
      </c>
      <c r="G11" s="84">
        <v>46270</v>
      </c>
      <c r="H11" s="115">
        <v>0.29166666666666669</v>
      </c>
      <c r="I11" s="16">
        <v>539</v>
      </c>
      <c r="J11" s="51">
        <v>0.43</v>
      </c>
      <c r="K11" s="50">
        <f>J11*I11*M11</f>
        <v>300.14215000000002</v>
      </c>
      <c r="L11" s="50"/>
      <c r="M11" s="16">
        <v>1.2949999999999999</v>
      </c>
      <c r="N11" s="16">
        <v>3</v>
      </c>
      <c r="O11" s="51">
        <v>0.4</v>
      </c>
      <c r="P11" s="16">
        <v>1.2649999999999999</v>
      </c>
      <c r="Q11" s="50">
        <v>107.85</v>
      </c>
      <c r="R11" s="50">
        <f>Q11*P11*O11</f>
        <v>54.572099999999992</v>
      </c>
      <c r="S11" s="50">
        <f>K11*((1-J11)/J11)</f>
        <v>397.86285000000004</v>
      </c>
      <c r="T11" s="50">
        <f>K11+K10</f>
        <v>592.45574999999997</v>
      </c>
      <c r="U11" s="150">
        <f>AVERAGE('Milling and Leach Feed'!T9:T11)</f>
        <v>0.68400000000000005</v>
      </c>
      <c r="V11" s="150">
        <f>AVERAGE('Milling and Leach Feed'!U9:U11)</f>
        <v>0.79333333333333333</v>
      </c>
      <c r="W11" s="150">
        <f>AVERAGE('Milling and Leach Feed'!V9:V11)</f>
        <v>9.051111111111112</v>
      </c>
      <c r="X11" s="150">
        <f>SUM('Milling and Leach Feed'!W9:W11)/'Au Cal Leaching Tank'!$K$11</f>
        <v>0.68534607973810646</v>
      </c>
      <c r="Y11" s="150">
        <f>SUM('Milling and Leach Feed'!X9:X11)/'Au Cal Leaching Tank'!$K$11</f>
        <v>0.79554044142084002</v>
      </c>
      <c r="Z11" s="150">
        <f>SUM('Milling and Leach Feed'!Y9:Y11)/'Au Cal Leaching Tank'!$K$11</f>
        <v>9.1008204118170912</v>
      </c>
      <c r="AA11" s="288">
        <f>X11-U11</f>
        <v>1.3460797381064094E-3</v>
      </c>
      <c r="AB11" s="49">
        <f>((X11-U11)/(X11+U11)/2)</f>
        <v>4.9150457945731766E-4</v>
      </c>
      <c r="AC11" s="150">
        <f>'LT Floculation'!G7</f>
        <v>5.5749999999999994E-2</v>
      </c>
      <c r="AD11" s="150">
        <f>'LT Floculation'!H7</f>
        <v>0.25</v>
      </c>
      <c r="AE11" s="150">
        <f>'LT Floculation'!I7</f>
        <v>8.3524999999999991</v>
      </c>
      <c r="AF11" s="500">
        <v>2.9000000000000001E-2</v>
      </c>
      <c r="AG11" s="6"/>
      <c r="AH11" s="6"/>
      <c r="AI11" s="50">
        <f>U11*$K11</f>
        <v>205.29723060000003</v>
      </c>
      <c r="AJ11" s="50">
        <f>V11*$K11</f>
        <v>238.11277233333334</v>
      </c>
      <c r="AK11" s="50">
        <f t="shared" ref="AK11" si="3">W11*$K11</f>
        <v>2716.6199487777781</v>
      </c>
      <c r="AL11" s="50">
        <f t="shared" ref="AL11:AN11" si="4">AC11*$K11</f>
        <v>16.732924862499999</v>
      </c>
      <c r="AM11" s="50">
        <f t="shared" si="4"/>
        <v>75.035537500000004</v>
      </c>
      <c r="AN11" s="50">
        <f t="shared" si="4"/>
        <v>2506.937307875</v>
      </c>
      <c r="AO11" s="50">
        <f>AF11*S11</f>
        <v>11.538022650000002</v>
      </c>
      <c r="AP11" s="50">
        <v>2</v>
      </c>
      <c r="AQ11" s="49">
        <f>((AI11-(AL11+AO11))/AI11)</f>
        <v>0.86229260165918664</v>
      </c>
      <c r="AR11" s="49">
        <f>(AJ11-AM11)/AJ11</f>
        <v>0.68487394957983194</v>
      </c>
      <c r="AS11" s="49">
        <f>(AK11-AN11)/AK11</f>
        <v>7.7185121532040366E-2</v>
      </c>
      <c r="AT11" s="273">
        <v>3</v>
      </c>
      <c r="AU11" s="537">
        <v>1</v>
      </c>
      <c r="AV11" s="50">
        <f t="shared" si="2"/>
        <v>177.02628308750002</v>
      </c>
      <c r="AW11" s="50">
        <f t="shared" si="2"/>
        <v>163.07723483333334</v>
      </c>
      <c r="AX11" s="50">
        <f t="shared" si="2"/>
        <v>209.68264090277808</v>
      </c>
      <c r="AY11" s="50">
        <v>2</v>
      </c>
      <c r="AZ11" s="50">
        <f t="shared" ref="AZ11:AZ15" si="5">(AI11-AL11-AO11)</f>
        <v>177.02628308750002</v>
      </c>
      <c r="BA11" s="50">
        <f t="shared" ref="BA11" si="6">(AJ11-AM11)</f>
        <v>163.07723483333334</v>
      </c>
      <c r="BB11" s="50">
        <f>(AK11-AN11)</f>
        <v>209.68264090277808</v>
      </c>
    </row>
    <row r="12" spans="2:62" x14ac:dyDescent="0.3">
      <c r="B12" s="16">
        <v>3</v>
      </c>
      <c r="C12" s="50">
        <f>SUM('Milling and Leach Feed'!P16:P19)</f>
        <v>47.333333333333329</v>
      </c>
      <c r="D12" s="16">
        <v>2</v>
      </c>
      <c r="E12" s="84">
        <v>46272</v>
      </c>
      <c r="F12" s="115">
        <v>0.91666666666666663</v>
      </c>
      <c r="G12" s="84">
        <v>46274</v>
      </c>
      <c r="H12" s="115"/>
      <c r="I12" s="16">
        <v>647</v>
      </c>
      <c r="J12" s="51">
        <v>0.45</v>
      </c>
      <c r="K12" s="50">
        <f>J12*I12*M12</f>
        <v>381.40650000000005</v>
      </c>
      <c r="L12" s="50">
        <f>K12-R10</f>
        <v>326.97083025000006</v>
      </c>
      <c r="M12" s="16">
        <v>1.31</v>
      </c>
      <c r="N12" s="16">
        <v>2</v>
      </c>
      <c r="O12" s="16"/>
      <c r="P12" s="16"/>
      <c r="Q12" s="16"/>
      <c r="R12" s="16"/>
      <c r="S12" s="50"/>
      <c r="T12" s="50"/>
      <c r="U12" s="150">
        <f>AVERAGE('Milling and Leach Feed'!T16:T18)</f>
        <v>0.93455555555555547</v>
      </c>
      <c r="V12" s="150">
        <f>AVERAGE('Milling and Leach Feed'!U16:U18)</f>
        <v>0.65888888888888886</v>
      </c>
      <c r="W12" s="150">
        <f>AVERAGE('Milling and Leach Feed'!V16:V18)</f>
        <v>9.0688888888888908</v>
      </c>
      <c r="X12" s="150">
        <f>SUM('Milling and Leach Feed'!W16:W18)/'Au Cal Leaching Tank'!$L$12</f>
        <v>0.53359037159885403</v>
      </c>
      <c r="Y12" s="150">
        <f>SUM('Milling and Leach Feed'!X16:X18)/'Au Cal Leaching Tank'!$L$12</f>
        <v>0.38757072090021194</v>
      </c>
      <c r="Z12" s="150">
        <f>SUM('Milling and Leach Feed'!Y16:Y18)/'Au Cal Leaching Tank'!$L$12</f>
        <v>5.6910690955920016</v>
      </c>
      <c r="AA12" s="6"/>
      <c r="AB12" s="6"/>
      <c r="AC12" s="150"/>
      <c r="AD12" s="150"/>
      <c r="AE12" s="150"/>
      <c r="AF12" s="16"/>
      <c r="AG12" s="6"/>
      <c r="AH12" s="6"/>
      <c r="AI12" s="50">
        <f>$L12*U12</f>
        <v>305.57240591475005</v>
      </c>
      <c r="AJ12" s="50">
        <f t="shared" ref="AJ12:AK12" si="7">$L12*V12</f>
        <v>215.43744704250003</v>
      </c>
      <c r="AK12" s="50">
        <f t="shared" si="7"/>
        <v>2965.2621294450014</v>
      </c>
      <c r="AL12" s="50">
        <f>AC12*$L12</f>
        <v>0</v>
      </c>
      <c r="AM12" s="50">
        <f>AD12*$L12</f>
        <v>0</v>
      </c>
      <c r="AN12" s="50">
        <f>AE12*$L12</f>
        <v>0</v>
      </c>
      <c r="AO12" s="50">
        <f>AF12*S12</f>
        <v>0</v>
      </c>
      <c r="AP12" s="50">
        <v>3</v>
      </c>
      <c r="AQ12" s="49">
        <f>IFERROR(((AI12-(AL12+AO12))/AI12),"")</f>
        <v>1</v>
      </c>
      <c r="AR12" s="49">
        <f>IFERROR((AJ12-AM12)/AJ12,"")</f>
        <v>1</v>
      </c>
      <c r="AS12" s="49">
        <f>IFERROR((AK12-AN12)/AK12,"")</f>
        <v>1</v>
      </c>
      <c r="AT12" s="273">
        <v>2</v>
      </c>
      <c r="AU12" s="538">
        <v>1</v>
      </c>
      <c r="AV12" s="50">
        <f>(AZ10+AZ12)/AU12</f>
        <v>471.08606991475006</v>
      </c>
      <c r="AW12" s="50">
        <f>(BA10+BA12)/AU12</f>
        <v>200.51075647282676</v>
      </c>
      <c r="AX12" s="289">
        <f>(AX10+BB12)/AU12</f>
        <v>2598.3247126863553</v>
      </c>
      <c r="AY12" s="289">
        <v>3</v>
      </c>
      <c r="AZ12" s="50">
        <f t="shared" si="5"/>
        <v>305.57240591475005</v>
      </c>
      <c r="BA12" s="50">
        <f t="shared" ref="BA12:BA13" si="8">(AJ12-AM12)</f>
        <v>215.43744704250003</v>
      </c>
      <c r="BB12" s="50">
        <f t="shared" ref="BB12:BB13" si="9">(AK12-AN12)</f>
        <v>2965.2621294450014</v>
      </c>
      <c r="BD12" s="13">
        <f>AZ10+AZ12+AZ14</f>
        <v>471.08606991475006</v>
      </c>
      <c r="BE12" s="13">
        <f t="shared" ref="BE12:BF12" si="10">BA10+BA12+BA14</f>
        <v>200.51075647282676</v>
      </c>
      <c r="BF12" s="13">
        <f t="shared" si="10"/>
        <v>2598.3247126863553</v>
      </c>
    </row>
    <row r="13" spans="2:62" x14ac:dyDescent="0.3">
      <c r="B13" s="16">
        <v>4</v>
      </c>
      <c r="C13" s="50"/>
      <c r="D13" s="16">
        <v>3</v>
      </c>
      <c r="E13" s="84"/>
      <c r="F13" s="115"/>
      <c r="G13" s="84"/>
      <c r="H13" s="115"/>
      <c r="I13" s="16"/>
      <c r="J13" s="51"/>
      <c r="K13" s="50"/>
      <c r="L13" s="50"/>
      <c r="M13" s="16"/>
      <c r="N13" s="16">
        <v>3</v>
      </c>
      <c r="O13" s="16"/>
      <c r="P13" s="16"/>
      <c r="Q13" s="16"/>
      <c r="R13" s="50"/>
      <c r="S13" s="50"/>
      <c r="T13" s="50"/>
      <c r="U13" s="150"/>
      <c r="V13" s="150"/>
      <c r="W13" s="150"/>
      <c r="X13" s="6"/>
      <c r="Y13" s="6"/>
      <c r="Z13" s="6"/>
      <c r="AA13" s="6"/>
      <c r="AB13" s="6"/>
      <c r="AC13" s="150"/>
      <c r="AD13" s="150"/>
      <c r="AE13" s="150"/>
      <c r="AF13" s="16"/>
      <c r="AG13" s="6"/>
      <c r="AH13" s="6"/>
      <c r="AI13" s="50">
        <f t="shared" ref="AI13:AI14" si="11">$L13*U13</f>
        <v>0</v>
      </c>
      <c r="AJ13" s="50">
        <f t="shared" ref="AJ13:AJ14" si="12">$L13*V13</f>
        <v>0</v>
      </c>
      <c r="AK13" s="50">
        <f t="shared" ref="AK13:AK14" si="13">$L13*W13</f>
        <v>0</v>
      </c>
      <c r="AL13" s="50">
        <f>AC13*$L13</f>
        <v>0</v>
      </c>
      <c r="AM13" s="50">
        <f t="shared" ref="AM13:AN14" si="14">AD13*$L13</f>
        <v>0</v>
      </c>
      <c r="AN13" s="50">
        <f t="shared" si="14"/>
        <v>0</v>
      </c>
      <c r="AO13" s="50">
        <f>AF13*S13</f>
        <v>0</v>
      </c>
      <c r="AP13" s="50">
        <v>4</v>
      </c>
      <c r="AQ13" s="49" t="str">
        <f t="shared" ref="AQ13:AQ59" si="15">IFERROR(((AI13-(AL13+AO13))/AI13),"")</f>
        <v/>
      </c>
      <c r="AR13" s="49" t="str">
        <f t="shared" ref="AR13:AR59" si="16">IFERROR((AJ13-AM13)/AJ13,"")</f>
        <v/>
      </c>
      <c r="AS13" s="49" t="str">
        <f t="shared" ref="AS13:AS59" si="17">IFERROR((AK13-AN13)/AK13,"")</f>
        <v/>
      </c>
      <c r="AT13" s="273">
        <v>3</v>
      </c>
      <c r="AU13" s="538">
        <v>1</v>
      </c>
      <c r="AV13" s="50">
        <f>(AZ11+AZ13)/AU13</f>
        <v>177.02628308750002</v>
      </c>
      <c r="AW13" s="50">
        <f>(AZ11+AZ13)/AU13</f>
        <v>177.02628308750002</v>
      </c>
      <c r="AX13" s="289">
        <f>(BA11+BA13)/AU13</f>
        <v>163.07723483333334</v>
      </c>
      <c r="AY13" s="289">
        <v>4</v>
      </c>
      <c r="AZ13" s="50">
        <f t="shared" si="5"/>
        <v>0</v>
      </c>
      <c r="BA13" s="50">
        <f t="shared" si="8"/>
        <v>0</v>
      </c>
      <c r="BB13" s="50">
        <f t="shared" si="9"/>
        <v>0</v>
      </c>
      <c r="BD13" s="13">
        <f>AZ11+AZ13</f>
        <v>177.02628308750002</v>
      </c>
      <c r="BE13" s="13">
        <f t="shared" ref="BE13:BF13" si="18">BA11+BA13</f>
        <v>163.07723483333334</v>
      </c>
      <c r="BF13" s="13">
        <f t="shared" si="18"/>
        <v>209.68264090277808</v>
      </c>
      <c r="BJ13" s="15">
        <f>0.4*16000</f>
        <v>6400</v>
      </c>
    </row>
    <row r="14" spans="2:62" s="15" customFormat="1" x14ac:dyDescent="0.3">
      <c r="B14" s="16">
        <v>5</v>
      </c>
      <c r="C14" s="50"/>
      <c r="D14" s="16">
        <v>2</v>
      </c>
      <c r="E14" s="84"/>
      <c r="F14" s="115"/>
      <c r="G14" s="84"/>
      <c r="H14" s="115"/>
      <c r="I14" s="16"/>
      <c r="J14" s="51"/>
      <c r="K14" s="50"/>
      <c r="L14" s="50"/>
      <c r="M14" s="16"/>
      <c r="N14" s="16"/>
      <c r="O14" s="16"/>
      <c r="P14" s="16"/>
      <c r="Q14" s="16"/>
      <c r="R14" s="16"/>
      <c r="S14" s="50"/>
      <c r="T14" s="50"/>
      <c r="U14" s="150"/>
      <c r="V14" s="150"/>
      <c r="W14" s="150"/>
      <c r="X14" s="16"/>
      <c r="Y14" s="16"/>
      <c r="Z14" s="16"/>
      <c r="AA14" s="16"/>
      <c r="AB14" s="16"/>
      <c r="AC14" s="150"/>
      <c r="AD14" s="150"/>
      <c r="AE14" s="150"/>
      <c r="AF14" s="16"/>
      <c r="AG14" s="16"/>
      <c r="AH14" s="16"/>
      <c r="AI14" s="50">
        <f t="shared" si="11"/>
        <v>0</v>
      </c>
      <c r="AJ14" s="50">
        <f t="shared" si="12"/>
        <v>0</v>
      </c>
      <c r="AK14" s="50">
        <f t="shared" si="13"/>
        <v>0</v>
      </c>
      <c r="AL14" s="50">
        <f>AC14*$L14</f>
        <v>0</v>
      </c>
      <c r="AM14" s="50">
        <f t="shared" si="14"/>
        <v>0</v>
      </c>
      <c r="AN14" s="50">
        <f t="shared" si="14"/>
        <v>0</v>
      </c>
      <c r="AO14" s="50">
        <f t="shared" ref="AO14" si="19">AF14*S14</f>
        <v>0</v>
      </c>
      <c r="AP14" s="50">
        <v>5</v>
      </c>
      <c r="AQ14" s="49" t="str">
        <f t="shared" si="15"/>
        <v/>
      </c>
      <c r="AR14" s="49" t="str">
        <f t="shared" si="16"/>
        <v/>
      </c>
      <c r="AS14" s="49" t="str">
        <f t="shared" si="17"/>
        <v/>
      </c>
      <c r="AT14" s="273">
        <v>2</v>
      </c>
      <c r="AU14" s="538">
        <v>1</v>
      </c>
      <c r="AV14" s="50">
        <f>(AZ10+AZ12+AZ14)/AU14</f>
        <v>471.08606991475006</v>
      </c>
      <c r="AW14" s="50">
        <f>(BA10+BA12+BA14)/AU14</f>
        <v>200.51075647282676</v>
      </c>
      <c r="AX14" s="50">
        <f>(BB10+BB12+BB14)/AU14</f>
        <v>2598.3247126863553</v>
      </c>
      <c r="AY14" s="50">
        <v>5</v>
      </c>
      <c r="AZ14" s="50">
        <f t="shared" si="5"/>
        <v>0</v>
      </c>
      <c r="BA14" s="50">
        <f t="shared" ref="BA14" si="20">(AJ14-AM14)</f>
        <v>0</v>
      </c>
      <c r="BB14" s="50">
        <f t="shared" ref="BB14" si="21">(AK14-AN14)</f>
        <v>0</v>
      </c>
      <c r="BD14" s="13">
        <f>BD12+BD13</f>
        <v>648.11235300225007</v>
      </c>
      <c r="BE14" s="13">
        <f t="shared" ref="BE14:BF14" si="22">BE12+BE13</f>
        <v>363.58799130616012</v>
      </c>
      <c r="BF14" s="13">
        <f t="shared" si="22"/>
        <v>2808.0073535891333</v>
      </c>
      <c r="BJ14" s="15">
        <f>BJ13*40%</f>
        <v>2560</v>
      </c>
    </row>
    <row r="15" spans="2:62" x14ac:dyDescent="0.3">
      <c r="B15" s="16">
        <v>6</v>
      </c>
      <c r="C15" s="50"/>
      <c r="D15" s="16">
        <v>3</v>
      </c>
      <c r="E15" s="84"/>
      <c r="F15" s="115"/>
      <c r="G15" s="84"/>
      <c r="H15" s="115"/>
      <c r="I15" s="16"/>
      <c r="J15" s="51"/>
      <c r="K15" s="50"/>
      <c r="L15" s="50"/>
      <c r="M15" s="16"/>
      <c r="N15" s="16"/>
      <c r="O15" s="16"/>
      <c r="P15" s="16"/>
      <c r="Q15" s="16"/>
      <c r="R15" s="16"/>
      <c r="S15" s="50"/>
      <c r="T15" s="50"/>
      <c r="U15" s="150"/>
      <c r="V15" s="150"/>
      <c r="W15" s="150"/>
      <c r="X15" s="6"/>
      <c r="Y15" s="6"/>
      <c r="Z15" s="6"/>
      <c r="AA15" s="6"/>
      <c r="AB15" s="6"/>
      <c r="AC15" s="16"/>
      <c r="AD15" s="150"/>
      <c r="AE15" s="16"/>
      <c r="AF15" s="16"/>
      <c r="AG15" s="6"/>
      <c r="AH15" s="6"/>
      <c r="AI15" s="50">
        <f t="shared" ref="AI15" si="23">$L15*U15</f>
        <v>0</v>
      </c>
      <c r="AJ15" s="50">
        <f t="shared" ref="AJ15" si="24">$L15*V15</f>
        <v>0</v>
      </c>
      <c r="AK15" s="50">
        <f t="shared" ref="AK15" si="25">$L15*W15</f>
        <v>0</v>
      </c>
      <c r="AL15" s="50">
        <f>AC15*$L15</f>
        <v>0</v>
      </c>
      <c r="AM15" s="50">
        <f t="shared" ref="AM15" si="26">AD15*$L15</f>
        <v>0</v>
      </c>
      <c r="AN15" s="50">
        <f t="shared" ref="AN15" si="27">AE15*$L15</f>
        <v>0</v>
      </c>
      <c r="AO15" s="50">
        <f>AF15*S15</f>
        <v>0</v>
      </c>
      <c r="AP15" s="50">
        <v>6</v>
      </c>
      <c r="AQ15" s="49" t="str">
        <f t="shared" si="15"/>
        <v/>
      </c>
      <c r="AR15" s="49" t="str">
        <f t="shared" si="16"/>
        <v/>
      </c>
      <c r="AS15" s="49" t="str">
        <f t="shared" si="17"/>
        <v/>
      </c>
      <c r="AT15" s="273">
        <v>3</v>
      </c>
      <c r="AU15" s="539">
        <v>1</v>
      </c>
      <c r="AV15" s="50">
        <f>(AZ11+AZ13+AZ15)/AU15</f>
        <v>177.02628308750002</v>
      </c>
      <c r="AW15" s="50">
        <f>(BA11+BA13+BA15)/AU15</f>
        <v>163.07723483333334</v>
      </c>
      <c r="AX15" s="50">
        <f>(BB11+BB13+BB15)/AU15</f>
        <v>209.68264090277808</v>
      </c>
      <c r="AY15" s="50">
        <v>6</v>
      </c>
      <c r="AZ15" s="50">
        <f t="shared" si="5"/>
        <v>0</v>
      </c>
      <c r="BA15" s="50">
        <f t="shared" ref="BA15" si="28">(AJ15-AM15)</f>
        <v>0</v>
      </c>
      <c r="BB15" s="50">
        <f t="shared" ref="BB15" si="29">(AK15-AN15)</f>
        <v>0</v>
      </c>
      <c r="BJ15" s="15">
        <f>BJ14*0.85</f>
        <v>2176</v>
      </c>
    </row>
    <row r="16" spans="2:62" x14ac:dyDescent="0.3">
      <c r="B16" s="16">
        <v>7</v>
      </c>
      <c r="C16" s="6"/>
      <c r="D16" s="16">
        <v>2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16"/>
      <c r="AQ16" s="49" t="str">
        <f t="shared" si="15"/>
        <v/>
      </c>
      <c r="AR16" s="49" t="str">
        <f t="shared" si="16"/>
        <v/>
      </c>
      <c r="AS16" s="49" t="str">
        <f t="shared" si="17"/>
        <v/>
      </c>
      <c r="AT16" s="267"/>
      <c r="AU16" s="6"/>
      <c r="AV16" s="6"/>
      <c r="AW16" s="6"/>
      <c r="AX16" s="246"/>
      <c r="AY16" s="300"/>
      <c r="AZ16" s="301"/>
      <c r="BA16" s="301"/>
      <c r="BB16" s="301"/>
      <c r="BJ16" s="15">
        <f>BJ15*0.4</f>
        <v>870.40000000000009</v>
      </c>
    </row>
    <row r="17" spans="2:62" x14ac:dyDescent="0.3">
      <c r="B17" s="16">
        <v>8</v>
      </c>
      <c r="C17" s="6"/>
      <c r="D17" s="16">
        <v>3</v>
      </c>
      <c r="E17" s="1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49" t="str">
        <f t="shared" si="15"/>
        <v/>
      </c>
      <c r="AR17" s="49" t="str">
        <f t="shared" si="16"/>
        <v/>
      </c>
      <c r="AS17" s="49" t="str">
        <f t="shared" si="17"/>
        <v/>
      </c>
      <c r="AT17" s="267"/>
      <c r="AU17" s="6"/>
      <c r="AV17" s="6"/>
      <c r="AW17" s="6"/>
      <c r="AX17" s="246"/>
      <c r="AY17" s="246"/>
      <c r="AZ17" s="6"/>
      <c r="BA17" s="6"/>
      <c r="BB17" s="6"/>
      <c r="BJ17" s="15">
        <f>BJ15*0.6</f>
        <v>1305.5999999999999</v>
      </c>
    </row>
    <row r="18" spans="2:62" x14ac:dyDescent="0.3">
      <c r="B18" s="16">
        <v>9</v>
      </c>
      <c r="C18" s="6"/>
      <c r="D18" s="16">
        <v>2</v>
      </c>
      <c r="E18" s="1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49" t="str">
        <f t="shared" si="15"/>
        <v/>
      </c>
      <c r="AR18" s="49" t="str">
        <f t="shared" si="16"/>
        <v/>
      </c>
      <c r="AS18" s="49" t="str">
        <f t="shared" si="17"/>
        <v/>
      </c>
      <c r="AT18" s="267"/>
      <c r="AU18" s="6"/>
      <c r="AV18" s="6"/>
      <c r="AW18" s="6"/>
      <c r="AX18" s="246"/>
      <c r="AY18" s="246"/>
      <c r="AZ18" s="6"/>
      <c r="BA18" s="6"/>
      <c r="BB18" s="6"/>
    </row>
    <row r="19" spans="2:62" x14ac:dyDescent="0.3">
      <c r="B19" s="16">
        <v>10</v>
      </c>
      <c r="C19" s="6"/>
      <c r="D19" s="16">
        <v>3</v>
      </c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M19" s="6"/>
      <c r="AN19" s="6"/>
      <c r="AO19" s="6"/>
      <c r="AP19" s="6"/>
      <c r="AQ19" s="49" t="str">
        <f t="shared" si="15"/>
        <v/>
      </c>
      <c r="AR19" s="49" t="str">
        <f t="shared" si="16"/>
        <v/>
      </c>
      <c r="AS19" s="49" t="str">
        <f t="shared" si="17"/>
        <v/>
      </c>
      <c r="AT19" s="267"/>
      <c r="AU19" s="6"/>
      <c r="AV19" s="6"/>
      <c r="AW19" s="6"/>
      <c r="AX19" s="246"/>
      <c r="AY19" s="246"/>
      <c r="AZ19" s="6"/>
      <c r="BA19" s="6"/>
      <c r="BB19" s="6"/>
    </row>
    <row r="20" spans="2:62" x14ac:dyDescent="0.3">
      <c r="B20" s="6"/>
      <c r="C20" s="6"/>
      <c r="D20" s="6"/>
      <c r="E20" s="1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49" t="str">
        <f t="shared" si="15"/>
        <v/>
      </c>
      <c r="AR20" s="49" t="str">
        <f t="shared" si="16"/>
        <v/>
      </c>
      <c r="AS20" s="49" t="str">
        <f t="shared" si="17"/>
        <v/>
      </c>
      <c r="AT20" s="267"/>
      <c r="AU20" s="6"/>
      <c r="AV20" s="6"/>
      <c r="AW20" s="6"/>
      <c r="AX20" s="246"/>
      <c r="AY20" s="246"/>
      <c r="AZ20" s="6"/>
      <c r="BA20" s="6"/>
      <c r="BB20" s="6"/>
      <c r="BE20" s="54">
        <f>AV14*$AU14</f>
        <v>471.08606991475006</v>
      </c>
      <c r="BF20" s="54">
        <f>AW14*$AU14</f>
        <v>200.51075647282676</v>
      </c>
      <c r="BG20" s="54">
        <f>AX14*$AU14</f>
        <v>2598.3247126863553</v>
      </c>
    </row>
    <row r="21" spans="2:62" x14ac:dyDescent="0.3">
      <c r="B21" s="6"/>
      <c r="C21" s="6"/>
      <c r="D21" s="6"/>
      <c r="E21" s="1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49" t="str">
        <f t="shared" si="15"/>
        <v/>
      </c>
      <c r="AR21" s="49" t="str">
        <f t="shared" si="16"/>
        <v/>
      </c>
      <c r="AS21" s="49" t="str">
        <f t="shared" si="17"/>
        <v/>
      </c>
      <c r="AT21" s="267"/>
      <c r="AU21" s="6"/>
      <c r="AV21" s="6"/>
      <c r="AW21" s="6"/>
      <c r="AX21" s="246"/>
      <c r="AY21" s="246"/>
      <c r="AZ21" s="6"/>
      <c r="BA21" s="6"/>
      <c r="BB21" s="6"/>
    </row>
    <row r="22" spans="2:62" x14ac:dyDescent="0.3">
      <c r="B22" s="6"/>
      <c r="C22" s="6"/>
      <c r="D22" s="6"/>
      <c r="E22" s="1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49" t="str">
        <f t="shared" si="15"/>
        <v/>
      </c>
      <c r="AR22" s="49" t="str">
        <f t="shared" si="16"/>
        <v/>
      </c>
      <c r="AS22" s="49" t="str">
        <f t="shared" si="17"/>
        <v/>
      </c>
      <c r="AT22" s="267"/>
      <c r="AU22" s="6"/>
      <c r="AV22" s="6"/>
      <c r="AW22" s="6"/>
      <c r="AX22" s="246"/>
      <c r="AY22" s="246"/>
      <c r="AZ22" s="6"/>
      <c r="BA22" s="6"/>
      <c r="BB22" s="6"/>
      <c r="BE22" s="13">
        <f>SUM(BE20:BG20)/AU14</f>
        <v>3269.9215390739319</v>
      </c>
    </row>
    <row r="23" spans="2:62" x14ac:dyDescent="0.3">
      <c r="B23" s="6"/>
      <c r="C23" s="6"/>
      <c r="D23" s="6"/>
      <c r="E23" s="1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49" t="str">
        <f t="shared" si="15"/>
        <v/>
      </c>
      <c r="AR23" s="49" t="str">
        <f t="shared" si="16"/>
        <v/>
      </c>
      <c r="AS23" s="49" t="str">
        <f t="shared" si="17"/>
        <v/>
      </c>
      <c r="AT23" s="267"/>
      <c r="AU23" s="6"/>
      <c r="AV23" s="6"/>
      <c r="AW23" s="6"/>
      <c r="AX23" s="246"/>
      <c r="AY23" s="246"/>
      <c r="AZ23" s="6"/>
      <c r="BA23" s="6"/>
      <c r="BB23" s="6"/>
    </row>
    <row r="24" spans="2:62" x14ac:dyDescent="0.3">
      <c r="B24" s="6"/>
      <c r="C24" s="6"/>
      <c r="D24" s="6"/>
      <c r="E24" s="1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J24" s="6"/>
      <c r="AK24" s="6"/>
      <c r="AL24" s="6"/>
      <c r="AM24" s="6"/>
      <c r="AN24" s="6"/>
      <c r="AO24" s="6"/>
      <c r="AP24" s="6"/>
      <c r="AQ24" s="49" t="str">
        <f t="shared" si="15"/>
        <v/>
      </c>
      <c r="AR24" s="49" t="str">
        <f t="shared" si="16"/>
        <v/>
      </c>
      <c r="AS24" s="49" t="str">
        <f t="shared" si="17"/>
        <v/>
      </c>
      <c r="AT24" s="267"/>
      <c r="AU24" s="6"/>
      <c r="AV24" s="6"/>
      <c r="AW24" s="6"/>
      <c r="AX24" s="246"/>
      <c r="AY24" s="246"/>
      <c r="AZ24" s="6"/>
      <c r="BA24" s="6"/>
      <c r="BB24" s="6"/>
    </row>
    <row r="25" spans="2:62" x14ac:dyDescent="0.3">
      <c r="B25" s="6"/>
      <c r="C25" s="6"/>
      <c r="D25" s="6"/>
      <c r="E25" s="1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 t="s">
        <v>328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49" t="str">
        <f t="shared" si="15"/>
        <v/>
      </c>
      <c r="AR25" s="49" t="str">
        <f t="shared" si="16"/>
        <v/>
      </c>
      <c r="AS25" s="49" t="str">
        <f t="shared" si="17"/>
        <v/>
      </c>
      <c r="AT25" s="267"/>
      <c r="AU25" s="6"/>
      <c r="AV25" s="6"/>
      <c r="AW25" s="6"/>
      <c r="AX25" s="246"/>
      <c r="AY25" s="246"/>
      <c r="AZ25" s="6"/>
      <c r="BA25" s="6"/>
      <c r="BB25" s="6"/>
    </row>
    <row r="26" spans="2:62" x14ac:dyDescent="0.3">
      <c r="B26" s="6"/>
      <c r="C26" s="6"/>
      <c r="D26" s="6"/>
      <c r="E26" s="1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49" t="str">
        <f t="shared" si="15"/>
        <v/>
      </c>
      <c r="AR26" s="49" t="str">
        <f t="shared" si="16"/>
        <v/>
      </c>
      <c r="AS26" s="49" t="str">
        <f t="shared" si="17"/>
        <v/>
      </c>
      <c r="AT26" s="267"/>
      <c r="AU26" s="6"/>
      <c r="AV26" s="6"/>
      <c r="AW26" s="6"/>
      <c r="AX26" s="246"/>
      <c r="AY26" s="246"/>
      <c r="AZ26" s="6"/>
      <c r="BA26" s="6"/>
      <c r="BB26" s="6"/>
    </row>
    <row r="27" spans="2:62" x14ac:dyDescent="0.3">
      <c r="B27" s="6"/>
      <c r="C27" s="6"/>
      <c r="D27" s="6"/>
      <c r="E27" s="1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49" t="str">
        <f t="shared" si="15"/>
        <v/>
      </c>
      <c r="AR27" s="49" t="str">
        <f t="shared" si="16"/>
        <v/>
      </c>
      <c r="AS27" s="49" t="str">
        <f t="shared" si="17"/>
        <v/>
      </c>
      <c r="AT27" s="267"/>
      <c r="AU27" s="6"/>
      <c r="AV27" s="6"/>
      <c r="AW27" s="6"/>
      <c r="AX27" s="246"/>
      <c r="AY27" s="246"/>
      <c r="AZ27" s="6"/>
      <c r="BA27" s="6"/>
      <c r="BB27" s="6"/>
    </row>
    <row r="28" spans="2:62" x14ac:dyDescent="0.3">
      <c r="B28" s="6"/>
      <c r="C28" s="6"/>
      <c r="D28" s="6"/>
      <c r="E28" s="1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49" t="str">
        <f t="shared" si="15"/>
        <v/>
      </c>
      <c r="AR28" s="49" t="str">
        <f t="shared" si="16"/>
        <v/>
      </c>
      <c r="AS28" s="49" t="str">
        <f t="shared" si="17"/>
        <v/>
      </c>
      <c r="AT28" s="267"/>
      <c r="AU28" s="6"/>
      <c r="AV28" s="6"/>
      <c r="AW28" s="6"/>
      <c r="AX28" s="246"/>
      <c r="AY28" s="246"/>
      <c r="AZ28" s="6"/>
      <c r="BA28" s="6"/>
      <c r="BB28" s="6"/>
    </row>
    <row r="29" spans="2:62" x14ac:dyDescent="0.3">
      <c r="B29" s="6"/>
      <c r="C29" s="6"/>
      <c r="D29" s="6"/>
      <c r="E29" s="1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49" t="str">
        <f t="shared" si="15"/>
        <v/>
      </c>
      <c r="AR29" s="49" t="str">
        <f t="shared" si="16"/>
        <v/>
      </c>
      <c r="AS29" s="49" t="str">
        <f t="shared" si="17"/>
        <v/>
      </c>
      <c r="AT29" s="267"/>
      <c r="AU29" s="6"/>
      <c r="AV29" s="6"/>
      <c r="AW29" s="6"/>
      <c r="AX29" s="246"/>
      <c r="AY29" s="246"/>
      <c r="AZ29" s="6"/>
      <c r="BA29" s="6"/>
      <c r="BB29" s="6"/>
    </row>
    <row r="30" spans="2:62" x14ac:dyDescent="0.3">
      <c r="B30" s="6"/>
      <c r="C30" s="6"/>
      <c r="D30" s="6"/>
      <c r="E30" s="1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49" t="str">
        <f t="shared" si="15"/>
        <v/>
      </c>
      <c r="AR30" s="49" t="str">
        <f t="shared" si="16"/>
        <v/>
      </c>
      <c r="AS30" s="49" t="str">
        <f t="shared" si="17"/>
        <v/>
      </c>
      <c r="AT30" s="267"/>
      <c r="AU30" s="6"/>
      <c r="AV30" s="6"/>
      <c r="AW30" s="6"/>
      <c r="AX30" s="246"/>
      <c r="AY30" s="246"/>
      <c r="AZ30" s="6"/>
      <c r="BA30" s="6"/>
      <c r="BB30" s="6"/>
    </row>
    <row r="31" spans="2:62" x14ac:dyDescent="0.3">
      <c r="B31" s="6"/>
      <c r="C31" s="6"/>
      <c r="D31" s="6"/>
      <c r="E31" s="1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49" t="str">
        <f t="shared" si="15"/>
        <v/>
      </c>
      <c r="AR31" s="49" t="str">
        <f t="shared" si="16"/>
        <v/>
      </c>
      <c r="AS31" s="49" t="str">
        <f t="shared" si="17"/>
        <v/>
      </c>
      <c r="AT31" s="267"/>
      <c r="AU31" s="6"/>
      <c r="AV31" s="6"/>
      <c r="AW31" s="6"/>
      <c r="AX31" s="246"/>
      <c r="AY31" s="246"/>
      <c r="AZ31" s="6"/>
      <c r="BA31" s="6"/>
      <c r="BB31" s="6"/>
    </row>
    <row r="32" spans="2:62" x14ac:dyDescent="0.3">
      <c r="B32" s="6"/>
      <c r="C32" s="6"/>
      <c r="D32" s="6"/>
      <c r="E32" s="1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49" t="str">
        <f t="shared" si="15"/>
        <v/>
      </c>
      <c r="AR32" s="49" t="str">
        <f t="shared" si="16"/>
        <v/>
      </c>
      <c r="AS32" s="49" t="str">
        <f t="shared" si="17"/>
        <v/>
      </c>
      <c r="AT32" s="267"/>
      <c r="AU32" s="6"/>
      <c r="AV32" s="6"/>
      <c r="AW32" s="6"/>
      <c r="AX32" s="246"/>
      <c r="AY32" s="246"/>
      <c r="AZ32" s="6"/>
      <c r="BA32" s="6"/>
      <c r="BB32" s="6"/>
    </row>
    <row r="33" spans="2:54" x14ac:dyDescent="0.3">
      <c r="B33" s="6"/>
      <c r="C33" s="6"/>
      <c r="D33" s="6"/>
      <c r="E33" s="1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49" t="str">
        <f t="shared" si="15"/>
        <v/>
      </c>
      <c r="AR33" s="49" t="str">
        <f t="shared" si="16"/>
        <v/>
      </c>
      <c r="AS33" s="49" t="str">
        <f t="shared" si="17"/>
        <v/>
      </c>
      <c r="AT33" s="267"/>
      <c r="AU33" s="6"/>
      <c r="AV33" s="6"/>
      <c r="AW33" s="6"/>
      <c r="AX33" s="246"/>
      <c r="AY33" s="246"/>
      <c r="AZ33" s="6"/>
      <c r="BA33" s="6"/>
      <c r="BB33" s="6"/>
    </row>
    <row r="34" spans="2:54" x14ac:dyDescent="0.3">
      <c r="B34" s="6"/>
      <c r="C34" s="6"/>
      <c r="D34" s="6"/>
      <c r="E34" s="1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49" t="str">
        <f t="shared" si="15"/>
        <v/>
      </c>
      <c r="AR34" s="49" t="str">
        <f t="shared" si="16"/>
        <v/>
      </c>
      <c r="AS34" s="49" t="str">
        <f t="shared" si="17"/>
        <v/>
      </c>
      <c r="AT34" s="267"/>
      <c r="AU34" s="6"/>
      <c r="AV34" s="6"/>
      <c r="AW34" s="6"/>
      <c r="AX34" s="246"/>
      <c r="AY34" s="246"/>
      <c r="AZ34" s="6"/>
      <c r="BA34" s="6"/>
      <c r="BB34" s="6"/>
    </row>
    <row r="35" spans="2:54" x14ac:dyDescent="0.3">
      <c r="B35" s="6"/>
      <c r="C35" s="6"/>
      <c r="D35" s="6"/>
      <c r="E35" s="1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49" t="str">
        <f t="shared" si="15"/>
        <v/>
      </c>
      <c r="AR35" s="49" t="str">
        <f t="shared" si="16"/>
        <v/>
      </c>
      <c r="AS35" s="49" t="str">
        <f t="shared" si="17"/>
        <v/>
      </c>
      <c r="AT35" s="267"/>
      <c r="AU35" s="6"/>
      <c r="AV35" s="6"/>
      <c r="AW35" s="6"/>
      <c r="AX35" s="246"/>
      <c r="AY35" s="246"/>
      <c r="AZ35" s="6"/>
      <c r="BA35" s="6"/>
      <c r="BB35" s="6"/>
    </row>
    <row r="36" spans="2:54" x14ac:dyDescent="0.3">
      <c r="B36" s="6"/>
      <c r="C36" s="6"/>
      <c r="D36" s="6"/>
      <c r="E36" s="1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49" t="str">
        <f t="shared" si="15"/>
        <v/>
      </c>
      <c r="AR36" s="49" t="str">
        <f t="shared" si="16"/>
        <v/>
      </c>
      <c r="AS36" s="49" t="str">
        <f t="shared" si="17"/>
        <v/>
      </c>
      <c r="AT36" s="267"/>
      <c r="AU36" s="6"/>
      <c r="AV36" s="6"/>
      <c r="AW36" s="6"/>
      <c r="AX36" s="246"/>
      <c r="AY36" s="246"/>
      <c r="AZ36" s="6"/>
      <c r="BA36" s="6"/>
      <c r="BB36" s="6"/>
    </row>
    <row r="37" spans="2:54" x14ac:dyDescent="0.3">
      <c r="B37" s="6"/>
      <c r="C37" s="6"/>
      <c r="D37" s="6"/>
      <c r="E37" s="1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49" t="str">
        <f t="shared" si="15"/>
        <v/>
      </c>
      <c r="AR37" s="49" t="str">
        <f t="shared" si="16"/>
        <v/>
      </c>
      <c r="AS37" s="49" t="str">
        <f t="shared" si="17"/>
        <v/>
      </c>
      <c r="AT37" s="267"/>
      <c r="AU37" s="6"/>
      <c r="AV37" s="6"/>
      <c r="AW37" s="6"/>
      <c r="AX37" s="246"/>
      <c r="AY37" s="246"/>
      <c r="AZ37" s="6"/>
      <c r="BA37" s="6"/>
      <c r="BB37" s="6"/>
    </row>
    <row r="38" spans="2:54" x14ac:dyDescent="0.3">
      <c r="B38" s="6"/>
      <c r="C38" s="6"/>
      <c r="D38" s="6"/>
      <c r="E38" s="1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49" t="str">
        <f t="shared" si="15"/>
        <v/>
      </c>
      <c r="AR38" s="49" t="str">
        <f t="shared" si="16"/>
        <v/>
      </c>
      <c r="AS38" s="49" t="str">
        <f t="shared" si="17"/>
        <v/>
      </c>
      <c r="AT38" s="267"/>
      <c r="AU38" s="6"/>
      <c r="AV38" s="6"/>
      <c r="AW38" s="6"/>
      <c r="AX38" s="246"/>
      <c r="AY38" s="246"/>
      <c r="AZ38" s="6"/>
      <c r="BA38" s="6"/>
      <c r="BB38" s="6"/>
    </row>
    <row r="39" spans="2:54" x14ac:dyDescent="0.3">
      <c r="B39" s="6"/>
      <c r="C39" s="6"/>
      <c r="D39" s="6"/>
      <c r="E39" s="1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49" t="str">
        <f t="shared" si="15"/>
        <v/>
      </c>
      <c r="AR39" s="49" t="str">
        <f t="shared" si="16"/>
        <v/>
      </c>
      <c r="AS39" s="49" t="str">
        <f t="shared" si="17"/>
        <v/>
      </c>
      <c r="AT39" s="267"/>
      <c r="AU39" s="6"/>
      <c r="AV39" s="6"/>
      <c r="AW39" s="6"/>
      <c r="AX39" s="246"/>
      <c r="AY39" s="246"/>
      <c r="AZ39" s="6"/>
      <c r="BA39" s="6"/>
      <c r="BB39" s="6"/>
    </row>
    <row r="40" spans="2:54" x14ac:dyDescent="0.3">
      <c r="B40" s="6"/>
      <c r="C40" s="6"/>
      <c r="D40" s="6"/>
      <c r="E40" s="1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49" t="str">
        <f t="shared" si="15"/>
        <v/>
      </c>
      <c r="AR40" s="49" t="str">
        <f t="shared" si="16"/>
        <v/>
      </c>
      <c r="AS40" s="49" t="str">
        <f t="shared" si="17"/>
        <v/>
      </c>
      <c r="AT40" s="267"/>
      <c r="AU40" s="6"/>
      <c r="AV40" s="6"/>
      <c r="AW40" s="6"/>
      <c r="AX40" s="246"/>
      <c r="AY40" s="246"/>
      <c r="AZ40" s="6"/>
      <c r="BA40" s="6"/>
      <c r="BB40" s="6"/>
    </row>
    <row r="41" spans="2:54" x14ac:dyDescent="0.3">
      <c r="B41" s="6"/>
      <c r="C41" s="6"/>
      <c r="D41" s="6"/>
      <c r="E41" s="1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49" t="str">
        <f t="shared" si="15"/>
        <v/>
      </c>
      <c r="AR41" s="49" t="str">
        <f t="shared" si="16"/>
        <v/>
      </c>
      <c r="AS41" s="49" t="str">
        <f t="shared" si="17"/>
        <v/>
      </c>
      <c r="AT41" s="267"/>
      <c r="AU41" s="6"/>
      <c r="AV41" s="6"/>
      <c r="AW41" s="6"/>
      <c r="AX41" s="246"/>
      <c r="AY41" s="246"/>
      <c r="AZ41" s="6"/>
      <c r="BA41" s="6"/>
      <c r="BB41" s="6"/>
    </row>
    <row r="42" spans="2:54" x14ac:dyDescent="0.3">
      <c r="B42" s="6"/>
      <c r="C42" s="6"/>
      <c r="D42" s="6"/>
      <c r="E42" s="1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49" t="str">
        <f t="shared" si="15"/>
        <v/>
      </c>
      <c r="AR42" s="49" t="str">
        <f t="shared" si="16"/>
        <v/>
      </c>
      <c r="AS42" s="49" t="str">
        <f t="shared" si="17"/>
        <v/>
      </c>
      <c r="AT42" s="267"/>
      <c r="AU42" s="6"/>
      <c r="AV42" s="6"/>
      <c r="AW42" s="6"/>
      <c r="AX42" s="246"/>
      <c r="AY42" s="246"/>
      <c r="AZ42" s="6"/>
      <c r="BA42" s="6"/>
      <c r="BB42" s="6"/>
    </row>
    <row r="43" spans="2:54" x14ac:dyDescent="0.3">
      <c r="B43" s="6"/>
      <c r="C43" s="6"/>
      <c r="D43" s="6"/>
      <c r="E43" s="1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49" t="str">
        <f t="shared" si="15"/>
        <v/>
      </c>
      <c r="AR43" s="49" t="str">
        <f t="shared" si="16"/>
        <v/>
      </c>
      <c r="AS43" s="49" t="str">
        <f t="shared" si="17"/>
        <v/>
      </c>
      <c r="AT43" s="267"/>
      <c r="AU43" s="6"/>
      <c r="AV43" s="6"/>
      <c r="AW43" s="6"/>
      <c r="AX43" s="246"/>
      <c r="AY43" s="246"/>
      <c r="AZ43" s="6"/>
      <c r="BA43" s="6"/>
      <c r="BB43" s="6"/>
    </row>
    <row r="44" spans="2:54" x14ac:dyDescent="0.3">
      <c r="B44" s="6"/>
      <c r="C44" s="6"/>
      <c r="D44" s="6"/>
      <c r="E44" s="1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49" t="str">
        <f t="shared" si="15"/>
        <v/>
      </c>
      <c r="AR44" s="49" t="str">
        <f t="shared" si="16"/>
        <v/>
      </c>
      <c r="AS44" s="49" t="str">
        <f t="shared" si="17"/>
        <v/>
      </c>
      <c r="AT44" s="267"/>
      <c r="AU44" s="6"/>
      <c r="AV44" s="6"/>
      <c r="AW44" s="6"/>
      <c r="AX44" s="246"/>
      <c r="AY44" s="246"/>
      <c r="AZ44" s="6"/>
      <c r="BA44" s="6"/>
      <c r="BB44" s="6"/>
    </row>
    <row r="45" spans="2:54" x14ac:dyDescent="0.3">
      <c r="B45" s="6"/>
      <c r="C45" s="6"/>
      <c r="D45" s="6"/>
      <c r="E45" s="1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49" t="str">
        <f t="shared" si="15"/>
        <v/>
      </c>
      <c r="AR45" s="49" t="str">
        <f t="shared" si="16"/>
        <v/>
      </c>
      <c r="AS45" s="49" t="str">
        <f t="shared" si="17"/>
        <v/>
      </c>
      <c r="AT45" s="267"/>
      <c r="AU45" s="6"/>
      <c r="AV45" s="6"/>
      <c r="AW45" s="6"/>
      <c r="AX45" s="246"/>
      <c r="AY45" s="246"/>
      <c r="AZ45" s="6"/>
      <c r="BA45" s="6"/>
      <c r="BB45" s="6"/>
    </row>
    <row r="46" spans="2:54" x14ac:dyDescent="0.3">
      <c r="B46" s="6"/>
      <c r="C46" s="6"/>
      <c r="D46" s="6"/>
      <c r="E46" s="1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49" t="str">
        <f t="shared" si="15"/>
        <v/>
      </c>
      <c r="AR46" s="49" t="str">
        <f t="shared" si="16"/>
        <v/>
      </c>
      <c r="AS46" s="49" t="str">
        <f t="shared" si="17"/>
        <v/>
      </c>
      <c r="AT46" s="267"/>
      <c r="AU46" s="6"/>
      <c r="AV46" s="6"/>
      <c r="AW46" s="6"/>
      <c r="AX46" s="246"/>
      <c r="AY46" s="246"/>
      <c r="AZ46" s="6"/>
      <c r="BA46" s="6"/>
      <c r="BB46" s="6"/>
    </row>
    <row r="47" spans="2:54" x14ac:dyDescent="0.3">
      <c r="B47" s="6"/>
      <c r="C47" s="6"/>
      <c r="D47" s="6"/>
      <c r="E47" s="1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49" t="str">
        <f t="shared" si="15"/>
        <v/>
      </c>
      <c r="AR47" s="49" t="str">
        <f t="shared" si="16"/>
        <v/>
      </c>
      <c r="AS47" s="49" t="str">
        <f t="shared" si="17"/>
        <v/>
      </c>
      <c r="AT47" s="267"/>
      <c r="AU47" s="6"/>
      <c r="AV47" s="6"/>
      <c r="AW47" s="6"/>
      <c r="AX47" s="246"/>
      <c r="AY47" s="246"/>
      <c r="AZ47" s="6"/>
      <c r="BA47" s="6"/>
      <c r="BB47" s="6"/>
    </row>
    <row r="48" spans="2:54" x14ac:dyDescent="0.3">
      <c r="B48" s="6"/>
      <c r="C48" s="6"/>
      <c r="D48" s="6"/>
      <c r="E48" s="1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49" t="str">
        <f t="shared" si="15"/>
        <v/>
      </c>
      <c r="AR48" s="49" t="str">
        <f t="shared" si="16"/>
        <v/>
      </c>
      <c r="AS48" s="49" t="str">
        <f t="shared" si="17"/>
        <v/>
      </c>
      <c r="AT48" s="267"/>
      <c r="AU48" s="6"/>
      <c r="AV48" s="6"/>
      <c r="AW48" s="6"/>
      <c r="AX48" s="246"/>
      <c r="AY48" s="246"/>
      <c r="AZ48" s="6"/>
      <c r="BA48" s="6"/>
      <c r="BB48" s="6"/>
    </row>
    <row r="49" spans="2:57" x14ac:dyDescent="0.3">
      <c r="B49" s="6"/>
      <c r="C49" s="6"/>
      <c r="D49" s="6"/>
      <c r="E49" s="1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49" t="str">
        <f t="shared" si="15"/>
        <v/>
      </c>
      <c r="AR49" s="49" t="str">
        <f t="shared" si="16"/>
        <v/>
      </c>
      <c r="AS49" s="49" t="str">
        <f t="shared" si="17"/>
        <v/>
      </c>
      <c r="AT49" s="267"/>
      <c r="AU49" s="6"/>
      <c r="AV49" s="6"/>
      <c r="AW49" s="6"/>
      <c r="AX49" s="246"/>
      <c r="AY49" s="246"/>
      <c r="AZ49" s="6"/>
      <c r="BA49" s="6"/>
      <c r="BB49" s="6"/>
    </row>
    <row r="50" spans="2:57" x14ac:dyDescent="0.3">
      <c r="B50" s="6"/>
      <c r="C50" s="6"/>
      <c r="D50" s="6"/>
      <c r="E50" s="1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49" t="str">
        <f t="shared" si="15"/>
        <v/>
      </c>
      <c r="AR50" s="49" t="str">
        <f t="shared" si="16"/>
        <v/>
      </c>
      <c r="AS50" s="49" t="str">
        <f t="shared" si="17"/>
        <v/>
      </c>
      <c r="AT50" s="267"/>
      <c r="AU50" s="6"/>
      <c r="AV50" s="6"/>
      <c r="AW50" s="6"/>
      <c r="AX50" s="246"/>
      <c r="AY50" s="246"/>
      <c r="AZ50" s="6"/>
      <c r="BA50" s="6"/>
      <c r="BB50" s="6"/>
    </row>
    <row r="51" spans="2:57" x14ac:dyDescent="0.3">
      <c r="B51" s="6"/>
      <c r="C51" s="6"/>
      <c r="D51" s="6"/>
      <c r="E51" s="1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49" t="str">
        <f t="shared" si="15"/>
        <v/>
      </c>
      <c r="AR51" s="49" t="str">
        <f t="shared" si="16"/>
        <v/>
      </c>
      <c r="AS51" s="49" t="str">
        <f t="shared" si="17"/>
        <v/>
      </c>
      <c r="AT51" s="267"/>
      <c r="AU51" s="6"/>
      <c r="AV51" s="6"/>
      <c r="AW51" s="6"/>
      <c r="AX51" s="246"/>
      <c r="AY51" s="246"/>
      <c r="AZ51" s="6"/>
      <c r="BA51" s="6"/>
      <c r="BB51" s="6"/>
    </row>
    <row r="52" spans="2:57" x14ac:dyDescent="0.3">
      <c r="B52" s="6"/>
      <c r="C52" s="6"/>
      <c r="D52" s="6"/>
      <c r="E52" s="1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49" t="str">
        <f t="shared" si="15"/>
        <v/>
      </c>
      <c r="AR52" s="49" t="str">
        <f t="shared" si="16"/>
        <v/>
      </c>
      <c r="AS52" s="49" t="str">
        <f t="shared" si="17"/>
        <v/>
      </c>
      <c r="AT52" s="267"/>
      <c r="AU52" s="6"/>
      <c r="AV52" s="6"/>
      <c r="AW52" s="6"/>
      <c r="AX52" s="246"/>
      <c r="AY52" s="246"/>
      <c r="AZ52" s="6"/>
      <c r="BA52" s="6"/>
      <c r="BB52" s="6"/>
    </row>
    <row r="53" spans="2:57" x14ac:dyDescent="0.3">
      <c r="B53" s="6"/>
      <c r="C53" s="6"/>
      <c r="D53" s="6"/>
      <c r="E53" s="1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49" t="str">
        <f t="shared" si="15"/>
        <v/>
      </c>
      <c r="AR53" s="49" t="str">
        <f t="shared" si="16"/>
        <v/>
      </c>
      <c r="AS53" s="49" t="str">
        <f t="shared" si="17"/>
        <v/>
      </c>
      <c r="AT53" s="267"/>
      <c r="AU53" s="6"/>
      <c r="AV53" s="6"/>
      <c r="AW53" s="6"/>
      <c r="AX53" s="246"/>
      <c r="AY53" s="246"/>
      <c r="AZ53" s="6"/>
      <c r="BA53" s="6"/>
      <c r="BB53" s="6"/>
    </row>
    <row r="54" spans="2:57" x14ac:dyDescent="0.3">
      <c r="B54" s="6"/>
      <c r="C54" s="6"/>
      <c r="D54" s="6"/>
      <c r="E54" s="1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49" t="str">
        <f t="shared" si="15"/>
        <v/>
      </c>
      <c r="AR54" s="49" t="str">
        <f t="shared" si="16"/>
        <v/>
      </c>
      <c r="AS54" s="49" t="str">
        <f t="shared" si="17"/>
        <v/>
      </c>
      <c r="AT54" s="267"/>
      <c r="AU54" s="6"/>
      <c r="AV54" s="6"/>
      <c r="AW54" s="6"/>
      <c r="AX54" s="246"/>
      <c r="AY54" s="246"/>
      <c r="AZ54" s="6"/>
      <c r="BA54" s="6"/>
      <c r="BB54" s="6"/>
    </row>
    <row r="55" spans="2:57" x14ac:dyDescent="0.3">
      <c r="B55" s="6"/>
      <c r="C55" s="6"/>
      <c r="D55" s="6"/>
      <c r="E55" s="1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49" t="str">
        <f t="shared" si="15"/>
        <v/>
      </c>
      <c r="AR55" s="49" t="str">
        <f t="shared" si="16"/>
        <v/>
      </c>
      <c r="AS55" s="49" t="str">
        <f t="shared" si="17"/>
        <v/>
      </c>
      <c r="AT55" s="267"/>
      <c r="AU55" s="6"/>
      <c r="AV55" s="6"/>
      <c r="AW55" s="6"/>
      <c r="AX55" s="246"/>
      <c r="AY55" s="246"/>
      <c r="AZ55" s="6"/>
      <c r="BA55" s="6"/>
      <c r="BB55" s="6"/>
    </row>
    <row r="56" spans="2:57" x14ac:dyDescent="0.3">
      <c r="B56" s="6"/>
      <c r="C56" s="6"/>
      <c r="D56" s="6"/>
      <c r="E56" s="1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49" t="str">
        <f t="shared" si="15"/>
        <v/>
      </c>
      <c r="AR56" s="49" t="str">
        <f t="shared" si="16"/>
        <v/>
      </c>
      <c r="AS56" s="49" t="str">
        <f t="shared" si="17"/>
        <v/>
      </c>
      <c r="AT56" s="267"/>
      <c r="AU56" s="6"/>
      <c r="AV56" s="6"/>
      <c r="AW56" s="6"/>
      <c r="AX56" s="246"/>
      <c r="AY56" s="246"/>
      <c r="AZ56" s="6"/>
      <c r="BA56" s="6"/>
      <c r="BB56" s="6"/>
    </row>
    <row r="57" spans="2:57" x14ac:dyDescent="0.3">
      <c r="B57" s="6"/>
      <c r="C57" s="6"/>
      <c r="D57" s="6"/>
      <c r="E57" s="1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49" t="str">
        <f t="shared" si="15"/>
        <v/>
      </c>
      <c r="AR57" s="49" t="str">
        <f t="shared" si="16"/>
        <v/>
      </c>
      <c r="AS57" s="49" t="str">
        <f t="shared" si="17"/>
        <v/>
      </c>
      <c r="AT57" s="267"/>
      <c r="AU57" s="6"/>
      <c r="AV57" s="6"/>
      <c r="AW57" s="6"/>
      <c r="AX57" s="246"/>
      <c r="AY57" s="246"/>
      <c r="AZ57" s="6"/>
      <c r="BA57" s="6"/>
      <c r="BB57" s="6"/>
    </row>
    <row r="58" spans="2:57" x14ac:dyDescent="0.3">
      <c r="B58" s="6"/>
      <c r="C58" s="6"/>
      <c r="D58" s="6"/>
      <c r="E58" s="1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49" t="str">
        <f t="shared" si="15"/>
        <v/>
      </c>
      <c r="AR58" s="49" t="str">
        <f t="shared" si="16"/>
        <v/>
      </c>
      <c r="AS58" s="49" t="str">
        <f t="shared" si="17"/>
        <v/>
      </c>
      <c r="AT58" s="267"/>
      <c r="AU58" s="6"/>
      <c r="AV58" s="6"/>
      <c r="AW58" s="6"/>
      <c r="AX58" s="246"/>
      <c r="AY58" s="246"/>
      <c r="AZ58" s="6"/>
      <c r="BA58" s="6"/>
      <c r="BB58" s="6"/>
    </row>
    <row r="59" spans="2:57" x14ac:dyDescent="0.3">
      <c r="B59" s="6"/>
      <c r="C59" s="6"/>
      <c r="D59" s="6"/>
      <c r="E59" s="1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49" t="str">
        <f t="shared" si="15"/>
        <v/>
      </c>
      <c r="AR59" s="49" t="str">
        <f t="shared" si="16"/>
        <v/>
      </c>
      <c r="AS59" s="49" t="str">
        <f t="shared" si="17"/>
        <v/>
      </c>
      <c r="AT59" s="267"/>
      <c r="AU59" s="6"/>
      <c r="AV59" s="6"/>
      <c r="AW59" s="6"/>
      <c r="AX59" s="246"/>
      <c r="AY59" s="246"/>
      <c r="AZ59" s="6"/>
      <c r="BA59" s="6"/>
      <c r="BB59" s="6"/>
    </row>
    <row r="60" spans="2:57" x14ac:dyDescent="0.3">
      <c r="B60" s="151" t="s">
        <v>269</v>
      </c>
      <c r="C60" s="152">
        <f>AVERAGE(C10:C59)</f>
        <v>41.894444444444439</v>
      </c>
      <c r="D60" s="151"/>
      <c r="E60" s="151"/>
      <c r="F60" s="151"/>
      <c r="G60" s="151"/>
      <c r="H60" s="151"/>
      <c r="I60" s="151"/>
      <c r="J60" s="151"/>
      <c r="K60" s="152">
        <f>AVERAGE(K10:K59)</f>
        <v>324.62074999999999</v>
      </c>
      <c r="L60" s="152"/>
      <c r="M60" s="151"/>
      <c r="N60" s="151"/>
      <c r="O60" s="151"/>
      <c r="P60" s="151"/>
      <c r="Q60" s="151"/>
      <c r="R60" s="151"/>
      <c r="S60" s="151"/>
      <c r="T60" s="151"/>
      <c r="U60" s="226">
        <f>AVERAGE(U10:U59)</f>
        <v>0.77551851851851838</v>
      </c>
      <c r="V60" s="226">
        <f t="shared" ref="V60:W60" si="30">AVERAGE(V10:V59)</f>
        <v>0.66249074074074077</v>
      </c>
      <c r="W60" s="226">
        <f t="shared" si="30"/>
        <v>8.447472222222224</v>
      </c>
      <c r="X60" s="226">
        <f>AVERAGE(X10:X59)</f>
        <v>0.6259702697688736</v>
      </c>
      <c r="Y60" s="226">
        <f t="shared" ref="Y60:Z60" si="31">AVERAGE(Y10:Y59)</f>
        <v>0.58318240009881828</v>
      </c>
      <c r="Z60" s="226">
        <f t="shared" si="31"/>
        <v>7.409423109618877</v>
      </c>
      <c r="AA60" s="151"/>
      <c r="AB60" s="151"/>
      <c r="AC60" s="226">
        <f>AVERAGE(AC10:AC15)</f>
        <v>8.4374999999999992E-2</v>
      </c>
      <c r="AD60" s="226">
        <f t="shared" ref="AD60:AE60" si="32">AVERAGE(AD10:AD15)</f>
        <v>0.43374999999999997</v>
      </c>
      <c r="AE60" s="226">
        <f t="shared" si="32"/>
        <v>8.5220833333333328</v>
      </c>
      <c r="AF60" s="226">
        <f>AVERAGE(AF10:AF15)</f>
        <v>2.4500000000000001E-2</v>
      </c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275">
        <f>AVERAGE(AQ10:AQ15)</f>
        <v>0.88734589179370349</v>
      </c>
      <c r="AR60" s="275">
        <f t="shared" ref="AR60:AS60" si="33">AVERAGE(AR10:AR15)</f>
        <v>0.53307728783312214</v>
      </c>
      <c r="AS60" s="275">
        <f t="shared" si="33"/>
        <v>0.30560726959743845</v>
      </c>
      <c r="AT60" s="268"/>
      <c r="AU60" s="225"/>
      <c r="AV60" s="225"/>
      <c r="AW60" s="225"/>
      <c r="AX60" s="247"/>
      <c r="AY60" s="247"/>
      <c r="AZ60" s="251"/>
      <c r="BA60" s="251"/>
      <c r="BB60" s="251"/>
    </row>
    <row r="61" spans="2:57" x14ac:dyDescent="0.3">
      <c r="B61" s="151" t="s">
        <v>18</v>
      </c>
      <c r="C61" s="152">
        <f>SUM(C10:C59)</f>
        <v>125.68333333333332</v>
      </c>
      <c r="D61" s="151"/>
      <c r="E61" s="151"/>
      <c r="F61" s="151"/>
      <c r="G61" s="151"/>
      <c r="H61" s="151"/>
      <c r="I61" s="151"/>
      <c r="J61" s="151"/>
      <c r="K61" s="152">
        <f>SUM(K10:K59)-SUM(R12:R15)</f>
        <v>973.86225000000002</v>
      </c>
      <c r="L61" s="152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225"/>
      <c r="AS61" s="225"/>
      <c r="AT61" s="268"/>
      <c r="AU61" s="225"/>
      <c r="AV61" s="225"/>
      <c r="AW61" s="225"/>
      <c r="AX61" s="247"/>
      <c r="AY61" s="247"/>
      <c r="AZ61" s="254">
        <f>SUM(AZ10:AZ15)</f>
        <v>648.11235300225007</v>
      </c>
      <c r="BA61" s="254">
        <f t="shared" ref="BA61:BB61" si="34">SUM(BA10:BA15)</f>
        <v>363.58799130616012</v>
      </c>
      <c r="BB61" s="254">
        <f t="shared" si="34"/>
        <v>2808.0073535891333</v>
      </c>
      <c r="BC61" s="54">
        <f>SUM(AZ61:BB61)</f>
        <v>3819.7076978975438</v>
      </c>
      <c r="BD61" s="15"/>
      <c r="BE61" s="15"/>
    </row>
    <row r="62" spans="2:57" x14ac:dyDescent="0.3">
      <c r="K62" s="13"/>
      <c r="T62" s="1" t="s">
        <v>206</v>
      </c>
      <c r="U62" s="294">
        <f>MEDIAN(U10:U59)</f>
        <v>0.70799999999999996</v>
      </c>
      <c r="V62" s="294">
        <f t="shared" ref="V62:W62" si="35">MEDIAN(V10:V59)</f>
        <v>0.65888888888888886</v>
      </c>
      <c r="W62" s="294">
        <f t="shared" si="35"/>
        <v>9.051111111111112</v>
      </c>
      <c r="X62" s="294">
        <f>MEDIAN(X10:X59)</f>
        <v>0.65897435796966009</v>
      </c>
      <c r="Y62" s="294">
        <f t="shared" ref="Y62:Z62" si="36">MEDIAN(Y10:Y59)</f>
        <v>0.56643603797540276</v>
      </c>
      <c r="Z62" s="294">
        <f t="shared" si="36"/>
        <v>7.4363798214475381</v>
      </c>
      <c r="AZ62" s="6"/>
      <c r="BA62" s="6"/>
      <c r="BB62" s="6"/>
      <c r="BC62" s="12">
        <f>AZ61/BC61</f>
        <v>0.16967590304331043</v>
      </c>
      <c r="BD62" s="12">
        <f>BA61/BC61</f>
        <v>9.5187386067862589E-2</v>
      </c>
      <c r="BE62" s="12">
        <f>BB61/BC61</f>
        <v>0.73513671088882693</v>
      </c>
    </row>
    <row r="63" spans="2:57" x14ac:dyDescent="0.3">
      <c r="AI63" s="1">
        <f>(U60*K61)*AQ60</f>
        <v>670.16639586113274</v>
      </c>
    </row>
    <row r="64" spans="2:57" x14ac:dyDescent="0.3">
      <c r="V64" s="153"/>
    </row>
    <row r="65" spans="9:52" x14ac:dyDescent="0.3">
      <c r="AL65" s="632" t="s">
        <v>315</v>
      </c>
      <c r="AM65" s="632"/>
      <c r="AN65" s="632"/>
      <c r="AO65" s="632"/>
      <c r="AP65" s="304"/>
      <c r="AZ65" s="54">
        <f>BC61/2.7</f>
        <v>1414.706554776868</v>
      </c>
    </row>
    <row r="66" spans="9:52" x14ac:dyDescent="0.3">
      <c r="I66" s="260" t="s">
        <v>310</v>
      </c>
      <c r="J66" s="260" t="s">
        <v>311</v>
      </c>
      <c r="K66" s="260" t="s">
        <v>312</v>
      </c>
      <c r="L66" s="260"/>
      <c r="M66" s="260" t="s">
        <v>313</v>
      </c>
      <c r="N66" s="260"/>
      <c r="O66" s="260"/>
      <c r="P66" s="260"/>
      <c r="Q66" s="260"/>
      <c r="R66" s="260" t="s">
        <v>314</v>
      </c>
      <c r="AL66" s="260"/>
      <c r="AM66" s="260" t="s">
        <v>254</v>
      </c>
      <c r="AN66" s="260" t="s">
        <v>255</v>
      </c>
      <c r="AO66" s="260" t="s">
        <v>256</v>
      </c>
      <c r="AP66" s="304"/>
    </row>
    <row r="67" spans="9:52" x14ac:dyDescent="0.3">
      <c r="I67" s="50">
        <f>SUM(C10:C15)</f>
        <v>125.68333333333332</v>
      </c>
      <c r="J67" s="50">
        <f>'Milling Down Time Hours'!L59</f>
        <v>61.533333333333331</v>
      </c>
      <c r="K67" s="50">
        <f>K61/I67</f>
        <v>7.7485393183927869</v>
      </c>
      <c r="L67" s="50"/>
      <c r="M67" s="50">
        <f>(K61/I68)</f>
        <v>185.96494364142688</v>
      </c>
      <c r="N67" s="50"/>
      <c r="O67" s="50"/>
      <c r="P67" s="50"/>
      <c r="Q67" s="50"/>
      <c r="R67" s="50">
        <f>(I67+J67)/24</f>
        <v>7.800694444444443</v>
      </c>
      <c r="AL67" s="16" t="s">
        <v>339</v>
      </c>
      <c r="AM67" s="150">
        <f>AVERAGE(U10:U15)</f>
        <v>0.77551851851851838</v>
      </c>
      <c r="AN67" s="150">
        <f t="shared" ref="AN67:AO67" si="37">AVERAGE(V10:V15)</f>
        <v>0.66249074074074077</v>
      </c>
      <c r="AO67" s="150">
        <f t="shared" si="37"/>
        <v>8.447472222222224</v>
      </c>
      <c r="AP67" s="294"/>
    </row>
    <row r="68" spans="9:52" x14ac:dyDescent="0.3">
      <c r="I68" s="54">
        <f>I67/24</f>
        <v>5.2368055555555548</v>
      </c>
      <c r="AA68" s="649" t="s">
        <v>261</v>
      </c>
      <c r="AB68" s="649"/>
      <c r="AC68" s="649"/>
      <c r="AD68" s="649"/>
      <c r="AE68" s="649"/>
      <c r="AL68" s="16" t="s">
        <v>202</v>
      </c>
      <c r="AM68" s="150">
        <f>MEDIAN(U10:U15)</f>
        <v>0.70799999999999996</v>
      </c>
      <c r="AN68" s="150">
        <f t="shared" ref="AN68:AO68" si="38">MEDIAN(V10:V15)</f>
        <v>0.65888888888888886</v>
      </c>
      <c r="AO68" s="150">
        <f t="shared" si="38"/>
        <v>9.051111111111112</v>
      </c>
      <c r="AP68" s="294"/>
    </row>
    <row r="69" spans="9:52" x14ac:dyDescent="0.3">
      <c r="AA69" s="695" t="s">
        <v>260</v>
      </c>
      <c r="AB69" s="695" t="s">
        <v>500</v>
      </c>
      <c r="AC69" s="649" t="s">
        <v>262</v>
      </c>
      <c r="AD69" s="649"/>
      <c r="AE69" s="649"/>
      <c r="AL69" s="16" t="s">
        <v>204</v>
      </c>
      <c r="AM69" s="150">
        <f>MIN(U10:U15)</f>
        <v>0.68400000000000005</v>
      </c>
      <c r="AN69" s="150">
        <f t="shared" ref="AN69:AO69" si="39">MIN(V10:V15)</f>
        <v>0.53525</v>
      </c>
      <c r="AO69" s="150">
        <f t="shared" si="39"/>
        <v>7.2224166666666676</v>
      </c>
      <c r="AP69" s="294"/>
    </row>
    <row r="70" spans="9:52" x14ac:dyDescent="0.3">
      <c r="I70" s="161" t="s">
        <v>310</v>
      </c>
      <c r="J70" s="77">
        <f>I67</f>
        <v>125.68333333333332</v>
      </c>
      <c r="L70" s="13"/>
      <c r="AA70" s="695"/>
      <c r="AB70" s="695"/>
      <c r="AC70" s="147" t="s">
        <v>254</v>
      </c>
      <c r="AD70" s="147" t="s">
        <v>255</v>
      </c>
      <c r="AE70" s="147" t="s">
        <v>256</v>
      </c>
      <c r="AL70" s="16" t="s">
        <v>203</v>
      </c>
      <c r="AM70" s="150">
        <f>MAX(U10:U15)</f>
        <v>0.93455555555555547</v>
      </c>
      <c r="AN70" s="150">
        <f t="shared" ref="AN70:AO70" si="40">MAX(V10:V15)</f>
        <v>0.79333333333333333</v>
      </c>
      <c r="AO70" s="150">
        <f t="shared" si="40"/>
        <v>9.0688888888888908</v>
      </c>
      <c r="AP70" s="294"/>
    </row>
    <row r="71" spans="9:52" x14ac:dyDescent="0.3">
      <c r="I71" s="161" t="s">
        <v>311</v>
      </c>
      <c r="J71" s="77">
        <f>J67</f>
        <v>61.533333333333331</v>
      </c>
      <c r="AA71" s="16">
        <v>1</v>
      </c>
      <c r="AB71" s="16">
        <v>2</v>
      </c>
      <c r="AC71" s="500">
        <v>0.70799999999999996</v>
      </c>
      <c r="AD71" s="500">
        <v>0.53525</v>
      </c>
      <c r="AE71" s="500">
        <v>7.2224166666666676</v>
      </c>
    </row>
    <row r="72" spans="9:52" x14ac:dyDescent="0.3">
      <c r="I72" s="161" t="s">
        <v>318</v>
      </c>
      <c r="J72" s="77">
        <f>SUM(J70:J71)</f>
        <v>187.21666666666664</v>
      </c>
      <c r="AA72" s="16">
        <v>2</v>
      </c>
      <c r="AB72" s="16">
        <v>3</v>
      </c>
      <c r="AC72" s="500">
        <v>0.68400000000000005</v>
      </c>
      <c r="AD72" s="500">
        <v>0.79333333333333333</v>
      </c>
      <c r="AE72" s="500">
        <v>9.051111111111112</v>
      </c>
    </row>
    <row r="73" spans="9:52" x14ac:dyDescent="0.3">
      <c r="I73" s="161" t="s">
        <v>319</v>
      </c>
      <c r="J73" s="74">
        <f>J70/J72</f>
        <v>0.67132555862191756</v>
      </c>
    </row>
    <row r="74" spans="9:52" x14ac:dyDescent="0.3">
      <c r="I74" s="161" t="s">
        <v>37</v>
      </c>
      <c r="J74" s="265">
        <f>K67</f>
        <v>7.7485393183927869</v>
      </c>
    </row>
    <row r="75" spans="9:52" x14ac:dyDescent="0.3">
      <c r="I75" s="161" t="s">
        <v>82</v>
      </c>
      <c r="J75" s="77">
        <f>M67</f>
        <v>185.96494364142688</v>
      </c>
    </row>
    <row r="76" spans="9:52" x14ac:dyDescent="0.3">
      <c r="I76" s="161" t="s">
        <v>314</v>
      </c>
      <c r="J76" s="77">
        <f>R67</f>
        <v>7.800694444444443</v>
      </c>
    </row>
    <row r="77" spans="9:52" x14ac:dyDescent="0.3">
      <c r="I77" s="161" t="s">
        <v>338</v>
      </c>
      <c r="J77" s="74">
        <f>J67/(I67+J67)</f>
        <v>0.32867444137808249</v>
      </c>
    </row>
    <row r="92" spans="9:20" x14ac:dyDescent="0.3">
      <c r="I92" s="147" t="s">
        <v>260</v>
      </c>
      <c r="J92" s="147" t="s">
        <v>323</v>
      </c>
      <c r="K92" s="147" t="s">
        <v>324</v>
      </c>
      <c r="L92" s="649" t="s">
        <v>330</v>
      </c>
      <c r="M92" s="649"/>
      <c r="N92" s="649"/>
      <c r="O92" s="532"/>
      <c r="P92" s="532"/>
      <c r="Q92" s="532"/>
      <c r="R92" s="692" t="s">
        <v>333</v>
      </c>
      <c r="S92" s="693"/>
      <c r="T92" s="694"/>
    </row>
    <row r="93" spans="9:20" x14ac:dyDescent="0.3">
      <c r="I93" s="147" t="s">
        <v>329</v>
      </c>
      <c r="J93" s="147" t="s">
        <v>25</v>
      </c>
      <c r="K93" s="147"/>
      <c r="L93" s="147" t="s">
        <v>254</v>
      </c>
      <c r="M93" s="147" t="s">
        <v>255</v>
      </c>
      <c r="N93" s="147" t="s">
        <v>256</v>
      </c>
      <c r="O93" s="147"/>
      <c r="P93" s="147"/>
      <c r="Q93" s="147"/>
      <c r="R93" s="147" t="s">
        <v>254</v>
      </c>
      <c r="S93" s="147" t="s">
        <v>255</v>
      </c>
      <c r="T93" s="147" t="s">
        <v>256</v>
      </c>
    </row>
    <row r="94" spans="9:20" x14ac:dyDescent="0.3">
      <c r="I94" s="16">
        <v>1</v>
      </c>
      <c r="J94" s="16">
        <v>2</v>
      </c>
      <c r="K94" s="50">
        <f>K10</f>
        <v>292.31359999999995</v>
      </c>
      <c r="L94" s="150">
        <f>U10</f>
        <v>0.70799999999999996</v>
      </c>
      <c r="M94" s="150">
        <f t="shared" ref="M94:N98" si="41">V10</f>
        <v>0.53525</v>
      </c>
      <c r="N94" s="150">
        <f t="shared" si="41"/>
        <v>7.2224166666666676</v>
      </c>
      <c r="O94" s="150"/>
      <c r="P94" s="150"/>
      <c r="Q94" s="150"/>
      <c r="R94" s="150">
        <f>AC10</f>
        <v>0.11299999999999999</v>
      </c>
      <c r="S94" s="150">
        <f t="shared" ref="S94:T98" si="42">AD10</f>
        <v>0.61749999999999994</v>
      </c>
      <c r="T94" s="150">
        <f t="shared" si="42"/>
        <v>8.6916666666666664</v>
      </c>
    </row>
    <row r="95" spans="9:20" x14ac:dyDescent="0.3">
      <c r="I95" s="16">
        <v>2</v>
      </c>
      <c r="J95" s="16">
        <v>3</v>
      </c>
      <c r="K95" s="50">
        <f>K11</f>
        <v>300.14215000000002</v>
      </c>
      <c r="L95" s="150">
        <f t="shared" ref="L95:L98" si="43">U11</f>
        <v>0.68400000000000005</v>
      </c>
      <c r="M95" s="150">
        <f t="shared" si="41"/>
        <v>0.79333333333333333</v>
      </c>
      <c r="N95" s="150">
        <f t="shared" si="41"/>
        <v>9.051111111111112</v>
      </c>
      <c r="O95" s="150"/>
      <c r="P95" s="150"/>
      <c r="Q95" s="150"/>
      <c r="R95" s="150">
        <f t="shared" ref="R95:R98" si="44">AC11</f>
        <v>5.5749999999999994E-2</v>
      </c>
      <c r="S95" s="150">
        <f t="shared" si="42"/>
        <v>0.25</v>
      </c>
      <c r="T95" s="150">
        <f t="shared" si="42"/>
        <v>8.3524999999999991</v>
      </c>
    </row>
    <row r="96" spans="9:20" x14ac:dyDescent="0.3">
      <c r="I96" s="16">
        <v>3</v>
      </c>
      <c r="J96" s="16">
        <v>2</v>
      </c>
      <c r="K96" s="50">
        <f>L12</f>
        <v>326.97083025000006</v>
      </c>
      <c r="L96" s="150">
        <f t="shared" si="43"/>
        <v>0.93455555555555547</v>
      </c>
      <c r="M96" s="150">
        <f t="shared" si="41"/>
        <v>0.65888888888888886</v>
      </c>
      <c r="N96" s="150">
        <f t="shared" si="41"/>
        <v>9.0688888888888908</v>
      </c>
      <c r="O96" s="150"/>
      <c r="P96" s="150"/>
      <c r="Q96" s="150"/>
      <c r="R96" s="150">
        <f t="shared" si="44"/>
        <v>0</v>
      </c>
      <c r="S96" s="150">
        <f t="shared" si="42"/>
        <v>0</v>
      </c>
      <c r="T96" s="150">
        <f t="shared" si="42"/>
        <v>0</v>
      </c>
    </row>
    <row r="97" spans="9:20" x14ac:dyDescent="0.3">
      <c r="I97" s="16">
        <v>4</v>
      </c>
      <c r="J97" s="16">
        <v>3</v>
      </c>
      <c r="K97" s="50">
        <f t="shared" ref="K97:K98" si="45">L13</f>
        <v>0</v>
      </c>
      <c r="L97" s="150">
        <f t="shared" si="43"/>
        <v>0</v>
      </c>
      <c r="M97" s="150">
        <f t="shared" si="41"/>
        <v>0</v>
      </c>
      <c r="N97" s="150">
        <f t="shared" si="41"/>
        <v>0</v>
      </c>
      <c r="O97" s="150"/>
      <c r="P97" s="150"/>
      <c r="Q97" s="150"/>
      <c r="R97" s="150">
        <f t="shared" si="44"/>
        <v>0</v>
      </c>
      <c r="S97" s="150">
        <f t="shared" si="42"/>
        <v>0</v>
      </c>
      <c r="T97" s="150">
        <f t="shared" si="42"/>
        <v>0</v>
      </c>
    </row>
    <row r="98" spans="9:20" x14ac:dyDescent="0.3">
      <c r="I98" s="16">
        <v>5</v>
      </c>
      <c r="J98" s="16">
        <v>2</v>
      </c>
      <c r="K98" s="50">
        <f t="shared" si="45"/>
        <v>0</v>
      </c>
      <c r="L98" s="150">
        <f t="shared" si="43"/>
        <v>0</v>
      </c>
      <c r="M98" s="150">
        <f t="shared" si="41"/>
        <v>0</v>
      </c>
      <c r="N98" s="150">
        <f t="shared" si="41"/>
        <v>0</v>
      </c>
      <c r="O98" s="150"/>
      <c r="P98" s="150"/>
      <c r="Q98" s="150"/>
      <c r="R98" s="150">
        <f t="shared" si="44"/>
        <v>0</v>
      </c>
      <c r="S98" s="150">
        <f t="shared" si="42"/>
        <v>0</v>
      </c>
      <c r="T98" s="150">
        <f t="shared" si="42"/>
        <v>0</v>
      </c>
    </row>
    <row r="99" spans="9:20" x14ac:dyDescent="0.3">
      <c r="I99" s="17" t="s">
        <v>331</v>
      </c>
      <c r="J99" s="17"/>
      <c r="K99" s="277"/>
      <c r="L99" s="290">
        <f>AVERAGE(L94:L98)</f>
        <v>0.46531111111111106</v>
      </c>
      <c r="M99" s="290">
        <f t="shared" ref="M99:N99" si="46">AVERAGE(M94:M98)</f>
        <v>0.39749444444444448</v>
      </c>
      <c r="N99" s="290">
        <f t="shared" si="46"/>
        <v>5.0684833333333348</v>
      </c>
      <c r="O99" s="290"/>
      <c r="P99" s="290"/>
      <c r="Q99" s="290"/>
      <c r="R99" s="290">
        <f>AVERAGE(R94:R98)</f>
        <v>3.3749999999999995E-2</v>
      </c>
      <c r="S99" s="290">
        <f t="shared" ref="S99:T99" si="47">AVERAGE(S94:S98)</f>
        <v>0.17349999999999999</v>
      </c>
      <c r="T99" s="290">
        <f t="shared" si="47"/>
        <v>3.4088333333333329</v>
      </c>
    </row>
    <row r="100" spans="9:20" x14ac:dyDescent="0.3">
      <c r="I100" s="17" t="s">
        <v>332</v>
      </c>
      <c r="J100" s="17"/>
      <c r="K100" s="277">
        <f>SUM(K94:K98)</f>
        <v>919.42658025000003</v>
      </c>
      <c r="L100" s="17"/>
      <c r="M100" s="17"/>
      <c r="N100" s="17"/>
      <c r="O100" s="17"/>
      <c r="P100" s="17"/>
      <c r="Q100" s="17"/>
      <c r="R100" s="17"/>
      <c r="S100" s="17"/>
      <c r="T100" s="17"/>
    </row>
  </sheetData>
  <mergeCells count="40">
    <mergeCell ref="AC69:AE69"/>
    <mergeCell ref="AA68:AE68"/>
    <mergeCell ref="AA69:AA70"/>
    <mergeCell ref="AB69:AB70"/>
    <mergeCell ref="AL65:AO65"/>
    <mergeCell ref="AF8:AH8"/>
    <mergeCell ref="AC7:AH7"/>
    <mergeCell ref="AZ7:BB7"/>
    <mergeCell ref="AZ8:BB8"/>
    <mergeCell ref="AL7:AN7"/>
    <mergeCell ref="AL8:AN8"/>
    <mergeCell ref="AV7:AX7"/>
    <mergeCell ref="AV8:AX8"/>
    <mergeCell ref="AI7:AK7"/>
    <mergeCell ref="AI8:AK8"/>
    <mergeCell ref="AQ7:AS8"/>
    <mergeCell ref="AU7:AU8"/>
    <mergeCell ref="AC8:AE8"/>
    <mergeCell ref="AB7:AB9"/>
    <mergeCell ref="B7:B9"/>
    <mergeCell ref="D7:D9"/>
    <mergeCell ref="E7:E9"/>
    <mergeCell ref="F7:F9"/>
    <mergeCell ref="G7:G9"/>
    <mergeCell ref="R92:T92"/>
    <mergeCell ref="L92:N92"/>
    <mergeCell ref="H7:H9"/>
    <mergeCell ref="D2:AC2"/>
    <mergeCell ref="D3:AC3"/>
    <mergeCell ref="X7:Z7"/>
    <mergeCell ref="I7:I9"/>
    <mergeCell ref="J7:J9"/>
    <mergeCell ref="K7:K9"/>
    <mergeCell ref="S7:S9"/>
    <mergeCell ref="D4:AC4"/>
    <mergeCell ref="U7:W7"/>
    <mergeCell ref="U8:W8"/>
    <mergeCell ref="M7:M9"/>
    <mergeCell ref="AA7:AA9"/>
    <mergeCell ref="X8:Z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79"/>
  <sheetViews>
    <sheetView topLeftCell="C1" zoomScale="115" zoomScaleNormal="115" workbookViewId="0">
      <selection activeCell="O4" sqref="O4:O7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535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630" t="s">
        <v>471</v>
      </c>
      <c r="C2" s="630"/>
      <c r="D2" s="630"/>
      <c r="E2" s="630"/>
      <c r="F2" s="630"/>
      <c r="G2" s="630"/>
      <c r="H2" s="630"/>
      <c r="T2" s="631" t="s">
        <v>512</v>
      </c>
      <c r="U2" s="631"/>
      <c r="V2" s="631"/>
      <c r="W2" s="1" t="s">
        <v>513</v>
      </c>
    </row>
    <row r="3" spans="2:28" x14ac:dyDescent="0.3">
      <c r="B3" s="17" t="s">
        <v>71</v>
      </c>
      <c r="C3" s="17" t="s">
        <v>472</v>
      </c>
      <c r="D3" s="17" t="s">
        <v>467</v>
      </c>
      <c r="E3" s="533" t="s">
        <v>468</v>
      </c>
      <c r="F3" s="17" t="s">
        <v>469</v>
      </c>
      <c r="G3" s="17" t="s">
        <v>470</v>
      </c>
      <c r="H3" s="17" t="s">
        <v>350</v>
      </c>
      <c r="M3" s="17" t="s">
        <v>71</v>
      </c>
      <c r="N3" s="17" t="s">
        <v>472</v>
      </c>
      <c r="O3" s="17" t="s">
        <v>467</v>
      </c>
      <c r="P3" s="533" t="s">
        <v>468</v>
      </c>
      <c r="Q3" s="17" t="s">
        <v>469</v>
      </c>
      <c r="R3" s="17" t="s">
        <v>470</v>
      </c>
      <c r="S3" s="17" t="s">
        <v>350</v>
      </c>
      <c r="T3" s="307" t="s">
        <v>254</v>
      </c>
      <c r="U3" s="307" t="s">
        <v>255</v>
      </c>
      <c r="V3" s="307" t="s">
        <v>256</v>
      </c>
    </row>
    <row r="4" spans="2:28" x14ac:dyDescent="0.3">
      <c r="B4" s="276">
        <v>1</v>
      </c>
      <c r="C4" s="16">
        <v>1</v>
      </c>
      <c r="D4" s="6" t="s">
        <v>473</v>
      </c>
      <c r="E4" s="534">
        <v>46265</v>
      </c>
      <c r="F4" s="828">
        <v>1.0229999999999999</v>
      </c>
      <c r="G4" s="6">
        <v>0.31</v>
      </c>
      <c r="H4" s="6">
        <v>6.1559999999999997</v>
      </c>
      <c r="M4" s="276">
        <v>1</v>
      </c>
      <c r="N4" s="16">
        <v>1</v>
      </c>
      <c r="O4" s="6" t="s">
        <v>502</v>
      </c>
      <c r="P4" s="534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276">
        <v>2</v>
      </c>
      <c r="C5" s="16">
        <v>1</v>
      </c>
      <c r="D5" s="6" t="s">
        <v>474</v>
      </c>
      <c r="E5" s="534">
        <v>46265</v>
      </c>
      <c r="F5" s="828">
        <v>0.94899999999999995</v>
      </c>
      <c r="G5" s="6">
        <v>0.51300000000000001</v>
      </c>
      <c r="H5" s="6">
        <v>5.9560000000000004</v>
      </c>
      <c r="M5" s="276">
        <v>2</v>
      </c>
      <c r="N5" s="16">
        <v>1</v>
      </c>
      <c r="O5" s="6" t="s">
        <v>503</v>
      </c>
      <c r="P5" s="534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276">
        <v>3</v>
      </c>
      <c r="C6" s="16">
        <v>1</v>
      </c>
      <c r="D6" s="6" t="s">
        <v>475</v>
      </c>
      <c r="E6" s="534">
        <v>46265</v>
      </c>
      <c r="F6" s="828">
        <v>0.92900000000000005</v>
      </c>
      <c r="G6" s="6">
        <v>0.40699999999999997</v>
      </c>
      <c r="H6" s="6">
        <v>6.2169999999999996</v>
      </c>
      <c r="I6" s="255">
        <f>AVERAGE(F4:F6)</f>
        <v>0.96699999999999997</v>
      </c>
      <c r="J6" s="255">
        <f t="shared" ref="J6:K6" si="0">AVERAGE(G4:G6)</f>
        <v>0.41</v>
      </c>
      <c r="K6" s="255">
        <f t="shared" si="0"/>
        <v>6.1096666666666666</v>
      </c>
      <c r="M6" s="276">
        <v>3</v>
      </c>
      <c r="N6" s="16">
        <v>1</v>
      </c>
      <c r="O6" s="6" t="s">
        <v>504</v>
      </c>
      <c r="P6" s="534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276">
        <v>4</v>
      </c>
      <c r="C7" s="16">
        <v>1</v>
      </c>
      <c r="D7" s="6" t="s">
        <v>476</v>
      </c>
      <c r="E7" s="534">
        <v>46265</v>
      </c>
      <c r="F7" s="827">
        <v>0.64100000000000001</v>
      </c>
      <c r="G7" s="6">
        <v>0.55700000000000005</v>
      </c>
      <c r="H7" s="6">
        <v>7.72</v>
      </c>
      <c r="M7" s="276">
        <v>4</v>
      </c>
      <c r="N7" s="16">
        <v>1</v>
      </c>
      <c r="O7" s="6" t="s">
        <v>505</v>
      </c>
      <c r="P7" s="534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276">
        <v>5</v>
      </c>
      <c r="C8" s="16">
        <v>1</v>
      </c>
      <c r="D8" s="6" t="s">
        <v>477</v>
      </c>
      <c r="E8" s="534">
        <v>46265</v>
      </c>
      <c r="F8" s="827">
        <v>0.63700000000000001</v>
      </c>
      <c r="G8" s="6">
        <v>0.502</v>
      </c>
      <c r="H8" s="6">
        <v>7.51</v>
      </c>
      <c r="M8" s="626">
        <v>5</v>
      </c>
      <c r="N8" s="627">
        <v>1</v>
      </c>
      <c r="O8" s="628" t="s">
        <v>506</v>
      </c>
      <c r="P8" s="629">
        <v>46265</v>
      </c>
      <c r="Q8" s="628">
        <v>1.123</v>
      </c>
      <c r="R8" s="628">
        <v>0.28899999999999998</v>
      </c>
      <c r="S8" s="628">
        <v>7.577</v>
      </c>
      <c r="T8" s="150">
        <f>AVERAGE(Q4:Q8)</f>
        <v>0.89359999999999995</v>
      </c>
      <c r="U8" s="150">
        <f t="shared" ref="U8:V8" si="1">AVERAGE(R4:R8)</f>
        <v>0.43600000000000005</v>
      </c>
      <c r="V8" s="150">
        <f t="shared" si="1"/>
        <v>6.306</v>
      </c>
      <c r="W8" s="131">
        <f>T8-I6</f>
        <v>-7.3400000000000021E-2</v>
      </c>
      <c r="X8" s="131">
        <f>U8-J6</f>
        <v>2.6000000000000079E-2</v>
      </c>
      <c r="Y8" s="131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276">
        <v>6</v>
      </c>
      <c r="C9" s="16">
        <v>1</v>
      </c>
      <c r="D9" s="6" t="s">
        <v>478</v>
      </c>
      <c r="E9" s="534">
        <v>46265</v>
      </c>
      <c r="F9" s="827">
        <v>0.54900000000000004</v>
      </c>
      <c r="G9" s="6">
        <v>0.52600000000000002</v>
      </c>
      <c r="H9" s="6">
        <v>7.64</v>
      </c>
      <c r="M9" s="276">
        <v>6</v>
      </c>
      <c r="N9" s="16">
        <v>1</v>
      </c>
      <c r="O9" s="6" t="s">
        <v>507</v>
      </c>
      <c r="P9" s="534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276">
        <v>7</v>
      </c>
      <c r="C10" s="16">
        <v>1</v>
      </c>
      <c r="D10" s="6" t="s">
        <v>473</v>
      </c>
      <c r="E10" s="534">
        <v>46266</v>
      </c>
      <c r="F10" s="6">
        <v>0.64600000000000002</v>
      </c>
      <c r="G10" s="6">
        <v>0.68100000000000005</v>
      </c>
      <c r="H10" s="6">
        <v>7.62</v>
      </c>
      <c r="M10" s="276">
        <v>7</v>
      </c>
      <c r="N10" s="16">
        <v>1</v>
      </c>
      <c r="O10" s="6" t="s">
        <v>502</v>
      </c>
      <c r="P10" s="534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276">
        <v>8</v>
      </c>
      <c r="C11" s="16">
        <v>1</v>
      </c>
      <c r="D11" s="6" t="s">
        <v>474</v>
      </c>
      <c r="E11" s="534">
        <v>46266</v>
      </c>
      <c r="F11" s="6">
        <v>0.64500000000000002</v>
      </c>
      <c r="G11" s="6">
        <v>0.68700000000000006</v>
      </c>
      <c r="H11" s="6">
        <v>7.55</v>
      </c>
      <c r="I11" s="255">
        <f>AVERAGE(F10:F12)</f>
        <v>0.64699999999999991</v>
      </c>
      <c r="J11" s="255">
        <f t="shared" ref="J11:K11" si="4">AVERAGE(G10:G12)</f>
        <v>0.67433333333333334</v>
      </c>
      <c r="K11" s="255">
        <f t="shared" si="4"/>
        <v>7.5333333333333341</v>
      </c>
      <c r="M11" s="276">
        <v>8</v>
      </c>
      <c r="N11" s="16">
        <v>1</v>
      </c>
      <c r="O11" s="6" t="s">
        <v>503</v>
      </c>
      <c r="P11" s="534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276">
        <v>9</v>
      </c>
      <c r="C12" s="16">
        <v>1</v>
      </c>
      <c r="D12" s="6" t="s">
        <v>475</v>
      </c>
      <c r="E12" s="534">
        <v>46266</v>
      </c>
      <c r="F12" s="6">
        <v>0.65</v>
      </c>
      <c r="G12" s="6">
        <v>0.65500000000000003</v>
      </c>
      <c r="H12" s="6">
        <v>7.43</v>
      </c>
      <c r="M12" s="276">
        <v>9</v>
      </c>
      <c r="N12" s="16">
        <v>1</v>
      </c>
      <c r="O12" s="6" t="s">
        <v>504</v>
      </c>
      <c r="P12" s="534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276">
        <v>10</v>
      </c>
      <c r="C13" s="16">
        <v>1</v>
      </c>
      <c r="D13" s="6" t="s">
        <v>476</v>
      </c>
      <c r="E13" s="534">
        <v>46266</v>
      </c>
      <c r="F13" s="6">
        <v>0.64100000000000001</v>
      </c>
      <c r="G13" s="6">
        <v>0.55700000000000005</v>
      </c>
      <c r="H13" s="6">
        <v>7.72</v>
      </c>
      <c r="M13" s="626">
        <v>10</v>
      </c>
      <c r="N13" s="627">
        <v>1</v>
      </c>
      <c r="O13" s="628" t="s">
        <v>506</v>
      </c>
      <c r="P13" s="629">
        <v>46266</v>
      </c>
      <c r="Q13" s="628">
        <v>0.73699999999999999</v>
      </c>
      <c r="R13" s="628">
        <v>0.81499999999999995</v>
      </c>
      <c r="S13" s="628">
        <v>7.21</v>
      </c>
      <c r="T13" s="150">
        <f>AVERAGE(Q9:Q13)</f>
        <v>1.0676000000000001</v>
      </c>
      <c r="U13" s="150">
        <f t="shared" ref="U13:V13" si="5">AVERAGE(R9:R13)</f>
        <v>0.98219999999999996</v>
      </c>
      <c r="V13" s="150">
        <f t="shared" si="5"/>
        <v>8.6260000000000012</v>
      </c>
      <c r="W13" s="131">
        <f>I11-T13</f>
        <v>-0.4206000000000002</v>
      </c>
      <c r="X13" s="131">
        <f t="shared" ref="X13:Y13" si="6">J11-U13</f>
        <v>-0.30786666666666662</v>
      </c>
      <c r="Y13" s="131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276">
        <v>11</v>
      </c>
      <c r="C14" s="16">
        <v>1</v>
      </c>
      <c r="D14" s="6" t="s">
        <v>477</v>
      </c>
      <c r="E14" s="534">
        <v>46266</v>
      </c>
      <c r="F14" s="6">
        <v>0.63700000000000001</v>
      </c>
      <c r="G14" s="6">
        <v>0.502</v>
      </c>
      <c r="H14" s="6">
        <v>7.51</v>
      </c>
      <c r="M14" s="276">
        <v>11</v>
      </c>
      <c r="N14" s="16">
        <v>1</v>
      </c>
      <c r="O14" s="6" t="s">
        <v>508</v>
      </c>
      <c r="P14" s="534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276">
        <v>12</v>
      </c>
      <c r="C15" s="16">
        <v>1</v>
      </c>
      <c r="D15" s="6" t="s">
        <v>478</v>
      </c>
      <c r="E15" s="534">
        <v>46266</v>
      </c>
      <c r="F15" s="6">
        <v>0.54900000000000004</v>
      </c>
      <c r="G15" s="6">
        <v>0.52600000000000002</v>
      </c>
      <c r="H15" s="6">
        <v>7.64</v>
      </c>
      <c r="M15" s="276">
        <v>12</v>
      </c>
      <c r="N15" s="16">
        <v>1</v>
      </c>
      <c r="O15" s="6" t="s">
        <v>509</v>
      </c>
      <c r="P15" s="534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276">
        <v>13</v>
      </c>
      <c r="C16" s="16">
        <v>2</v>
      </c>
      <c r="D16" s="6" t="s">
        <v>473</v>
      </c>
      <c r="E16" s="534">
        <v>46267</v>
      </c>
      <c r="F16" s="6">
        <v>0.66</v>
      </c>
      <c r="G16" s="6">
        <v>0.32</v>
      </c>
      <c r="H16" s="6">
        <v>9.6300000000000008</v>
      </c>
      <c r="M16" s="276">
        <v>13</v>
      </c>
      <c r="N16" s="16">
        <v>2</v>
      </c>
      <c r="O16" s="6" t="s">
        <v>510</v>
      </c>
      <c r="P16" s="534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276">
        <v>14</v>
      </c>
      <c r="C17" s="16">
        <v>2</v>
      </c>
      <c r="D17" s="6" t="s">
        <v>474</v>
      </c>
      <c r="E17" s="534">
        <v>46267</v>
      </c>
      <c r="F17" s="6">
        <v>0.82399999999999995</v>
      </c>
      <c r="G17" s="6">
        <v>0.67</v>
      </c>
      <c r="H17" s="6">
        <v>9.7899999999999991</v>
      </c>
      <c r="M17" s="276">
        <v>14</v>
      </c>
      <c r="N17" s="16">
        <v>2</v>
      </c>
      <c r="O17" s="6" t="s">
        <v>511</v>
      </c>
      <c r="P17" s="534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276">
        <v>15</v>
      </c>
      <c r="C18" s="16">
        <v>2</v>
      </c>
      <c r="D18" s="6" t="s">
        <v>475</v>
      </c>
      <c r="E18" s="534">
        <v>46267</v>
      </c>
      <c r="F18" s="6">
        <v>0.75</v>
      </c>
      <c r="G18" s="6">
        <v>0.78</v>
      </c>
      <c r="H18" s="6">
        <v>10.1</v>
      </c>
      <c r="I18" s="255">
        <f>AVERAGE(F16:F18)</f>
        <v>0.7446666666666667</v>
      </c>
      <c r="J18" s="255">
        <f t="shared" ref="J18:K18" si="8">AVERAGE(G16:G18)</f>
        <v>0.59</v>
      </c>
      <c r="K18" s="255">
        <f t="shared" si="8"/>
        <v>9.8400000000000016</v>
      </c>
      <c r="M18" s="626">
        <v>15</v>
      </c>
      <c r="N18" s="627">
        <v>2</v>
      </c>
      <c r="O18" s="628" t="s">
        <v>506</v>
      </c>
      <c r="P18" s="629">
        <v>46267</v>
      </c>
      <c r="Q18" s="628">
        <v>0.95899999999999996</v>
      </c>
      <c r="R18" s="628">
        <v>0.62</v>
      </c>
      <c r="S18" s="628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38">
        <f>I18-T18</f>
        <v>-0.23153333333333315</v>
      </c>
      <c r="X18" s="38">
        <f t="shared" ref="X18:Y18" si="10">J18-U18</f>
        <v>-2.8000000000000136E-2</v>
      </c>
      <c r="Y18" s="38">
        <f t="shared" si="10"/>
        <v>1.4200000000000017</v>
      </c>
      <c r="Z18" s="38">
        <f>MEDIAN(Q14:Q17)</f>
        <v>0.97950000000000004</v>
      </c>
      <c r="AA18" s="38">
        <f t="shared" ref="AA18:AB18" si="11">MEDIAN(R14:R17)</f>
        <v>0.625</v>
      </c>
      <c r="AB18" s="38">
        <f t="shared" si="11"/>
        <v>8.5949999999999989</v>
      </c>
    </row>
    <row r="19" spans="2:28" x14ac:dyDescent="0.3">
      <c r="B19" s="276">
        <v>16</v>
      </c>
      <c r="C19" s="16">
        <v>2</v>
      </c>
      <c r="D19" s="6" t="s">
        <v>476</v>
      </c>
      <c r="E19" s="534">
        <v>46267</v>
      </c>
      <c r="F19" s="550">
        <v>0.63200000000000001</v>
      </c>
      <c r="G19" s="551">
        <v>1.103</v>
      </c>
      <c r="H19" s="551">
        <v>9.26</v>
      </c>
      <c r="M19" s="276">
        <v>16</v>
      </c>
      <c r="N19" s="16">
        <v>2</v>
      </c>
      <c r="O19" s="6" t="s">
        <v>503</v>
      </c>
      <c r="P19" s="534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276">
        <v>17</v>
      </c>
      <c r="C20" s="16">
        <v>2</v>
      </c>
      <c r="D20" s="6" t="s">
        <v>477</v>
      </c>
      <c r="E20" s="534">
        <v>46267</v>
      </c>
      <c r="F20" s="551">
        <v>0.63100000000000001</v>
      </c>
      <c r="G20" s="551">
        <v>1.008</v>
      </c>
      <c r="H20" s="551">
        <v>9.24</v>
      </c>
      <c r="M20" s="276">
        <v>17</v>
      </c>
      <c r="N20" s="16">
        <v>2</v>
      </c>
      <c r="O20" s="6" t="s">
        <v>504</v>
      </c>
      <c r="P20" s="534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276">
        <v>18</v>
      </c>
      <c r="C21" s="16">
        <v>2</v>
      </c>
      <c r="D21" s="6" t="s">
        <v>478</v>
      </c>
      <c r="E21" s="534">
        <v>46267</v>
      </c>
      <c r="F21" s="551">
        <v>0.67500000000000004</v>
      </c>
      <c r="G21" s="551">
        <v>1.089</v>
      </c>
      <c r="H21" s="551">
        <v>9.27</v>
      </c>
      <c r="M21" s="626">
        <v>18</v>
      </c>
      <c r="N21" s="627">
        <v>2</v>
      </c>
      <c r="O21" s="628" t="s">
        <v>506</v>
      </c>
      <c r="P21" s="629">
        <v>46268</v>
      </c>
      <c r="Q21" s="628">
        <v>0.76400000000000001</v>
      </c>
      <c r="R21" s="628">
        <v>0.67</v>
      </c>
      <c r="S21" s="628">
        <v>7.17</v>
      </c>
      <c r="T21" s="287">
        <f>AVERAGE(Q19:Q21)</f>
        <v>0.79766666666666663</v>
      </c>
      <c r="U21" s="287">
        <f t="shared" ref="U21:V21" si="12">AVERAGE(R19:R21)</f>
        <v>0.66</v>
      </c>
      <c r="V21" s="287">
        <f t="shared" si="12"/>
        <v>6.78</v>
      </c>
      <c r="W21" s="131">
        <f>T21-I24</f>
        <v>0.13633333333333331</v>
      </c>
      <c r="X21" s="131">
        <f t="shared" ref="X21:Y21" si="13">U21-J24</f>
        <v>-6.3333333333333242E-2</v>
      </c>
      <c r="Y21" s="131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276">
        <v>19</v>
      </c>
      <c r="C22" s="16">
        <v>2</v>
      </c>
      <c r="D22" s="6" t="s">
        <v>473</v>
      </c>
      <c r="E22" s="534">
        <v>46268</v>
      </c>
      <c r="F22" s="6">
        <v>0.66800000000000004</v>
      </c>
      <c r="G22" s="6">
        <v>0.61</v>
      </c>
      <c r="H22" s="6">
        <v>8.17</v>
      </c>
      <c r="M22" s="276">
        <v>19</v>
      </c>
      <c r="N22" s="16">
        <v>3</v>
      </c>
      <c r="O22" s="6" t="s">
        <v>507</v>
      </c>
      <c r="P22" s="534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276">
        <v>20</v>
      </c>
      <c r="C23" s="16">
        <v>2</v>
      </c>
      <c r="D23" s="6" t="s">
        <v>474</v>
      </c>
      <c r="E23" s="534">
        <v>46268</v>
      </c>
      <c r="F23" s="6">
        <v>0.59399999999999997</v>
      </c>
      <c r="G23" s="6">
        <v>0.71</v>
      </c>
      <c r="H23" s="6">
        <v>7.54</v>
      </c>
      <c r="M23" s="276">
        <v>20</v>
      </c>
      <c r="N23" s="16">
        <v>3</v>
      </c>
      <c r="O23" s="6" t="s">
        <v>502</v>
      </c>
      <c r="P23" s="534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276">
        <v>21</v>
      </c>
      <c r="C24" s="16">
        <v>2</v>
      </c>
      <c r="D24" s="6" t="s">
        <v>475</v>
      </c>
      <c r="E24" s="534">
        <v>46268</v>
      </c>
      <c r="F24" s="6">
        <v>0.72199999999999998</v>
      </c>
      <c r="G24" s="6">
        <v>0.85</v>
      </c>
      <c r="H24" s="6">
        <v>8.4600000000000009</v>
      </c>
      <c r="I24" s="255">
        <f>AVERAGE(F22:F24)</f>
        <v>0.66133333333333333</v>
      </c>
      <c r="J24" s="255">
        <f t="shared" ref="J24:K24" si="15">AVERAGE(G22:G24)</f>
        <v>0.72333333333333327</v>
      </c>
      <c r="K24" s="255">
        <f t="shared" si="15"/>
        <v>8.0566666666666666</v>
      </c>
      <c r="M24" s="276">
        <v>21</v>
      </c>
      <c r="N24" s="16">
        <v>3</v>
      </c>
      <c r="O24" s="6" t="s">
        <v>503</v>
      </c>
      <c r="P24" s="534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276">
        <v>22</v>
      </c>
      <c r="C25" s="16">
        <v>3</v>
      </c>
      <c r="D25" s="6" t="s">
        <v>476</v>
      </c>
      <c r="E25" s="534">
        <v>46270</v>
      </c>
      <c r="F25" s="6">
        <v>1.0980000000000001</v>
      </c>
      <c r="G25" s="6">
        <v>0.82</v>
      </c>
      <c r="H25" s="6">
        <v>8.17</v>
      </c>
      <c r="M25" s="276">
        <v>21</v>
      </c>
      <c r="N25" s="16">
        <v>3</v>
      </c>
      <c r="O25" s="6" t="s">
        <v>505</v>
      </c>
      <c r="P25" s="534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276">
        <v>23</v>
      </c>
      <c r="C26" s="16">
        <v>3</v>
      </c>
      <c r="D26" s="6" t="s">
        <v>477</v>
      </c>
      <c r="E26" s="534">
        <v>46270</v>
      </c>
      <c r="F26" s="6">
        <v>1.0880000000000001</v>
      </c>
      <c r="G26" s="6">
        <v>0.75</v>
      </c>
      <c r="H26" s="6">
        <v>8.1</v>
      </c>
      <c r="M26" s="626">
        <v>21</v>
      </c>
      <c r="N26" s="627">
        <v>3</v>
      </c>
      <c r="O26" s="628" t="s">
        <v>506</v>
      </c>
      <c r="P26" s="629">
        <v>46271</v>
      </c>
      <c r="Q26" s="628">
        <v>1.1679999999999999</v>
      </c>
      <c r="R26" s="628">
        <v>0.83</v>
      </c>
      <c r="S26" s="628">
        <v>9.84</v>
      </c>
    </row>
    <row r="27" spans="2:28" x14ac:dyDescent="0.3">
      <c r="B27" s="276">
        <v>24</v>
      </c>
      <c r="C27" s="16">
        <v>3</v>
      </c>
      <c r="D27" s="6" t="s">
        <v>478</v>
      </c>
      <c r="E27" s="534">
        <v>46270</v>
      </c>
      <c r="F27" s="6">
        <v>1.075</v>
      </c>
      <c r="G27" s="6">
        <v>0.75</v>
      </c>
      <c r="H27" s="6">
        <v>8.08</v>
      </c>
      <c r="M27" s="6"/>
      <c r="N27" s="6"/>
      <c r="O27" s="6"/>
      <c r="P27" s="276"/>
      <c r="Q27" s="6"/>
      <c r="R27" s="6"/>
      <c r="S27" s="6"/>
    </row>
    <row r="28" spans="2:28" x14ac:dyDescent="0.3">
      <c r="B28" s="276">
        <v>25</v>
      </c>
      <c r="C28" s="16">
        <v>3</v>
      </c>
      <c r="D28" s="6" t="s">
        <v>473</v>
      </c>
      <c r="E28" s="534">
        <v>46271</v>
      </c>
      <c r="F28" s="6">
        <v>0.92</v>
      </c>
      <c r="G28" s="6">
        <v>0.56999999999999995</v>
      </c>
      <c r="H28" s="6">
        <v>9.66</v>
      </c>
      <c r="M28" s="6"/>
      <c r="N28" s="6"/>
      <c r="O28" s="6"/>
      <c r="P28" s="276"/>
      <c r="Q28" s="6"/>
      <c r="R28" s="6"/>
      <c r="S28" s="6"/>
    </row>
    <row r="29" spans="2:28" x14ac:dyDescent="0.3">
      <c r="B29" s="276">
        <v>26</v>
      </c>
      <c r="C29" s="16">
        <v>3</v>
      </c>
      <c r="D29" s="6" t="s">
        <v>474</v>
      </c>
      <c r="E29" s="534">
        <v>46271</v>
      </c>
      <c r="F29" s="6">
        <v>0.86</v>
      </c>
      <c r="G29" s="6">
        <v>0.54</v>
      </c>
      <c r="H29" s="6">
        <v>9.56</v>
      </c>
      <c r="M29" s="6"/>
      <c r="N29" s="6"/>
      <c r="O29" s="6"/>
      <c r="P29" s="276"/>
      <c r="Q29" s="6"/>
      <c r="R29" s="6"/>
      <c r="S29" s="6"/>
    </row>
    <row r="30" spans="2:28" x14ac:dyDescent="0.3">
      <c r="B30" s="276">
        <v>27</v>
      </c>
      <c r="C30" s="16">
        <v>3</v>
      </c>
      <c r="D30" s="6" t="s">
        <v>475</v>
      </c>
      <c r="E30" s="534">
        <v>46271</v>
      </c>
      <c r="F30" s="6">
        <v>0.92700000000000005</v>
      </c>
      <c r="G30" s="6">
        <v>0.6</v>
      </c>
      <c r="H30" s="6">
        <v>9.74</v>
      </c>
      <c r="M30" s="6"/>
      <c r="N30" s="6"/>
      <c r="O30" s="6"/>
      <c r="P30" s="276"/>
      <c r="Q30" s="6"/>
      <c r="R30" s="6"/>
      <c r="S30" s="6"/>
    </row>
    <row r="31" spans="2:28" x14ac:dyDescent="0.3">
      <c r="B31" s="276">
        <v>28</v>
      </c>
      <c r="C31" s="16">
        <v>3</v>
      </c>
      <c r="D31" s="6" t="s">
        <v>476</v>
      </c>
      <c r="E31" s="534">
        <v>46271</v>
      </c>
      <c r="F31" s="6">
        <v>0.78800000000000003</v>
      </c>
      <c r="G31" s="6">
        <v>0.62</v>
      </c>
      <c r="H31" s="6">
        <v>9.4600000000000009</v>
      </c>
      <c r="M31" s="6"/>
      <c r="N31" s="6"/>
      <c r="O31" s="6"/>
      <c r="P31" s="276"/>
      <c r="Q31" s="6"/>
      <c r="R31" s="6"/>
      <c r="S31" s="6"/>
    </row>
    <row r="32" spans="2:28" x14ac:dyDescent="0.3">
      <c r="B32" s="276">
        <v>29</v>
      </c>
      <c r="C32" s="16">
        <v>3</v>
      </c>
      <c r="D32" s="6" t="s">
        <v>477</v>
      </c>
      <c r="E32" s="534">
        <v>46271</v>
      </c>
      <c r="F32" s="6">
        <v>0.74199999999999999</v>
      </c>
      <c r="G32" s="6">
        <v>0.6</v>
      </c>
      <c r="H32" s="6">
        <v>9.43</v>
      </c>
      <c r="M32" s="6"/>
      <c r="N32" s="6"/>
      <c r="O32" s="6"/>
      <c r="P32" s="276"/>
      <c r="Q32" s="6"/>
      <c r="R32" s="6"/>
      <c r="S32" s="6"/>
    </row>
    <row r="33" spans="2:8" x14ac:dyDescent="0.3">
      <c r="B33" s="276">
        <v>30</v>
      </c>
      <c r="C33" s="16">
        <v>3</v>
      </c>
      <c r="D33" s="6" t="s">
        <v>478</v>
      </c>
      <c r="E33" s="534">
        <v>46271</v>
      </c>
      <c r="F33" s="6">
        <v>0.91300000000000003</v>
      </c>
      <c r="G33" s="6">
        <v>0.68</v>
      </c>
      <c r="H33" s="6">
        <v>9.42</v>
      </c>
    </row>
    <row r="34" spans="2:8" x14ac:dyDescent="0.3">
      <c r="B34" s="276">
        <v>31</v>
      </c>
      <c r="C34" s="6"/>
      <c r="D34" s="6"/>
      <c r="E34" s="276"/>
      <c r="F34" s="6"/>
      <c r="G34" s="6"/>
      <c r="H34" s="6"/>
    </row>
    <row r="35" spans="2:8" x14ac:dyDescent="0.3">
      <c r="B35" s="276">
        <v>32</v>
      </c>
      <c r="C35" s="6"/>
      <c r="D35" s="6"/>
      <c r="E35" s="276"/>
      <c r="F35" s="6"/>
      <c r="G35" s="6"/>
      <c r="H35" s="6"/>
    </row>
    <row r="36" spans="2:8" x14ac:dyDescent="0.3">
      <c r="B36" s="276">
        <v>33</v>
      </c>
      <c r="C36" s="6"/>
      <c r="D36" s="6"/>
      <c r="E36" s="276"/>
      <c r="F36" s="6"/>
      <c r="G36" s="6"/>
      <c r="H36" s="6"/>
    </row>
    <row r="37" spans="2:8" x14ac:dyDescent="0.3">
      <c r="B37" s="276">
        <v>34</v>
      </c>
      <c r="C37" s="6"/>
      <c r="D37" s="6"/>
      <c r="E37" s="276"/>
      <c r="F37" s="6"/>
      <c r="G37" s="6"/>
      <c r="H37" s="6"/>
    </row>
    <row r="38" spans="2:8" x14ac:dyDescent="0.3">
      <c r="B38" s="276">
        <v>35</v>
      </c>
      <c r="C38" s="6"/>
      <c r="D38" s="6"/>
      <c r="E38" s="276"/>
      <c r="F38" s="6"/>
      <c r="G38" s="6"/>
      <c r="H38" s="6"/>
    </row>
    <row r="39" spans="2:8" x14ac:dyDescent="0.3">
      <c r="B39" s="276">
        <v>36</v>
      </c>
      <c r="C39" s="6"/>
      <c r="D39" s="6"/>
      <c r="E39" s="276"/>
      <c r="F39" s="6"/>
      <c r="G39" s="6"/>
      <c r="H39" s="6"/>
    </row>
    <row r="40" spans="2:8" x14ac:dyDescent="0.3">
      <c r="B40" s="276">
        <v>37</v>
      </c>
      <c r="C40" s="6"/>
      <c r="D40" s="6"/>
      <c r="E40" s="276"/>
      <c r="F40" s="6"/>
      <c r="G40" s="6"/>
      <c r="H40" s="6"/>
    </row>
    <row r="41" spans="2:8" x14ac:dyDescent="0.3">
      <c r="B41" s="276">
        <v>38</v>
      </c>
      <c r="C41" s="6"/>
      <c r="D41" s="6"/>
      <c r="E41" s="276"/>
      <c r="F41" s="6"/>
      <c r="G41" s="6"/>
      <c r="H41" s="6"/>
    </row>
    <row r="42" spans="2:8" x14ac:dyDescent="0.3">
      <c r="B42" s="276">
        <v>39</v>
      </c>
      <c r="C42" s="6"/>
      <c r="D42" s="6"/>
      <c r="E42" s="276"/>
      <c r="F42" s="6"/>
      <c r="G42" s="6"/>
      <c r="H42" s="6"/>
    </row>
    <row r="43" spans="2:8" x14ac:dyDescent="0.3">
      <c r="B43" s="276">
        <v>40</v>
      </c>
      <c r="C43" s="6"/>
      <c r="D43" s="6"/>
      <c r="E43" s="276"/>
      <c r="F43" s="6"/>
      <c r="G43" s="6"/>
      <c r="H43" s="6"/>
    </row>
    <row r="44" spans="2:8" x14ac:dyDescent="0.3">
      <c r="B44" s="276">
        <v>41</v>
      </c>
      <c r="C44" s="6"/>
      <c r="D44" s="6"/>
      <c r="E44" s="276"/>
      <c r="F44" s="6"/>
      <c r="G44" s="6"/>
      <c r="H44" s="6"/>
    </row>
    <row r="45" spans="2:8" x14ac:dyDescent="0.3">
      <c r="B45" s="276">
        <v>42</v>
      </c>
      <c r="C45" s="6"/>
      <c r="D45" s="6"/>
      <c r="E45" s="276"/>
      <c r="F45" s="6"/>
      <c r="G45" s="6"/>
      <c r="H45" s="6"/>
    </row>
    <row r="46" spans="2:8" x14ac:dyDescent="0.3">
      <c r="B46" s="276">
        <v>43</v>
      </c>
      <c r="C46" s="6"/>
      <c r="D46" s="6"/>
      <c r="E46" s="276"/>
      <c r="F46" s="6"/>
      <c r="G46" s="6"/>
      <c r="H46" s="6"/>
    </row>
    <row r="47" spans="2:8" x14ac:dyDescent="0.3">
      <c r="B47" s="276">
        <v>44</v>
      </c>
      <c r="C47" s="6"/>
      <c r="D47" s="6"/>
      <c r="E47" s="276"/>
      <c r="F47" s="6"/>
      <c r="G47" s="6"/>
      <c r="H47" s="6"/>
    </row>
    <row r="48" spans="2:8" x14ac:dyDescent="0.3">
      <c r="B48" s="276">
        <v>45</v>
      </c>
      <c r="C48" s="6"/>
      <c r="D48" s="6"/>
      <c r="E48" s="276"/>
      <c r="F48" s="6"/>
      <c r="G48" s="6"/>
      <c r="H48" s="6"/>
    </row>
    <row r="49" spans="2:8" x14ac:dyDescent="0.3">
      <c r="B49" s="276">
        <v>46</v>
      </c>
      <c r="C49" s="6"/>
      <c r="D49" s="6"/>
      <c r="E49" s="276"/>
      <c r="F49" s="6"/>
      <c r="G49" s="6"/>
      <c r="H49" s="6"/>
    </row>
    <row r="50" spans="2:8" x14ac:dyDescent="0.3">
      <c r="B50" s="276">
        <v>47</v>
      </c>
      <c r="C50" s="6"/>
      <c r="D50" s="6"/>
      <c r="E50" s="276"/>
      <c r="F50" s="6"/>
      <c r="G50" s="6"/>
      <c r="H50" s="6"/>
    </row>
    <row r="51" spans="2:8" x14ac:dyDescent="0.3">
      <c r="B51" s="276">
        <v>48</v>
      </c>
      <c r="C51" s="6"/>
      <c r="D51" s="6"/>
      <c r="E51" s="276"/>
      <c r="F51" s="6"/>
      <c r="G51" s="6"/>
      <c r="H51" s="6"/>
    </row>
    <row r="52" spans="2:8" x14ac:dyDescent="0.3">
      <c r="B52" s="276">
        <v>49</v>
      </c>
      <c r="C52" s="6"/>
      <c r="D52" s="6"/>
      <c r="E52" s="276"/>
      <c r="F52" s="6"/>
      <c r="G52" s="6"/>
      <c r="H52" s="6"/>
    </row>
    <row r="53" spans="2:8" x14ac:dyDescent="0.3">
      <c r="B53" s="276">
        <v>50</v>
      </c>
      <c r="C53" s="6"/>
      <c r="D53" s="6"/>
      <c r="E53" s="276"/>
      <c r="F53" s="6"/>
      <c r="G53" s="6"/>
      <c r="H53" s="6"/>
    </row>
    <row r="54" spans="2:8" x14ac:dyDescent="0.3">
      <c r="B54" s="276">
        <v>51</v>
      </c>
      <c r="C54" s="6"/>
      <c r="D54" s="6"/>
      <c r="E54" s="276"/>
      <c r="F54" s="6"/>
      <c r="G54" s="6"/>
      <c r="H54" s="6"/>
    </row>
    <row r="55" spans="2:8" x14ac:dyDescent="0.3">
      <c r="B55" s="276">
        <v>52</v>
      </c>
      <c r="C55" s="6"/>
      <c r="D55" s="6"/>
      <c r="E55" s="276"/>
      <c r="F55" s="6"/>
      <c r="G55" s="6"/>
      <c r="H55" s="6"/>
    </row>
    <row r="56" spans="2:8" x14ac:dyDescent="0.3">
      <c r="B56" s="276">
        <v>53</v>
      </c>
      <c r="C56" s="6"/>
      <c r="D56" s="6"/>
      <c r="E56" s="276"/>
      <c r="F56" s="6"/>
      <c r="G56" s="6"/>
      <c r="H56" s="6"/>
    </row>
    <row r="57" spans="2:8" x14ac:dyDescent="0.3">
      <c r="B57" s="276">
        <v>54</v>
      </c>
      <c r="C57" s="6"/>
      <c r="D57" s="6"/>
      <c r="E57" s="276"/>
      <c r="F57" s="6"/>
      <c r="G57" s="6"/>
      <c r="H57" s="6"/>
    </row>
    <row r="58" spans="2:8" x14ac:dyDescent="0.3">
      <c r="B58" s="276">
        <v>55</v>
      </c>
      <c r="C58" s="6"/>
      <c r="D58" s="6"/>
      <c r="E58" s="276"/>
      <c r="F58" s="6"/>
      <c r="G58" s="6"/>
      <c r="H58" s="6"/>
    </row>
    <row r="59" spans="2:8" x14ac:dyDescent="0.3">
      <c r="B59" s="276">
        <v>56</v>
      </c>
      <c r="C59" s="6"/>
      <c r="D59" s="6"/>
      <c r="E59" s="276"/>
      <c r="F59" s="6"/>
      <c r="G59" s="6"/>
      <c r="H59" s="6"/>
    </row>
    <row r="60" spans="2:8" x14ac:dyDescent="0.3">
      <c r="B60" s="276">
        <v>57</v>
      </c>
      <c r="C60" s="6"/>
      <c r="D60" s="6"/>
      <c r="E60" s="276"/>
      <c r="F60" s="6"/>
      <c r="G60" s="6"/>
      <c r="H60" s="6"/>
    </row>
    <row r="61" spans="2:8" x14ac:dyDescent="0.3">
      <c r="B61" s="276">
        <v>58</v>
      </c>
      <c r="C61" s="6"/>
      <c r="D61" s="6"/>
      <c r="E61" s="276"/>
      <c r="F61" s="6"/>
      <c r="G61" s="6"/>
      <c r="H61" s="6"/>
    </row>
    <row r="62" spans="2:8" x14ac:dyDescent="0.3">
      <c r="B62" s="276">
        <v>59</v>
      </c>
      <c r="C62" s="6"/>
      <c r="D62" s="6"/>
      <c r="E62" s="276"/>
      <c r="F62" s="6"/>
      <c r="G62" s="6"/>
      <c r="H62" s="6"/>
    </row>
    <row r="63" spans="2:8" x14ac:dyDescent="0.3">
      <c r="B63" s="276">
        <v>60</v>
      </c>
      <c r="C63" s="6"/>
      <c r="D63" s="6"/>
      <c r="E63" s="276"/>
      <c r="F63" s="6"/>
      <c r="G63" s="6"/>
      <c r="H63" s="6"/>
    </row>
    <row r="64" spans="2:8" x14ac:dyDescent="0.3">
      <c r="B64" s="276">
        <v>61</v>
      </c>
      <c r="C64" s="6"/>
      <c r="D64" s="6"/>
      <c r="E64" s="276"/>
      <c r="F64" s="6"/>
      <c r="G64" s="6"/>
      <c r="H64" s="6"/>
    </row>
    <row r="65" spans="2:8" x14ac:dyDescent="0.3">
      <c r="B65" s="276">
        <v>62</v>
      </c>
      <c r="C65" s="6"/>
      <c r="D65" s="6"/>
      <c r="E65" s="276"/>
      <c r="F65" s="6"/>
      <c r="G65" s="6"/>
      <c r="H65" s="6"/>
    </row>
    <row r="66" spans="2:8" x14ac:dyDescent="0.3">
      <c r="B66" s="276">
        <v>63</v>
      </c>
      <c r="C66" s="6"/>
      <c r="D66" s="6"/>
      <c r="E66" s="276"/>
      <c r="F66" s="6"/>
      <c r="G66" s="6"/>
      <c r="H66" s="6"/>
    </row>
    <row r="67" spans="2:8" x14ac:dyDescent="0.3">
      <c r="B67" s="276">
        <v>64</v>
      </c>
      <c r="C67" s="6"/>
      <c r="D67" s="6"/>
      <c r="E67" s="276"/>
      <c r="F67" s="6"/>
      <c r="G67" s="6"/>
      <c r="H67" s="6"/>
    </row>
    <row r="68" spans="2:8" x14ac:dyDescent="0.3">
      <c r="B68" s="276">
        <v>65</v>
      </c>
      <c r="C68" s="6"/>
      <c r="D68" s="6"/>
      <c r="E68" s="276"/>
      <c r="F68" s="6"/>
      <c r="G68" s="6"/>
      <c r="H68" s="6"/>
    </row>
    <row r="69" spans="2:8" x14ac:dyDescent="0.3">
      <c r="B69" s="276">
        <v>66</v>
      </c>
      <c r="C69" s="6"/>
      <c r="D69" s="6"/>
      <c r="E69" s="276"/>
      <c r="F69" s="6"/>
      <c r="G69" s="6"/>
      <c r="H69" s="6"/>
    </row>
    <row r="70" spans="2:8" x14ac:dyDescent="0.3">
      <c r="B70" s="276">
        <v>67</v>
      </c>
      <c r="C70" s="6"/>
      <c r="D70" s="6"/>
      <c r="E70" s="276"/>
      <c r="F70" s="6"/>
      <c r="G70" s="6"/>
      <c r="H70" s="6"/>
    </row>
    <row r="71" spans="2:8" x14ac:dyDescent="0.3">
      <c r="B71" s="276">
        <v>68</v>
      </c>
      <c r="C71" s="6"/>
      <c r="D71" s="6"/>
      <c r="E71" s="276"/>
      <c r="F71" s="6"/>
      <c r="G71" s="6"/>
      <c r="H71" s="6"/>
    </row>
    <row r="72" spans="2:8" x14ac:dyDescent="0.3">
      <c r="B72" s="276">
        <v>69</v>
      </c>
      <c r="C72" s="6"/>
      <c r="D72" s="6"/>
      <c r="E72" s="276"/>
      <c r="F72" s="6"/>
      <c r="G72" s="6"/>
      <c r="H72" s="6"/>
    </row>
    <row r="73" spans="2:8" x14ac:dyDescent="0.3">
      <c r="B73" s="276">
        <v>70</v>
      </c>
      <c r="C73" s="6"/>
      <c r="D73" s="6"/>
      <c r="E73" s="276"/>
      <c r="F73" s="6"/>
      <c r="G73" s="6"/>
      <c r="H73" s="6"/>
    </row>
    <row r="74" spans="2:8" x14ac:dyDescent="0.3">
      <c r="B74" s="276">
        <v>71</v>
      </c>
      <c r="C74" s="6"/>
      <c r="D74" s="6"/>
      <c r="E74" s="276"/>
      <c r="F74" s="6"/>
      <c r="G74" s="6"/>
      <c r="H74" s="6"/>
    </row>
    <row r="75" spans="2:8" x14ac:dyDescent="0.3">
      <c r="B75" s="276">
        <v>72</v>
      </c>
      <c r="C75" s="6"/>
      <c r="D75" s="6"/>
      <c r="E75" s="276"/>
      <c r="F75" s="6"/>
      <c r="G75" s="6"/>
      <c r="H75" s="6"/>
    </row>
    <row r="76" spans="2:8" x14ac:dyDescent="0.3">
      <c r="B76" s="276">
        <v>73</v>
      </c>
      <c r="C76" s="6"/>
      <c r="D76" s="6"/>
      <c r="E76" s="276"/>
      <c r="F76" s="6"/>
      <c r="G76" s="6"/>
      <c r="H76" s="6"/>
    </row>
    <row r="77" spans="2:8" x14ac:dyDescent="0.3">
      <c r="B77" s="276">
        <v>74</v>
      </c>
      <c r="C77" s="6"/>
      <c r="D77" s="6"/>
      <c r="E77" s="276"/>
      <c r="F77" s="6"/>
      <c r="G77" s="6"/>
      <c r="H77" s="6"/>
    </row>
    <row r="78" spans="2:8" x14ac:dyDescent="0.3">
      <c r="B78" s="276">
        <v>75</v>
      </c>
      <c r="C78" s="6"/>
      <c r="D78" s="6"/>
      <c r="E78" s="276"/>
      <c r="F78" s="6"/>
      <c r="G78" s="6"/>
      <c r="H78" s="6"/>
    </row>
    <row r="79" spans="2:8" x14ac:dyDescent="0.3">
      <c r="B79" s="276">
        <v>76</v>
      </c>
      <c r="C79" s="6"/>
      <c r="D79" s="6"/>
      <c r="E79" s="276"/>
      <c r="F79" s="6"/>
      <c r="G79" s="6"/>
      <c r="H79" s="6"/>
    </row>
  </sheetData>
  <mergeCells count="2">
    <mergeCell ref="B2:H2"/>
    <mergeCell ref="T2:V2"/>
  </mergeCells>
  <phoneticPr fontId="5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B2:AG102"/>
  <sheetViews>
    <sheetView topLeftCell="N1" zoomScale="79" zoomScaleNormal="80" workbookViewId="0">
      <pane ySplit="4" topLeftCell="A5" activePane="bottomLeft" state="frozen"/>
      <selection pane="bottomLeft" activeCell="Z7" sqref="Z7"/>
    </sheetView>
  </sheetViews>
  <sheetFormatPr defaultColWidth="8.77734375" defaultRowHeight="14.4" x14ac:dyDescent="0.3"/>
  <cols>
    <col min="1" max="1" width="8.77734375" style="1"/>
    <col min="2" max="2" width="10.44140625" style="1" bestFit="1" customWidth="1"/>
    <col min="3" max="3" width="9.77734375" style="1" customWidth="1"/>
    <col min="4" max="4" width="23.44140625" style="1" bestFit="1" customWidth="1"/>
    <col min="5" max="5" width="37.88671875" style="1" bestFit="1" customWidth="1"/>
    <col min="6" max="6" width="9.77734375" style="1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" bestFit="1" customWidth="1"/>
    <col min="13" max="13" width="27.88671875" style="1" customWidth="1"/>
    <col min="14" max="14" width="16.6640625" style="1" customWidth="1"/>
    <col min="15" max="15" width="8.77734375" style="1"/>
    <col min="16" max="16" width="18.88671875" style="15" bestFit="1" customWidth="1"/>
    <col min="17" max="17" width="18.88671875" style="1" customWidth="1"/>
    <col min="18" max="18" width="14.21875" style="1" bestFit="1" customWidth="1"/>
    <col min="19" max="19" width="14.6640625" style="1" bestFit="1" customWidth="1"/>
    <col min="20" max="22" width="14.77734375" style="1" bestFit="1" customWidth="1"/>
    <col min="23" max="23" width="17.44140625" style="1" bestFit="1" customWidth="1"/>
    <col min="24" max="25" width="14.77734375" style="1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2:33" ht="21" x14ac:dyDescent="0.4">
      <c r="B2" s="142" t="s">
        <v>168</v>
      </c>
      <c r="C2" s="142" t="s">
        <v>169</v>
      </c>
      <c r="D2" s="142"/>
      <c r="E2" s="142"/>
      <c r="H2" s="689" t="s">
        <v>33</v>
      </c>
      <c r="I2" s="689"/>
      <c r="J2" s="689"/>
      <c r="K2" s="689"/>
      <c r="O2" s="1">
        <f>720+180</f>
        <v>900</v>
      </c>
    </row>
    <row r="4" spans="2:33" ht="29.4" thickBot="1" x14ac:dyDescent="0.35">
      <c r="B4" s="737" t="s">
        <v>1</v>
      </c>
      <c r="C4" s="738"/>
      <c r="D4" s="25" t="s">
        <v>2</v>
      </c>
      <c r="E4" s="25" t="s">
        <v>177</v>
      </c>
      <c r="F4" s="26" t="s">
        <v>27</v>
      </c>
      <c r="G4" s="26" t="s">
        <v>34</v>
      </c>
      <c r="H4" s="502" t="s">
        <v>282</v>
      </c>
      <c r="I4" s="502" t="s">
        <v>451</v>
      </c>
      <c r="J4" s="502" t="s">
        <v>456</v>
      </c>
      <c r="K4" s="26" t="s">
        <v>35</v>
      </c>
      <c r="L4" s="502" t="s">
        <v>36</v>
      </c>
      <c r="M4" s="26" t="s">
        <v>450</v>
      </c>
      <c r="N4" s="26" t="s">
        <v>208</v>
      </c>
      <c r="O4" s="26" t="s">
        <v>37</v>
      </c>
      <c r="P4" s="26" t="s">
        <v>38</v>
      </c>
      <c r="Q4" s="26" t="s">
        <v>524</v>
      </c>
      <c r="R4" s="26" t="s">
        <v>128</v>
      </c>
      <c r="S4" s="26" t="s">
        <v>304</v>
      </c>
      <c r="T4" s="26" t="s">
        <v>154</v>
      </c>
      <c r="U4" s="18" t="s">
        <v>155</v>
      </c>
      <c r="V4" s="170" t="s">
        <v>156</v>
      </c>
      <c r="W4" s="18" t="s">
        <v>220</v>
      </c>
      <c r="X4" s="18" t="s">
        <v>221</v>
      </c>
      <c r="Y4" s="18" t="s">
        <v>222</v>
      </c>
      <c r="Z4" s="415" t="s">
        <v>525</v>
      </c>
    </row>
    <row r="5" spans="2:33" ht="16.2" thickBot="1" x14ac:dyDescent="0.35">
      <c r="B5" s="711">
        <v>46265</v>
      </c>
      <c r="C5" s="712"/>
      <c r="D5" s="573" t="s">
        <v>453</v>
      </c>
      <c r="E5" s="504" t="s">
        <v>452</v>
      </c>
      <c r="F5" s="27" t="s">
        <v>13</v>
      </c>
      <c r="G5" s="28">
        <v>0.2271</v>
      </c>
      <c r="H5" s="236">
        <v>116.84</v>
      </c>
      <c r="I5" s="29">
        <f t="shared" ref="I5:I11" si="0">H5/((720-R5)/60)</f>
        <v>11.198722044728434</v>
      </c>
      <c r="J5" s="29">
        <f>H5</f>
        <v>116.84</v>
      </c>
      <c r="K5" s="507">
        <v>1.135</v>
      </c>
      <c r="L5" s="37">
        <v>0.68</v>
      </c>
      <c r="M5" s="29">
        <f>H5*K5*G5</f>
        <v>30.116503140000003</v>
      </c>
      <c r="N5" s="745">
        <f>SUM(M5:M6)</f>
        <v>74.069659139999999</v>
      </c>
      <c r="O5" s="29">
        <f t="shared" ref="O5:O11" si="1">M5/((720-R5)/60)</f>
        <v>2.8865657961661344</v>
      </c>
      <c r="P5" s="747">
        <f>'Milling Down Time Hours'!M5</f>
        <v>22.433333333333334</v>
      </c>
      <c r="Q5" s="232"/>
      <c r="R5" s="77">
        <f>'Milling Down Time Hours'!L5</f>
        <v>94</v>
      </c>
      <c r="S5" s="745">
        <f>SUM(M5:M8)</f>
        <v>292.31360000000001</v>
      </c>
      <c r="T5" s="184">
        <f>AVERAGE('LT Ball Mill'!F4:F6)</f>
        <v>0.96699999999999997</v>
      </c>
      <c r="U5" s="184">
        <f>AVERAGE('LT Ball Mill'!G4:G6)</f>
        <v>0.41</v>
      </c>
      <c r="V5" s="184">
        <f>AVERAGE('LT Ball Mill'!H4:H6)</f>
        <v>6.1096666666666666</v>
      </c>
      <c r="W5" s="177">
        <f t="shared" ref="W5:W45" si="2">T5*M5</f>
        <v>29.122658536380001</v>
      </c>
      <c r="X5" s="129">
        <f t="shared" ref="X5:X45" si="3">M5*U5</f>
        <v>12.347766287400001</v>
      </c>
      <c r="Y5" s="129">
        <f t="shared" ref="Y5:Y45" si="4">M5*V5</f>
        <v>184.00179535102001</v>
      </c>
      <c r="Z5" s="609">
        <f>W5*$AF$6</f>
        <v>72806646.340949997</v>
      </c>
      <c r="AA5" s="31" t="s">
        <v>39</v>
      </c>
      <c r="AB5" s="32"/>
      <c r="AC5" s="32"/>
      <c r="AD5" s="32"/>
    </row>
    <row r="6" spans="2:33" ht="16.2" thickBot="1" x14ac:dyDescent="0.35">
      <c r="B6" s="713"/>
      <c r="C6" s="714"/>
      <c r="D6" s="574" t="s">
        <v>454</v>
      </c>
      <c r="E6" s="504" t="s">
        <v>452</v>
      </c>
      <c r="F6" s="33" t="s">
        <v>14</v>
      </c>
      <c r="G6" s="34">
        <v>0.36</v>
      </c>
      <c r="H6" s="510">
        <f>J6-H5</f>
        <v>98.859999999999985</v>
      </c>
      <c r="I6" s="29">
        <f t="shared" si="0"/>
        <v>8.2383333333333315</v>
      </c>
      <c r="J6" s="506">
        <v>215.7</v>
      </c>
      <c r="K6" s="505">
        <v>1.2350000000000001</v>
      </c>
      <c r="L6" s="40">
        <v>0.68</v>
      </c>
      <c r="M6" s="29">
        <f>H6*K6*G6</f>
        <v>43.953155999999993</v>
      </c>
      <c r="N6" s="746"/>
      <c r="O6" s="29">
        <f t="shared" si="1"/>
        <v>3.6627629999999995</v>
      </c>
      <c r="P6" s="748"/>
      <c r="Q6" s="589"/>
      <c r="R6" s="77">
        <v>0</v>
      </c>
      <c r="S6" s="754"/>
      <c r="T6" s="171">
        <f>AVERAGE('LT Ball Mill'!F7:F9)</f>
        <v>0.60899999999999999</v>
      </c>
      <c r="U6" s="171">
        <f>AVERAGE('LT Ball Mill'!G7:G9)</f>
        <v>0.52833333333333343</v>
      </c>
      <c r="V6" s="171">
        <f>AVERAGE('LT Ball Mill'!H7:H9)</f>
        <v>7.623333333333334</v>
      </c>
      <c r="W6" s="177">
        <f t="shared" si="2"/>
        <v>26.767472003999995</v>
      </c>
      <c r="X6" s="129">
        <f t="shared" si="3"/>
        <v>23.22191742</v>
      </c>
      <c r="Y6" s="129">
        <f t="shared" si="4"/>
        <v>335.06955923999999</v>
      </c>
      <c r="Z6" s="175">
        <f>W6*$AF$6</f>
        <v>66918680.00999999</v>
      </c>
      <c r="AA6" s="31"/>
      <c r="AB6" s="32"/>
      <c r="AC6" s="32"/>
      <c r="AD6" s="32"/>
      <c r="AF6" s="175">
        <v>2500000</v>
      </c>
      <c r="AG6" s="175"/>
    </row>
    <row r="7" spans="2:33" s="522" customFormat="1" ht="16.2" thickBot="1" x14ac:dyDescent="0.35">
      <c r="B7" s="739">
        <v>46266</v>
      </c>
      <c r="C7" s="740"/>
      <c r="D7" s="575" t="s">
        <v>453</v>
      </c>
      <c r="E7" s="511" t="s">
        <v>452</v>
      </c>
      <c r="F7" s="512" t="s">
        <v>13</v>
      </c>
      <c r="G7" s="513">
        <v>0.38790000000000002</v>
      </c>
      <c r="H7" s="514">
        <f>J7-SUM(H5:H6)</f>
        <v>143.30000000000001</v>
      </c>
      <c r="I7" s="515">
        <f t="shared" si="0"/>
        <v>12.371223021582734</v>
      </c>
      <c r="J7" s="515">
        <v>359</v>
      </c>
      <c r="K7" s="516">
        <v>1.2549999999999999</v>
      </c>
      <c r="L7" s="513">
        <v>0.7</v>
      </c>
      <c r="M7" s="515">
        <f>(K7*J7*G7)-(SUM(M5:M6))</f>
        <v>100.69674635999999</v>
      </c>
      <c r="N7" s="757">
        <f>SUM(M7:M8)</f>
        <v>218.24394086000001</v>
      </c>
      <c r="O7" s="515">
        <f t="shared" si="1"/>
        <v>8.6932442900719415</v>
      </c>
      <c r="P7" s="743">
        <f>'Milling Down Time Hours'!M6</f>
        <v>22.9</v>
      </c>
      <c r="Q7" s="517"/>
      <c r="R7" s="518">
        <v>25</v>
      </c>
      <c r="S7" s="754"/>
      <c r="T7" s="536">
        <f>AVERAGE('LT Ball Mill'!F10:F12)</f>
        <v>0.64699999999999991</v>
      </c>
      <c r="U7" s="536">
        <f>AVERAGE('LT Ball Mill'!G10:G12)</f>
        <v>0.67433333333333334</v>
      </c>
      <c r="V7" s="536">
        <f>AVERAGE('LT Ball Mill'!H10:H12)</f>
        <v>7.5333333333333341</v>
      </c>
      <c r="W7" s="519">
        <f t="shared" si="2"/>
        <v>65.150794894919983</v>
      </c>
      <c r="X7" s="520">
        <f t="shared" si="3"/>
        <v>67.903172628759989</v>
      </c>
      <c r="Y7" s="520">
        <f t="shared" si="4"/>
        <v>758.58215591199996</v>
      </c>
      <c r="Z7" s="175">
        <f>W7*$AF$6</f>
        <v>162876987.23729995</v>
      </c>
      <c r="AA7" s="521"/>
      <c r="AB7" s="521"/>
      <c r="AC7" s="521"/>
      <c r="AD7" s="521"/>
    </row>
    <row r="8" spans="2:33" s="522" customFormat="1" ht="16.2" thickBot="1" x14ac:dyDescent="0.35">
      <c r="B8" s="741"/>
      <c r="C8" s="742"/>
      <c r="D8" s="576" t="s">
        <v>454</v>
      </c>
      <c r="E8" s="523" t="s">
        <v>455</v>
      </c>
      <c r="F8" s="524" t="s">
        <v>14</v>
      </c>
      <c r="G8" s="525">
        <v>0.41</v>
      </c>
      <c r="H8" s="526">
        <f>J8-SUM(H5:H7)</f>
        <v>198</v>
      </c>
      <c r="I8" s="515">
        <f t="shared" si="0"/>
        <v>17.496318114874818</v>
      </c>
      <c r="J8" s="517">
        <v>557</v>
      </c>
      <c r="K8" s="527">
        <v>1.28</v>
      </c>
      <c r="L8" s="525">
        <v>0.7</v>
      </c>
      <c r="M8" s="515">
        <f>(K8*J8*G8)-(SUM(M5:M7))</f>
        <v>117.54719450000002</v>
      </c>
      <c r="N8" s="758"/>
      <c r="O8" s="515">
        <f t="shared" si="1"/>
        <v>10.387086406480119</v>
      </c>
      <c r="P8" s="744"/>
      <c r="Q8" s="517"/>
      <c r="R8" s="518">
        <v>41</v>
      </c>
      <c r="S8" s="746"/>
      <c r="T8" s="528">
        <f>AVERAGE('LT Ball Mill'!F13:F15)</f>
        <v>0.60899999999999999</v>
      </c>
      <c r="U8" s="528">
        <f>AVERAGE('LT Ball Mill'!G13:G15)</f>
        <v>0.52833333333333343</v>
      </c>
      <c r="V8" s="528">
        <f>AVERAGE('LT Ball Mill'!H13:H15)</f>
        <v>7.623333333333334</v>
      </c>
      <c r="W8" s="519">
        <f t="shared" si="2"/>
        <v>71.586241450500012</v>
      </c>
      <c r="X8" s="520">
        <f t="shared" si="3"/>
        <v>62.104101094166687</v>
      </c>
      <c r="Y8" s="520">
        <f t="shared" si="4"/>
        <v>896.10144607166683</v>
      </c>
      <c r="Z8" s="175">
        <f>W8*$AF$6</f>
        <v>178965603.62625003</v>
      </c>
      <c r="AA8" s="521"/>
      <c r="AB8" s="521" t="s">
        <v>40</v>
      </c>
      <c r="AC8" s="529">
        <v>1290</v>
      </c>
      <c r="AD8" s="521" t="s">
        <v>41</v>
      </c>
      <c r="AF8" s="567"/>
    </row>
    <row r="9" spans="2:33" ht="16.2" thickBot="1" x14ac:dyDescent="0.35">
      <c r="B9" s="711">
        <v>46267</v>
      </c>
      <c r="C9" s="712"/>
      <c r="D9" s="577" t="s">
        <v>453</v>
      </c>
      <c r="E9" s="508" t="s">
        <v>458</v>
      </c>
      <c r="F9" s="27" t="s">
        <v>13</v>
      </c>
      <c r="G9" s="37">
        <v>0.39</v>
      </c>
      <c r="H9" s="30">
        <f>J9</f>
        <v>215</v>
      </c>
      <c r="I9" s="29">
        <f t="shared" si="0"/>
        <v>21.5</v>
      </c>
      <c r="J9" s="30">
        <v>215</v>
      </c>
      <c r="K9" s="30">
        <v>1.26</v>
      </c>
      <c r="L9" s="37">
        <v>0.72</v>
      </c>
      <c r="M9" s="35">
        <f>H9*K9*G9</f>
        <v>105.651</v>
      </c>
      <c r="N9" s="745">
        <f>SUM(M9:M10)</f>
        <v>209.804</v>
      </c>
      <c r="O9" s="29">
        <f t="shared" si="1"/>
        <v>10.565099999999999</v>
      </c>
      <c r="P9" s="717">
        <f>'Milling Down Time Hours'!M7</f>
        <v>22</v>
      </c>
      <c r="Q9" s="506"/>
      <c r="R9" s="50">
        <f>'Milling Down Time Hours'!L7</f>
        <v>120.00000000000001</v>
      </c>
      <c r="S9" s="745">
        <f>SUM(M9:M11)</f>
        <v>300.14215000000002</v>
      </c>
      <c r="T9" s="184">
        <f>AVERAGE('LT Ball Mill'!F16:F18)</f>
        <v>0.7446666666666667</v>
      </c>
      <c r="U9" s="184">
        <f>AVERAGE('LT Ball Mill'!G16:G18)</f>
        <v>0.59</v>
      </c>
      <c r="V9" s="184">
        <f>AVERAGE('LT Ball Mill'!H16:H18)</f>
        <v>9.8400000000000016</v>
      </c>
      <c r="W9" s="177">
        <f t="shared" si="2"/>
        <v>78.674778000000003</v>
      </c>
      <c r="X9" s="129">
        <f t="shared" si="3"/>
        <v>62.334089999999996</v>
      </c>
      <c r="Y9" s="129">
        <f t="shared" si="4"/>
        <v>1039.6058400000002</v>
      </c>
      <c r="Z9" s="175">
        <f t="shared" ref="Z9:Z17" si="5">W9*$AF$6</f>
        <v>196686945</v>
      </c>
      <c r="AA9" s="39"/>
      <c r="AB9" s="39" t="s">
        <v>42</v>
      </c>
      <c r="AC9" s="41">
        <v>1000</v>
      </c>
      <c r="AD9" s="39" t="s">
        <v>43</v>
      </c>
    </row>
    <row r="10" spans="2:33" ht="16.2" thickBot="1" x14ac:dyDescent="0.35">
      <c r="B10" s="713"/>
      <c r="C10" s="714"/>
      <c r="D10" s="578" t="s">
        <v>457</v>
      </c>
      <c r="E10" s="10"/>
      <c r="F10" s="33" t="s">
        <v>14</v>
      </c>
      <c r="G10" s="40">
        <v>0.4</v>
      </c>
      <c r="H10" s="36">
        <f>J10-H9</f>
        <v>198</v>
      </c>
      <c r="I10" s="29">
        <f t="shared" si="0"/>
        <v>16.5</v>
      </c>
      <c r="J10" s="36">
        <v>413</v>
      </c>
      <c r="K10" s="36">
        <v>1.27</v>
      </c>
      <c r="L10" s="37">
        <v>0.72</v>
      </c>
      <c r="M10" s="35">
        <f>K10*J10*G10-SUM(M9)</f>
        <v>104.15300000000001</v>
      </c>
      <c r="N10" s="746"/>
      <c r="O10" s="29">
        <f t="shared" si="1"/>
        <v>8.6794166666666666</v>
      </c>
      <c r="P10" s="718"/>
      <c r="Q10" s="506"/>
      <c r="R10" s="50">
        <v>0</v>
      </c>
      <c r="S10" s="754"/>
      <c r="T10" s="171">
        <f>AVERAGE('LT Ball Mill'!F19:F21)</f>
        <v>0.64600000000000002</v>
      </c>
      <c r="U10" s="171">
        <f>AVERAGE('LT Ball Mill'!G19:G21)</f>
        <v>1.0666666666666667</v>
      </c>
      <c r="V10" s="171">
        <f>AVERAGE('LT Ball Mill'!H19:H21)</f>
        <v>9.2566666666666659</v>
      </c>
      <c r="W10" s="177">
        <f t="shared" si="2"/>
        <v>67.282838000000012</v>
      </c>
      <c r="X10" s="129">
        <f t="shared" si="3"/>
        <v>111.09653333333334</v>
      </c>
      <c r="Y10" s="129">
        <f t="shared" si="4"/>
        <v>964.10960333333333</v>
      </c>
      <c r="Z10" s="175">
        <f t="shared" si="5"/>
        <v>168207095.00000003</v>
      </c>
      <c r="AA10" s="39"/>
      <c r="AB10" s="39" t="s">
        <v>44</v>
      </c>
      <c r="AC10" s="42">
        <f>+AC8/AC9</f>
        <v>1.29</v>
      </c>
      <c r="AD10" s="39" t="s">
        <v>45</v>
      </c>
    </row>
    <row r="11" spans="2:33" s="522" customFormat="1" ht="16.2" thickBot="1" x14ac:dyDescent="0.35">
      <c r="B11" s="739">
        <v>46268</v>
      </c>
      <c r="C11" s="740"/>
      <c r="D11" s="579" t="s">
        <v>453</v>
      </c>
      <c r="E11" s="547" t="s">
        <v>484</v>
      </c>
      <c r="F11" s="512" t="s">
        <v>13</v>
      </c>
      <c r="G11" s="513">
        <v>0.43</v>
      </c>
      <c r="H11" s="527">
        <f>J11-H10-H9</f>
        <v>126</v>
      </c>
      <c r="I11" s="515">
        <f t="shared" si="0"/>
        <v>11.454545454545455</v>
      </c>
      <c r="J11" s="516">
        <v>539</v>
      </c>
      <c r="K11" s="516">
        <v>1.2949999999999999</v>
      </c>
      <c r="L11" s="513">
        <v>0.71</v>
      </c>
      <c r="M11" s="540">
        <f>J11*K11*G11-SUM(M9:M10)</f>
        <v>90.338150000000013</v>
      </c>
      <c r="N11" s="757">
        <f>SUM(M11:M12)</f>
        <v>90.338150000000013</v>
      </c>
      <c r="O11" s="515">
        <f t="shared" si="1"/>
        <v>8.2125590909090924</v>
      </c>
      <c r="P11" s="759">
        <f>'Milling Down Time Hours'!M8</f>
        <v>11.016666666666667</v>
      </c>
      <c r="Q11" s="606"/>
      <c r="R11" s="517">
        <v>60</v>
      </c>
      <c r="S11" s="754"/>
      <c r="T11" s="536">
        <f>AVERAGE('LT Ball Mill'!F22:F24)</f>
        <v>0.66133333333333333</v>
      </c>
      <c r="U11" s="536">
        <f>AVERAGE('LT Ball Mill'!G22:G24)</f>
        <v>0.72333333333333327</v>
      </c>
      <c r="V11" s="536">
        <f>AVERAGE('LT Ball Mill'!H22:H24)</f>
        <v>8.0566666666666666</v>
      </c>
      <c r="W11" s="519">
        <f t="shared" si="2"/>
        <v>59.743629866666673</v>
      </c>
      <c r="X11" s="520">
        <f t="shared" si="3"/>
        <v>65.344595166666664</v>
      </c>
      <c r="Y11" s="520">
        <f t="shared" si="4"/>
        <v>727.82436183333346</v>
      </c>
      <c r="Z11" s="175">
        <f t="shared" si="5"/>
        <v>149359074.66666669</v>
      </c>
      <c r="AA11" s="521"/>
      <c r="AB11" s="521" t="s">
        <v>46</v>
      </c>
      <c r="AC11" s="541">
        <f>2.1</f>
        <v>2.1</v>
      </c>
      <c r="AD11" s="521" t="s">
        <v>45</v>
      </c>
    </row>
    <row r="12" spans="2:33" s="522" customFormat="1" ht="16.2" thickBot="1" x14ac:dyDescent="0.35">
      <c r="B12" s="741"/>
      <c r="C12" s="742"/>
      <c r="D12" s="576" t="s">
        <v>457</v>
      </c>
      <c r="E12" s="542" t="s">
        <v>480</v>
      </c>
      <c r="F12" s="524" t="s">
        <v>14</v>
      </c>
      <c r="G12" s="543"/>
      <c r="H12" s="527"/>
      <c r="I12" s="515"/>
      <c r="J12" s="527"/>
      <c r="K12" s="527"/>
      <c r="L12" s="525"/>
      <c r="M12" s="540">
        <f t="shared" ref="M12:M40" si="6">H12*K12*G12</f>
        <v>0</v>
      </c>
      <c r="N12" s="758"/>
      <c r="O12" s="515"/>
      <c r="P12" s="760"/>
      <c r="Q12" s="593"/>
      <c r="R12" s="549">
        <v>720</v>
      </c>
      <c r="S12" s="748"/>
      <c r="T12" s="544"/>
      <c r="U12" s="544"/>
      <c r="V12" s="545"/>
      <c r="W12" s="519">
        <f t="shared" si="2"/>
        <v>0</v>
      </c>
      <c r="X12" s="520">
        <f t="shared" si="3"/>
        <v>0</v>
      </c>
      <c r="Y12" s="520">
        <f t="shared" si="4"/>
        <v>0</v>
      </c>
      <c r="Z12" s="175">
        <f t="shared" si="5"/>
        <v>0</v>
      </c>
      <c r="AA12" s="521"/>
      <c r="AB12" s="521" t="s">
        <v>47</v>
      </c>
      <c r="AC12" s="541">
        <v>1</v>
      </c>
      <c r="AD12" s="521" t="s">
        <v>45</v>
      </c>
    </row>
    <row r="13" spans="2:33" ht="16.2" thickBot="1" x14ac:dyDescent="0.35">
      <c r="B13" s="711">
        <v>46269</v>
      </c>
      <c r="C13" s="712"/>
      <c r="D13" s="751" t="s">
        <v>497</v>
      </c>
      <c r="E13" s="43"/>
      <c r="F13" s="44" t="s">
        <v>13</v>
      </c>
      <c r="G13" s="182"/>
      <c r="H13" s="45"/>
      <c r="I13" s="29"/>
      <c r="J13" s="45"/>
      <c r="K13" s="45"/>
      <c r="L13" s="46"/>
      <c r="M13" s="35">
        <f t="shared" si="6"/>
        <v>0</v>
      </c>
      <c r="N13" s="35"/>
      <c r="O13" s="45"/>
      <c r="P13" s="717">
        <f>'Milling Down Time Hours'!M9</f>
        <v>3.3333333333333333E-2</v>
      </c>
      <c r="Q13" s="283"/>
      <c r="R13" s="717">
        <f>'Milling Down Time Hours'!L9</f>
        <v>1438</v>
      </c>
      <c r="S13" s="50"/>
      <c r="T13" s="184"/>
      <c r="U13" s="184"/>
      <c r="V13" s="185"/>
      <c r="W13" s="177">
        <f t="shared" si="2"/>
        <v>0</v>
      </c>
      <c r="X13" s="129">
        <f t="shared" si="3"/>
        <v>0</v>
      </c>
      <c r="Y13" s="129">
        <f t="shared" si="4"/>
        <v>0</v>
      </c>
      <c r="Z13" s="175">
        <f t="shared" si="5"/>
        <v>0</v>
      </c>
      <c r="AA13" s="39"/>
      <c r="AB13" s="39" t="s">
        <v>48</v>
      </c>
      <c r="AC13" s="52">
        <f>+(AC10-1)/(AC10-AC10/AC11)</f>
        <v>0.42917547568710362</v>
      </c>
      <c r="AD13" s="39"/>
      <c r="AE13" s="12"/>
      <c r="AF13" s="8"/>
    </row>
    <row r="14" spans="2:33" ht="15.6" x14ac:dyDescent="0.3">
      <c r="B14" s="715"/>
      <c r="C14" s="716"/>
      <c r="D14" s="752"/>
      <c r="E14" s="228"/>
      <c r="F14" s="229" t="s">
        <v>14</v>
      </c>
      <c r="G14" s="230"/>
      <c r="H14" s="108"/>
      <c r="I14" s="283"/>
      <c r="J14" s="108"/>
      <c r="K14" s="108"/>
      <c r="L14" s="230"/>
      <c r="M14" s="231">
        <f t="shared" si="6"/>
        <v>0</v>
      </c>
      <c r="N14" s="231"/>
      <c r="O14" s="231">
        <f>(N14/SUM(P5:P14))</f>
        <v>0</v>
      </c>
      <c r="P14" s="725"/>
      <c r="Q14" s="506"/>
      <c r="R14" s="726"/>
      <c r="S14" s="108"/>
      <c r="T14" s="233"/>
      <c r="U14" s="233"/>
      <c r="V14" s="234"/>
      <c r="W14" s="568">
        <f t="shared" si="2"/>
        <v>0</v>
      </c>
      <c r="X14" s="569">
        <f t="shared" si="3"/>
        <v>0</v>
      </c>
      <c r="Y14" s="569">
        <f t="shared" si="4"/>
        <v>0</v>
      </c>
      <c r="Z14" s="175">
        <f t="shared" si="5"/>
        <v>0</v>
      </c>
      <c r="AA14" s="39"/>
      <c r="AB14" s="39" t="s">
        <v>49</v>
      </c>
      <c r="AC14" s="53">
        <f>+AC13*AC8</f>
        <v>553.63636363636363</v>
      </c>
      <c r="AD14" s="39" t="s">
        <v>41</v>
      </c>
      <c r="AE14" s="12"/>
      <c r="AF14" s="8"/>
    </row>
    <row r="15" spans="2:33" ht="15.6" x14ac:dyDescent="0.3">
      <c r="B15" s="762">
        <v>46270</v>
      </c>
      <c r="C15" s="762"/>
      <c r="D15" s="607"/>
      <c r="E15" s="607" t="s">
        <v>498</v>
      </c>
      <c r="F15" s="48" t="s">
        <v>13</v>
      </c>
      <c r="G15" s="16"/>
      <c r="H15" s="16"/>
      <c r="I15" s="50"/>
      <c r="J15" s="16"/>
      <c r="K15" s="16"/>
      <c r="L15" s="51"/>
      <c r="M15" s="50">
        <f t="shared" si="6"/>
        <v>0</v>
      </c>
      <c r="N15" s="16"/>
      <c r="O15" s="16"/>
      <c r="P15" s="172">
        <v>0</v>
      </c>
      <c r="Q15" s="172">
        <f>720-R15</f>
        <v>0</v>
      </c>
      <c r="R15" s="50">
        <v>720</v>
      </c>
      <c r="S15" s="16"/>
      <c r="T15" s="608"/>
      <c r="U15" s="608"/>
      <c r="V15" s="608"/>
      <c r="W15" s="177">
        <f t="shared" si="2"/>
        <v>0</v>
      </c>
      <c r="X15" s="129">
        <f t="shared" si="3"/>
        <v>0</v>
      </c>
      <c r="Y15" s="129">
        <f t="shared" si="4"/>
        <v>0</v>
      </c>
      <c r="Z15" s="175">
        <f t="shared" si="5"/>
        <v>0</v>
      </c>
      <c r="AA15" s="39"/>
      <c r="AB15" s="39" t="s">
        <v>50</v>
      </c>
      <c r="AC15" s="53">
        <f>(AC8-AC14)</f>
        <v>736.36363636363637</v>
      </c>
      <c r="AD15" s="39" t="s">
        <v>41</v>
      </c>
      <c r="AE15" s="12"/>
      <c r="AF15" s="8"/>
    </row>
    <row r="16" spans="2:33" ht="15.6" x14ac:dyDescent="0.3">
      <c r="B16" s="762"/>
      <c r="C16" s="762"/>
      <c r="D16" s="599" t="s">
        <v>454</v>
      </c>
      <c r="E16" s="585" t="s">
        <v>499</v>
      </c>
      <c r="F16" s="580" t="s">
        <v>14</v>
      </c>
      <c r="G16" s="583">
        <v>0.38</v>
      </c>
      <c r="H16" s="582">
        <f>J16-'Au Cal Leaching Tank'!$Q$10</f>
        <v>62.150000000000006</v>
      </c>
      <c r="I16" s="582">
        <v>5.57</v>
      </c>
      <c r="J16" s="581">
        <v>170</v>
      </c>
      <c r="K16" s="581">
        <v>1.25</v>
      </c>
      <c r="L16" s="583"/>
      <c r="M16" s="582">
        <f>(J16*K16*G16)-'Au Cal Leaching Tank'!$R$10</f>
        <v>26.314330250000005</v>
      </c>
      <c r="N16" s="613">
        <f>SUM(M15:M16)</f>
        <v>26.314330250000005</v>
      </c>
      <c r="O16" s="582">
        <f t="shared" ref="O16:O21" si="7">M16/P16</f>
        <v>2.325272187039765</v>
      </c>
      <c r="P16" s="590">
        <f>Q16/60</f>
        <v>11.316666666666666</v>
      </c>
      <c r="Q16" s="590">
        <f>720-R16</f>
        <v>679</v>
      </c>
      <c r="R16" s="582">
        <v>41</v>
      </c>
      <c r="S16" s="581"/>
      <c r="T16" s="584">
        <f>AVERAGE('LT Ball Mill'!F25:F27)</f>
        <v>1.087</v>
      </c>
      <c r="U16" s="584">
        <f>AVERAGE('LT Ball Mill'!G25:G27)</f>
        <v>0.77333333333333332</v>
      </c>
      <c r="V16" s="584">
        <f>AVERAGE('LT Ball Mill'!H25:H27)</f>
        <v>8.1166666666666671</v>
      </c>
      <c r="W16" s="519">
        <f>T16*M16</f>
        <v>28.603676981750006</v>
      </c>
      <c r="X16" s="520">
        <f t="shared" si="3"/>
        <v>20.349748726666668</v>
      </c>
      <c r="Y16" s="520">
        <f t="shared" si="4"/>
        <v>213.58464719583338</v>
      </c>
      <c r="Z16" s="175">
        <f t="shared" si="5"/>
        <v>71509192.454375014</v>
      </c>
      <c r="AA16" s="39"/>
      <c r="AB16" s="39"/>
      <c r="AC16" s="39"/>
      <c r="AD16" s="39"/>
      <c r="AE16" s="12"/>
      <c r="AF16" s="8"/>
    </row>
    <row r="17" spans="2:32" ht="15" thickBot="1" x14ac:dyDescent="0.35">
      <c r="B17" s="715">
        <v>46271</v>
      </c>
      <c r="C17" s="716"/>
      <c r="D17" s="600" t="s">
        <v>454</v>
      </c>
      <c r="E17" s="600" t="s">
        <v>519</v>
      </c>
      <c r="F17" s="44" t="s">
        <v>13</v>
      </c>
      <c r="G17" s="182">
        <v>0.47</v>
      </c>
      <c r="H17" s="50">
        <f>J17-SUM(H16)-'Au Cal Leaching Tank'!$Q$10</f>
        <v>45</v>
      </c>
      <c r="I17" s="235">
        <f t="shared" ref="I17:I22" si="8">H17/((720-R17)/60)</f>
        <v>4.5762711864406773</v>
      </c>
      <c r="J17" s="45">
        <v>215</v>
      </c>
      <c r="K17" s="45">
        <v>1.33</v>
      </c>
      <c r="L17" s="182">
        <v>0.65</v>
      </c>
      <c r="M17" s="259">
        <f>J17*K17*G17-SUM(M16)-'Au Cal Leaching Tank'!$R$10</f>
        <v>53.646499999999968</v>
      </c>
      <c r="N17" s="725">
        <f>SUM(M17:M18)</f>
        <v>173.32450000000003</v>
      </c>
      <c r="O17" s="50">
        <f t="shared" si="7"/>
        <v>5.4555762711864366</v>
      </c>
      <c r="P17" s="50">
        <f>(720-R17)/60</f>
        <v>9.8333333333333339</v>
      </c>
      <c r="Q17" s="172">
        <f t="shared" ref="Q17" si="9">720-R17</f>
        <v>590</v>
      </c>
      <c r="R17" s="50">
        <f>'Milling Down Time Hours'!L11</f>
        <v>130</v>
      </c>
      <c r="S17" s="45"/>
      <c r="T17" s="570">
        <f>AVERAGE('LT Ball Mill'!F28:F30)</f>
        <v>0.90233333333333332</v>
      </c>
      <c r="U17" s="570">
        <f>AVERAGE('LT Ball Mill'!G28:G30)</f>
        <v>0.56999999999999995</v>
      </c>
      <c r="V17" s="570">
        <f>AVERAGE('LT Ball Mill'!H28:H30)</f>
        <v>9.6533333333333342</v>
      </c>
      <c r="W17" s="571">
        <f>T17*M17</f>
        <v>48.407025166666635</v>
      </c>
      <c r="X17" s="572">
        <f t="shared" si="3"/>
        <v>30.578504999999979</v>
      </c>
      <c r="Y17" s="572">
        <f t="shared" si="4"/>
        <v>517.86754666666639</v>
      </c>
      <c r="Z17" s="175">
        <f t="shared" si="5"/>
        <v>121017562.91666658</v>
      </c>
      <c r="AE17" s="54"/>
      <c r="AF17" s="8"/>
    </row>
    <row r="18" spans="2:32" ht="15" thickBot="1" x14ac:dyDescent="0.35">
      <c r="B18" s="713"/>
      <c r="C18" s="714"/>
      <c r="D18" s="601" t="s">
        <v>453</v>
      </c>
      <c r="E18" s="237"/>
      <c r="F18" s="33" t="s">
        <v>14</v>
      </c>
      <c r="G18" s="34">
        <v>0.45</v>
      </c>
      <c r="H18" s="50">
        <f>J18-SUM(H16:H17)-'Au Cal Leaching Tank'!$Q$10</f>
        <v>216.00000000000003</v>
      </c>
      <c r="I18" s="29">
        <f t="shared" si="8"/>
        <v>18.000000000000004</v>
      </c>
      <c r="J18" s="36">
        <v>431</v>
      </c>
      <c r="K18" s="36">
        <v>1.31</v>
      </c>
      <c r="L18" s="40">
        <v>0.65</v>
      </c>
      <c r="M18" s="259">
        <f>J18*K18*G18-SUM(M16:M17)-'Au Cal Leaching Tank'!$R$10</f>
        <v>119.67800000000005</v>
      </c>
      <c r="N18" s="718"/>
      <c r="O18" s="50">
        <f t="shared" si="7"/>
        <v>9.9731666666666712</v>
      </c>
      <c r="P18" s="50">
        <f>(720-R18)/60</f>
        <v>12</v>
      </c>
      <c r="Q18" s="172">
        <f>720-R18</f>
        <v>720</v>
      </c>
      <c r="R18" s="50">
        <v>0</v>
      </c>
      <c r="S18" s="35"/>
      <c r="T18" s="171">
        <f>AVERAGE('LT Ball Mill'!F31:F33)</f>
        <v>0.81433333333333335</v>
      </c>
      <c r="U18" s="171">
        <f>AVERAGE('LT Ball Mill'!G31:G33)</f>
        <v>0.6333333333333333</v>
      </c>
      <c r="V18" s="171">
        <f>AVERAGE('LT Ball Mill'!H31:H33)</f>
        <v>9.4366666666666674</v>
      </c>
      <c r="W18" s="177">
        <f>T18*M18</f>
        <v>97.457784666666711</v>
      </c>
      <c r="X18" s="129">
        <f t="shared" si="3"/>
        <v>75.796066666666704</v>
      </c>
      <c r="Y18" s="129">
        <f t="shared" si="4"/>
        <v>1129.361393333334</v>
      </c>
      <c r="Z18" s="193"/>
      <c r="AA18" s="131"/>
      <c r="AC18" s="1">
        <f>1490-180</f>
        <v>1310</v>
      </c>
    </row>
    <row r="19" spans="2:32" ht="15" thickBot="1" x14ac:dyDescent="0.35">
      <c r="B19" s="711">
        <v>46272</v>
      </c>
      <c r="C19" s="712"/>
      <c r="D19" s="617" t="s">
        <v>170</v>
      </c>
      <c r="E19" s="618" t="s">
        <v>535</v>
      </c>
      <c r="F19" s="619" t="s">
        <v>13</v>
      </c>
      <c r="G19" s="620">
        <v>0.45</v>
      </c>
      <c r="H19" s="621">
        <f>J19-SUM(H16:H18)-'Au Cal Leaching Tank'!$Q$10</f>
        <v>215.99999999999997</v>
      </c>
      <c r="I19" s="622">
        <f t="shared" si="8"/>
        <v>19.31445603576751</v>
      </c>
      <c r="J19" s="623">
        <v>647</v>
      </c>
      <c r="K19" s="623">
        <v>1.31</v>
      </c>
      <c r="L19" s="620">
        <v>0.73</v>
      </c>
      <c r="M19" s="624">
        <f>J19*K19*G19-SUM(M16:M18)-'Au Cal Leaching Tank'!$R$10</f>
        <v>127.33200000000005</v>
      </c>
      <c r="N19" s="717">
        <f>SUM(M19:M20)</f>
        <v>185.59190000000007</v>
      </c>
      <c r="O19" s="50">
        <f t="shared" si="7"/>
        <v>8.9775793184488872</v>
      </c>
      <c r="P19" s="50">
        <f>(900-R19)/60</f>
        <v>14.183333333333334</v>
      </c>
      <c r="Q19" s="50">
        <f>900-R19</f>
        <v>851</v>
      </c>
      <c r="R19" s="50">
        <f>'Milling Down Time Hours'!G13+30</f>
        <v>49</v>
      </c>
      <c r="S19" s="235"/>
      <c r="T19" s="487"/>
      <c r="U19" s="487"/>
      <c r="V19" s="488"/>
      <c r="W19" s="177">
        <f t="shared" si="2"/>
        <v>0</v>
      </c>
      <c r="X19" s="129">
        <f t="shared" si="3"/>
        <v>0</v>
      </c>
      <c r="Y19" s="129">
        <f t="shared" si="4"/>
        <v>0</v>
      </c>
      <c r="AC19" s="12">
        <f>(AC10-1)/(AC10-AC10/AC11)</f>
        <v>0.42917547568710362</v>
      </c>
    </row>
    <row r="20" spans="2:32" ht="15" thickBot="1" x14ac:dyDescent="0.35">
      <c r="B20" s="713"/>
      <c r="C20" s="714"/>
      <c r="D20" s="612" t="s">
        <v>522</v>
      </c>
      <c r="E20" s="616" t="s">
        <v>534</v>
      </c>
      <c r="F20" s="48" t="s">
        <v>14</v>
      </c>
      <c r="G20" s="51">
        <v>0.41</v>
      </c>
      <c r="H20" s="50">
        <f>J20-'Au Cal Leaching Tank'!$Q$11</f>
        <v>107.15</v>
      </c>
      <c r="I20" s="29">
        <f>H20/((720-R20)/60)</f>
        <v>9.5103550295857993</v>
      </c>
      <c r="J20" s="16">
        <v>215</v>
      </c>
      <c r="K20" s="16">
        <v>1.28</v>
      </c>
      <c r="L20" s="51">
        <v>0.73</v>
      </c>
      <c r="M20" s="35">
        <f>J20*K20*G20-'Au Cal Leaching Tank'!$R$11</f>
        <v>58.259900000000002</v>
      </c>
      <c r="N20" s="753"/>
      <c r="O20" s="50">
        <f t="shared" si="7"/>
        <v>6.2870395683453237</v>
      </c>
      <c r="P20" s="50">
        <f>(600-R20)/60</f>
        <v>9.2666666666666675</v>
      </c>
      <c r="Q20" s="50">
        <f>600-R20</f>
        <v>556</v>
      </c>
      <c r="R20" s="50">
        <f>'Milling Down Time Hours'!G14-30</f>
        <v>44</v>
      </c>
      <c r="S20" s="16"/>
      <c r="T20" s="285"/>
      <c r="U20" s="285"/>
      <c r="V20" s="286"/>
      <c r="W20" s="177">
        <f t="shared" si="2"/>
        <v>0</v>
      </c>
      <c r="X20" s="129">
        <f t="shared" si="3"/>
        <v>0</v>
      </c>
      <c r="Y20" s="129">
        <f t="shared" si="4"/>
        <v>0</v>
      </c>
    </row>
    <row r="21" spans="2:32" ht="15" thickBot="1" x14ac:dyDescent="0.35">
      <c r="B21" s="711">
        <v>46273</v>
      </c>
      <c r="C21" s="712"/>
      <c r="D21" s="616" t="s">
        <v>170</v>
      </c>
      <c r="E21" s="616" t="s">
        <v>536</v>
      </c>
      <c r="F21" s="48" t="s">
        <v>13</v>
      </c>
      <c r="G21" s="51">
        <v>0.42</v>
      </c>
      <c r="H21" s="50">
        <f>J21-'Au Cal Leaching Tank'!$Q$11-SUM(H20)</f>
        <v>188.99999999999997</v>
      </c>
      <c r="I21" s="29">
        <f t="shared" si="8"/>
        <v>18.290322580645157</v>
      </c>
      <c r="J21" s="16">
        <v>404</v>
      </c>
      <c r="K21" s="16">
        <v>1.29</v>
      </c>
      <c r="L21" s="51">
        <v>0.75</v>
      </c>
      <c r="M21" s="35">
        <f>J21*K21*G21-'Au Cal Leaching Tank'!$R$11-SUM(M20)</f>
        <v>106.05519999999997</v>
      </c>
      <c r="N21" s="745">
        <f>SUM(M21:M22)</f>
        <v>106.05519999999997</v>
      </c>
      <c r="O21" s="50">
        <f t="shared" si="7"/>
        <v>10.2634064516129</v>
      </c>
      <c r="P21" s="50">
        <f>(720-R21)/60</f>
        <v>10.333333333333334</v>
      </c>
      <c r="Q21" s="50">
        <f>720-R21</f>
        <v>620</v>
      </c>
      <c r="R21" s="50">
        <f>'Milling Down Time Hours'!G15</f>
        <v>100</v>
      </c>
      <c r="S21" s="16"/>
      <c r="T21" s="721"/>
      <c r="U21" s="721"/>
      <c r="V21" s="723"/>
      <c r="W21" s="177">
        <f t="shared" si="2"/>
        <v>0</v>
      </c>
      <c r="X21" s="129">
        <f t="shared" si="3"/>
        <v>0</v>
      </c>
      <c r="Y21" s="129">
        <f t="shared" si="4"/>
        <v>0</v>
      </c>
      <c r="AA21" s="16" t="s">
        <v>215</v>
      </c>
      <c r="AB21" s="16">
        <v>10.7</v>
      </c>
      <c r="AC21" s="6" t="s">
        <v>217</v>
      </c>
    </row>
    <row r="22" spans="2:32" ht="15" thickBot="1" x14ac:dyDescent="0.35">
      <c r="B22" s="713"/>
      <c r="C22" s="714"/>
      <c r="D22" s="248"/>
      <c r="E22" s="248"/>
      <c r="F22" s="229" t="s">
        <v>14</v>
      </c>
      <c r="G22" s="108"/>
      <c r="H22" s="108"/>
      <c r="I22" s="29">
        <f t="shared" si="8"/>
        <v>0</v>
      </c>
      <c r="J22" s="108"/>
      <c r="K22" s="108"/>
      <c r="L22" s="108"/>
      <c r="M22" s="35">
        <f t="shared" si="6"/>
        <v>0</v>
      </c>
      <c r="N22" s="761"/>
      <c r="O22" s="108"/>
      <c r="P22" s="625"/>
      <c r="Q22" s="506"/>
      <c r="R22" s="293"/>
      <c r="S22" s="108"/>
      <c r="T22" s="727"/>
      <c r="U22" s="727"/>
      <c r="V22" s="728"/>
      <c r="W22" s="177">
        <f t="shared" si="2"/>
        <v>0</v>
      </c>
      <c r="X22" s="129">
        <f t="shared" si="3"/>
        <v>0</v>
      </c>
      <c r="Y22" s="129">
        <f t="shared" si="4"/>
        <v>0</v>
      </c>
      <c r="AA22" s="16" t="s">
        <v>216</v>
      </c>
      <c r="AB22" s="16">
        <v>2.4</v>
      </c>
      <c r="AC22" s="6" t="s">
        <v>217</v>
      </c>
    </row>
    <row r="23" spans="2:32" ht="15" thickBot="1" x14ac:dyDescent="0.35">
      <c r="B23" s="711">
        <v>46274</v>
      </c>
      <c r="C23" s="712"/>
      <c r="D23" s="481"/>
      <c r="E23" s="482"/>
      <c r="F23" s="27" t="s">
        <v>13</v>
      </c>
      <c r="G23" s="37"/>
      <c r="H23" s="30"/>
      <c r="I23" s="30"/>
      <c r="J23" s="30"/>
      <c r="K23" s="30"/>
      <c r="L23" s="37"/>
      <c r="M23" s="35">
        <f t="shared" si="6"/>
        <v>0</v>
      </c>
      <c r="N23" s="236"/>
      <c r="O23" s="745">
        <f>S23/(P23+P25)</f>
        <v>0</v>
      </c>
      <c r="P23" s="749">
        <f>'Milling Down Time Hours'!M14</f>
        <v>22.766666666666666</v>
      </c>
      <c r="Q23" s="283"/>
      <c r="R23" s="745">
        <f>'Milling Down Time Hours'!L24</f>
        <v>0</v>
      </c>
      <c r="S23" s="745">
        <f>SUM(N23:N25)</f>
        <v>0</v>
      </c>
      <c r="T23" s="184"/>
      <c r="U23" s="184"/>
      <c r="V23" s="185"/>
      <c r="W23" s="177">
        <f t="shared" si="2"/>
        <v>0</v>
      </c>
      <c r="X23" s="129">
        <f t="shared" si="3"/>
        <v>0</v>
      </c>
      <c r="Y23" s="129">
        <f t="shared" si="4"/>
        <v>0</v>
      </c>
      <c r="AA23" s="16" t="s">
        <v>218</v>
      </c>
      <c r="AB23" s="16">
        <f>AB21*0.5</f>
        <v>5.35</v>
      </c>
      <c r="AC23" s="6"/>
    </row>
    <row r="24" spans="2:32" ht="15" thickBot="1" x14ac:dyDescent="0.35">
      <c r="B24" s="713"/>
      <c r="C24" s="714"/>
      <c r="D24" s="248"/>
      <c r="E24" s="248"/>
      <c r="F24" s="229" t="s">
        <v>14</v>
      </c>
      <c r="G24" s="230"/>
      <c r="H24" s="108"/>
      <c r="I24" s="108"/>
      <c r="J24" s="108"/>
      <c r="K24" s="108"/>
      <c r="L24" s="230"/>
      <c r="M24" s="35">
        <f t="shared" si="6"/>
        <v>0</v>
      </c>
      <c r="N24" s="232"/>
      <c r="O24" s="754"/>
      <c r="P24" s="750"/>
      <c r="Q24" s="506" t="s">
        <v>530</v>
      </c>
      <c r="R24" s="754"/>
      <c r="S24" s="754"/>
      <c r="T24" s="233"/>
      <c r="U24" s="233"/>
      <c r="V24" s="234"/>
      <c r="W24" s="177">
        <f t="shared" si="2"/>
        <v>0</v>
      </c>
      <c r="X24" s="129">
        <f t="shared" si="3"/>
        <v>0</v>
      </c>
      <c r="Y24" s="129">
        <f t="shared" si="4"/>
        <v>0</v>
      </c>
      <c r="AA24" s="16" t="s">
        <v>219</v>
      </c>
      <c r="AB24" s="500">
        <f>3.14*AB23*AB23*AB22</f>
        <v>215.69915999999998</v>
      </c>
      <c r="AC24" s="6"/>
    </row>
    <row r="25" spans="2:32" ht="15" thickBot="1" x14ac:dyDescent="0.35">
      <c r="B25" s="711">
        <v>46275</v>
      </c>
      <c r="C25" s="712"/>
      <c r="D25" s="10"/>
      <c r="E25" s="257"/>
      <c r="F25" s="27" t="s">
        <v>13</v>
      </c>
      <c r="G25" s="40"/>
      <c r="H25" s="36"/>
      <c r="I25" s="36"/>
      <c r="J25" s="36"/>
      <c r="K25" s="36"/>
      <c r="L25" s="40"/>
      <c r="M25" s="35">
        <f t="shared" si="6"/>
        <v>0</v>
      </c>
      <c r="N25" s="238"/>
      <c r="O25" s="746"/>
      <c r="P25" s="35">
        <v>6</v>
      </c>
      <c r="Q25" s="259"/>
      <c r="R25" s="746"/>
      <c r="S25" s="746"/>
      <c r="T25" s="258"/>
      <c r="U25" s="258"/>
      <c r="V25" s="258"/>
      <c r="W25" s="177">
        <f t="shared" si="2"/>
        <v>0</v>
      </c>
      <c r="X25" s="129">
        <f t="shared" si="3"/>
        <v>0</v>
      </c>
      <c r="Y25" s="129">
        <f t="shared" si="4"/>
        <v>0</v>
      </c>
      <c r="AA25" s="15" t="s">
        <v>449</v>
      </c>
      <c r="AB25" s="255">
        <f>AB24*AC10*41%</f>
        <v>114.08328572399998</v>
      </c>
    </row>
    <row r="26" spans="2:32" ht="15" thickBot="1" x14ac:dyDescent="0.35">
      <c r="B26" s="713"/>
      <c r="C26" s="714"/>
      <c r="D26" s="9"/>
      <c r="E26" s="483"/>
      <c r="F26" s="229" t="s">
        <v>14</v>
      </c>
      <c r="G26" s="37"/>
      <c r="H26" s="30"/>
      <c r="I26" s="30"/>
      <c r="J26" s="30"/>
      <c r="K26" s="30"/>
      <c r="L26" s="37"/>
      <c r="M26" s="35">
        <f t="shared" si="6"/>
        <v>0</v>
      </c>
      <c r="N26" s="263"/>
      <c r="O26" s="745">
        <f>SUM(N26:N29)/SUM(P26:P29)</f>
        <v>0</v>
      </c>
      <c r="P26" s="29">
        <v>6</v>
      </c>
      <c r="Q26" s="29"/>
      <c r="R26" s="29"/>
      <c r="S26" s="264"/>
      <c r="T26" s="258"/>
      <c r="U26" s="258"/>
      <c r="V26" s="258"/>
      <c r="W26" s="177">
        <f t="shared" si="2"/>
        <v>0</v>
      </c>
      <c r="X26" s="129">
        <f t="shared" si="3"/>
        <v>0</v>
      </c>
      <c r="Y26" s="129">
        <f t="shared" si="4"/>
        <v>0</v>
      </c>
      <c r="AA26" s="15"/>
      <c r="AB26" s="255">
        <f>AB25-33.43</f>
        <v>80.653285723999971</v>
      </c>
    </row>
    <row r="27" spans="2:32" ht="15" thickBot="1" x14ac:dyDescent="0.35">
      <c r="B27" s="711">
        <v>46276</v>
      </c>
      <c r="C27" s="712"/>
      <c r="D27" s="10"/>
      <c r="E27" s="484"/>
      <c r="F27" s="27" t="s">
        <v>13</v>
      </c>
      <c r="G27" s="37"/>
      <c r="H27" s="36"/>
      <c r="I27" s="36"/>
      <c r="J27" s="36"/>
      <c r="K27" s="36"/>
      <c r="L27" s="40"/>
      <c r="M27" s="35">
        <f t="shared" si="6"/>
        <v>0</v>
      </c>
      <c r="N27" s="263"/>
      <c r="O27" s="754"/>
      <c r="P27" s="259">
        <v>12</v>
      </c>
      <c r="Q27" s="259"/>
      <c r="R27" s="259"/>
      <c r="S27" s="217"/>
      <c r="T27" s="171"/>
      <c r="U27" s="171"/>
      <c r="V27" s="176"/>
      <c r="W27" s="177">
        <f t="shared" si="2"/>
        <v>0</v>
      </c>
      <c r="X27" s="129">
        <f t="shared" si="3"/>
        <v>0</v>
      </c>
      <c r="Y27" s="129">
        <f t="shared" si="4"/>
        <v>0</v>
      </c>
      <c r="AD27" s="602"/>
    </row>
    <row r="28" spans="2:32" ht="15" thickBot="1" x14ac:dyDescent="0.35">
      <c r="B28" s="713"/>
      <c r="C28" s="714"/>
      <c r="D28" s="9"/>
      <c r="E28" s="9"/>
      <c r="F28" s="229" t="s">
        <v>14</v>
      </c>
      <c r="G28" s="37"/>
      <c r="H28" s="30"/>
      <c r="I28" s="30"/>
      <c r="J28" s="30"/>
      <c r="K28" s="30"/>
      <c r="L28" s="183"/>
      <c r="M28" s="35">
        <f t="shared" si="6"/>
        <v>0</v>
      </c>
      <c r="N28" s="263"/>
      <c r="O28" s="754"/>
      <c r="P28" s="717">
        <f>'Milling Down Time Hours'!M17</f>
        <v>24</v>
      </c>
      <c r="Q28" s="283"/>
      <c r="R28" s="717">
        <f>'Milling Down Time Hours'!L17</f>
        <v>0</v>
      </c>
      <c r="S28" s="183"/>
      <c r="T28" s="184"/>
      <c r="U28" s="184"/>
      <c r="V28" s="184"/>
      <c r="W28" s="177">
        <f t="shared" si="2"/>
        <v>0</v>
      </c>
      <c r="X28" s="129">
        <f t="shared" si="3"/>
        <v>0</v>
      </c>
      <c r="Y28" s="129">
        <f t="shared" si="4"/>
        <v>0</v>
      </c>
    </row>
    <row r="29" spans="2:32" ht="15" thickBot="1" x14ac:dyDescent="0.35">
      <c r="B29" s="711">
        <v>46277</v>
      </c>
      <c r="C29" s="712"/>
      <c r="D29" s="10"/>
      <c r="E29" s="272"/>
      <c r="F29" s="27" t="s">
        <v>13</v>
      </c>
      <c r="G29" s="40"/>
      <c r="H29" s="36"/>
      <c r="I29" s="36"/>
      <c r="J29" s="36"/>
      <c r="K29" s="36"/>
      <c r="L29" s="217"/>
      <c r="M29" s="35">
        <f t="shared" si="6"/>
        <v>0</v>
      </c>
      <c r="N29" s="263"/>
      <c r="O29" s="746"/>
      <c r="P29" s="718"/>
      <c r="Q29" s="259"/>
      <c r="R29" s="718"/>
      <c r="S29" s="217"/>
      <c r="T29" s="171"/>
      <c r="U29" s="184"/>
      <c r="V29" s="184"/>
      <c r="W29" s="177">
        <f t="shared" si="2"/>
        <v>0</v>
      </c>
      <c r="X29" s="129">
        <f t="shared" si="3"/>
        <v>0</v>
      </c>
      <c r="Y29" s="129">
        <f t="shared" si="4"/>
        <v>0</v>
      </c>
    </row>
    <row r="30" spans="2:32" ht="15" thickBot="1" x14ac:dyDescent="0.35">
      <c r="B30" s="713"/>
      <c r="C30" s="714"/>
      <c r="D30" s="9"/>
      <c r="E30" s="485"/>
      <c r="F30" s="229" t="s">
        <v>14</v>
      </c>
      <c r="G30" s="183"/>
      <c r="H30" s="183"/>
      <c r="I30" s="183"/>
      <c r="J30" s="183"/>
      <c r="K30" s="183"/>
      <c r="L30" s="183"/>
      <c r="M30" s="35">
        <f t="shared" si="6"/>
        <v>0</v>
      </c>
      <c r="N30" s="263"/>
      <c r="O30" s="745">
        <f>N31/P30</f>
        <v>0</v>
      </c>
      <c r="P30" s="717">
        <f>'Milling Down Time Hours'!M18</f>
        <v>24</v>
      </c>
      <c r="Q30" s="283"/>
      <c r="R30" s="717">
        <f>'Milling Down Time Hours'!L18</f>
        <v>0</v>
      </c>
      <c r="S30" s="486"/>
      <c r="T30" s="487"/>
      <c r="U30" s="487"/>
      <c r="V30" s="488"/>
      <c r="W30" s="177">
        <f t="shared" si="2"/>
        <v>0</v>
      </c>
      <c r="X30" s="129">
        <f t="shared" si="3"/>
        <v>0</v>
      </c>
      <c r="Y30" s="129">
        <f t="shared" si="4"/>
        <v>0</v>
      </c>
      <c r="AA30" s="153"/>
      <c r="AB30" s="38"/>
    </row>
    <row r="31" spans="2:32" ht="15" thickBot="1" x14ac:dyDescent="0.35">
      <c r="B31" s="711">
        <v>46278</v>
      </c>
      <c r="C31" s="712"/>
      <c r="D31" s="10"/>
      <c r="E31" s="10"/>
      <c r="F31" s="27" t="s">
        <v>13</v>
      </c>
      <c r="G31" s="40"/>
      <c r="H31" s="36"/>
      <c r="I31" s="36"/>
      <c r="J31" s="36"/>
      <c r="K31" s="36"/>
      <c r="L31" s="40"/>
      <c r="M31" s="35">
        <f t="shared" si="6"/>
        <v>0</v>
      </c>
      <c r="N31" s="263"/>
      <c r="O31" s="746"/>
      <c r="P31" s="718"/>
      <c r="Q31" s="259"/>
      <c r="R31" s="718"/>
      <c r="S31" s="489"/>
      <c r="T31" s="171"/>
      <c r="U31" s="171"/>
      <c r="V31" s="176"/>
      <c r="W31" s="177">
        <f t="shared" si="2"/>
        <v>0</v>
      </c>
      <c r="X31" s="129">
        <f t="shared" si="3"/>
        <v>0</v>
      </c>
      <c r="Y31" s="129">
        <f t="shared" si="4"/>
        <v>0</v>
      </c>
    </row>
    <row r="32" spans="2:32" ht="15" thickBot="1" x14ac:dyDescent="0.35">
      <c r="B32" s="713"/>
      <c r="C32" s="714"/>
      <c r="D32" s="43"/>
      <c r="E32" s="43"/>
      <c r="F32" s="229" t="s">
        <v>14</v>
      </c>
      <c r="G32" s="182"/>
      <c r="H32" s="45"/>
      <c r="I32" s="45"/>
      <c r="J32" s="45"/>
      <c r="K32" s="45"/>
      <c r="L32" s="40"/>
      <c r="M32" s="35">
        <f t="shared" si="6"/>
        <v>0</v>
      </c>
      <c r="N32" s="263"/>
      <c r="O32" s="745">
        <f>SUM(N32:N33)/P32</f>
        <v>0</v>
      </c>
      <c r="P32" s="725">
        <f>'Milling Down Time Hours'!M19</f>
        <v>24</v>
      </c>
      <c r="Q32" s="506"/>
      <c r="R32" s="717">
        <f>'Milling Down Time Hours'!L19</f>
        <v>0</v>
      </c>
      <c r="S32" s="46"/>
      <c r="T32" s="184"/>
      <c r="U32" s="184"/>
      <c r="V32" s="185"/>
      <c r="W32" s="177">
        <f t="shared" si="2"/>
        <v>0</v>
      </c>
      <c r="X32" s="129">
        <f t="shared" si="3"/>
        <v>0</v>
      </c>
      <c r="Y32" s="129">
        <f t="shared" si="4"/>
        <v>0</v>
      </c>
      <c r="AA32" s="175"/>
    </row>
    <row r="33" spans="2:32" ht="15" thickBot="1" x14ac:dyDescent="0.35">
      <c r="B33" s="711">
        <v>46279</v>
      </c>
      <c r="C33" s="712"/>
      <c r="D33" s="47"/>
      <c r="E33" s="47"/>
      <c r="F33" s="27" t="s">
        <v>13</v>
      </c>
      <c r="G33" s="51"/>
      <c r="H33" s="16"/>
      <c r="I33" s="16"/>
      <c r="J33" s="16"/>
      <c r="K33" s="16"/>
      <c r="L33" s="40"/>
      <c r="M33" s="35">
        <f t="shared" si="6"/>
        <v>0</v>
      </c>
      <c r="N33" s="263"/>
      <c r="O33" s="746"/>
      <c r="P33" s="718"/>
      <c r="Q33" s="259"/>
      <c r="R33" s="718"/>
      <c r="S33" s="6"/>
      <c r="T33" s="171"/>
      <c r="U33" s="171"/>
      <c r="V33" s="176"/>
      <c r="W33" s="177">
        <f t="shared" si="2"/>
        <v>0</v>
      </c>
      <c r="X33" s="129">
        <f t="shared" si="3"/>
        <v>0</v>
      </c>
      <c r="Y33" s="129">
        <f t="shared" si="4"/>
        <v>0</v>
      </c>
    </row>
    <row r="34" spans="2:32" ht="15" thickBot="1" x14ac:dyDescent="0.35">
      <c r="B34" s="713"/>
      <c r="C34" s="714"/>
      <c r="D34" s="47"/>
      <c r="E34" s="47"/>
      <c r="F34" s="229" t="s">
        <v>14</v>
      </c>
      <c r="G34" s="51"/>
      <c r="H34" s="16"/>
      <c r="I34" s="16"/>
      <c r="J34" s="16"/>
      <c r="K34" s="16"/>
      <c r="L34" s="40"/>
      <c r="M34" s="35">
        <f t="shared" si="6"/>
        <v>0</v>
      </c>
      <c r="N34" s="263"/>
      <c r="O34" s="745">
        <f>SUM(N34:N35)/P34</f>
        <v>0</v>
      </c>
      <c r="P34" s="717">
        <f>'Milling Down Time Hours'!M20</f>
        <v>24</v>
      </c>
      <c r="Q34" s="283"/>
      <c r="R34" s="717">
        <f>'Milling Down Time Hours'!L20</f>
        <v>0</v>
      </c>
      <c r="S34" s="6"/>
      <c r="T34" s="184"/>
      <c r="U34" s="184"/>
      <c r="V34" s="185"/>
      <c r="W34" s="177">
        <f t="shared" si="2"/>
        <v>0</v>
      </c>
      <c r="X34" s="129">
        <f t="shared" si="3"/>
        <v>0</v>
      </c>
      <c r="Y34" s="129">
        <f t="shared" si="4"/>
        <v>0</v>
      </c>
      <c r="AA34" s="13"/>
    </row>
    <row r="35" spans="2:32" ht="15" thickBot="1" x14ac:dyDescent="0.35">
      <c r="B35" s="711">
        <v>46280</v>
      </c>
      <c r="C35" s="712"/>
      <c r="D35" s="47"/>
      <c r="E35" s="281"/>
      <c r="F35" s="27" t="s">
        <v>13</v>
      </c>
      <c r="G35" s="51"/>
      <c r="H35" s="16"/>
      <c r="I35" s="16"/>
      <c r="J35" s="16"/>
      <c r="K35" s="16"/>
      <c r="L35" s="51"/>
      <c r="M35" s="35">
        <f t="shared" si="6"/>
        <v>0</v>
      </c>
      <c r="N35" s="263"/>
      <c r="O35" s="746"/>
      <c r="P35" s="718"/>
      <c r="Q35" s="259"/>
      <c r="R35" s="718"/>
      <c r="S35" s="6"/>
      <c r="T35" s="171"/>
      <c r="U35" s="171"/>
      <c r="V35" s="176"/>
      <c r="W35" s="177">
        <f t="shared" si="2"/>
        <v>0</v>
      </c>
      <c r="X35" s="129">
        <f t="shared" si="3"/>
        <v>0</v>
      </c>
      <c r="Y35" s="129">
        <f t="shared" si="4"/>
        <v>0</v>
      </c>
      <c r="AA35" s="13"/>
    </row>
    <row r="36" spans="2:32" ht="15" thickBot="1" x14ac:dyDescent="0.35">
      <c r="B36" s="713"/>
      <c r="C36" s="714"/>
      <c r="D36" s="490"/>
      <c r="E36" s="490"/>
      <c r="F36" s="229" t="s">
        <v>14</v>
      </c>
      <c r="G36" s="492"/>
      <c r="H36" s="491"/>
      <c r="I36" s="491"/>
      <c r="J36" s="491"/>
      <c r="K36" s="491"/>
      <c r="L36" s="492"/>
      <c r="M36" s="35">
        <f t="shared" si="6"/>
        <v>0</v>
      </c>
      <c r="N36" s="493"/>
      <c r="O36" s="755">
        <f>SUM(N36:N37)/P36</f>
        <v>0</v>
      </c>
      <c r="P36" s="719">
        <f>'Milling Down Time Hours'!M21</f>
        <v>24</v>
      </c>
      <c r="Q36" s="591"/>
      <c r="R36" s="719">
        <f>'Milling Down Time Hours'!L21</f>
        <v>0</v>
      </c>
      <c r="S36" s="491"/>
      <c r="T36" s="494"/>
      <c r="U36" s="494"/>
      <c r="V36" s="495"/>
      <c r="W36" s="177">
        <f t="shared" si="2"/>
        <v>0</v>
      </c>
      <c r="X36" s="129">
        <f t="shared" si="3"/>
        <v>0</v>
      </c>
      <c r="Y36" s="129">
        <f t="shared" si="4"/>
        <v>0</v>
      </c>
      <c r="AA36" s="153"/>
    </row>
    <row r="37" spans="2:32" ht="15" thickBot="1" x14ac:dyDescent="0.35">
      <c r="B37" s="711">
        <v>46281</v>
      </c>
      <c r="C37" s="712"/>
      <c r="D37" s="490"/>
      <c r="E37" s="490"/>
      <c r="F37" s="27" t="s">
        <v>13</v>
      </c>
      <c r="G37" s="492"/>
      <c r="H37" s="491"/>
      <c r="I37" s="491"/>
      <c r="J37" s="491"/>
      <c r="K37" s="491"/>
      <c r="L37" s="492"/>
      <c r="M37" s="35">
        <f t="shared" si="6"/>
        <v>0</v>
      </c>
      <c r="N37" s="493"/>
      <c r="O37" s="756"/>
      <c r="P37" s="720"/>
      <c r="Q37" s="592"/>
      <c r="R37" s="720"/>
      <c r="S37" s="491"/>
      <c r="T37" s="496"/>
      <c r="U37" s="496"/>
      <c r="V37" s="497"/>
      <c r="W37" s="177">
        <f t="shared" si="2"/>
        <v>0</v>
      </c>
      <c r="X37" s="129">
        <f t="shared" si="3"/>
        <v>0</v>
      </c>
      <c r="Y37" s="129">
        <f t="shared" si="4"/>
        <v>0</v>
      </c>
      <c r="AA37" s="153"/>
    </row>
    <row r="38" spans="2:32" ht="15" thickBot="1" x14ac:dyDescent="0.35">
      <c r="B38" s="713"/>
      <c r="C38" s="714"/>
      <c r="D38" s="47"/>
      <c r="E38" s="280"/>
      <c r="F38" s="229" t="s">
        <v>14</v>
      </c>
      <c r="G38" s="6"/>
      <c r="H38" s="6"/>
      <c r="I38" s="6"/>
      <c r="J38" s="6"/>
      <c r="K38" s="6"/>
      <c r="L38" s="6"/>
      <c r="M38" s="35">
        <f t="shared" si="6"/>
        <v>0</v>
      </c>
      <c r="N38" s="6"/>
      <c r="O38" s="755">
        <f t="shared" ref="O38" si="10">SUM(N38:N39)/P38</f>
        <v>0</v>
      </c>
      <c r="P38" s="717">
        <f>'Milling Down Time Hours'!M22</f>
        <v>24</v>
      </c>
      <c r="Q38" s="283"/>
      <c r="R38" s="717">
        <f>'Milling Down Time Hours'!L22</f>
        <v>0</v>
      </c>
      <c r="S38" s="6"/>
      <c r="T38" s="721"/>
      <c r="U38" s="721"/>
      <c r="V38" s="723"/>
      <c r="W38" s="177">
        <f t="shared" si="2"/>
        <v>0</v>
      </c>
      <c r="X38" s="129">
        <f t="shared" si="3"/>
        <v>0</v>
      </c>
      <c r="Y38" s="129">
        <f t="shared" si="4"/>
        <v>0</v>
      </c>
      <c r="AA38" s="153"/>
    </row>
    <row r="39" spans="2:32" ht="15" thickBot="1" x14ac:dyDescent="0.35">
      <c r="B39" s="711">
        <v>46282</v>
      </c>
      <c r="C39" s="712"/>
      <c r="D39" s="6"/>
      <c r="E39" s="16"/>
      <c r="F39" s="27" t="s">
        <v>13</v>
      </c>
      <c r="G39" s="6"/>
      <c r="H39" s="6"/>
      <c r="I39" s="6"/>
      <c r="J39" s="6"/>
      <c r="K39" s="6"/>
      <c r="L39" s="6"/>
      <c r="M39" s="35">
        <f t="shared" si="6"/>
        <v>0</v>
      </c>
      <c r="N39" s="6"/>
      <c r="O39" s="756"/>
      <c r="P39" s="718"/>
      <c r="Q39" s="259"/>
      <c r="R39" s="718"/>
      <c r="S39" s="6"/>
      <c r="T39" s="722"/>
      <c r="U39" s="722"/>
      <c r="V39" s="724"/>
      <c r="W39" s="177">
        <f t="shared" si="2"/>
        <v>0</v>
      </c>
      <c r="X39" s="129">
        <f t="shared" si="3"/>
        <v>0</v>
      </c>
      <c r="Y39" s="129">
        <f t="shared" si="4"/>
        <v>0</v>
      </c>
      <c r="AA39" s="153" t="s">
        <v>520</v>
      </c>
      <c r="AF39" s="1">
        <f>53-6-17</f>
        <v>30</v>
      </c>
    </row>
    <row r="40" spans="2:32" ht="15" thickBot="1" x14ac:dyDescent="0.35">
      <c r="B40" s="713"/>
      <c r="C40" s="714"/>
      <c r="D40" s="47"/>
      <c r="E40" s="280"/>
      <c r="F40" s="229" t="s">
        <v>14</v>
      </c>
      <c r="G40" s="51"/>
      <c r="H40" s="50"/>
      <c r="I40" s="50"/>
      <c r="J40" s="50"/>
      <c r="K40" s="16"/>
      <c r="L40" s="51"/>
      <c r="M40" s="35">
        <f t="shared" si="6"/>
        <v>0</v>
      </c>
      <c r="N40" s="50"/>
      <c r="O40" s="755">
        <f>SUM(N40:N41)/P40</f>
        <v>0</v>
      </c>
      <c r="P40" s="717">
        <f>'Milling Down Time Hours'!M23</f>
        <v>24</v>
      </c>
      <c r="Q40" s="283"/>
      <c r="R40" s="717">
        <f>'Milling Down Time Hours'!L23</f>
        <v>0</v>
      </c>
      <c r="S40" s="6"/>
      <c r="T40" s="184"/>
      <c r="U40" s="184"/>
      <c r="V40" s="185"/>
      <c r="W40" s="177">
        <f t="shared" si="2"/>
        <v>0</v>
      </c>
      <c r="X40" s="129">
        <f t="shared" si="3"/>
        <v>0</v>
      </c>
      <c r="Y40" s="129">
        <f t="shared" si="4"/>
        <v>0</v>
      </c>
      <c r="AA40" s="153"/>
      <c r="AD40" s="153"/>
      <c r="AE40" s="153"/>
    </row>
    <row r="41" spans="2:32" ht="15" thickBot="1" x14ac:dyDescent="0.35">
      <c r="B41" s="711">
        <v>46283</v>
      </c>
      <c r="C41" s="712"/>
      <c r="D41" s="16"/>
      <c r="E41" s="16"/>
      <c r="F41" s="27" t="s">
        <v>13</v>
      </c>
      <c r="G41" s="51"/>
      <c r="H41" s="16"/>
      <c r="I41" s="16"/>
      <c r="J41" s="16"/>
      <c r="K41" s="16"/>
      <c r="L41" s="51"/>
      <c r="M41" s="35">
        <f t="shared" ref="M41:M71" si="11">H41*K41*G41</f>
        <v>0</v>
      </c>
      <c r="N41" s="50"/>
      <c r="O41" s="756"/>
      <c r="P41" s="718"/>
      <c r="Q41" s="259"/>
      <c r="R41" s="718"/>
      <c r="S41" s="6"/>
      <c r="T41" s="194"/>
      <c r="U41" s="194"/>
      <c r="V41" s="284"/>
      <c r="W41" s="177">
        <f t="shared" si="2"/>
        <v>0</v>
      </c>
      <c r="X41" s="129">
        <f t="shared" si="3"/>
        <v>0</v>
      </c>
      <c r="Y41" s="129">
        <f t="shared" si="4"/>
        <v>0</v>
      </c>
    </row>
    <row r="42" spans="2:32" ht="15" thickBot="1" x14ac:dyDescent="0.35">
      <c r="B42" s="713"/>
      <c r="C42" s="714"/>
      <c r="D42" s="47"/>
      <c r="E42" s="47"/>
      <c r="F42" s="229" t="s">
        <v>14</v>
      </c>
      <c r="G42" s="51"/>
      <c r="H42" s="16"/>
      <c r="I42" s="16"/>
      <c r="J42" s="16"/>
      <c r="K42" s="16"/>
      <c r="L42" s="51"/>
      <c r="M42" s="35">
        <f t="shared" si="11"/>
        <v>0</v>
      </c>
      <c r="N42" s="50"/>
      <c r="O42" s="16"/>
      <c r="P42" s="283">
        <f>'Milling Down Time Hours'!M24</f>
        <v>24</v>
      </c>
      <c r="Q42" s="283"/>
      <c r="R42" s="283">
        <f>'Milling Down Time Hours'!L24</f>
        <v>0</v>
      </c>
      <c r="S42" s="16"/>
      <c r="T42" s="184"/>
      <c r="U42" s="184"/>
      <c r="V42" s="185"/>
      <c r="W42" s="177">
        <f t="shared" si="2"/>
        <v>0</v>
      </c>
      <c r="X42" s="129">
        <f t="shared" si="3"/>
        <v>0</v>
      </c>
      <c r="Y42" s="129">
        <f t="shared" si="4"/>
        <v>0</v>
      </c>
    </row>
    <row r="43" spans="2:32" ht="15" thickBot="1" x14ac:dyDescent="0.35">
      <c r="B43" s="711">
        <v>46284</v>
      </c>
      <c r="C43" s="712"/>
      <c r="D43" s="6"/>
      <c r="E43" s="6"/>
      <c r="F43" s="27" t="s">
        <v>13</v>
      </c>
      <c r="G43" s="51"/>
      <c r="H43" s="16"/>
      <c r="I43" s="16"/>
      <c r="J43" s="16"/>
      <c r="K43" s="16"/>
      <c r="L43" s="51"/>
      <c r="M43" s="35">
        <f t="shared" si="11"/>
        <v>0</v>
      </c>
      <c r="N43" s="50"/>
      <c r="O43" s="16"/>
      <c r="P43" s="259"/>
      <c r="Q43" s="293"/>
      <c r="R43" s="293"/>
      <c r="S43" s="6"/>
      <c r="T43" s="285"/>
      <c r="U43" s="194"/>
      <c r="V43" s="284"/>
      <c r="W43" s="177">
        <f t="shared" si="2"/>
        <v>0</v>
      </c>
      <c r="X43" s="129">
        <f t="shared" si="3"/>
        <v>0</v>
      </c>
      <c r="Y43" s="129">
        <f t="shared" si="4"/>
        <v>0</v>
      </c>
    </row>
    <row r="44" spans="2:32" ht="15" thickBot="1" x14ac:dyDescent="0.35">
      <c r="B44" s="713"/>
      <c r="C44" s="714"/>
      <c r="D44" s="47"/>
      <c r="E44" s="47"/>
      <c r="F44" s="229" t="s">
        <v>14</v>
      </c>
      <c r="G44" s="51"/>
      <c r="H44" s="16"/>
      <c r="I44" s="16"/>
      <c r="J44" s="16"/>
      <c r="K44" s="16"/>
      <c r="L44" s="51"/>
      <c r="M44" s="35">
        <f t="shared" si="11"/>
        <v>0</v>
      </c>
      <c r="N44" s="50"/>
      <c r="O44" s="15"/>
      <c r="P44" s="717">
        <f>'Milling Down Time Hours'!M25</f>
        <v>24</v>
      </c>
      <c r="Q44" s="283"/>
      <c r="R44" s="717">
        <f>'Milling Down Time Hours'!L25</f>
        <v>0</v>
      </c>
      <c r="S44" s="6"/>
      <c r="T44" s="184"/>
      <c r="U44" s="184"/>
      <c r="V44" s="185"/>
      <c r="W44" s="177">
        <f t="shared" si="2"/>
        <v>0</v>
      </c>
      <c r="X44" s="129">
        <f t="shared" si="3"/>
        <v>0</v>
      </c>
      <c r="Y44" s="129">
        <f t="shared" si="4"/>
        <v>0</v>
      </c>
    </row>
    <row r="45" spans="2:32" ht="15" thickBot="1" x14ac:dyDescent="0.35">
      <c r="B45" s="711">
        <v>46285</v>
      </c>
      <c r="C45" s="712"/>
      <c r="D45" s="6"/>
      <c r="E45" s="6"/>
      <c r="F45" s="27" t="s">
        <v>13</v>
      </c>
      <c r="G45" s="6"/>
      <c r="H45" s="6"/>
      <c r="I45" s="6"/>
      <c r="J45" s="6"/>
      <c r="K45" s="16"/>
      <c r="L45" s="16"/>
      <c r="M45" s="35">
        <f t="shared" si="11"/>
        <v>0</v>
      </c>
      <c r="N45" s="50"/>
      <c r="O45" s="16"/>
      <c r="P45" s="718"/>
      <c r="Q45" s="259"/>
      <c r="R45" s="718"/>
      <c r="S45" s="6"/>
      <c r="T45" s="285"/>
      <c r="U45" s="285"/>
      <c r="V45" s="286"/>
      <c r="W45" s="177">
        <f t="shared" si="2"/>
        <v>0</v>
      </c>
      <c r="X45" s="129">
        <f t="shared" si="3"/>
        <v>0</v>
      </c>
      <c r="Y45" s="129">
        <f t="shared" si="4"/>
        <v>0</v>
      </c>
    </row>
    <row r="46" spans="2:32" ht="15" thickBot="1" x14ac:dyDescent="0.35">
      <c r="B46" s="713"/>
      <c r="C46" s="714"/>
      <c r="D46" s="47"/>
      <c r="E46" s="47"/>
      <c r="F46" s="229" t="s">
        <v>14</v>
      </c>
      <c r="G46" s="291"/>
      <c r="H46" s="16"/>
      <c r="I46" s="16"/>
      <c r="J46" s="16"/>
      <c r="K46" s="16"/>
      <c r="L46" s="51"/>
      <c r="M46" s="35">
        <f t="shared" si="11"/>
        <v>0</v>
      </c>
      <c r="N46" s="50"/>
      <c r="O46" s="6"/>
      <c r="P46" s="717">
        <f>'Milling Down Time Hours'!M26</f>
        <v>24</v>
      </c>
      <c r="Q46" s="283"/>
      <c r="R46" s="717">
        <f>'Milling Down Time Hours'!L26</f>
        <v>0</v>
      </c>
      <c r="S46" s="6"/>
      <c r="T46" s="721"/>
      <c r="U46" s="721"/>
      <c r="V46" s="723"/>
      <c r="W46" s="177"/>
      <c r="X46" s="129"/>
      <c r="Y46" s="129"/>
    </row>
    <row r="47" spans="2:32" ht="15" thickBot="1" x14ac:dyDescent="0.35">
      <c r="B47" s="711">
        <v>46286</v>
      </c>
      <c r="C47" s="712"/>
      <c r="D47" s="6"/>
      <c r="E47" s="6"/>
      <c r="F47" s="27" t="s">
        <v>13</v>
      </c>
      <c r="G47" s="6"/>
      <c r="H47" s="6"/>
      <c r="I47" s="6"/>
      <c r="J47" s="6"/>
      <c r="K47" s="6"/>
      <c r="L47" s="6"/>
      <c r="M47" s="35">
        <f t="shared" si="11"/>
        <v>0</v>
      </c>
      <c r="N47" s="6"/>
      <c r="O47" s="6"/>
      <c r="P47" s="718"/>
      <c r="Q47" s="259"/>
      <c r="R47" s="718"/>
      <c r="S47" s="6"/>
      <c r="T47" s="722"/>
      <c r="U47" s="722"/>
      <c r="V47" s="724"/>
      <c r="W47" s="177"/>
      <c r="X47" s="129"/>
      <c r="Y47" s="129"/>
    </row>
    <row r="48" spans="2:32" ht="15" thickBot="1" x14ac:dyDescent="0.35">
      <c r="B48" s="713"/>
      <c r="C48" s="714"/>
      <c r="D48" s="47"/>
      <c r="E48" s="299"/>
      <c r="F48" s="229" t="s">
        <v>14</v>
      </c>
      <c r="G48" s="6"/>
      <c r="H48" s="6"/>
      <c r="I48" s="6"/>
      <c r="J48" s="6"/>
      <c r="K48" s="6"/>
      <c r="L48" s="6"/>
      <c r="M48" s="35">
        <f t="shared" si="11"/>
        <v>0</v>
      </c>
      <c r="N48" s="6"/>
      <c r="O48" s="6"/>
      <c r="P48" s="717">
        <f>'Milling Down Time Hours'!M54</f>
        <v>0</v>
      </c>
      <c r="Q48" s="283"/>
      <c r="R48" s="717">
        <f>'Milling Down Time Hours'!L54</f>
        <v>0</v>
      </c>
      <c r="S48" s="6"/>
      <c r="T48" s="721"/>
      <c r="U48" s="721"/>
      <c r="V48" s="723"/>
      <c r="W48" s="177"/>
      <c r="X48" s="129"/>
      <c r="Y48" s="129"/>
    </row>
    <row r="49" spans="2:28" ht="15" thickBot="1" x14ac:dyDescent="0.35">
      <c r="B49" s="711">
        <v>46287</v>
      </c>
      <c r="C49" s="712"/>
      <c r="D49" s="6"/>
      <c r="E49" s="6"/>
      <c r="F49" s="27" t="s">
        <v>13</v>
      </c>
      <c r="G49" s="6"/>
      <c r="H49" s="6"/>
      <c r="I49" s="6"/>
      <c r="J49" s="6"/>
      <c r="K49" s="6"/>
      <c r="L49" s="6"/>
      <c r="M49" s="35">
        <f t="shared" si="11"/>
        <v>0</v>
      </c>
      <c r="N49" s="6"/>
      <c r="O49" s="6"/>
      <c r="P49" s="718"/>
      <c r="Q49" s="259"/>
      <c r="R49" s="718"/>
      <c r="S49" s="6"/>
      <c r="T49" s="722"/>
      <c r="U49" s="722"/>
      <c r="V49" s="724"/>
      <c r="W49" s="177"/>
      <c r="X49" s="129"/>
      <c r="Y49" s="129"/>
    </row>
    <row r="50" spans="2:28" ht="15" thickBot="1" x14ac:dyDescent="0.35">
      <c r="B50" s="713"/>
      <c r="C50" s="714"/>
      <c r="D50" s="47"/>
      <c r="E50" s="299"/>
      <c r="F50" s="229" t="s">
        <v>14</v>
      </c>
      <c r="G50" s="6"/>
      <c r="H50" s="6"/>
      <c r="I50" s="6"/>
      <c r="J50" s="6"/>
      <c r="K50" s="6"/>
      <c r="L50" s="6"/>
      <c r="M50" s="35">
        <f t="shared" si="11"/>
        <v>0</v>
      </c>
      <c r="N50" s="6"/>
      <c r="O50" s="6"/>
      <c r="P50" s="717">
        <f>'Milling Down Time Hours'!M56</f>
        <v>0</v>
      </c>
      <c r="Q50" s="283"/>
      <c r="R50" s="717">
        <f>'Milling Down Time Hours'!L56</f>
        <v>0</v>
      </c>
      <c r="S50" s="6"/>
      <c r="T50" s="721"/>
      <c r="U50" s="721"/>
      <c r="V50" s="723"/>
      <c r="W50" s="177"/>
      <c r="X50" s="129"/>
      <c r="Y50" s="129"/>
    </row>
    <row r="51" spans="2:28" ht="15" thickBot="1" x14ac:dyDescent="0.35">
      <c r="B51" s="711">
        <v>46288</v>
      </c>
      <c r="C51" s="712"/>
      <c r="D51" s="6"/>
      <c r="E51" s="6"/>
      <c r="F51" s="27" t="s">
        <v>13</v>
      </c>
      <c r="G51" s="6"/>
      <c r="H51" s="6"/>
      <c r="I51" s="6"/>
      <c r="J51" s="6"/>
      <c r="K51" s="6"/>
      <c r="L51" s="6"/>
      <c r="M51" s="35">
        <f t="shared" si="11"/>
        <v>0</v>
      </c>
      <c r="N51" s="6"/>
      <c r="O51" s="6"/>
      <c r="P51" s="718"/>
      <c r="Q51" s="259"/>
      <c r="R51" s="718"/>
      <c r="S51" s="6"/>
      <c r="T51" s="722"/>
      <c r="U51" s="722"/>
      <c r="V51" s="724"/>
      <c r="W51" s="177"/>
      <c r="X51" s="129"/>
      <c r="Y51" s="129"/>
    </row>
    <row r="52" spans="2:28" ht="15" thickBot="1" x14ac:dyDescent="0.35">
      <c r="B52" s="713"/>
      <c r="C52" s="714"/>
      <c r="D52" s="47"/>
      <c r="E52" s="47"/>
      <c r="F52" s="229" t="s">
        <v>14</v>
      </c>
      <c r="G52" s="6"/>
      <c r="H52" s="6"/>
      <c r="I52" s="6"/>
      <c r="J52" s="6"/>
      <c r="K52" s="6"/>
      <c r="L52" s="6"/>
      <c r="M52" s="35">
        <f t="shared" si="11"/>
        <v>0</v>
      </c>
      <c r="N52" s="6"/>
      <c r="O52" s="6"/>
      <c r="P52" s="717"/>
      <c r="Q52" s="283"/>
      <c r="R52" s="717"/>
      <c r="S52" s="6"/>
      <c r="T52" s="721"/>
      <c r="U52" s="721"/>
      <c r="V52" s="723"/>
      <c r="W52" s="177"/>
      <c r="X52" s="129"/>
      <c r="Y52" s="129"/>
    </row>
    <row r="53" spans="2:28" ht="15" thickBot="1" x14ac:dyDescent="0.35">
      <c r="B53" s="711">
        <v>46289</v>
      </c>
      <c r="C53" s="712"/>
      <c r="D53" s="6"/>
      <c r="E53" s="6"/>
      <c r="F53" s="27" t="s">
        <v>13</v>
      </c>
      <c r="G53" s="6"/>
      <c r="H53" s="6"/>
      <c r="I53" s="6"/>
      <c r="J53" s="6"/>
      <c r="K53" s="6"/>
      <c r="L53" s="6"/>
      <c r="M53" s="35">
        <f t="shared" si="11"/>
        <v>0</v>
      </c>
      <c r="N53" s="6"/>
      <c r="O53" s="6"/>
      <c r="P53" s="718"/>
      <c r="Q53" s="259"/>
      <c r="R53" s="718"/>
      <c r="S53" s="6"/>
      <c r="T53" s="722"/>
      <c r="U53" s="722"/>
      <c r="V53" s="724"/>
      <c r="W53" s="177"/>
      <c r="X53" s="129"/>
      <c r="Y53" s="129"/>
      <c r="AB53" s="1">
        <v>9570</v>
      </c>
    </row>
    <row r="54" spans="2:28" ht="15" thickBot="1" x14ac:dyDescent="0.35">
      <c r="B54" s="713"/>
      <c r="C54" s="714"/>
      <c r="D54" s="47"/>
      <c r="E54" s="47"/>
      <c r="F54" s="229" t="s">
        <v>14</v>
      </c>
      <c r="G54" s="51"/>
      <c r="H54" s="6"/>
      <c r="I54" s="6"/>
      <c r="J54" s="6"/>
      <c r="K54" s="16"/>
      <c r="L54" s="51"/>
      <c r="M54" s="35">
        <f t="shared" si="11"/>
        <v>0</v>
      </c>
      <c r="N54" s="51"/>
      <c r="O54" s="6"/>
      <c r="P54" s="717">
        <f>'Milling Down Time Hours'!M60</f>
        <v>23.000000000000004</v>
      </c>
      <c r="Q54" s="283"/>
      <c r="R54" s="717">
        <f>'Milling Down Time Hours'!L60</f>
        <v>0</v>
      </c>
      <c r="S54" s="6"/>
      <c r="T54" s="721"/>
      <c r="U54" s="721"/>
      <c r="V54" s="723"/>
      <c r="W54" s="177"/>
      <c r="X54" s="129"/>
      <c r="Y54" s="129"/>
      <c r="AB54" s="1">
        <v>8795</v>
      </c>
    </row>
    <row r="55" spans="2:28" ht="15" thickBot="1" x14ac:dyDescent="0.35">
      <c r="B55" s="711">
        <v>46290</v>
      </c>
      <c r="C55" s="712"/>
      <c r="D55" s="6"/>
      <c r="E55" s="6"/>
      <c r="F55" s="27" t="s">
        <v>13</v>
      </c>
      <c r="G55" s="51"/>
      <c r="H55" s="6"/>
      <c r="I55" s="6"/>
      <c r="J55" s="6"/>
      <c r="K55" s="16"/>
      <c r="L55" s="51"/>
      <c r="M55" s="35">
        <f t="shared" si="11"/>
        <v>0</v>
      </c>
      <c r="N55" s="51"/>
      <c r="O55" s="6"/>
      <c r="P55" s="718"/>
      <c r="Q55" s="259"/>
      <c r="R55" s="718"/>
      <c r="S55" s="6"/>
      <c r="T55" s="722"/>
      <c r="U55" s="722"/>
      <c r="V55" s="724"/>
      <c r="W55" s="177"/>
      <c r="X55" s="129"/>
      <c r="Y55" s="129"/>
      <c r="AB55" s="1">
        <f>(AB53-AB54)/AB53</f>
        <v>8.0982236154649945E-2</v>
      </c>
    </row>
    <row r="56" spans="2:28" ht="15" thickBot="1" x14ac:dyDescent="0.35">
      <c r="B56" s="713"/>
      <c r="C56" s="714"/>
      <c r="D56" s="47"/>
      <c r="E56" s="47"/>
      <c r="F56" s="229" t="s">
        <v>14</v>
      </c>
      <c r="G56" s="51"/>
      <c r="H56" s="6"/>
      <c r="I56" s="6"/>
      <c r="J56" s="6"/>
      <c r="K56" s="6"/>
      <c r="L56" s="51"/>
      <c r="M56" s="35">
        <f t="shared" si="11"/>
        <v>0</v>
      </c>
      <c r="N56" s="51"/>
      <c r="O56" s="6"/>
      <c r="P56" s="717">
        <f>'Milling Down Time Hours'!M62</f>
        <v>0</v>
      </c>
      <c r="Q56" s="283"/>
      <c r="R56" s="717">
        <f>'Milling Down Time Hours'!L62</f>
        <v>0</v>
      </c>
      <c r="S56" s="6"/>
      <c r="T56" s="721"/>
      <c r="U56" s="721"/>
      <c r="V56" s="723"/>
      <c r="W56" s="177"/>
      <c r="X56" s="129"/>
      <c r="Y56" s="129"/>
    </row>
    <row r="57" spans="2:28" ht="15" thickBot="1" x14ac:dyDescent="0.35">
      <c r="B57" s="711">
        <v>46291</v>
      </c>
      <c r="C57" s="712"/>
      <c r="D57" s="6"/>
      <c r="E57" s="6"/>
      <c r="F57" s="27" t="s">
        <v>13</v>
      </c>
      <c r="G57" s="6"/>
      <c r="H57" s="6"/>
      <c r="I57" s="6"/>
      <c r="J57" s="6"/>
      <c r="K57" s="6"/>
      <c r="L57" s="6"/>
      <c r="M57" s="35">
        <f t="shared" si="11"/>
        <v>0</v>
      </c>
      <c r="N57" s="6"/>
      <c r="O57" s="6"/>
      <c r="P57" s="718"/>
      <c r="Q57" s="259"/>
      <c r="R57" s="718"/>
      <c r="S57" s="6"/>
      <c r="T57" s="722"/>
      <c r="U57" s="722"/>
      <c r="V57" s="724"/>
      <c r="W57" s="177"/>
      <c r="X57" s="129"/>
      <c r="Y57" s="129"/>
    </row>
    <row r="58" spans="2:28" ht="15" thickBot="1" x14ac:dyDescent="0.35">
      <c r="B58" s="713"/>
      <c r="C58" s="714"/>
      <c r="D58" s="47"/>
      <c r="E58" s="47"/>
      <c r="F58" s="229" t="s">
        <v>14</v>
      </c>
      <c r="G58" s="6"/>
      <c r="H58" s="6"/>
      <c r="I58" s="6"/>
      <c r="J58" s="6"/>
      <c r="K58" s="6"/>
      <c r="L58" s="6"/>
      <c r="M58" s="35">
        <f t="shared" si="11"/>
        <v>0</v>
      </c>
      <c r="N58" s="6"/>
      <c r="O58" s="6"/>
      <c r="P58" s="717">
        <f>'Milling Down Time Hours'!M64</f>
        <v>0</v>
      </c>
      <c r="Q58" s="283"/>
      <c r="R58" s="717">
        <f>'Milling Down Time Hours'!L64</f>
        <v>0</v>
      </c>
      <c r="S58" s="6"/>
      <c r="T58" s="721"/>
      <c r="U58" s="721"/>
      <c r="V58" s="723"/>
      <c r="W58" s="177"/>
      <c r="X58" s="129"/>
      <c r="Y58" s="129"/>
    </row>
    <row r="59" spans="2:28" ht="15" thickBot="1" x14ac:dyDescent="0.35">
      <c r="B59" s="711">
        <v>46292</v>
      </c>
      <c r="C59" s="712"/>
      <c r="D59" s="6"/>
      <c r="E59" s="6"/>
      <c r="F59" s="27" t="s">
        <v>13</v>
      </c>
      <c r="G59" s="6"/>
      <c r="H59" s="6"/>
      <c r="I59" s="6"/>
      <c r="J59" s="6"/>
      <c r="K59" s="6"/>
      <c r="L59" s="6"/>
      <c r="M59" s="35">
        <f t="shared" si="11"/>
        <v>0</v>
      </c>
      <c r="N59" s="6"/>
      <c r="O59" s="6"/>
      <c r="P59" s="718"/>
      <c r="Q59" s="259"/>
      <c r="R59" s="718"/>
      <c r="S59" s="6"/>
      <c r="T59" s="722"/>
      <c r="U59" s="722"/>
      <c r="V59" s="724"/>
      <c r="W59" s="177"/>
      <c r="X59" s="129"/>
      <c r="Y59" s="129"/>
    </row>
    <row r="60" spans="2:28" ht="15" thickBot="1" x14ac:dyDescent="0.35">
      <c r="B60" s="713"/>
      <c r="C60" s="714"/>
      <c r="D60" s="47"/>
      <c r="E60" s="47"/>
      <c r="F60" s="229" t="s">
        <v>14</v>
      </c>
      <c r="G60" s="6"/>
      <c r="H60" s="6"/>
      <c r="I60" s="6"/>
      <c r="J60" s="6"/>
      <c r="K60" s="6"/>
      <c r="L60" s="6"/>
      <c r="M60" s="35">
        <f t="shared" si="11"/>
        <v>0</v>
      </c>
      <c r="N60" s="6"/>
      <c r="O60" s="6"/>
      <c r="P60" s="717">
        <f>'Milling Down Time Hours'!M66</f>
        <v>0</v>
      </c>
      <c r="Q60" s="283"/>
      <c r="R60" s="717">
        <f>'Milling Down Time Hours'!L66</f>
        <v>0</v>
      </c>
      <c r="S60" s="6"/>
      <c r="T60" s="721"/>
      <c r="U60" s="721"/>
      <c r="V60" s="723"/>
      <c r="W60" s="177"/>
      <c r="X60" s="129"/>
      <c r="Y60" s="129"/>
    </row>
    <row r="61" spans="2:28" ht="15" thickBot="1" x14ac:dyDescent="0.35">
      <c r="B61" s="711">
        <v>46293</v>
      </c>
      <c r="C61" s="712"/>
      <c r="D61" s="6"/>
      <c r="E61" s="6"/>
      <c r="F61" s="27" t="s">
        <v>13</v>
      </c>
      <c r="G61" s="6"/>
      <c r="H61" s="6"/>
      <c r="I61" s="6"/>
      <c r="J61" s="6"/>
      <c r="K61" s="6"/>
      <c r="L61" s="6"/>
      <c r="M61" s="35">
        <f t="shared" si="11"/>
        <v>0</v>
      </c>
      <c r="N61" s="6"/>
      <c r="O61" s="6"/>
      <c r="P61" s="718"/>
      <c r="Q61" s="259"/>
      <c r="R61" s="718"/>
      <c r="S61" s="6"/>
      <c r="T61" s="722"/>
      <c r="U61" s="722"/>
      <c r="V61" s="724"/>
      <c r="W61" s="177"/>
      <c r="X61" s="129"/>
      <c r="Y61" s="129"/>
    </row>
    <row r="62" spans="2:28" ht="15" thickBot="1" x14ac:dyDescent="0.35">
      <c r="B62" s="713"/>
      <c r="C62" s="714"/>
      <c r="D62" s="47"/>
      <c r="E62" s="47"/>
      <c r="F62" s="229" t="s">
        <v>14</v>
      </c>
      <c r="G62" s="6"/>
      <c r="H62" s="6"/>
      <c r="I62" s="6"/>
      <c r="J62" s="6"/>
      <c r="K62" s="6"/>
      <c r="L62" s="51"/>
      <c r="M62" s="35">
        <f t="shared" si="11"/>
        <v>0</v>
      </c>
      <c r="N62" s="51"/>
      <c r="O62" s="6"/>
      <c r="P62" s="717">
        <f>'Milling Down Time Hours'!M34</f>
        <v>24</v>
      </c>
      <c r="Q62" s="283"/>
      <c r="R62" s="717">
        <f>'Milling Down Time Hours'!L68</f>
        <v>0</v>
      </c>
      <c r="S62" s="6"/>
      <c r="T62" s="729"/>
      <c r="U62" s="729"/>
      <c r="V62" s="731"/>
      <c r="W62" s="177">
        <f t="shared" ref="W62:W97" si="12">T62*M62</f>
        <v>0</v>
      </c>
      <c r="X62" s="129">
        <f t="shared" ref="X62:X97" si="13">M62*U62</f>
        <v>0</v>
      </c>
      <c r="Y62" s="129">
        <f t="shared" ref="Y62:Y97" si="14">M62*V62</f>
        <v>0</v>
      </c>
    </row>
    <row r="63" spans="2:28" ht="15" thickBot="1" x14ac:dyDescent="0.35">
      <c r="B63" s="711">
        <v>46294</v>
      </c>
      <c r="C63" s="712"/>
      <c r="D63" s="6"/>
      <c r="E63" s="6"/>
      <c r="F63" s="27" t="s">
        <v>13</v>
      </c>
      <c r="G63" s="6"/>
      <c r="H63" s="6"/>
      <c r="I63" s="6"/>
      <c r="J63" s="6"/>
      <c r="K63" s="6"/>
      <c r="L63" s="16"/>
      <c r="M63" s="35">
        <f t="shared" si="11"/>
        <v>0</v>
      </c>
      <c r="N63" s="16"/>
      <c r="O63" s="6"/>
      <c r="P63" s="718"/>
      <c r="Q63" s="259"/>
      <c r="R63" s="718"/>
      <c r="S63" s="6"/>
      <c r="T63" s="730"/>
      <c r="U63" s="730"/>
      <c r="V63" s="732"/>
      <c r="W63" s="177">
        <f t="shared" si="12"/>
        <v>0</v>
      </c>
      <c r="X63" s="129">
        <f t="shared" si="13"/>
        <v>0</v>
      </c>
      <c r="Y63" s="129">
        <f t="shared" si="14"/>
        <v>0</v>
      </c>
    </row>
    <row r="64" spans="2:28" ht="15" thickBot="1" x14ac:dyDescent="0.35">
      <c r="B64" s="713"/>
      <c r="C64" s="714"/>
      <c r="D64" s="47"/>
      <c r="E64" s="47"/>
      <c r="F64" s="229" t="s">
        <v>14</v>
      </c>
      <c r="G64" s="6"/>
      <c r="H64" s="6"/>
      <c r="I64" s="6"/>
      <c r="J64" s="6"/>
      <c r="K64" s="6"/>
      <c r="L64" s="16"/>
      <c r="M64" s="35">
        <f t="shared" si="11"/>
        <v>0</v>
      </c>
      <c r="N64" s="16"/>
      <c r="O64" s="6"/>
      <c r="P64" s="717">
        <f>'Milling Down Time Hours'!M35</f>
        <v>24</v>
      </c>
      <c r="Q64" s="283"/>
      <c r="R64" s="717">
        <f>'Milling Down Time Hours'!L70</f>
        <v>0</v>
      </c>
      <c r="S64" s="6"/>
      <c r="T64" s="729"/>
      <c r="U64" s="729"/>
      <c r="V64" s="733"/>
      <c r="W64" s="177">
        <f t="shared" si="12"/>
        <v>0</v>
      </c>
      <c r="X64" s="129">
        <f t="shared" si="13"/>
        <v>0</v>
      </c>
      <c r="Y64" s="129">
        <f t="shared" si="14"/>
        <v>0</v>
      </c>
    </row>
    <row r="65" spans="2:30" ht="15" thickBot="1" x14ac:dyDescent="0.35">
      <c r="B65" s="711">
        <v>46295</v>
      </c>
      <c r="C65" s="712"/>
      <c r="D65" s="6"/>
      <c r="E65" s="6"/>
      <c r="F65" s="27" t="s">
        <v>13</v>
      </c>
      <c r="G65" s="6"/>
      <c r="H65" s="6"/>
      <c r="I65" s="6"/>
      <c r="J65" s="6"/>
      <c r="K65" s="6"/>
      <c r="L65" s="16"/>
      <c r="M65" s="35">
        <f t="shared" si="11"/>
        <v>0</v>
      </c>
      <c r="N65" s="16"/>
      <c r="O65" s="6"/>
      <c r="P65" s="718"/>
      <c r="Q65" s="259"/>
      <c r="R65" s="718"/>
      <c r="S65" s="6"/>
      <c r="T65" s="730"/>
      <c r="U65" s="730"/>
      <c r="V65" s="734"/>
      <c r="W65" s="177">
        <f t="shared" si="12"/>
        <v>0</v>
      </c>
      <c r="X65" s="129">
        <f t="shared" si="13"/>
        <v>0</v>
      </c>
      <c r="Y65" s="129">
        <f t="shared" si="14"/>
        <v>0</v>
      </c>
    </row>
    <row r="66" spans="2:30" ht="15" thickBot="1" x14ac:dyDescent="0.35">
      <c r="B66" s="713"/>
      <c r="C66" s="714"/>
      <c r="D66" s="47"/>
      <c r="E66" s="47"/>
      <c r="F66" s="229" t="s">
        <v>14</v>
      </c>
      <c r="G66" s="6"/>
      <c r="H66" s="6"/>
      <c r="I66" s="6"/>
      <c r="J66" s="6"/>
      <c r="K66" s="6"/>
      <c r="L66" s="16"/>
      <c r="M66" s="35">
        <f t="shared" si="11"/>
        <v>0</v>
      </c>
      <c r="N66" s="16"/>
      <c r="O66" s="6"/>
      <c r="P66" s="735"/>
      <c r="Q66" s="587"/>
      <c r="R66" s="717">
        <f>'Milling Down Time Hours'!L72</f>
        <v>0</v>
      </c>
      <c r="S66" s="6"/>
      <c r="T66" s="729"/>
      <c r="U66" s="729"/>
      <c r="V66" s="733"/>
      <c r="W66" s="177">
        <f t="shared" si="12"/>
        <v>0</v>
      </c>
      <c r="X66" s="129">
        <f t="shared" si="13"/>
        <v>0</v>
      </c>
      <c r="Y66" s="129">
        <f t="shared" si="14"/>
        <v>0</v>
      </c>
    </row>
    <row r="67" spans="2:30" ht="15" thickBot="1" x14ac:dyDescent="0.35">
      <c r="B67" s="711">
        <v>46296</v>
      </c>
      <c r="C67" s="712"/>
      <c r="D67" s="6"/>
      <c r="E67" s="6"/>
      <c r="F67" s="27" t="s">
        <v>13</v>
      </c>
      <c r="G67" s="6"/>
      <c r="H67" s="6"/>
      <c r="I67" s="6"/>
      <c r="J67" s="6"/>
      <c r="K67" s="6"/>
      <c r="L67" s="16"/>
      <c r="M67" s="35">
        <f t="shared" si="11"/>
        <v>0</v>
      </c>
      <c r="N67" s="16"/>
      <c r="O67" s="6"/>
      <c r="P67" s="736"/>
      <c r="Q67" s="588"/>
      <c r="R67" s="718"/>
      <c r="S67" s="6"/>
      <c r="T67" s="730"/>
      <c r="U67" s="730"/>
      <c r="V67" s="734"/>
      <c r="W67" s="177">
        <f t="shared" si="12"/>
        <v>0</v>
      </c>
      <c r="X67" s="129">
        <f t="shared" si="13"/>
        <v>0</v>
      </c>
      <c r="Y67" s="129">
        <f t="shared" si="14"/>
        <v>0</v>
      </c>
    </row>
    <row r="68" spans="2:30" ht="15" thickBot="1" x14ac:dyDescent="0.35">
      <c r="B68" s="713"/>
      <c r="C68" s="714"/>
      <c r="D68" s="47"/>
      <c r="E68" s="47"/>
      <c r="F68" s="229" t="s">
        <v>14</v>
      </c>
      <c r="G68" s="6"/>
      <c r="H68" s="6"/>
      <c r="I68" s="6"/>
      <c r="J68" s="6"/>
      <c r="K68" s="6"/>
      <c r="L68" s="16"/>
      <c r="M68" s="35">
        <f t="shared" si="11"/>
        <v>0</v>
      </c>
      <c r="N68" s="16"/>
      <c r="O68" s="6"/>
      <c r="P68" s="717">
        <f>'Milling Down Time Hours'!M37</f>
        <v>24</v>
      </c>
      <c r="Q68" s="283"/>
      <c r="R68" s="717">
        <f>'Milling Down Time Hours'!L74</f>
        <v>0</v>
      </c>
      <c r="S68" s="6"/>
      <c r="T68" s="729"/>
      <c r="U68" s="729"/>
      <c r="V68" s="731"/>
      <c r="W68" s="177">
        <f t="shared" si="12"/>
        <v>0</v>
      </c>
      <c r="X68" s="129">
        <f t="shared" si="13"/>
        <v>0</v>
      </c>
      <c r="Y68" s="129">
        <f t="shared" si="14"/>
        <v>0</v>
      </c>
    </row>
    <row r="69" spans="2:30" ht="15" thickBot="1" x14ac:dyDescent="0.35">
      <c r="B69" s="711">
        <v>46297</v>
      </c>
      <c r="C69" s="712"/>
      <c r="D69" s="6"/>
      <c r="E69" s="6"/>
      <c r="F69" s="27" t="s">
        <v>13</v>
      </c>
      <c r="G69" s="6"/>
      <c r="H69" s="6"/>
      <c r="I69" s="6"/>
      <c r="J69" s="6"/>
      <c r="K69" s="6"/>
      <c r="L69" s="16"/>
      <c r="M69" s="35">
        <f t="shared" si="11"/>
        <v>0</v>
      </c>
      <c r="N69" s="16"/>
      <c r="O69" s="6"/>
      <c r="P69" s="718"/>
      <c r="Q69" s="259"/>
      <c r="R69" s="718"/>
      <c r="S69" s="6"/>
      <c r="T69" s="730"/>
      <c r="U69" s="730"/>
      <c r="V69" s="732"/>
      <c r="W69" s="177">
        <f t="shared" si="12"/>
        <v>0</v>
      </c>
      <c r="X69" s="129">
        <f t="shared" si="13"/>
        <v>0</v>
      </c>
      <c r="Y69" s="129">
        <f t="shared" si="14"/>
        <v>0</v>
      </c>
    </row>
    <row r="70" spans="2:30" ht="15" thickBot="1" x14ac:dyDescent="0.35">
      <c r="B70" s="713"/>
      <c r="C70" s="714"/>
      <c r="D70" s="47"/>
      <c r="E70" s="47"/>
      <c r="F70" s="229" t="s">
        <v>14</v>
      </c>
      <c r="G70" s="51"/>
      <c r="H70" s="6"/>
      <c r="I70" s="6"/>
      <c r="J70" s="6"/>
      <c r="K70" s="16"/>
      <c r="L70" s="51"/>
      <c r="M70" s="35">
        <f t="shared" si="11"/>
        <v>0</v>
      </c>
      <c r="N70" s="51"/>
      <c r="O70" s="6"/>
      <c r="P70" s="717">
        <f>'Milling Down Time Hours'!M38</f>
        <v>24</v>
      </c>
      <c r="Q70" s="283"/>
      <c r="R70" s="717">
        <f>'Milling Down Time Hours'!L76</f>
        <v>0</v>
      </c>
      <c r="S70" s="6"/>
      <c r="T70" s="729"/>
      <c r="U70" s="729"/>
      <c r="V70" s="731"/>
      <c r="W70" s="177">
        <f t="shared" si="12"/>
        <v>0</v>
      </c>
      <c r="X70" s="129">
        <f t="shared" si="13"/>
        <v>0</v>
      </c>
      <c r="Y70" s="129">
        <f t="shared" si="14"/>
        <v>0</v>
      </c>
    </row>
    <row r="71" spans="2:30" ht="15" thickBot="1" x14ac:dyDescent="0.35">
      <c r="B71" s="711">
        <v>46298</v>
      </c>
      <c r="C71" s="712"/>
      <c r="D71" s="6"/>
      <c r="E71" s="6"/>
      <c r="F71" s="27" t="s">
        <v>13</v>
      </c>
      <c r="G71" s="16"/>
      <c r="H71" s="6"/>
      <c r="I71" s="6"/>
      <c r="J71" s="6"/>
      <c r="K71" s="16"/>
      <c r="L71" s="16"/>
      <c r="M71" s="35">
        <f t="shared" si="11"/>
        <v>0</v>
      </c>
      <c r="N71" s="16"/>
      <c r="O71" s="6"/>
      <c r="P71" s="718"/>
      <c r="Q71" s="259"/>
      <c r="R71" s="718"/>
      <c r="S71" s="6"/>
      <c r="T71" s="730"/>
      <c r="U71" s="730"/>
      <c r="V71" s="732"/>
      <c r="W71" s="177">
        <f t="shared" si="12"/>
        <v>0</v>
      </c>
      <c r="X71" s="129">
        <f t="shared" si="13"/>
        <v>0</v>
      </c>
      <c r="Y71" s="129">
        <f t="shared" si="14"/>
        <v>0</v>
      </c>
    </row>
    <row r="72" spans="2:30" ht="15" thickBot="1" x14ac:dyDescent="0.35">
      <c r="B72" s="713"/>
      <c r="C72" s="714"/>
      <c r="D72" s="47"/>
      <c r="E72" s="47"/>
      <c r="F72" s="229" t="s">
        <v>14</v>
      </c>
      <c r="G72" s="51"/>
      <c r="H72" s="6"/>
      <c r="I72" s="6"/>
      <c r="J72" s="6"/>
      <c r="K72" s="16"/>
      <c r="L72" s="51"/>
      <c r="M72" s="35">
        <f t="shared" ref="M72:M97" si="15">H72*K72*G72</f>
        <v>0</v>
      </c>
      <c r="N72" s="51"/>
      <c r="O72" s="6"/>
      <c r="P72" s="717">
        <f>'Milling Down Time Hours'!M39</f>
        <v>24</v>
      </c>
      <c r="Q72" s="283"/>
      <c r="R72" s="717">
        <f>'Milling Down Time Hours'!L78</f>
        <v>0</v>
      </c>
      <c r="S72" s="6"/>
      <c r="T72" s="729"/>
      <c r="U72" s="729"/>
      <c r="V72" s="731"/>
      <c r="W72" s="177">
        <f t="shared" si="12"/>
        <v>0</v>
      </c>
      <c r="X72" s="129">
        <f t="shared" si="13"/>
        <v>0</v>
      </c>
      <c r="Y72" s="129">
        <f t="shared" si="14"/>
        <v>0</v>
      </c>
    </row>
    <row r="73" spans="2:30" ht="15" thickBot="1" x14ac:dyDescent="0.35">
      <c r="B73" s="711">
        <v>46299</v>
      </c>
      <c r="C73" s="712"/>
      <c r="D73" s="6"/>
      <c r="E73" s="6"/>
      <c r="F73" s="27" t="s">
        <v>13</v>
      </c>
      <c r="G73" s="16"/>
      <c r="H73" s="6"/>
      <c r="I73" s="6"/>
      <c r="J73" s="6"/>
      <c r="K73" s="16"/>
      <c r="L73" s="16"/>
      <c r="M73" s="35">
        <f t="shared" si="15"/>
        <v>0</v>
      </c>
      <c r="N73" s="16"/>
      <c r="O73" s="6"/>
      <c r="P73" s="718"/>
      <c r="Q73" s="259"/>
      <c r="R73" s="718"/>
      <c r="S73" s="6"/>
      <c r="T73" s="730"/>
      <c r="U73" s="730"/>
      <c r="V73" s="732"/>
      <c r="W73" s="177">
        <f t="shared" si="12"/>
        <v>0</v>
      </c>
      <c r="X73" s="129">
        <f t="shared" si="13"/>
        <v>0</v>
      </c>
      <c r="Y73" s="129">
        <f t="shared" si="14"/>
        <v>0</v>
      </c>
      <c r="AD73" s="1">
        <v>0.41899999999999998</v>
      </c>
    </row>
    <row r="74" spans="2:30" ht="15" thickBot="1" x14ac:dyDescent="0.35">
      <c r="B74" s="713"/>
      <c r="C74" s="714"/>
      <c r="D74" s="47"/>
      <c r="E74" s="47"/>
      <c r="F74" s="229" t="s">
        <v>14</v>
      </c>
      <c r="G74" s="16"/>
      <c r="H74" s="6"/>
      <c r="I74" s="6"/>
      <c r="J74" s="6"/>
      <c r="K74" s="16"/>
      <c r="L74" s="16"/>
      <c r="M74" s="35">
        <f t="shared" si="15"/>
        <v>0</v>
      </c>
      <c r="N74" s="16"/>
      <c r="O74" s="6"/>
      <c r="P74" s="717">
        <f>'Milling Down Time Hours'!M40</f>
        <v>24</v>
      </c>
      <c r="Q74" s="283"/>
      <c r="R74" s="717">
        <f>'Milling Down Time Hours'!L80</f>
        <v>0</v>
      </c>
      <c r="S74" s="6"/>
      <c r="T74" s="721"/>
      <c r="U74" s="721"/>
      <c r="V74" s="723"/>
      <c r="W74" s="177">
        <f t="shared" si="12"/>
        <v>0</v>
      </c>
      <c r="X74" s="129">
        <f t="shared" si="13"/>
        <v>0</v>
      </c>
      <c r="Y74" s="129">
        <f t="shared" si="14"/>
        <v>0</v>
      </c>
      <c r="AD74" s="1">
        <v>0.41299999999999998</v>
      </c>
    </row>
    <row r="75" spans="2:30" ht="15" thickBot="1" x14ac:dyDescent="0.35">
      <c r="B75" s="711">
        <v>46300</v>
      </c>
      <c r="C75" s="712"/>
      <c r="D75" s="6"/>
      <c r="E75" s="6"/>
      <c r="F75" s="27" t="s">
        <v>13</v>
      </c>
      <c r="G75" s="16"/>
      <c r="H75" s="6"/>
      <c r="I75" s="6"/>
      <c r="J75" s="6"/>
      <c r="K75" s="16"/>
      <c r="L75" s="16"/>
      <c r="M75" s="35">
        <f t="shared" si="15"/>
        <v>0</v>
      </c>
      <c r="N75" s="16"/>
      <c r="O75" s="6"/>
      <c r="P75" s="718"/>
      <c r="Q75" s="259"/>
      <c r="R75" s="718"/>
      <c r="S75" s="6"/>
      <c r="T75" s="722"/>
      <c r="U75" s="722"/>
      <c r="V75" s="724"/>
      <c r="W75" s="177">
        <f t="shared" si="12"/>
        <v>0</v>
      </c>
      <c r="X75" s="129">
        <f t="shared" si="13"/>
        <v>0</v>
      </c>
      <c r="Y75" s="129">
        <f t="shared" si="14"/>
        <v>0</v>
      </c>
      <c r="AD75" s="1">
        <v>0.40400000000000003</v>
      </c>
    </row>
    <row r="76" spans="2:30" ht="15" thickBot="1" x14ac:dyDescent="0.35">
      <c r="B76" s="713"/>
      <c r="C76" s="714"/>
      <c r="D76" s="47"/>
      <c r="E76" s="47"/>
      <c r="F76" s="229" t="s">
        <v>14</v>
      </c>
      <c r="G76" s="51"/>
      <c r="H76" s="6"/>
      <c r="I76" s="6"/>
      <c r="J76" s="6"/>
      <c r="K76" s="16"/>
      <c r="L76" s="51"/>
      <c r="M76" s="35">
        <f t="shared" si="15"/>
        <v>0</v>
      </c>
      <c r="N76" s="51"/>
      <c r="O76" s="6"/>
      <c r="P76" s="717">
        <f>'Milling Down Time Hours'!M41</f>
        <v>24</v>
      </c>
      <c r="Q76" s="283"/>
      <c r="R76" s="717">
        <f>'Milling Down Time Hours'!L82</f>
        <v>0</v>
      </c>
      <c r="S76" s="6"/>
      <c r="T76" s="729"/>
      <c r="U76" s="729"/>
      <c r="V76" s="731"/>
      <c r="W76" s="177">
        <f t="shared" si="12"/>
        <v>0</v>
      </c>
      <c r="X76" s="129">
        <f t="shared" si="13"/>
        <v>0</v>
      </c>
      <c r="Y76" s="129">
        <f t="shared" si="14"/>
        <v>0</v>
      </c>
      <c r="AD76" s="1">
        <v>0.47</v>
      </c>
    </row>
    <row r="77" spans="2:30" ht="15" thickBot="1" x14ac:dyDescent="0.35">
      <c r="B77" s="711">
        <v>46301</v>
      </c>
      <c r="C77" s="712"/>
      <c r="D77" s="6"/>
      <c r="E77" s="6"/>
      <c r="F77" s="27" t="s">
        <v>13</v>
      </c>
      <c r="G77" s="16"/>
      <c r="H77" s="6"/>
      <c r="I77" s="6"/>
      <c r="J77" s="6"/>
      <c r="K77" s="6"/>
      <c r="L77" s="16"/>
      <c r="M77" s="35">
        <f t="shared" si="15"/>
        <v>0</v>
      </c>
      <c r="N77" s="16"/>
      <c r="O77" s="6"/>
      <c r="P77" s="718"/>
      <c r="Q77" s="259"/>
      <c r="R77" s="718"/>
      <c r="S77" s="6"/>
      <c r="T77" s="730"/>
      <c r="U77" s="730"/>
      <c r="V77" s="732"/>
      <c r="W77" s="177">
        <f t="shared" si="12"/>
        <v>0</v>
      </c>
      <c r="X77" s="129">
        <f t="shared" si="13"/>
        <v>0</v>
      </c>
      <c r="Y77" s="129">
        <f t="shared" si="14"/>
        <v>0</v>
      </c>
      <c r="AD77" s="1">
        <v>0.46500000000000002</v>
      </c>
    </row>
    <row r="78" spans="2:30" ht="14.55" hidden="1" customHeight="1" thickBot="1" x14ac:dyDescent="0.35">
      <c r="B78" s="715"/>
      <c r="C78" s="716"/>
      <c r="D78" s="47"/>
      <c r="E78" s="47"/>
      <c r="F78" s="229" t="s">
        <v>14</v>
      </c>
      <c r="G78" s="51"/>
      <c r="H78" s="6"/>
      <c r="I78" s="6"/>
      <c r="J78" s="6"/>
      <c r="K78" s="16"/>
      <c r="L78" s="16"/>
      <c r="M78" s="35">
        <f t="shared" si="15"/>
        <v>0</v>
      </c>
      <c r="N78" s="16"/>
      <c r="O78" s="6"/>
      <c r="P78" s="717">
        <f>'Milling Down Time Hours'!M42</f>
        <v>24</v>
      </c>
      <c r="Q78" s="283"/>
      <c r="R78" s="717">
        <f>'Milling Down Time Hours'!L84</f>
        <v>0</v>
      </c>
      <c r="S78" s="6"/>
      <c r="T78" s="729">
        <v>0.35699999999999998</v>
      </c>
      <c r="U78" s="729">
        <v>1.056</v>
      </c>
      <c r="V78" s="731">
        <v>32.25</v>
      </c>
      <c r="W78" s="177">
        <f t="shared" si="12"/>
        <v>0</v>
      </c>
      <c r="X78" s="129">
        <f t="shared" si="13"/>
        <v>0</v>
      </c>
      <c r="Y78" s="129">
        <f t="shared" si="14"/>
        <v>0</v>
      </c>
      <c r="AD78" s="1">
        <v>0.51600000000000001</v>
      </c>
    </row>
    <row r="79" spans="2:30" ht="15" hidden="1" customHeight="1" thickBot="1" x14ac:dyDescent="0.35">
      <c r="B79" s="715"/>
      <c r="C79" s="716"/>
      <c r="D79" s="6"/>
      <c r="E79" s="6"/>
      <c r="F79" s="27" t="s">
        <v>13</v>
      </c>
      <c r="G79" s="6"/>
      <c r="H79" s="6"/>
      <c r="I79" s="6"/>
      <c r="J79" s="6"/>
      <c r="K79" s="6"/>
      <c r="L79" s="16"/>
      <c r="M79" s="35">
        <f t="shared" si="15"/>
        <v>0</v>
      </c>
      <c r="N79" s="16"/>
      <c r="O79" s="6"/>
      <c r="P79" s="718"/>
      <c r="Q79" s="259"/>
      <c r="R79" s="718"/>
      <c r="S79" s="6"/>
      <c r="T79" s="730"/>
      <c r="U79" s="730"/>
      <c r="V79" s="732"/>
      <c r="W79" s="177">
        <f t="shared" si="12"/>
        <v>0</v>
      </c>
      <c r="X79" s="129">
        <f t="shared" si="13"/>
        <v>0</v>
      </c>
      <c r="Y79" s="129">
        <f t="shared" si="14"/>
        <v>0</v>
      </c>
      <c r="AD79" s="131">
        <f>AVERAGE(AD73:AD78)</f>
        <v>0.44783333333333331</v>
      </c>
    </row>
    <row r="80" spans="2:30" ht="14.55" hidden="1" customHeight="1" thickBot="1" x14ac:dyDescent="0.35">
      <c r="B80" s="715"/>
      <c r="C80" s="716"/>
      <c r="D80" s="47"/>
      <c r="E80" s="47"/>
      <c r="F80" s="229" t="s">
        <v>14</v>
      </c>
      <c r="G80" s="6"/>
      <c r="H80" s="6"/>
      <c r="I80" s="6"/>
      <c r="J80" s="6"/>
      <c r="K80" s="6"/>
      <c r="L80" s="16"/>
      <c r="M80" s="35">
        <f t="shared" si="15"/>
        <v>0</v>
      </c>
      <c r="N80" s="16"/>
      <c r="O80" s="6"/>
      <c r="P80" s="717">
        <f>'Milling Down Time Hours'!M86</f>
        <v>0</v>
      </c>
      <c r="Q80" s="283"/>
      <c r="R80" s="717">
        <f>'Milling Down Time Hours'!L86</f>
        <v>0</v>
      </c>
      <c r="S80" s="6"/>
      <c r="T80" s="721" t="e">
        <f>SUM(#REF!)</f>
        <v>#REF!</v>
      </c>
      <c r="U80" s="721" t="e">
        <f t="shared" ref="U80" si="16">SUM(T80:T82)</f>
        <v>#REF!</v>
      </c>
      <c r="V80" s="723" t="e">
        <f t="shared" ref="V80" si="17">SUM(U80:U82)</f>
        <v>#REF!</v>
      </c>
      <c r="W80" s="177" t="e">
        <f t="shared" si="12"/>
        <v>#REF!</v>
      </c>
      <c r="X80" s="129" t="e">
        <f t="shared" si="13"/>
        <v>#REF!</v>
      </c>
      <c r="Y80" s="129" t="e">
        <f t="shared" si="14"/>
        <v>#REF!</v>
      </c>
    </row>
    <row r="81" spans="2:25" ht="15" hidden="1" customHeight="1" thickBot="1" x14ac:dyDescent="0.35">
      <c r="B81" s="715"/>
      <c r="C81" s="716"/>
      <c r="D81" s="6"/>
      <c r="E81" s="6"/>
      <c r="F81" s="27" t="s">
        <v>13</v>
      </c>
      <c r="G81" s="6"/>
      <c r="H81" s="6"/>
      <c r="I81" s="6"/>
      <c r="J81" s="6"/>
      <c r="K81" s="6"/>
      <c r="L81" s="16"/>
      <c r="M81" s="35">
        <f t="shared" si="15"/>
        <v>0</v>
      </c>
      <c r="N81" s="16"/>
      <c r="O81" s="6"/>
      <c r="P81" s="718"/>
      <c r="Q81" s="259"/>
      <c r="R81" s="718"/>
      <c r="S81" s="6"/>
      <c r="T81" s="722"/>
      <c r="U81" s="722"/>
      <c r="V81" s="724"/>
      <c r="W81" s="177">
        <f t="shared" si="12"/>
        <v>0</v>
      </c>
      <c r="X81" s="129">
        <f t="shared" si="13"/>
        <v>0</v>
      </c>
      <c r="Y81" s="129">
        <f t="shared" si="14"/>
        <v>0</v>
      </c>
    </row>
    <row r="82" spans="2:25" ht="14.55" hidden="1" customHeight="1" thickBot="1" x14ac:dyDescent="0.35">
      <c r="B82" s="715"/>
      <c r="C82" s="716"/>
      <c r="D82" s="47"/>
      <c r="E82" s="47"/>
      <c r="F82" s="229" t="s">
        <v>14</v>
      </c>
      <c r="G82" s="6"/>
      <c r="H82" s="6"/>
      <c r="I82" s="6"/>
      <c r="J82" s="6"/>
      <c r="K82" s="6"/>
      <c r="L82" s="16"/>
      <c r="M82" s="35">
        <f t="shared" si="15"/>
        <v>0</v>
      </c>
      <c r="N82" s="16"/>
      <c r="O82" s="6"/>
      <c r="P82" s="717">
        <f>'Milling Down Time Hours'!M88</f>
        <v>0</v>
      </c>
      <c r="Q82" s="283"/>
      <c r="R82" s="717">
        <f>'Milling Down Time Hours'!L88</f>
        <v>0</v>
      </c>
      <c r="S82" s="6"/>
      <c r="T82" s="721" t="e">
        <f>SUM(#REF!)</f>
        <v>#REF!</v>
      </c>
      <c r="U82" s="721" t="e">
        <f t="shared" ref="U82" si="18">SUM(T82:T84)</f>
        <v>#REF!</v>
      </c>
      <c r="V82" s="723" t="e">
        <f t="shared" ref="V82" si="19">SUM(U82:U84)</f>
        <v>#REF!</v>
      </c>
      <c r="W82" s="177" t="e">
        <f t="shared" si="12"/>
        <v>#REF!</v>
      </c>
      <c r="X82" s="129" t="e">
        <f t="shared" si="13"/>
        <v>#REF!</v>
      </c>
      <c r="Y82" s="129" t="e">
        <f t="shared" si="14"/>
        <v>#REF!</v>
      </c>
    </row>
    <row r="83" spans="2:25" ht="15" hidden="1" customHeight="1" thickBot="1" x14ac:dyDescent="0.35">
      <c r="B83" s="715"/>
      <c r="C83" s="716"/>
      <c r="D83" s="6"/>
      <c r="E83" s="6"/>
      <c r="F83" s="27" t="s">
        <v>13</v>
      </c>
      <c r="G83" s="6"/>
      <c r="H83" s="6"/>
      <c r="I83" s="6"/>
      <c r="J83" s="6"/>
      <c r="K83" s="6"/>
      <c r="L83" s="16"/>
      <c r="M83" s="35">
        <f t="shared" si="15"/>
        <v>0</v>
      </c>
      <c r="N83" s="16"/>
      <c r="O83" s="6"/>
      <c r="P83" s="718"/>
      <c r="Q83" s="259"/>
      <c r="R83" s="718"/>
      <c r="S83" s="6"/>
      <c r="T83" s="722"/>
      <c r="U83" s="722"/>
      <c r="V83" s="724"/>
      <c r="W83" s="177">
        <f t="shared" si="12"/>
        <v>0</v>
      </c>
      <c r="X83" s="129">
        <f t="shared" si="13"/>
        <v>0</v>
      </c>
      <c r="Y83" s="129">
        <f t="shared" si="14"/>
        <v>0</v>
      </c>
    </row>
    <row r="84" spans="2:25" ht="14.55" hidden="1" customHeight="1" thickBot="1" x14ac:dyDescent="0.35">
      <c r="B84" s="715"/>
      <c r="C84" s="716"/>
      <c r="D84" s="47"/>
      <c r="E84" s="47"/>
      <c r="F84" s="229" t="s">
        <v>14</v>
      </c>
      <c r="G84" s="6"/>
      <c r="H84" s="6"/>
      <c r="I84" s="6"/>
      <c r="J84" s="6"/>
      <c r="K84" s="6"/>
      <c r="L84" s="16"/>
      <c r="M84" s="35">
        <f t="shared" si="15"/>
        <v>0</v>
      </c>
      <c r="N84" s="16"/>
      <c r="O84" s="6"/>
      <c r="P84" s="717">
        <f>'Milling Down Time Hours'!M90</f>
        <v>0</v>
      </c>
      <c r="Q84" s="283"/>
      <c r="R84" s="717">
        <f>'Milling Down Time Hours'!L90</f>
        <v>0</v>
      </c>
      <c r="S84" s="6"/>
      <c r="T84" s="721" t="e">
        <f>SUM(#REF!)</f>
        <v>#REF!</v>
      </c>
      <c r="U84" s="721" t="e">
        <f t="shared" ref="U84" si="20">SUM(T84:T86)</f>
        <v>#REF!</v>
      </c>
      <c r="V84" s="723" t="e">
        <f t="shared" ref="V84" si="21">SUM(U84:U86)</f>
        <v>#REF!</v>
      </c>
      <c r="W84" s="177" t="e">
        <f t="shared" si="12"/>
        <v>#REF!</v>
      </c>
      <c r="X84" s="129" t="e">
        <f t="shared" si="13"/>
        <v>#REF!</v>
      </c>
      <c r="Y84" s="129" t="e">
        <f t="shared" si="14"/>
        <v>#REF!</v>
      </c>
    </row>
    <row r="85" spans="2:25" ht="15" hidden="1" customHeight="1" thickBot="1" x14ac:dyDescent="0.35">
      <c r="B85" s="715"/>
      <c r="C85" s="716"/>
      <c r="D85" s="6"/>
      <c r="E85" s="6"/>
      <c r="F85" s="27" t="s">
        <v>13</v>
      </c>
      <c r="G85" s="6"/>
      <c r="H85" s="6"/>
      <c r="I85" s="6"/>
      <c r="J85" s="6"/>
      <c r="K85" s="6"/>
      <c r="L85" s="16"/>
      <c r="M85" s="35">
        <f t="shared" si="15"/>
        <v>0</v>
      </c>
      <c r="N85" s="16"/>
      <c r="O85" s="6"/>
      <c r="P85" s="718"/>
      <c r="Q85" s="259"/>
      <c r="R85" s="718"/>
      <c r="S85" s="6"/>
      <c r="T85" s="722"/>
      <c r="U85" s="722"/>
      <c r="V85" s="724"/>
      <c r="W85" s="177">
        <f t="shared" si="12"/>
        <v>0</v>
      </c>
      <c r="X85" s="129">
        <f t="shared" si="13"/>
        <v>0</v>
      </c>
      <c r="Y85" s="129">
        <f t="shared" si="14"/>
        <v>0</v>
      </c>
    </row>
    <row r="86" spans="2:25" ht="14.55" hidden="1" customHeight="1" thickBot="1" x14ac:dyDescent="0.35">
      <c r="B86" s="715"/>
      <c r="C86" s="716"/>
      <c r="D86" s="47"/>
      <c r="E86" s="47"/>
      <c r="F86" s="229" t="s">
        <v>14</v>
      </c>
      <c r="G86" s="6"/>
      <c r="H86" s="6"/>
      <c r="I86" s="6"/>
      <c r="J86" s="6"/>
      <c r="K86" s="6"/>
      <c r="L86" s="16"/>
      <c r="M86" s="35">
        <f t="shared" si="15"/>
        <v>0</v>
      </c>
      <c r="N86" s="16"/>
      <c r="O86" s="6"/>
      <c r="P86" s="717">
        <f>'Milling Down Time Hours'!M92</f>
        <v>0</v>
      </c>
      <c r="Q86" s="283"/>
      <c r="R86" s="717">
        <f>'Milling Down Time Hours'!L92</f>
        <v>0</v>
      </c>
      <c r="S86" s="6"/>
      <c r="T86" s="721" t="e">
        <f>SUM(#REF!)</f>
        <v>#REF!</v>
      </c>
      <c r="U86" s="721" t="e">
        <f t="shared" ref="U86" si="22">SUM(T86:T88)</f>
        <v>#REF!</v>
      </c>
      <c r="V86" s="723" t="e">
        <f t="shared" ref="V86" si="23">SUM(U86:U88)</f>
        <v>#REF!</v>
      </c>
      <c r="W86" s="177" t="e">
        <f t="shared" si="12"/>
        <v>#REF!</v>
      </c>
      <c r="X86" s="129" t="e">
        <f t="shared" si="13"/>
        <v>#REF!</v>
      </c>
      <c r="Y86" s="129" t="e">
        <f t="shared" si="14"/>
        <v>#REF!</v>
      </c>
    </row>
    <row r="87" spans="2:25" ht="15" hidden="1" customHeight="1" thickBot="1" x14ac:dyDescent="0.35">
      <c r="B87" s="715"/>
      <c r="C87" s="716"/>
      <c r="D87" s="6"/>
      <c r="E87" s="6"/>
      <c r="F87" s="27" t="s">
        <v>13</v>
      </c>
      <c r="G87" s="6"/>
      <c r="H87" s="6"/>
      <c r="I87" s="6"/>
      <c r="J87" s="6"/>
      <c r="K87" s="6"/>
      <c r="L87" s="16"/>
      <c r="M87" s="35">
        <f t="shared" si="15"/>
        <v>0</v>
      </c>
      <c r="N87" s="16"/>
      <c r="O87" s="6"/>
      <c r="P87" s="718"/>
      <c r="Q87" s="259"/>
      <c r="R87" s="718"/>
      <c r="S87" s="6"/>
      <c r="T87" s="722"/>
      <c r="U87" s="722"/>
      <c r="V87" s="724"/>
      <c r="W87" s="177">
        <f t="shared" si="12"/>
        <v>0</v>
      </c>
      <c r="X87" s="129">
        <f t="shared" si="13"/>
        <v>0</v>
      </c>
      <c r="Y87" s="129">
        <f t="shared" si="14"/>
        <v>0</v>
      </c>
    </row>
    <row r="88" spans="2:25" ht="14.55" hidden="1" customHeight="1" thickBot="1" x14ac:dyDescent="0.35">
      <c r="B88" s="715"/>
      <c r="C88" s="716"/>
      <c r="D88" s="47"/>
      <c r="E88" s="47"/>
      <c r="F88" s="229" t="s">
        <v>14</v>
      </c>
      <c r="G88" s="6"/>
      <c r="H88" s="6"/>
      <c r="I88" s="6"/>
      <c r="J88" s="6"/>
      <c r="K88" s="6"/>
      <c r="L88" s="16"/>
      <c r="M88" s="35">
        <f t="shared" si="15"/>
        <v>0</v>
      </c>
      <c r="N88" s="16"/>
      <c r="O88" s="6"/>
      <c r="P88" s="717">
        <f>'Milling Down Time Hours'!M94</f>
        <v>0</v>
      </c>
      <c r="Q88" s="283"/>
      <c r="R88" s="717">
        <f>'Milling Down Time Hours'!L94</f>
        <v>0</v>
      </c>
      <c r="S88" s="6"/>
      <c r="T88" s="721" t="e">
        <f>SUM(#REF!)</f>
        <v>#REF!</v>
      </c>
      <c r="U88" s="721" t="e">
        <f t="shared" ref="U88" si="24">SUM(T88:T90)</f>
        <v>#REF!</v>
      </c>
      <c r="V88" s="723" t="e">
        <f t="shared" ref="V88" si="25">SUM(U88:U90)</f>
        <v>#REF!</v>
      </c>
      <c r="W88" s="177" t="e">
        <f t="shared" si="12"/>
        <v>#REF!</v>
      </c>
      <c r="X88" s="129" t="e">
        <f t="shared" si="13"/>
        <v>#REF!</v>
      </c>
      <c r="Y88" s="129" t="e">
        <f t="shared" si="14"/>
        <v>#REF!</v>
      </c>
    </row>
    <row r="89" spans="2:25" ht="15" hidden="1" customHeight="1" thickBot="1" x14ac:dyDescent="0.35">
      <c r="B89" s="715"/>
      <c r="C89" s="716"/>
      <c r="D89" s="6"/>
      <c r="E89" s="6"/>
      <c r="F89" s="27" t="s">
        <v>13</v>
      </c>
      <c r="G89" s="6"/>
      <c r="H89" s="6"/>
      <c r="I89" s="6"/>
      <c r="J89" s="6"/>
      <c r="K89" s="6"/>
      <c r="L89" s="16"/>
      <c r="M89" s="35">
        <f t="shared" si="15"/>
        <v>0</v>
      </c>
      <c r="N89" s="16"/>
      <c r="O89" s="6"/>
      <c r="P89" s="718"/>
      <c r="Q89" s="259"/>
      <c r="R89" s="718"/>
      <c r="S89" s="6"/>
      <c r="T89" s="722"/>
      <c r="U89" s="722"/>
      <c r="V89" s="724"/>
      <c r="W89" s="177">
        <f t="shared" si="12"/>
        <v>0</v>
      </c>
      <c r="X89" s="129">
        <f t="shared" si="13"/>
        <v>0</v>
      </c>
      <c r="Y89" s="129">
        <f t="shared" si="14"/>
        <v>0</v>
      </c>
    </row>
    <row r="90" spans="2:25" ht="14.55" hidden="1" customHeight="1" thickBot="1" x14ac:dyDescent="0.35">
      <c r="B90" s="715"/>
      <c r="C90" s="716"/>
      <c r="D90" s="47"/>
      <c r="E90" s="47"/>
      <c r="F90" s="229" t="s">
        <v>14</v>
      </c>
      <c r="G90" s="6"/>
      <c r="H90" s="6"/>
      <c r="I90" s="6"/>
      <c r="J90" s="6"/>
      <c r="K90" s="6"/>
      <c r="L90" s="16"/>
      <c r="M90" s="35">
        <f t="shared" si="15"/>
        <v>0</v>
      </c>
      <c r="N90" s="16"/>
      <c r="O90" s="6"/>
      <c r="P90" s="717">
        <f>'Milling Down Time Hours'!M96</f>
        <v>0</v>
      </c>
      <c r="Q90" s="283"/>
      <c r="R90" s="717">
        <f>'Milling Down Time Hours'!L96</f>
        <v>0</v>
      </c>
      <c r="S90" s="6"/>
      <c r="T90" s="721" t="e">
        <f>SUM(#REF!)</f>
        <v>#REF!</v>
      </c>
      <c r="U90" s="721" t="e">
        <f t="shared" ref="U90" si="26">SUM(T90:T92)</f>
        <v>#REF!</v>
      </c>
      <c r="V90" s="723" t="e">
        <f t="shared" ref="V90" si="27">SUM(U90:U92)</f>
        <v>#REF!</v>
      </c>
      <c r="W90" s="177" t="e">
        <f t="shared" si="12"/>
        <v>#REF!</v>
      </c>
      <c r="X90" s="129" t="e">
        <f t="shared" si="13"/>
        <v>#REF!</v>
      </c>
      <c r="Y90" s="129" t="e">
        <f t="shared" si="14"/>
        <v>#REF!</v>
      </c>
    </row>
    <row r="91" spans="2:25" ht="15" hidden="1" customHeight="1" thickBot="1" x14ac:dyDescent="0.35">
      <c r="B91" s="715"/>
      <c r="C91" s="716"/>
      <c r="D91" s="6"/>
      <c r="E91" s="6"/>
      <c r="F91" s="27" t="s">
        <v>13</v>
      </c>
      <c r="G91" s="6"/>
      <c r="H91" s="6"/>
      <c r="I91" s="6"/>
      <c r="J91" s="6"/>
      <c r="K91" s="6"/>
      <c r="L91" s="16"/>
      <c r="M91" s="35">
        <f t="shared" si="15"/>
        <v>0</v>
      </c>
      <c r="N91" s="16"/>
      <c r="O91" s="6"/>
      <c r="P91" s="718"/>
      <c r="Q91" s="259"/>
      <c r="R91" s="718"/>
      <c r="S91" s="6"/>
      <c r="T91" s="722"/>
      <c r="U91" s="722"/>
      <c r="V91" s="724"/>
      <c r="W91" s="177">
        <f t="shared" si="12"/>
        <v>0</v>
      </c>
      <c r="X91" s="129">
        <f t="shared" si="13"/>
        <v>0</v>
      </c>
      <c r="Y91" s="129">
        <f t="shared" si="14"/>
        <v>0</v>
      </c>
    </row>
    <row r="92" spans="2:25" ht="14.55" hidden="1" customHeight="1" thickBot="1" x14ac:dyDescent="0.35">
      <c r="B92" s="715"/>
      <c r="C92" s="716"/>
      <c r="D92" s="47"/>
      <c r="E92" s="47"/>
      <c r="F92" s="229" t="s">
        <v>14</v>
      </c>
      <c r="G92" s="6"/>
      <c r="H92" s="6"/>
      <c r="I92" s="6"/>
      <c r="J92" s="6"/>
      <c r="K92" s="6"/>
      <c r="L92" s="16"/>
      <c r="M92" s="35">
        <f t="shared" si="15"/>
        <v>0</v>
      </c>
      <c r="N92" s="16"/>
      <c r="O92" s="6"/>
      <c r="P92" s="717">
        <f>'Milling Down Time Hours'!M98</f>
        <v>0</v>
      </c>
      <c r="Q92" s="283"/>
      <c r="R92" s="717">
        <f>'Milling Down Time Hours'!L98</f>
        <v>0</v>
      </c>
      <c r="S92" s="6"/>
      <c r="T92" s="721" t="e">
        <f>SUM(#REF!)</f>
        <v>#REF!</v>
      </c>
      <c r="U92" s="721" t="e">
        <f t="shared" ref="U92" si="28">SUM(T92:T94)</f>
        <v>#REF!</v>
      </c>
      <c r="V92" s="723" t="e">
        <f t="shared" ref="V92" si="29">SUM(U92:U94)</f>
        <v>#REF!</v>
      </c>
      <c r="W92" s="177" t="e">
        <f t="shared" si="12"/>
        <v>#REF!</v>
      </c>
      <c r="X92" s="129" t="e">
        <f t="shared" si="13"/>
        <v>#REF!</v>
      </c>
      <c r="Y92" s="129" t="e">
        <f t="shared" si="14"/>
        <v>#REF!</v>
      </c>
    </row>
    <row r="93" spans="2:25" ht="15" hidden="1" customHeight="1" thickBot="1" x14ac:dyDescent="0.35">
      <c r="B93" s="715"/>
      <c r="C93" s="716"/>
      <c r="D93" s="6"/>
      <c r="E93" s="6"/>
      <c r="F93" s="27" t="s">
        <v>13</v>
      </c>
      <c r="G93" s="6"/>
      <c r="H93" s="6"/>
      <c r="I93" s="6"/>
      <c r="J93" s="6"/>
      <c r="K93" s="6"/>
      <c r="L93" s="16"/>
      <c r="M93" s="35">
        <f t="shared" si="15"/>
        <v>0</v>
      </c>
      <c r="N93" s="16"/>
      <c r="O93" s="6"/>
      <c r="P93" s="718"/>
      <c r="Q93" s="259"/>
      <c r="R93" s="718"/>
      <c r="S93" s="6"/>
      <c r="T93" s="722"/>
      <c r="U93" s="722"/>
      <c r="V93" s="724"/>
      <c r="W93" s="177">
        <f t="shared" si="12"/>
        <v>0</v>
      </c>
      <c r="X93" s="129">
        <f t="shared" si="13"/>
        <v>0</v>
      </c>
      <c r="Y93" s="129">
        <f t="shared" si="14"/>
        <v>0</v>
      </c>
    </row>
    <row r="94" spans="2:25" ht="14.55" hidden="1" customHeight="1" thickBot="1" x14ac:dyDescent="0.35">
      <c r="B94" s="715"/>
      <c r="C94" s="716"/>
      <c r="D94" s="47"/>
      <c r="E94" s="47"/>
      <c r="F94" s="229" t="s">
        <v>14</v>
      </c>
      <c r="G94" s="6"/>
      <c r="H94" s="6"/>
      <c r="I94" s="6"/>
      <c r="J94" s="6"/>
      <c r="K94" s="6"/>
      <c r="L94" s="16"/>
      <c r="M94" s="35">
        <f t="shared" si="15"/>
        <v>0</v>
      </c>
      <c r="N94" s="16"/>
      <c r="O94" s="6"/>
      <c r="P94" s="717">
        <f>'Milling Down Time Hours'!M100</f>
        <v>0</v>
      </c>
      <c r="Q94" s="283"/>
      <c r="R94" s="717">
        <f>'Milling Down Time Hours'!L100</f>
        <v>0</v>
      </c>
      <c r="S94" s="6"/>
      <c r="T94" s="721" t="e">
        <f>SUM(#REF!)</f>
        <v>#REF!</v>
      </c>
      <c r="U94" s="721" t="e">
        <f>SUM(T94:T98)</f>
        <v>#REF!</v>
      </c>
      <c r="V94" s="723" t="e">
        <f>SUM(U94:U98)</f>
        <v>#REF!</v>
      </c>
      <c r="W94" s="177" t="e">
        <f t="shared" si="12"/>
        <v>#REF!</v>
      </c>
      <c r="X94" s="129" t="e">
        <f t="shared" si="13"/>
        <v>#REF!</v>
      </c>
      <c r="Y94" s="129" t="e">
        <f t="shared" si="14"/>
        <v>#REF!</v>
      </c>
    </row>
    <row r="95" spans="2:25" ht="14.55" hidden="1" customHeight="1" thickBot="1" x14ac:dyDescent="0.35">
      <c r="B95" s="715"/>
      <c r="C95" s="716"/>
      <c r="D95" s="197"/>
      <c r="E95" s="197"/>
      <c r="F95" s="27" t="s">
        <v>13</v>
      </c>
      <c r="G95" s="197"/>
      <c r="H95" s="197"/>
      <c r="I95" s="197"/>
      <c r="J95" s="197"/>
      <c r="K95" s="197"/>
      <c r="L95" s="108"/>
      <c r="M95" s="35">
        <f t="shared" si="15"/>
        <v>0</v>
      </c>
      <c r="N95" s="108"/>
      <c r="O95" s="197"/>
      <c r="P95" s="725"/>
      <c r="Q95" s="506"/>
      <c r="R95" s="726"/>
      <c r="S95" s="197"/>
      <c r="T95" s="727"/>
      <c r="U95" s="727"/>
      <c r="V95" s="728"/>
      <c r="W95" s="177">
        <f t="shared" si="12"/>
        <v>0</v>
      </c>
      <c r="X95" s="129">
        <f t="shared" si="13"/>
        <v>0</v>
      </c>
      <c r="Y95" s="129">
        <f t="shared" si="14"/>
        <v>0</v>
      </c>
    </row>
    <row r="96" spans="2:25" ht="15" thickBot="1" x14ac:dyDescent="0.35">
      <c r="B96" s="713"/>
      <c r="C96" s="714"/>
      <c r="D96" s="498"/>
      <c r="E96" s="498"/>
      <c r="F96" s="229" t="s">
        <v>14</v>
      </c>
      <c r="G96" s="51"/>
      <c r="H96" s="6"/>
      <c r="I96" s="6"/>
      <c r="J96" s="6"/>
      <c r="K96" s="16"/>
      <c r="L96" s="51"/>
      <c r="M96" s="35">
        <f t="shared" si="15"/>
        <v>0</v>
      </c>
      <c r="N96" s="51"/>
      <c r="O96" s="6"/>
      <c r="P96" s="50">
        <f>'Milling Down Time Hours'!M42</f>
        <v>24</v>
      </c>
      <c r="Q96" s="50"/>
      <c r="R96" s="50"/>
      <c r="S96" s="6"/>
      <c r="T96" s="172"/>
      <c r="U96" s="172"/>
      <c r="V96" s="499"/>
      <c r="W96" s="177">
        <f t="shared" si="12"/>
        <v>0</v>
      </c>
      <c r="X96" s="129">
        <f t="shared" si="13"/>
        <v>0</v>
      </c>
      <c r="Y96" s="129">
        <f t="shared" si="14"/>
        <v>0</v>
      </c>
    </row>
    <row r="97" spans="2:27" ht="15" thickBot="1" x14ac:dyDescent="0.35">
      <c r="B97" s="610"/>
      <c r="C97" s="611"/>
      <c r="D97" s="498"/>
      <c r="E97" s="498"/>
      <c r="F97" s="27" t="s">
        <v>13</v>
      </c>
      <c r="G97" s="6"/>
      <c r="H97" s="6"/>
      <c r="I97" s="6"/>
      <c r="J97" s="6"/>
      <c r="K97" s="6"/>
      <c r="L97" s="16"/>
      <c r="M97" s="35">
        <f t="shared" si="15"/>
        <v>0</v>
      </c>
      <c r="N97" s="16"/>
      <c r="O97" s="6"/>
      <c r="P97" s="50"/>
      <c r="Q97" s="50"/>
      <c r="R97" s="50"/>
      <c r="S97" s="6"/>
      <c r="T97" s="172"/>
      <c r="U97" s="172"/>
      <c r="V97" s="499"/>
      <c r="W97" s="177">
        <f t="shared" si="12"/>
        <v>0</v>
      </c>
      <c r="X97" s="129">
        <f t="shared" si="13"/>
        <v>0</v>
      </c>
      <c r="Y97" s="129">
        <f t="shared" si="14"/>
        <v>0</v>
      </c>
      <c r="AA97" s="609">
        <f>SUM(Z5:Z17)</f>
        <v>1188347787.2522082</v>
      </c>
    </row>
    <row r="98" spans="2:27" ht="18" x14ac:dyDescent="0.35">
      <c r="B98" s="139" t="s">
        <v>122</v>
      </c>
      <c r="C98" s="140"/>
      <c r="D98" s="140"/>
      <c r="E98" s="140"/>
      <c r="F98" s="140"/>
      <c r="G98" s="140"/>
      <c r="H98" s="140"/>
      <c r="I98" s="140"/>
      <c r="J98" s="140"/>
      <c r="K98" s="140"/>
      <c r="L98" s="160">
        <f>AVERAGE(L5:L97)</f>
        <v>0.70166666666666666</v>
      </c>
      <c r="M98" s="614">
        <f>SUM(M5:M97)</f>
        <v>1083.7416802500002</v>
      </c>
      <c r="N98" s="160"/>
      <c r="O98" s="140"/>
      <c r="P98" s="141">
        <f>'Milling Down Time Hours'!M58</f>
        <v>490.4666666666667</v>
      </c>
      <c r="Q98" s="141"/>
      <c r="R98" s="140"/>
      <c r="S98" s="140"/>
      <c r="T98" s="132">
        <f>AVERAGE(T5:T26)*0.9</f>
        <v>0.69189000000000001</v>
      </c>
      <c r="U98" s="132">
        <f>AVERAGE(U5:U26)*0.9</f>
        <v>0.58479000000000003</v>
      </c>
      <c r="V98" s="132">
        <f>AVERAGE(V5:V26)*0.9</f>
        <v>7.4924700000000017</v>
      </c>
      <c r="W98" s="133">
        <f>SUM(W5:W16)</f>
        <v>426.93208973421673</v>
      </c>
      <c r="X98" s="133">
        <f t="shared" ref="X98:Y98" si="30">SUM(X5:X16)</f>
        <v>424.70192465699336</v>
      </c>
      <c r="Y98" s="133">
        <f t="shared" si="30"/>
        <v>5118.8794089371868</v>
      </c>
    </row>
    <row r="100" spans="2:27" x14ac:dyDescent="0.3">
      <c r="Z100" s="1" t="s">
        <v>204</v>
      </c>
      <c r="AA100" s="1">
        <f>MIN(Z5:Z97)</f>
        <v>0</v>
      </c>
    </row>
    <row r="101" spans="2:27" x14ac:dyDescent="0.3">
      <c r="Z101" s="1" t="s">
        <v>203</v>
      </c>
      <c r="AA101" s="153">
        <f>MAX(Z5:Z97)</f>
        <v>196686945</v>
      </c>
    </row>
    <row r="102" spans="2:27" x14ac:dyDescent="0.3">
      <c r="W102" s="153"/>
    </row>
  </sheetData>
  <mergeCells count="213">
    <mergeCell ref="B17:C18"/>
    <mergeCell ref="B19:C20"/>
    <mergeCell ref="B25:C26"/>
    <mergeCell ref="S9:S12"/>
    <mergeCell ref="N11:N12"/>
    <mergeCell ref="R44:R45"/>
    <mergeCell ref="N7:N8"/>
    <mergeCell ref="O30:O31"/>
    <mergeCell ref="O32:O33"/>
    <mergeCell ref="O34:O35"/>
    <mergeCell ref="R32:R33"/>
    <mergeCell ref="P30:P31"/>
    <mergeCell ref="P32:P33"/>
    <mergeCell ref="R30:R31"/>
    <mergeCell ref="R23:R25"/>
    <mergeCell ref="S23:S25"/>
    <mergeCell ref="O23:O25"/>
    <mergeCell ref="S5:S8"/>
    <mergeCell ref="P9:P10"/>
    <mergeCell ref="P11:P12"/>
    <mergeCell ref="P13:P14"/>
    <mergeCell ref="R13:R14"/>
    <mergeCell ref="R28:R29"/>
    <mergeCell ref="N21:N22"/>
    <mergeCell ref="P44:P45"/>
    <mergeCell ref="P46:P47"/>
    <mergeCell ref="O26:O29"/>
    <mergeCell ref="P50:P51"/>
    <mergeCell ref="P34:P35"/>
    <mergeCell ref="P36:P37"/>
    <mergeCell ref="O36:O37"/>
    <mergeCell ref="O38:O39"/>
    <mergeCell ref="O40:O41"/>
    <mergeCell ref="P38:P39"/>
    <mergeCell ref="P48:P49"/>
    <mergeCell ref="R46:R47"/>
    <mergeCell ref="R54:R55"/>
    <mergeCell ref="P60:P61"/>
    <mergeCell ref="P62:P63"/>
    <mergeCell ref="R58:R59"/>
    <mergeCell ref="R56:R57"/>
    <mergeCell ref="R62:R63"/>
    <mergeCell ref="R60:R61"/>
    <mergeCell ref="H2:K2"/>
    <mergeCell ref="B4:C4"/>
    <mergeCell ref="B5:C6"/>
    <mergeCell ref="B7:C8"/>
    <mergeCell ref="P7:P8"/>
    <mergeCell ref="N5:N6"/>
    <mergeCell ref="P5:P6"/>
    <mergeCell ref="P40:P41"/>
    <mergeCell ref="B21:C22"/>
    <mergeCell ref="B23:C24"/>
    <mergeCell ref="P23:P24"/>
    <mergeCell ref="B29:C30"/>
    <mergeCell ref="P28:P29"/>
    <mergeCell ref="D13:D14"/>
    <mergeCell ref="N17:N18"/>
    <mergeCell ref="N19:N20"/>
    <mergeCell ref="B27:C28"/>
    <mergeCell ref="N9:N10"/>
    <mergeCell ref="B31:C32"/>
    <mergeCell ref="B33:C34"/>
    <mergeCell ref="B9:C10"/>
    <mergeCell ref="B11:C12"/>
    <mergeCell ref="B13:C14"/>
    <mergeCell ref="B15:C16"/>
    <mergeCell ref="V76:V77"/>
    <mergeCell ref="P66:P67"/>
    <mergeCell ref="R66:R67"/>
    <mergeCell ref="P78:P79"/>
    <mergeCell ref="T68:T69"/>
    <mergeCell ref="P70:P71"/>
    <mergeCell ref="R70:R71"/>
    <mergeCell ref="T70:T71"/>
    <mergeCell ref="P72:P73"/>
    <mergeCell ref="T72:T73"/>
    <mergeCell ref="R78:R79"/>
    <mergeCell ref="P68:P69"/>
    <mergeCell ref="R68:R69"/>
    <mergeCell ref="R74:R75"/>
    <mergeCell ref="P74:P75"/>
    <mergeCell ref="P76:P77"/>
    <mergeCell ref="R76:R77"/>
    <mergeCell ref="R34:R35"/>
    <mergeCell ref="R40:R41"/>
    <mergeCell ref="V58:V59"/>
    <mergeCell ref="U60:U61"/>
    <mergeCell ref="V60:V61"/>
    <mergeCell ref="R72:R73"/>
    <mergeCell ref="U38:U39"/>
    <mergeCell ref="V38:V39"/>
    <mergeCell ref="T84:T85"/>
    <mergeCell ref="U46:U47"/>
    <mergeCell ref="U56:U57"/>
    <mergeCell ref="U66:U67"/>
    <mergeCell ref="U76:U77"/>
    <mergeCell ref="T78:T79"/>
    <mergeCell ref="T76:T77"/>
    <mergeCell ref="U62:U63"/>
    <mergeCell ref="V62:V63"/>
    <mergeCell ref="U64:U65"/>
    <mergeCell ref="V64:V65"/>
    <mergeCell ref="V66:V67"/>
    <mergeCell ref="U68:U69"/>
    <mergeCell ref="V68:V69"/>
    <mergeCell ref="U70:U71"/>
    <mergeCell ref="V70:V71"/>
    <mergeCell ref="U21:U22"/>
    <mergeCell ref="V21:V22"/>
    <mergeCell ref="T74:T75"/>
    <mergeCell ref="T21:T22"/>
    <mergeCell ref="V46:V47"/>
    <mergeCell ref="U48:U49"/>
    <mergeCell ref="V48:V49"/>
    <mergeCell ref="T64:T65"/>
    <mergeCell ref="T66:T67"/>
    <mergeCell ref="T60:T61"/>
    <mergeCell ref="U50:U51"/>
    <mergeCell ref="V50:V51"/>
    <mergeCell ref="U52:U53"/>
    <mergeCell ref="V52:V53"/>
    <mergeCell ref="U54:U55"/>
    <mergeCell ref="V54:V55"/>
    <mergeCell ref="V56:V57"/>
    <mergeCell ref="U58:U59"/>
    <mergeCell ref="U72:U73"/>
    <mergeCell ref="V72:V73"/>
    <mergeCell ref="U74:U75"/>
    <mergeCell ref="V74:V75"/>
    <mergeCell ref="T62:T63"/>
    <mergeCell ref="T38:T39"/>
    <mergeCell ref="P94:P95"/>
    <mergeCell ref="R94:R95"/>
    <mergeCell ref="T94:T95"/>
    <mergeCell ref="U94:U95"/>
    <mergeCell ref="V94:V95"/>
    <mergeCell ref="T88:T89"/>
    <mergeCell ref="U88:U89"/>
    <mergeCell ref="V88:V89"/>
    <mergeCell ref="U78:U79"/>
    <mergeCell ref="V78:V79"/>
    <mergeCell ref="U80:U81"/>
    <mergeCell ref="V80:V81"/>
    <mergeCell ref="U82:U83"/>
    <mergeCell ref="V82:V83"/>
    <mergeCell ref="U84:U85"/>
    <mergeCell ref="V84:V85"/>
    <mergeCell ref="T80:T81"/>
    <mergeCell ref="R82:R83"/>
    <mergeCell ref="T82:T83"/>
    <mergeCell ref="P84:P85"/>
    <mergeCell ref="V90:V91"/>
    <mergeCell ref="P86:P87"/>
    <mergeCell ref="R86:R87"/>
    <mergeCell ref="T86:T87"/>
    <mergeCell ref="U86:U87"/>
    <mergeCell ref="V86:V87"/>
    <mergeCell ref="P88:P89"/>
    <mergeCell ref="R88:R89"/>
    <mergeCell ref="P92:P93"/>
    <mergeCell ref="R92:R93"/>
    <mergeCell ref="T92:T93"/>
    <mergeCell ref="U92:U93"/>
    <mergeCell ref="V92:V93"/>
    <mergeCell ref="B43:C44"/>
    <mergeCell ref="B67:C68"/>
    <mergeCell ref="B69:C70"/>
    <mergeCell ref="B71:C72"/>
    <mergeCell ref="B73:C74"/>
    <mergeCell ref="P90:P91"/>
    <mergeCell ref="R90:R91"/>
    <mergeCell ref="T90:T91"/>
    <mergeCell ref="U90:U91"/>
    <mergeCell ref="P64:P65"/>
    <mergeCell ref="P54:P55"/>
    <mergeCell ref="P56:P57"/>
    <mergeCell ref="P58:P59"/>
    <mergeCell ref="R48:R49"/>
    <mergeCell ref="R50:R51"/>
    <mergeCell ref="P52:P53"/>
    <mergeCell ref="T46:T47"/>
    <mergeCell ref="T48:T49"/>
    <mergeCell ref="T50:T51"/>
    <mergeCell ref="T52:T53"/>
    <mergeCell ref="T54:T55"/>
    <mergeCell ref="T56:T57"/>
    <mergeCell ref="T58:T59"/>
    <mergeCell ref="R52:R53"/>
    <mergeCell ref="B75:C76"/>
    <mergeCell ref="B77:C96"/>
    <mergeCell ref="R64:R65"/>
    <mergeCell ref="R38:R39"/>
    <mergeCell ref="R36:R37"/>
    <mergeCell ref="B45:C46"/>
    <mergeCell ref="B47:C48"/>
    <mergeCell ref="B49:C50"/>
    <mergeCell ref="B51:C52"/>
    <mergeCell ref="B53:C54"/>
    <mergeCell ref="B55:C56"/>
    <mergeCell ref="B57:C58"/>
    <mergeCell ref="B59:C60"/>
    <mergeCell ref="B61:C62"/>
    <mergeCell ref="B63:C64"/>
    <mergeCell ref="B65:C66"/>
    <mergeCell ref="P80:P81"/>
    <mergeCell ref="R80:R81"/>
    <mergeCell ref="R84:R85"/>
    <mergeCell ref="P82:P83"/>
    <mergeCell ref="B35:C36"/>
    <mergeCell ref="B37:C38"/>
    <mergeCell ref="B39:C40"/>
    <mergeCell ref="B41:C42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J11" sqref="J11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765" t="s">
        <v>123</v>
      </c>
      <c r="C1" s="765"/>
      <c r="D1" s="765"/>
      <c r="E1" s="765"/>
      <c r="F1" s="765"/>
      <c r="G1" s="765"/>
      <c r="H1" s="765"/>
      <c r="I1" s="765"/>
      <c r="J1" s="765"/>
      <c r="K1" s="765"/>
      <c r="L1" s="765"/>
    </row>
    <row r="2" spans="1:27" ht="18" x14ac:dyDescent="0.35">
      <c r="F2" s="771" t="s">
        <v>431</v>
      </c>
      <c r="G2" s="771"/>
      <c r="H2" s="771"/>
      <c r="I2" s="771"/>
      <c r="J2" s="771"/>
    </row>
    <row r="3" spans="1:27" ht="15" thickBot="1" x14ac:dyDescent="0.35">
      <c r="A3" s="737" t="s">
        <v>199</v>
      </c>
      <c r="B3" s="768"/>
      <c r="C3" s="768"/>
      <c r="D3" s="768"/>
      <c r="E3" s="768"/>
      <c r="F3" s="768"/>
      <c r="G3" s="738"/>
    </row>
    <row r="4" spans="1:27" ht="15" thickBot="1" x14ac:dyDescent="0.35">
      <c r="A4" s="769" t="s">
        <v>1</v>
      </c>
      <c r="B4" s="770"/>
      <c r="C4" s="155" t="s">
        <v>2</v>
      </c>
      <c r="D4" s="156" t="s">
        <v>61</v>
      </c>
      <c r="E4" s="156" t="s">
        <v>62</v>
      </c>
      <c r="F4" s="156" t="s">
        <v>63</v>
      </c>
      <c r="G4" s="157" t="s">
        <v>65</v>
      </c>
      <c r="J4" s="18" t="s">
        <v>1</v>
      </c>
      <c r="K4" s="18" t="s">
        <v>66</v>
      </c>
      <c r="L4" s="18" t="s">
        <v>209</v>
      </c>
      <c r="M4" s="18" t="s">
        <v>422</v>
      </c>
      <c r="N4" s="161" t="s">
        <v>142</v>
      </c>
    </row>
    <row r="5" spans="1:27" x14ac:dyDescent="0.3">
      <c r="A5" s="310"/>
      <c r="B5" s="311"/>
      <c r="C5" s="312"/>
      <c r="D5" s="313"/>
      <c r="E5" s="313"/>
      <c r="F5" s="313"/>
      <c r="G5" s="314"/>
      <c r="J5" s="18"/>
      <c r="K5" s="18"/>
      <c r="L5" s="18"/>
      <c r="M5" s="18"/>
      <c r="N5" s="161"/>
    </row>
    <row r="6" spans="1:27" x14ac:dyDescent="0.3">
      <c r="A6" s="766">
        <v>46252</v>
      </c>
      <c r="B6" s="767"/>
      <c r="C6" s="158" t="s">
        <v>170</v>
      </c>
      <c r="D6" s="71">
        <v>6.9444444444444447E-4</v>
      </c>
      <c r="E6" s="71">
        <v>0.91597222222222219</v>
      </c>
      <c r="F6" s="72">
        <f>(E6-D6)*1440</f>
        <v>1318</v>
      </c>
      <c r="G6" s="315" t="s">
        <v>397</v>
      </c>
      <c r="J6" s="73">
        <v>46252</v>
      </c>
      <c r="K6" s="50">
        <f>F6</f>
        <v>1318</v>
      </c>
      <c r="L6" s="50">
        <f>(1440-K6)/60</f>
        <v>2.0333333333333332</v>
      </c>
      <c r="M6" s="49">
        <f>L6/12</f>
        <v>0.16944444444444443</v>
      </c>
      <c r="N6" s="77">
        <f>12-L6</f>
        <v>9.9666666666666668</v>
      </c>
    </row>
    <row r="7" spans="1:27" x14ac:dyDescent="0.3">
      <c r="A7" s="766">
        <v>46253</v>
      </c>
      <c r="B7" s="767"/>
      <c r="C7" s="158" t="s">
        <v>170</v>
      </c>
      <c r="D7" s="71">
        <v>6.9444444444444447E-4</v>
      </c>
      <c r="E7" s="71">
        <v>0.54097222222222219</v>
      </c>
      <c r="F7" s="72">
        <f t="shared" ref="F7:F36" si="0">(E7-D7)*1440</f>
        <v>778</v>
      </c>
      <c r="G7" s="316" t="s">
        <v>398</v>
      </c>
      <c r="J7" s="73">
        <v>46253</v>
      </c>
      <c r="K7" s="50">
        <f>F7</f>
        <v>778</v>
      </c>
      <c r="L7" s="50">
        <f>(1440-K7)/60</f>
        <v>11.033333333333333</v>
      </c>
      <c r="M7" s="49">
        <f>L7/12</f>
        <v>0.9194444444444444</v>
      </c>
      <c r="N7" s="77">
        <f>12-L7</f>
        <v>0.96666666666666679</v>
      </c>
    </row>
    <row r="8" spans="1:27" x14ac:dyDescent="0.3">
      <c r="A8" s="766">
        <v>46254</v>
      </c>
      <c r="B8" s="767"/>
      <c r="C8" s="158" t="s">
        <v>170</v>
      </c>
      <c r="D8" s="71">
        <v>6.9444444444444447E-4</v>
      </c>
      <c r="E8" s="71">
        <v>0.54097222222222219</v>
      </c>
      <c r="F8" s="72">
        <f t="shared" si="0"/>
        <v>778</v>
      </c>
      <c r="G8" s="76"/>
      <c r="J8" s="73">
        <v>46254</v>
      </c>
      <c r="K8" s="16">
        <f t="shared" ref="K8:K28" si="1">F8</f>
        <v>778</v>
      </c>
      <c r="L8" s="50">
        <f t="shared" ref="L8:L14" si="2">(1440-K8)/60</f>
        <v>11.033333333333333</v>
      </c>
      <c r="M8" s="49">
        <f>L8/12</f>
        <v>0.9194444444444444</v>
      </c>
      <c r="N8" s="77">
        <f t="shared" ref="N8:N17" si="3">12-L8</f>
        <v>0.96666666666666679</v>
      </c>
      <c r="Z8" s="763" t="s">
        <v>210</v>
      </c>
      <c r="AA8" s="764"/>
    </row>
    <row r="9" spans="1:27" x14ac:dyDescent="0.3">
      <c r="A9" s="766">
        <v>46255</v>
      </c>
      <c r="B9" s="767"/>
      <c r="C9" s="158" t="s">
        <v>170</v>
      </c>
      <c r="D9" s="71">
        <v>6.9444444444444447E-4</v>
      </c>
      <c r="E9" s="71">
        <v>0.60763888888888884</v>
      </c>
      <c r="F9" s="72">
        <f t="shared" si="0"/>
        <v>873.99999999999989</v>
      </c>
      <c r="G9" s="439" t="s">
        <v>432</v>
      </c>
      <c r="J9" s="73">
        <v>46255</v>
      </c>
      <c r="K9" s="16">
        <f t="shared" si="1"/>
        <v>873.99999999999989</v>
      </c>
      <c r="L9" s="50">
        <f t="shared" si="2"/>
        <v>9.4333333333333353</v>
      </c>
      <c r="M9" s="49">
        <f t="shared" ref="M9:M29" si="4">L9/12</f>
        <v>0.78611111111111132</v>
      </c>
      <c r="N9" s="77">
        <f t="shared" si="3"/>
        <v>2.5666666666666647</v>
      </c>
      <c r="Z9" s="167" t="s">
        <v>211</v>
      </c>
      <c r="AA9" s="165">
        <f>L43</f>
        <v>65.95</v>
      </c>
    </row>
    <row r="10" spans="1:27" x14ac:dyDescent="0.3">
      <c r="A10" s="766">
        <v>46256</v>
      </c>
      <c r="B10" s="767"/>
      <c r="C10" s="158" t="s">
        <v>170</v>
      </c>
      <c r="D10" s="71">
        <v>6.9444444444444447E-4</v>
      </c>
      <c r="E10" s="71">
        <v>0.625</v>
      </c>
      <c r="F10" s="72">
        <f>(E10-D10)*1440</f>
        <v>899</v>
      </c>
      <c r="G10" s="434" t="s">
        <v>425</v>
      </c>
      <c r="J10" s="73">
        <v>46256</v>
      </c>
      <c r="K10" s="50">
        <f>SUM(F10)</f>
        <v>899</v>
      </c>
      <c r="L10" s="50">
        <f>(1440-K10)/60</f>
        <v>9.0166666666666675</v>
      </c>
      <c r="M10" s="49">
        <f t="shared" si="4"/>
        <v>0.75138888888888899</v>
      </c>
      <c r="N10" s="77">
        <f>12-L10</f>
        <v>2.9833333333333325</v>
      </c>
      <c r="Z10" s="167" t="s">
        <v>212</v>
      </c>
      <c r="AA10" s="165">
        <f>N43</f>
        <v>66.05</v>
      </c>
    </row>
    <row r="11" spans="1:27" x14ac:dyDescent="0.3">
      <c r="A11" s="766">
        <v>46257</v>
      </c>
      <c r="B11" s="767"/>
      <c r="C11" s="158" t="s">
        <v>170</v>
      </c>
      <c r="D11" s="71">
        <v>6.9444444444444447E-4</v>
      </c>
      <c r="E11" s="71">
        <v>0.99930555555555556</v>
      </c>
      <c r="F11" s="72">
        <f>(E11-D11)*1440</f>
        <v>1438</v>
      </c>
      <c r="G11" s="434" t="s">
        <v>426</v>
      </c>
      <c r="J11" s="73">
        <v>46257</v>
      </c>
      <c r="K11" s="50">
        <f>SUM(F11)</f>
        <v>1438</v>
      </c>
      <c r="L11" s="50">
        <f>(1440-K11)/60</f>
        <v>3.3333333333333333E-2</v>
      </c>
      <c r="M11" s="49">
        <f t="shared" si="4"/>
        <v>2.7777777777777779E-3</v>
      </c>
      <c r="N11" s="77">
        <f t="shared" si="3"/>
        <v>11.966666666666667</v>
      </c>
      <c r="Z11" s="167" t="s">
        <v>214</v>
      </c>
      <c r="AA11" s="166">
        <f>L44</f>
        <v>0.61064814814814816</v>
      </c>
    </row>
    <row r="12" spans="1:27" x14ac:dyDescent="0.3">
      <c r="A12" s="766">
        <v>46258</v>
      </c>
      <c r="B12" s="767"/>
      <c r="C12" s="158" t="s">
        <v>170</v>
      </c>
      <c r="D12" s="71">
        <v>6.9444444444444447E-4</v>
      </c>
      <c r="E12" s="71">
        <v>0.58333333333333337</v>
      </c>
      <c r="F12" s="72">
        <f>(E12-D12)*1440</f>
        <v>839</v>
      </c>
      <c r="G12" s="435" t="s">
        <v>427</v>
      </c>
      <c r="J12" s="73">
        <v>46258</v>
      </c>
      <c r="K12" s="16">
        <f t="shared" si="1"/>
        <v>839</v>
      </c>
      <c r="L12" s="50">
        <f t="shared" si="2"/>
        <v>10.016666666666667</v>
      </c>
      <c r="M12" s="49">
        <f t="shared" si="4"/>
        <v>0.83472222222222225</v>
      </c>
      <c r="N12" s="77">
        <f t="shared" si="3"/>
        <v>1.9833333333333325</v>
      </c>
      <c r="Z12" s="167" t="s">
        <v>213</v>
      </c>
      <c r="AA12" s="166">
        <f>N44</f>
        <v>0</v>
      </c>
    </row>
    <row r="13" spans="1:27" x14ac:dyDescent="0.3">
      <c r="A13" s="766">
        <v>46259</v>
      </c>
      <c r="B13" s="767"/>
      <c r="C13" s="158" t="s">
        <v>170</v>
      </c>
      <c r="D13" s="71">
        <v>6.9444444444444447E-4</v>
      </c>
      <c r="E13" s="71">
        <v>0.99930555555555556</v>
      </c>
      <c r="F13" s="72">
        <f t="shared" si="0"/>
        <v>1438</v>
      </c>
      <c r="G13" s="436" t="s">
        <v>426</v>
      </c>
      <c r="J13" s="73">
        <v>46259</v>
      </c>
      <c r="K13" s="16">
        <f t="shared" si="1"/>
        <v>1438</v>
      </c>
      <c r="L13" s="50">
        <f t="shared" si="2"/>
        <v>3.3333333333333333E-2</v>
      </c>
      <c r="M13" s="49">
        <f t="shared" si="4"/>
        <v>2.7777777777777779E-3</v>
      </c>
      <c r="N13" s="77">
        <f t="shared" si="3"/>
        <v>11.966666666666667</v>
      </c>
    </row>
    <row r="14" spans="1:27" x14ac:dyDescent="0.3">
      <c r="A14" s="766">
        <v>46260</v>
      </c>
      <c r="B14" s="767"/>
      <c r="C14" s="158" t="s">
        <v>170</v>
      </c>
      <c r="D14" s="71">
        <v>6.9444444444444447E-4</v>
      </c>
      <c r="E14" s="71">
        <v>0.99930555555555556</v>
      </c>
      <c r="F14" s="72">
        <f t="shared" si="0"/>
        <v>1438</v>
      </c>
      <c r="G14" s="436" t="s">
        <v>426</v>
      </c>
      <c r="J14" s="73">
        <v>46260</v>
      </c>
      <c r="K14" s="16">
        <f t="shared" si="1"/>
        <v>1438</v>
      </c>
      <c r="L14" s="50">
        <f t="shared" si="2"/>
        <v>3.3333333333333333E-2</v>
      </c>
      <c r="M14" s="49">
        <f t="shared" si="4"/>
        <v>2.7777777777777779E-3</v>
      </c>
      <c r="N14" s="77">
        <f t="shared" si="3"/>
        <v>11.966666666666667</v>
      </c>
    </row>
    <row r="15" spans="1:27" ht="40.799999999999997" customHeight="1" x14ac:dyDescent="0.3">
      <c r="A15" s="766">
        <v>46261</v>
      </c>
      <c r="B15" s="767"/>
      <c r="C15" s="158" t="s">
        <v>170</v>
      </c>
      <c r="D15" s="71">
        <v>6.9444444444444447E-4</v>
      </c>
      <c r="E15" s="71">
        <v>0.78125</v>
      </c>
      <c r="F15" s="72">
        <f t="shared" si="0"/>
        <v>1124</v>
      </c>
      <c r="G15" s="442" t="s">
        <v>433</v>
      </c>
      <c r="J15" s="73">
        <v>46261</v>
      </c>
      <c r="K15" s="16">
        <f t="shared" si="1"/>
        <v>1124</v>
      </c>
      <c r="L15" s="50">
        <f t="shared" ref="L15:L17" si="5">(1440-K15)/60</f>
        <v>5.2666666666666666</v>
      </c>
      <c r="M15" s="49">
        <f t="shared" ref="M15" si="6">L15/12</f>
        <v>0.43888888888888888</v>
      </c>
      <c r="N15" s="77">
        <f t="shared" ref="N15" si="7">12-L15</f>
        <v>6.7333333333333334</v>
      </c>
    </row>
    <row r="16" spans="1:27" x14ac:dyDescent="0.3">
      <c r="A16" s="766">
        <v>46262</v>
      </c>
      <c r="B16" s="767"/>
      <c r="C16" s="158" t="s">
        <v>170</v>
      </c>
      <c r="D16" s="71">
        <v>6.9444444444444447E-4</v>
      </c>
      <c r="E16" s="71">
        <v>0.66666666666666663</v>
      </c>
      <c r="F16" s="72">
        <f t="shared" si="0"/>
        <v>959</v>
      </c>
      <c r="G16" s="440" t="s">
        <v>434</v>
      </c>
      <c r="J16" s="73">
        <v>46262</v>
      </c>
      <c r="K16" s="16">
        <f t="shared" si="1"/>
        <v>959</v>
      </c>
      <c r="L16" s="50">
        <f t="shared" si="5"/>
        <v>8.0166666666666675</v>
      </c>
      <c r="M16" s="49">
        <f t="shared" si="4"/>
        <v>0.66805555555555562</v>
      </c>
      <c r="N16" s="77">
        <f t="shared" si="3"/>
        <v>3.9833333333333325</v>
      </c>
    </row>
    <row r="17" spans="1:15" ht="28.8" x14ac:dyDescent="0.3">
      <c r="A17" s="766">
        <v>46263</v>
      </c>
      <c r="B17" s="767"/>
      <c r="C17" s="450" t="s">
        <v>170</v>
      </c>
      <c r="D17" s="71">
        <v>6.9444444444444447E-4</v>
      </c>
      <c r="E17" s="71">
        <v>0.58333333333333337</v>
      </c>
      <c r="F17" s="72">
        <f>(E17-D17)*1440</f>
        <v>839</v>
      </c>
      <c r="G17" s="451" t="s">
        <v>443</v>
      </c>
      <c r="J17" s="73">
        <v>46263</v>
      </c>
      <c r="K17" s="16">
        <f t="shared" si="1"/>
        <v>839</v>
      </c>
      <c r="L17" s="50">
        <f t="shared" si="5"/>
        <v>10.016666666666667</v>
      </c>
      <c r="M17" s="49">
        <f t="shared" si="4"/>
        <v>0.83472222222222225</v>
      </c>
      <c r="N17" s="77">
        <f t="shared" si="3"/>
        <v>1.9833333333333325</v>
      </c>
    </row>
    <row r="18" spans="1:15" x14ac:dyDescent="0.3">
      <c r="A18" s="766">
        <v>46264</v>
      </c>
      <c r="B18" s="767"/>
      <c r="C18" s="460" t="s">
        <v>170</v>
      </c>
      <c r="D18" s="71">
        <v>6.9444444444444447E-4</v>
      </c>
      <c r="E18" s="71">
        <v>0.91597222222222219</v>
      </c>
      <c r="F18" s="72">
        <f t="shared" si="0"/>
        <v>1318</v>
      </c>
      <c r="G18" s="76"/>
      <c r="J18" s="73">
        <v>46264</v>
      </c>
      <c r="K18" s="16">
        <f t="shared" si="1"/>
        <v>1318</v>
      </c>
      <c r="L18" s="50">
        <f t="shared" ref="L18" si="8">(1440-K18)/60</f>
        <v>2.0333333333333332</v>
      </c>
      <c r="M18" s="49">
        <f t="shared" ref="M18:M19" si="9">L18/12</f>
        <v>0.16944444444444443</v>
      </c>
      <c r="N18" s="77">
        <f t="shared" ref="N18" si="10">12-L18</f>
        <v>9.9666666666666668</v>
      </c>
    </row>
    <row r="19" spans="1:15" x14ac:dyDescent="0.3">
      <c r="A19" s="766">
        <v>46265</v>
      </c>
      <c r="B19" s="767"/>
      <c r="C19" s="75"/>
      <c r="D19" s="71"/>
      <c r="E19" s="71"/>
      <c r="F19" s="72">
        <f t="shared" si="0"/>
        <v>0</v>
      </c>
      <c r="G19" s="461" t="s">
        <v>445</v>
      </c>
      <c r="J19" s="73">
        <v>46265</v>
      </c>
      <c r="K19" s="16">
        <f t="shared" si="1"/>
        <v>0</v>
      </c>
      <c r="L19" s="50"/>
      <c r="M19" s="49">
        <f t="shared" si="9"/>
        <v>0</v>
      </c>
      <c r="N19" s="77"/>
    </row>
    <row r="20" spans="1:15" x14ac:dyDescent="0.3">
      <c r="A20" s="766">
        <v>46266</v>
      </c>
      <c r="B20" s="767"/>
      <c r="C20" s="75"/>
      <c r="D20" s="71"/>
      <c r="E20" s="71"/>
      <c r="F20" s="72">
        <f t="shared" si="0"/>
        <v>0</v>
      </c>
      <c r="G20" s="76"/>
      <c r="J20" s="73">
        <v>46266</v>
      </c>
      <c r="K20" s="16">
        <f t="shared" si="1"/>
        <v>0</v>
      </c>
      <c r="L20" s="50"/>
      <c r="M20" s="49">
        <f t="shared" si="4"/>
        <v>0</v>
      </c>
      <c r="N20" s="6"/>
    </row>
    <row r="21" spans="1:15" x14ac:dyDescent="0.3">
      <c r="A21" s="766">
        <v>46267</v>
      </c>
      <c r="B21" s="767"/>
      <c r="C21" s="75"/>
      <c r="D21" s="71"/>
      <c r="E21" s="71"/>
      <c r="F21" s="72">
        <f t="shared" si="0"/>
        <v>0</v>
      </c>
      <c r="G21" s="76"/>
      <c r="J21" s="73">
        <v>46267</v>
      </c>
      <c r="K21" s="16">
        <f t="shared" si="1"/>
        <v>0</v>
      </c>
      <c r="L21" s="50"/>
      <c r="M21" s="49">
        <f t="shared" si="4"/>
        <v>0</v>
      </c>
      <c r="N21" s="6"/>
    </row>
    <row r="22" spans="1:15" x14ac:dyDescent="0.3">
      <c r="A22" s="766">
        <v>46268</v>
      </c>
      <c r="B22" s="767"/>
      <c r="C22" s="75"/>
      <c r="D22" s="71"/>
      <c r="E22" s="71"/>
      <c r="F22" s="72">
        <f t="shared" si="0"/>
        <v>0</v>
      </c>
      <c r="G22" s="76"/>
      <c r="J22" s="73">
        <v>46268</v>
      </c>
      <c r="K22" s="16">
        <f t="shared" si="1"/>
        <v>0</v>
      </c>
      <c r="L22" s="50"/>
      <c r="M22" s="49">
        <f t="shared" si="4"/>
        <v>0</v>
      </c>
      <c r="N22" s="6"/>
    </row>
    <row r="23" spans="1:15" x14ac:dyDescent="0.3">
      <c r="A23" s="766">
        <v>46269</v>
      </c>
      <c r="B23" s="767"/>
      <c r="C23" s="75"/>
      <c r="D23" s="71"/>
      <c r="E23" s="71"/>
      <c r="F23" s="72">
        <f t="shared" si="0"/>
        <v>0</v>
      </c>
      <c r="G23" s="76"/>
      <c r="J23" s="73">
        <v>46269</v>
      </c>
      <c r="K23" s="16">
        <f t="shared" si="1"/>
        <v>0</v>
      </c>
      <c r="L23" s="50"/>
      <c r="M23" s="49">
        <f t="shared" si="4"/>
        <v>0</v>
      </c>
      <c r="N23" s="6"/>
    </row>
    <row r="24" spans="1:15" x14ac:dyDescent="0.3">
      <c r="A24" s="766">
        <v>46270</v>
      </c>
      <c r="B24" s="767"/>
      <c r="C24" s="75"/>
      <c r="D24" s="71"/>
      <c r="E24" s="71"/>
      <c r="F24" s="72">
        <f t="shared" si="0"/>
        <v>0</v>
      </c>
      <c r="G24" s="76"/>
      <c r="J24" s="73">
        <v>46270</v>
      </c>
      <c r="K24" s="16">
        <f t="shared" si="1"/>
        <v>0</v>
      </c>
      <c r="L24" s="50"/>
      <c r="M24" s="49">
        <f t="shared" si="4"/>
        <v>0</v>
      </c>
      <c r="N24" s="6"/>
    </row>
    <row r="25" spans="1:15" x14ac:dyDescent="0.3">
      <c r="A25" s="766">
        <v>46271</v>
      </c>
      <c r="B25" s="767"/>
      <c r="C25" s="75"/>
      <c r="D25" s="71"/>
      <c r="E25" s="71"/>
      <c r="F25" s="72">
        <f t="shared" si="0"/>
        <v>0</v>
      </c>
      <c r="G25" s="76"/>
      <c r="J25" s="73">
        <v>46271</v>
      </c>
      <c r="K25" s="16">
        <f t="shared" si="1"/>
        <v>0</v>
      </c>
      <c r="L25" s="50"/>
      <c r="M25" s="49">
        <f t="shared" si="4"/>
        <v>0</v>
      </c>
      <c r="N25" s="6"/>
    </row>
    <row r="26" spans="1:15" x14ac:dyDescent="0.3">
      <c r="A26" s="766">
        <v>46272</v>
      </c>
      <c r="B26" s="767"/>
      <c r="C26" s="75"/>
      <c r="D26" s="71"/>
      <c r="E26" s="71"/>
      <c r="F26" s="72">
        <f t="shared" si="0"/>
        <v>0</v>
      </c>
      <c r="G26" s="76"/>
      <c r="J26" s="73">
        <v>46272</v>
      </c>
      <c r="K26" s="16">
        <f t="shared" si="1"/>
        <v>0</v>
      </c>
      <c r="L26" s="50"/>
      <c r="M26" s="49">
        <f t="shared" si="4"/>
        <v>0</v>
      </c>
      <c r="N26" s="6"/>
    </row>
    <row r="27" spans="1:15" x14ac:dyDescent="0.3">
      <c r="A27" s="766">
        <v>46273</v>
      </c>
      <c r="B27" s="767"/>
      <c r="C27" s="75"/>
      <c r="D27" s="71"/>
      <c r="E27" s="71"/>
      <c r="F27" s="72">
        <f t="shared" si="0"/>
        <v>0</v>
      </c>
      <c r="G27" s="76"/>
      <c r="J27" s="73">
        <v>46273</v>
      </c>
      <c r="K27" s="16">
        <f t="shared" si="1"/>
        <v>0</v>
      </c>
      <c r="L27" s="50"/>
      <c r="M27" s="49">
        <f t="shared" si="4"/>
        <v>0</v>
      </c>
      <c r="N27" s="6"/>
    </row>
    <row r="28" spans="1:15" x14ac:dyDescent="0.3">
      <c r="A28" s="766">
        <v>46274</v>
      </c>
      <c r="B28" s="767"/>
      <c r="C28" s="75"/>
      <c r="D28" s="71"/>
      <c r="E28" s="71"/>
      <c r="F28" s="72">
        <f t="shared" si="0"/>
        <v>0</v>
      </c>
      <c r="G28" s="76"/>
      <c r="J28" s="73">
        <v>46274</v>
      </c>
      <c r="K28" s="16">
        <f t="shared" si="1"/>
        <v>0</v>
      </c>
      <c r="L28" s="50"/>
      <c r="M28" s="49">
        <f t="shared" si="4"/>
        <v>0</v>
      </c>
      <c r="N28" s="6"/>
    </row>
    <row r="29" spans="1:15" x14ac:dyDescent="0.3">
      <c r="A29" s="766">
        <v>46275</v>
      </c>
      <c r="B29" s="767"/>
      <c r="C29" s="75"/>
      <c r="D29" s="71"/>
      <c r="E29" s="71"/>
      <c r="F29" s="72"/>
      <c r="G29" s="76"/>
      <c r="J29" s="73">
        <v>46275</v>
      </c>
      <c r="K29" s="129">
        <f>SUM(F29:F32)</f>
        <v>0</v>
      </c>
      <c r="L29" s="129"/>
      <c r="M29" s="49">
        <f t="shared" si="4"/>
        <v>0</v>
      </c>
      <c r="N29" s="6"/>
    </row>
    <row r="30" spans="1:15" x14ac:dyDescent="0.3">
      <c r="A30" s="766">
        <v>46276</v>
      </c>
      <c r="B30" s="767"/>
      <c r="C30" s="75"/>
      <c r="D30" s="71"/>
      <c r="E30" s="71"/>
      <c r="F30" s="72"/>
      <c r="G30" s="76"/>
      <c r="J30" s="73">
        <v>46276</v>
      </c>
      <c r="K30" s="129"/>
      <c r="L30" s="129"/>
      <c r="M30" s="130"/>
      <c r="N30" s="6"/>
      <c r="O30" s="13"/>
    </row>
    <row r="31" spans="1:15" x14ac:dyDescent="0.3">
      <c r="A31" s="766">
        <v>46277</v>
      </c>
      <c r="B31" s="767"/>
      <c r="C31" s="75"/>
      <c r="D31" s="71"/>
      <c r="E31" s="71"/>
      <c r="F31" s="72"/>
      <c r="G31" s="76"/>
      <c r="J31" s="73">
        <v>46277</v>
      </c>
      <c r="K31" s="129"/>
      <c r="L31" s="129"/>
      <c r="M31" s="130"/>
      <c r="N31" s="6"/>
    </row>
    <row r="32" spans="1:15" x14ac:dyDescent="0.3">
      <c r="A32" s="766">
        <v>46278</v>
      </c>
      <c r="B32" s="767"/>
      <c r="C32" s="75"/>
      <c r="D32" s="71"/>
      <c r="E32" s="71"/>
      <c r="F32" s="72"/>
      <c r="G32" s="76"/>
      <c r="J32" s="73">
        <v>46278</v>
      </c>
      <c r="K32" s="129"/>
      <c r="L32" s="129"/>
      <c r="M32" s="130"/>
      <c r="N32" s="6"/>
    </row>
    <row r="33" spans="1:15" x14ac:dyDescent="0.3">
      <c r="A33" s="766">
        <v>46279</v>
      </c>
      <c r="B33" s="767"/>
      <c r="C33" s="75"/>
      <c r="D33" s="71"/>
      <c r="E33" s="71"/>
      <c r="F33" s="72"/>
      <c r="G33" s="76"/>
      <c r="J33" s="73">
        <v>46279</v>
      </c>
      <c r="K33" s="129">
        <f>SUM(F34:F35)</f>
        <v>0</v>
      </c>
      <c r="L33" s="129"/>
      <c r="M33" s="130">
        <f t="shared" ref="M33:M36" si="11">L33/24</f>
        <v>0</v>
      </c>
      <c r="N33" s="6"/>
    </row>
    <row r="34" spans="1:15" x14ac:dyDescent="0.3">
      <c r="A34" s="766">
        <v>46280</v>
      </c>
      <c r="B34" s="767"/>
      <c r="C34" s="75"/>
      <c r="D34" s="71"/>
      <c r="E34" s="71"/>
      <c r="F34" s="72">
        <f t="shared" si="0"/>
        <v>0</v>
      </c>
      <c r="G34" s="76" t="s">
        <v>153</v>
      </c>
      <c r="J34" s="73">
        <v>46280</v>
      </c>
      <c r="K34" s="129"/>
      <c r="L34" s="129"/>
      <c r="M34" s="130"/>
      <c r="N34" s="6"/>
    </row>
    <row r="35" spans="1:15" x14ac:dyDescent="0.3">
      <c r="A35" s="766">
        <v>46281</v>
      </c>
      <c r="B35" s="767"/>
      <c r="C35" s="75"/>
      <c r="D35" s="71"/>
      <c r="E35" s="71"/>
      <c r="F35" s="72">
        <f t="shared" si="0"/>
        <v>0</v>
      </c>
      <c r="G35" s="76" t="s">
        <v>153</v>
      </c>
      <c r="J35" s="73">
        <v>46281</v>
      </c>
      <c r="K35" s="129"/>
      <c r="L35" s="129"/>
      <c r="M35" s="130"/>
      <c r="N35" s="6"/>
    </row>
    <row r="36" spans="1:15" x14ac:dyDescent="0.3">
      <c r="A36" s="766">
        <v>46282</v>
      </c>
      <c r="B36" s="767"/>
      <c r="C36" s="75"/>
      <c r="D36" s="71"/>
      <c r="E36" s="71"/>
      <c r="F36" s="72">
        <f t="shared" si="0"/>
        <v>0</v>
      </c>
      <c r="G36" s="76"/>
      <c r="J36" s="73">
        <v>46282</v>
      </c>
      <c r="K36" s="77">
        <f>SUM(F36:F37)</f>
        <v>0</v>
      </c>
      <c r="L36" s="129"/>
      <c r="M36" s="130">
        <f t="shared" si="11"/>
        <v>0</v>
      </c>
      <c r="N36" s="6"/>
    </row>
    <row r="37" spans="1:15" x14ac:dyDescent="0.3">
      <c r="A37" s="766">
        <v>46283</v>
      </c>
      <c r="B37" s="767"/>
      <c r="C37" s="75"/>
      <c r="D37" s="71"/>
      <c r="E37" s="71"/>
      <c r="F37" s="72"/>
      <c r="G37" s="76"/>
      <c r="J37" s="305"/>
      <c r="K37" s="77"/>
      <c r="L37" s="129"/>
      <c r="M37" s="130"/>
      <c r="N37" s="6"/>
    </row>
    <row r="38" spans="1:15" x14ac:dyDescent="0.3">
      <c r="A38" s="766">
        <v>46284</v>
      </c>
      <c r="B38" s="767"/>
      <c r="C38" s="75"/>
      <c r="D38" s="78"/>
      <c r="E38" s="78"/>
      <c r="F38" s="72"/>
      <c r="G38" s="76"/>
      <c r="J38" s="73"/>
      <c r="K38" s="77"/>
      <c r="L38" s="6"/>
      <c r="M38" s="74"/>
      <c r="N38" s="6"/>
    </row>
    <row r="39" spans="1:15" x14ac:dyDescent="0.3">
      <c r="A39" s="766">
        <v>46285</v>
      </c>
      <c r="B39" s="767"/>
      <c r="C39" s="75"/>
      <c r="D39" s="78"/>
      <c r="E39" s="78"/>
      <c r="F39" s="72"/>
      <c r="G39" s="76"/>
      <c r="J39" s="73"/>
      <c r="K39" s="6"/>
      <c r="L39" s="6"/>
      <c r="M39" s="74"/>
      <c r="N39" s="6"/>
    </row>
    <row r="40" spans="1:15" x14ac:dyDescent="0.3">
      <c r="A40" s="766">
        <v>46286</v>
      </c>
      <c r="B40" s="767"/>
      <c r="C40" s="75"/>
      <c r="D40" s="78"/>
      <c r="E40" s="78"/>
      <c r="F40" s="72"/>
      <c r="G40" s="76"/>
      <c r="J40" s="73"/>
      <c r="K40" s="6"/>
      <c r="L40" s="6"/>
      <c r="M40" s="74"/>
      <c r="N40" s="6"/>
    </row>
    <row r="41" spans="1:15" x14ac:dyDescent="0.3">
      <c r="A41" s="766">
        <v>46287</v>
      </c>
      <c r="B41" s="767"/>
      <c r="C41" s="75"/>
      <c r="D41" s="78"/>
      <c r="E41" s="78"/>
      <c r="F41" s="72"/>
      <c r="G41" s="76"/>
      <c r="J41" s="73"/>
      <c r="K41" s="6"/>
      <c r="L41" s="6"/>
      <c r="M41" s="74"/>
      <c r="N41" s="6"/>
    </row>
    <row r="42" spans="1:15" x14ac:dyDescent="0.3">
      <c r="A42" s="766">
        <v>46288</v>
      </c>
      <c r="B42" s="767"/>
      <c r="C42" s="75"/>
      <c r="D42" s="78"/>
      <c r="E42" s="78"/>
      <c r="F42" s="72"/>
      <c r="G42" s="76"/>
      <c r="J42" s="73"/>
      <c r="K42" s="6"/>
      <c r="L42" s="6"/>
      <c r="M42" s="74"/>
      <c r="N42" s="6"/>
      <c r="O42" s="1" t="s">
        <v>428</v>
      </c>
    </row>
    <row r="43" spans="1:15" x14ac:dyDescent="0.3">
      <c r="J43" s="18" t="s">
        <v>18</v>
      </c>
      <c r="K43" s="79">
        <f>SUM(K6:K42)</f>
        <v>14040</v>
      </c>
      <c r="L43" s="80">
        <f>SUM(L6:L16)</f>
        <v>65.95</v>
      </c>
      <c r="M43" s="81">
        <f>L43/O43</f>
        <v>0.49962121212121213</v>
      </c>
      <c r="N43" s="77">
        <f>SUM(N6:N16)</f>
        <v>66.05</v>
      </c>
      <c r="O43" s="13">
        <f>L43+N43</f>
        <v>132</v>
      </c>
    </row>
    <row r="44" spans="1:15" x14ac:dyDescent="0.3">
      <c r="J44" s="48" t="s">
        <v>69</v>
      </c>
      <c r="K44" s="82">
        <f>K43/60</f>
        <v>234</v>
      </c>
      <c r="L44" s="12">
        <f>L43/L46</f>
        <v>0.61064814814814816</v>
      </c>
      <c r="M44" s="15"/>
      <c r="N44" s="12"/>
    </row>
    <row r="45" spans="1:15" x14ac:dyDescent="0.3">
      <c r="J45" s="4"/>
    </row>
    <row r="46" spans="1:15" x14ac:dyDescent="0.3">
      <c r="L46" s="15">
        <f>9*12</f>
        <v>108</v>
      </c>
    </row>
  </sheetData>
  <mergeCells count="42"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S66"/>
  <sheetViews>
    <sheetView zoomScale="82" zoomScaleNormal="70" workbookViewId="0">
      <pane ySplit="4" topLeftCell="A14" activePane="bottomLeft" state="frozen"/>
      <selection pane="bottomLeft" activeCell="H16" sqref="H16"/>
    </sheetView>
  </sheetViews>
  <sheetFormatPr defaultColWidth="8.77734375" defaultRowHeight="14.4" x14ac:dyDescent="0.3"/>
  <cols>
    <col min="1" max="4" width="8.77734375" style="1"/>
    <col min="5" max="5" width="9.77734375" style="1" bestFit="1" customWidth="1"/>
    <col min="6" max="6" width="10" style="1" bestFit="1" customWidth="1"/>
    <col min="7" max="7" width="17.44140625" style="1" bestFit="1" customWidth="1"/>
    <col min="8" max="8" width="52.44140625" style="566" bestFit="1" customWidth="1"/>
    <col min="9" max="10" width="8.77734375" style="1"/>
    <col min="11" max="11" width="10.777343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6384" width="8.77734375" style="1"/>
  </cols>
  <sheetData>
    <row r="3" spans="1:16" ht="15" thickBot="1" x14ac:dyDescent="0.35">
      <c r="A3" s="737" t="s">
        <v>64</v>
      </c>
      <c r="B3" s="768"/>
      <c r="C3" s="768"/>
      <c r="D3" s="768"/>
      <c r="E3" s="768"/>
      <c r="F3" s="768"/>
      <c r="G3" s="768"/>
      <c r="H3" s="738"/>
    </row>
    <row r="4" spans="1:16" ht="15" thickBot="1" x14ac:dyDescent="0.35">
      <c r="A4" s="769" t="s">
        <v>1</v>
      </c>
      <c r="B4" s="770"/>
      <c r="C4" s="603" t="s">
        <v>27</v>
      </c>
      <c r="D4" s="155" t="s">
        <v>2</v>
      </c>
      <c r="E4" s="156" t="s">
        <v>61</v>
      </c>
      <c r="F4" s="156" t="s">
        <v>62</v>
      </c>
      <c r="G4" s="156" t="s">
        <v>63</v>
      </c>
      <c r="H4" s="157" t="s">
        <v>65</v>
      </c>
      <c r="K4" s="18" t="s">
        <v>1</v>
      </c>
      <c r="L4" s="18" t="s">
        <v>66</v>
      </c>
      <c r="M4" s="18" t="s">
        <v>67</v>
      </c>
      <c r="N4" s="18" t="s">
        <v>68</v>
      </c>
      <c r="O4" s="161" t="s">
        <v>302</v>
      </c>
      <c r="P4" s="147" t="s">
        <v>65</v>
      </c>
    </row>
    <row r="5" spans="1:16" ht="43.2" x14ac:dyDescent="0.3">
      <c r="A5" s="772">
        <v>46265</v>
      </c>
      <c r="B5" s="767"/>
      <c r="C5" s="594"/>
      <c r="D5" s="173" t="s">
        <v>170</v>
      </c>
      <c r="E5" s="174">
        <v>6.9444444444444447E-4</v>
      </c>
      <c r="F5" s="71">
        <v>6.5972222222222224E-2</v>
      </c>
      <c r="G5" s="72">
        <f>(F5-E5)*1440</f>
        <v>94</v>
      </c>
      <c r="H5" s="531" t="s">
        <v>459</v>
      </c>
      <c r="I5" s="1" t="s">
        <v>13</v>
      </c>
      <c r="K5" s="73">
        <v>46265</v>
      </c>
      <c r="L5" s="6">
        <f>G5</f>
        <v>94</v>
      </c>
      <c r="M5" s="77">
        <f>(1440-L5)/60</f>
        <v>22.433333333333334</v>
      </c>
      <c r="N5" s="74">
        <f>M5/24</f>
        <v>0.93472222222222223</v>
      </c>
      <c r="O5" s="50">
        <f>L5/60</f>
        <v>1.5666666666666667</v>
      </c>
      <c r="P5" s="597" t="str">
        <f>H5</f>
        <v>Start Ball Mill 1 08:35, start ball mill 2 13:15, start ball mill 3 16:50, ball mill 1,2 dan 3 ada trouble kebocoran dan baud bermasalah</v>
      </c>
    </row>
    <row r="6" spans="1:16" ht="43.2" x14ac:dyDescent="0.3">
      <c r="A6" s="772">
        <v>46266</v>
      </c>
      <c r="B6" s="767"/>
      <c r="C6" s="594"/>
      <c r="D6" s="178" t="s">
        <v>170</v>
      </c>
      <c r="E6" s="71">
        <v>6.9444444444444447E-4</v>
      </c>
      <c r="F6" s="71">
        <v>4.6527777777777779E-2</v>
      </c>
      <c r="G6" s="72">
        <f t="shared" ref="G6:G39" si="0">(F6-E6)*1440</f>
        <v>66</v>
      </c>
      <c r="H6" s="552" t="s">
        <v>490</v>
      </c>
      <c r="I6" s="1" t="s">
        <v>14</v>
      </c>
      <c r="K6" s="73">
        <v>46266</v>
      </c>
      <c r="L6" s="77">
        <f>G6</f>
        <v>66</v>
      </c>
      <c r="M6" s="77">
        <f>(1440-L6)/60</f>
        <v>22.9</v>
      </c>
      <c r="N6" s="74">
        <f>M6/24</f>
        <v>0.95416666666666661</v>
      </c>
      <c r="O6" s="50">
        <f t="shared" ref="O6:O29" si="1">L6/60</f>
        <v>1.1000000000000001</v>
      </c>
      <c r="P6" s="418" t="str">
        <f t="shared" ref="P6:P10" si="2">H6</f>
        <v>shift malam jam 20:59-21:40 stop thicekener tank bermasalah, jam 06:00-07:00 houskepping ball mill 3 meluap</v>
      </c>
    </row>
    <row r="7" spans="1:16" ht="43.2" x14ac:dyDescent="0.3">
      <c r="A7" s="772">
        <v>46267</v>
      </c>
      <c r="B7" s="767"/>
      <c r="C7" s="594"/>
      <c r="D7" s="178" t="s">
        <v>223</v>
      </c>
      <c r="E7" s="71">
        <v>6.9444444444444447E-4</v>
      </c>
      <c r="F7" s="71">
        <v>8.4027777777777785E-2</v>
      </c>
      <c r="G7" s="72">
        <f t="shared" si="0"/>
        <v>120.00000000000001</v>
      </c>
      <c r="H7" s="552" t="s">
        <v>491</v>
      </c>
      <c r="K7" s="73">
        <v>46267</v>
      </c>
      <c r="L7" s="6">
        <f t="shared" ref="L7:L33" si="3">G7</f>
        <v>120.00000000000001</v>
      </c>
      <c r="M7" s="77">
        <f t="shared" ref="M7:M38" si="4">(1440-L7)/60</f>
        <v>22</v>
      </c>
      <c r="N7" s="74">
        <f t="shared" ref="N7:N57" si="5">M7/24</f>
        <v>0.91666666666666663</v>
      </c>
      <c r="O7" s="50">
        <f t="shared" si="1"/>
        <v>2.0000000000000004</v>
      </c>
      <c r="P7" s="418" t="str">
        <f t="shared" si="2"/>
        <v>Ball mill sampai jam 12 Cuma berjalan 1, housekepping material meluap dari ball mill 3 hingga jam 9</v>
      </c>
    </row>
    <row r="8" spans="1:16" ht="28.8" x14ac:dyDescent="0.3">
      <c r="A8" s="772">
        <v>46268</v>
      </c>
      <c r="B8" s="767"/>
      <c r="C8" s="594"/>
      <c r="D8" s="180" t="s">
        <v>170</v>
      </c>
      <c r="E8" s="71">
        <v>6.9444444444444447E-4</v>
      </c>
      <c r="F8" s="71">
        <v>0.54166666666666663</v>
      </c>
      <c r="G8" s="72">
        <f t="shared" si="0"/>
        <v>779</v>
      </c>
      <c r="H8" s="552" t="s">
        <v>481</v>
      </c>
      <c r="K8" s="73">
        <v>46268</v>
      </c>
      <c r="L8" s="6">
        <f t="shared" si="3"/>
        <v>779</v>
      </c>
      <c r="M8" s="77">
        <f t="shared" si="4"/>
        <v>11.016666666666667</v>
      </c>
      <c r="N8" s="74">
        <f t="shared" si="5"/>
        <v>0.45902777777777781</v>
      </c>
      <c r="O8" s="50">
        <f t="shared" si="1"/>
        <v>12.983333333333333</v>
      </c>
      <c r="P8" s="418" t="str">
        <f t="shared" si="2"/>
        <v>Stop ball mill jam 18:00 material finish pump ke tank 3, shift malam drain slurry tank 2</v>
      </c>
    </row>
    <row r="9" spans="1:16" x14ac:dyDescent="0.3">
      <c r="A9" s="772">
        <v>46269</v>
      </c>
      <c r="B9" s="767"/>
      <c r="C9" s="594"/>
      <c r="D9" s="190" t="s">
        <v>223</v>
      </c>
      <c r="E9" s="188">
        <v>6.9444444444444447E-4</v>
      </c>
      <c r="F9" s="71">
        <v>0.99930555555555556</v>
      </c>
      <c r="G9" s="72">
        <f t="shared" si="0"/>
        <v>1438</v>
      </c>
      <c r="H9" s="553" t="s">
        <v>489</v>
      </c>
      <c r="K9" s="73">
        <v>46269</v>
      </c>
      <c r="L9" s="6">
        <f t="shared" si="3"/>
        <v>1438</v>
      </c>
      <c r="M9" s="77">
        <f t="shared" si="4"/>
        <v>3.3333333333333333E-2</v>
      </c>
      <c r="N9" s="74">
        <f t="shared" si="5"/>
        <v>1.3888888888888889E-3</v>
      </c>
      <c r="O9" s="50">
        <f t="shared" si="1"/>
        <v>23.966666666666665</v>
      </c>
      <c r="P9" s="6" t="str">
        <f t="shared" si="2"/>
        <v>drain slurry tank 2 dan 3, batch process 1 dan 2</v>
      </c>
    </row>
    <row r="10" spans="1:16" ht="43.2" x14ac:dyDescent="0.3">
      <c r="A10" s="772">
        <v>46270</v>
      </c>
      <c r="B10" s="767"/>
      <c r="C10" s="594"/>
      <c r="D10" s="195" t="s">
        <v>170</v>
      </c>
      <c r="E10" s="71">
        <v>6.9444444444444447E-4</v>
      </c>
      <c r="F10" s="71">
        <v>0.54166666666666663</v>
      </c>
      <c r="G10" s="72">
        <f>(F10-E10)*1440</f>
        <v>779</v>
      </c>
      <c r="H10" s="554" t="s">
        <v>501</v>
      </c>
      <c r="K10" s="73">
        <v>46270</v>
      </c>
      <c r="L10" s="77">
        <f>G10</f>
        <v>779</v>
      </c>
      <c r="M10" s="77">
        <f t="shared" si="4"/>
        <v>11.016666666666667</v>
      </c>
      <c r="N10" s="74">
        <f t="shared" si="5"/>
        <v>0.45902777777777781</v>
      </c>
      <c r="O10" s="50">
        <f t="shared" si="1"/>
        <v>12.983333333333333</v>
      </c>
      <c r="P10" s="418" t="str">
        <f t="shared" si="2"/>
        <v xml:space="preserve">Drain Slurry tank 3, genset 600 dan 750 rusak, ball mill baru mulai shift malam, hanya 1 ball milll dikarenakan genset pakai 300 </v>
      </c>
    </row>
    <row r="11" spans="1:16" x14ac:dyDescent="0.3">
      <c r="A11" s="772">
        <v>46271</v>
      </c>
      <c r="B11" s="767"/>
      <c r="C11" s="594" t="s">
        <v>13</v>
      </c>
      <c r="D11" s="604" t="s">
        <v>521</v>
      </c>
      <c r="E11" s="71">
        <v>6.9444444444444447E-4</v>
      </c>
      <c r="F11" s="71">
        <v>0.18124999999999999</v>
      </c>
      <c r="G11" s="72">
        <f>(F11-E11)*720</f>
        <v>130</v>
      </c>
      <c r="H11" s="605" t="s">
        <v>523</v>
      </c>
      <c r="K11" s="73">
        <v>46271</v>
      </c>
      <c r="L11" s="77">
        <f>SUM(G11:G12)</f>
        <v>130</v>
      </c>
      <c r="M11" s="77">
        <f t="shared" si="4"/>
        <v>21.833333333333332</v>
      </c>
      <c r="N11" s="74">
        <f t="shared" si="5"/>
        <v>0.90972222222222221</v>
      </c>
      <c r="O11" s="77">
        <f t="shared" si="1"/>
        <v>2.1666666666666665</v>
      </c>
      <c r="P11" s="6"/>
    </row>
    <row r="12" spans="1:16" ht="43.2" x14ac:dyDescent="0.3">
      <c r="A12" s="772">
        <v>46271</v>
      </c>
      <c r="B12" s="767"/>
      <c r="C12" s="594" t="s">
        <v>14</v>
      </c>
      <c r="D12" s="604" t="s">
        <v>522</v>
      </c>
      <c r="E12" s="71"/>
      <c r="F12" s="71"/>
      <c r="G12" s="72">
        <f t="shared" si="0"/>
        <v>0</v>
      </c>
      <c r="H12" s="605" t="s">
        <v>531</v>
      </c>
      <c r="K12" s="73">
        <v>46272</v>
      </c>
      <c r="L12" s="77">
        <f>SUM(G13:G14)</f>
        <v>93</v>
      </c>
      <c r="M12" s="77">
        <f t="shared" si="4"/>
        <v>22.45</v>
      </c>
      <c r="N12" s="74">
        <f t="shared" si="5"/>
        <v>0.93541666666666667</v>
      </c>
      <c r="O12" s="77">
        <f t="shared" si="1"/>
        <v>1.55</v>
      </c>
      <c r="P12" s="418" t="str">
        <f>H13</f>
        <v>Ball mill 3 yang baru start jam 09:15, pada jam 13:40 ball mill baru kapasitas 300 tpd mati jam 08:37-09:45</v>
      </c>
    </row>
    <row r="13" spans="1:16" ht="72" x14ac:dyDescent="0.3">
      <c r="A13" s="772">
        <v>46272</v>
      </c>
      <c r="B13" s="767"/>
      <c r="C13" s="594" t="s">
        <v>13</v>
      </c>
      <c r="D13" s="256" t="s">
        <v>170</v>
      </c>
      <c r="E13" s="71">
        <v>6.9444444444444447E-4</v>
      </c>
      <c r="F13" s="71">
        <v>1.3888888888888888E-2</v>
      </c>
      <c r="G13" s="72">
        <f t="shared" si="0"/>
        <v>19</v>
      </c>
      <c r="H13" s="615" t="s">
        <v>532</v>
      </c>
      <c r="K13" s="73">
        <v>46273</v>
      </c>
      <c r="L13" s="6">
        <f t="shared" si="3"/>
        <v>19</v>
      </c>
      <c r="M13" s="77">
        <f t="shared" si="4"/>
        <v>23.683333333333334</v>
      </c>
      <c r="N13" s="74">
        <f t="shared" si="5"/>
        <v>0.9868055555555556</v>
      </c>
      <c r="O13" s="77">
        <f t="shared" si="1"/>
        <v>0.31666666666666665</v>
      </c>
      <c r="P13" s="418" t="str">
        <f>H14</f>
        <v xml:space="preserve">Start ball mill 19:30 jalan 2 ball mill no 1 dan 2, jam 21:30 jalan 3 ball mill, no 3 ball mill baru jalan sampai jam 01:45. dari jam 02:25 jalan hanya 1 ball mill, ball mill no 1, karena genset 750 rusak, hanya pakai genset 300 </v>
      </c>
    </row>
    <row r="14" spans="1:16" ht="86.4" x14ac:dyDescent="0.3">
      <c r="A14" s="772">
        <v>46272</v>
      </c>
      <c r="B14" s="767"/>
      <c r="C14" s="594" t="s">
        <v>14</v>
      </c>
      <c r="D14" s="256" t="s">
        <v>170</v>
      </c>
      <c r="E14" s="71">
        <v>6.9444444444444447E-4</v>
      </c>
      <c r="F14" s="71">
        <v>5.2083333333333336E-2</v>
      </c>
      <c r="G14" s="72">
        <f t="shared" si="0"/>
        <v>74</v>
      </c>
      <c r="H14" s="615" t="s">
        <v>533</v>
      </c>
      <c r="K14" s="73">
        <v>46274</v>
      </c>
      <c r="L14" s="77">
        <f t="shared" si="3"/>
        <v>74</v>
      </c>
      <c r="M14" s="77">
        <f t="shared" si="4"/>
        <v>22.766666666666666</v>
      </c>
      <c r="N14" s="74">
        <f t="shared" si="5"/>
        <v>0.94861111111111107</v>
      </c>
      <c r="O14" s="77">
        <f t="shared" si="1"/>
        <v>1.2333333333333334</v>
      </c>
      <c r="P14" s="418" t="str">
        <f>H15</f>
        <v>start 1 ball mill jam 07:04 masalah pada genset, start 2 ball mill jam 09:19. ball mill baru no 3 start jam 14:46, ball mill baru no 3 hanya berjalan 3 jam, ada masalah pada pompa dan genset. Efektifitas kerja ball mill adalah no 1 dan 2 running hour mencapai 10 hour</v>
      </c>
    </row>
    <row r="15" spans="1:16" ht="72" x14ac:dyDescent="0.3">
      <c r="A15" s="772">
        <v>46275</v>
      </c>
      <c r="B15" s="767"/>
      <c r="C15" s="594" t="s">
        <v>13</v>
      </c>
      <c r="D15" s="256" t="s">
        <v>170</v>
      </c>
      <c r="E15" s="71">
        <v>6.9444444444444447E-4</v>
      </c>
      <c r="F15" s="71">
        <v>7.013888888888889E-2</v>
      </c>
      <c r="G15" s="72">
        <f>(F15-E15)*1440</f>
        <v>100</v>
      </c>
      <c r="H15" s="615" t="s">
        <v>537</v>
      </c>
      <c r="K15" s="73">
        <v>46275</v>
      </c>
      <c r="L15" s="77">
        <f>SUM(G15:G16)</f>
        <v>100</v>
      </c>
      <c r="M15" s="77">
        <f t="shared" si="4"/>
        <v>22.333333333333332</v>
      </c>
      <c r="N15" s="74">
        <f t="shared" si="5"/>
        <v>0.93055555555555547</v>
      </c>
      <c r="O15" s="77">
        <f t="shared" si="1"/>
        <v>1.6666666666666667</v>
      </c>
      <c r="P15" s="6"/>
    </row>
    <row r="16" spans="1:16" x14ac:dyDescent="0.3">
      <c r="A16" s="772">
        <v>46276</v>
      </c>
      <c r="B16" s="767"/>
      <c r="C16" s="594" t="s">
        <v>14</v>
      </c>
      <c r="D16" s="256"/>
      <c r="E16" s="71"/>
      <c r="F16" s="71"/>
      <c r="G16" s="72"/>
      <c r="H16" s="555"/>
      <c r="K16" s="73"/>
      <c r="L16" s="77"/>
      <c r="M16" s="77"/>
      <c r="N16" s="74"/>
      <c r="O16" s="77"/>
      <c r="P16" s="6"/>
    </row>
    <row r="17" spans="1:19" x14ac:dyDescent="0.3">
      <c r="A17" s="772">
        <v>46276</v>
      </c>
      <c r="B17" s="767"/>
      <c r="C17" s="594"/>
      <c r="D17" s="271" t="s">
        <v>170</v>
      </c>
      <c r="E17" s="71"/>
      <c r="F17" s="71"/>
      <c r="G17" s="72">
        <f t="shared" si="0"/>
        <v>0</v>
      </c>
      <c r="H17" s="555"/>
      <c r="K17" s="73">
        <v>46276</v>
      </c>
      <c r="L17" s="6">
        <f t="shared" si="3"/>
        <v>0</v>
      </c>
      <c r="M17" s="77">
        <f t="shared" si="4"/>
        <v>24</v>
      </c>
      <c r="N17" s="74">
        <f t="shared" si="5"/>
        <v>1</v>
      </c>
      <c r="O17" s="77">
        <f t="shared" si="1"/>
        <v>0</v>
      </c>
      <c r="P17" s="6"/>
    </row>
    <row r="18" spans="1:19" x14ac:dyDescent="0.3">
      <c r="A18" s="772">
        <v>46277</v>
      </c>
      <c r="B18" s="767"/>
      <c r="C18" s="594"/>
      <c r="D18" s="271" t="s">
        <v>170</v>
      </c>
      <c r="E18" s="71"/>
      <c r="F18" s="71"/>
      <c r="G18" s="72">
        <f t="shared" si="0"/>
        <v>0</v>
      </c>
      <c r="H18" s="556"/>
      <c r="K18" s="73">
        <v>46277</v>
      </c>
      <c r="L18" s="6">
        <f t="shared" si="3"/>
        <v>0</v>
      </c>
      <c r="M18" s="77">
        <f t="shared" si="4"/>
        <v>24</v>
      </c>
      <c r="N18" s="74">
        <f t="shared" si="5"/>
        <v>1</v>
      </c>
      <c r="O18" s="77">
        <f t="shared" si="1"/>
        <v>0</v>
      </c>
      <c r="P18" s="6"/>
    </row>
    <row r="19" spans="1:19" x14ac:dyDescent="0.3">
      <c r="A19" s="772">
        <v>46278</v>
      </c>
      <c r="B19" s="767"/>
      <c r="C19" s="594"/>
      <c r="D19" s="271" t="s">
        <v>170</v>
      </c>
      <c r="E19" s="71"/>
      <c r="F19" s="71"/>
      <c r="G19" s="72">
        <f t="shared" si="0"/>
        <v>0</v>
      </c>
      <c r="H19" s="557"/>
      <c r="K19" s="73">
        <v>46278</v>
      </c>
      <c r="L19" s="6">
        <f t="shared" si="3"/>
        <v>0</v>
      </c>
      <c r="M19" s="6">
        <f t="shared" si="4"/>
        <v>24</v>
      </c>
      <c r="N19" s="74">
        <f t="shared" si="5"/>
        <v>1</v>
      </c>
      <c r="O19" s="77">
        <f t="shared" si="1"/>
        <v>0</v>
      </c>
      <c r="P19" s="6"/>
    </row>
    <row r="20" spans="1:19" x14ac:dyDescent="0.3">
      <c r="A20" s="772">
        <v>46279</v>
      </c>
      <c r="B20" s="767"/>
      <c r="C20" s="594"/>
      <c r="D20" s="274" t="s">
        <v>170</v>
      </c>
      <c r="E20" s="71"/>
      <c r="F20" s="71"/>
      <c r="G20" s="72">
        <f t="shared" si="0"/>
        <v>0</v>
      </c>
      <c r="H20" s="558"/>
      <c r="K20" s="73">
        <v>46279</v>
      </c>
      <c r="L20" s="6">
        <f t="shared" si="3"/>
        <v>0</v>
      </c>
      <c r="M20" s="6">
        <f t="shared" si="4"/>
        <v>24</v>
      </c>
      <c r="N20" s="74">
        <f t="shared" si="5"/>
        <v>1</v>
      </c>
      <c r="O20" s="77">
        <f t="shared" si="1"/>
        <v>0</v>
      </c>
      <c r="P20" s="6"/>
    </row>
    <row r="21" spans="1:19" x14ac:dyDescent="0.3">
      <c r="A21" s="772">
        <v>46280</v>
      </c>
      <c r="B21" s="767"/>
      <c r="C21" s="594"/>
      <c r="D21" s="278" t="s">
        <v>170</v>
      </c>
      <c r="E21" s="71"/>
      <c r="F21" s="71"/>
      <c r="G21" s="72">
        <f t="shared" si="0"/>
        <v>0</v>
      </c>
      <c r="H21" s="559"/>
      <c r="K21" s="73">
        <v>46280</v>
      </c>
      <c r="L21" s="6">
        <f t="shared" si="3"/>
        <v>0</v>
      </c>
      <c r="M21" s="77">
        <f t="shared" si="4"/>
        <v>24</v>
      </c>
      <c r="N21" s="74">
        <f t="shared" si="5"/>
        <v>1</v>
      </c>
      <c r="O21" s="77">
        <f>L21/60</f>
        <v>0</v>
      </c>
      <c r="P21" s="6"/>
    </row>
    <row r="22" spans="1:19" x14ac:dyDescent="0.3">
      <c r="A22" s="772">
        <v>46281</v>
      </c>
      <c r="B22" s="767"/>
      <c r="C22" s="594"/>
      <c r="D22" s="279" t="s">
        <v>170</v>
      </c>
      <c r="E22" s="71"/>
      <c r="F22" s="71"/>
      <c r="G22" s="72">
        <f t="shared" si="0"/>
        <v>0</v>
      </c>
      <c r="H22" s="560"/>
      <c r="K22" s="73">
        <v>46281</v>
      </c>
      <c r="L22" s="77">
        <f t="shared" si="3"/>
        <v>0</v>
      </c>
      <c r="M22" s="77">
        <f t="shared" si="4"/>
        <v>24</v>
      </c>
      <c r="N22" s="74">
        <f t="shared" si="5"/>
        <v>1</v>
      </c>
      <c r="O22" s="77">
        <f t="shared" si="1"/>
        <v>0</v>
      </c>
      <c r="P22" s="6"/>
    </row>
    <row r="23" spans="1:19" x14ac:dyDescent="0.3">
      <c r="A23" s="772">
        <v>46282</v>
      </c>
      <c r="B23" s="767"/>
      <c r="C23" s="594"/>
      <c r="D23" s="282" t="s">
        <v>170</v>
      </c>
      <c r="E23" s="71"/>
      <c r="F23" s="71"/>
      <c r="G23" s="72">
        <f t="shared" si="0"/>
        <v>0</v>
      </c>
      <c r="H23" s="561"/>
      <c r="K23" s="73">
        <v>46282</v>
      </c>
      <c r="L23" s="6">
        <f t="shared" si="3"/>
        <v>0</v>
      </c>
      <c r="M23" s="77">
        <f t="shared" si="4"/>
        <v>24</v>
      </c>
      <c r="N23" s="74">
        <f t="shared" si="5"/>
        <v>1</v>
      </c>
      <c r="O23" s="77">
        <f t="shared" si="1"/>
        <v>0</v>
      </c>
      <c r="P23" s="6"/>
    </row>
    <row r="24" spans="1:19" x14ac:dyDescent="0.3">
      <c r="A24" s="772">
        <v>46283</v>
      </c>
      <c r="B24" s="767"/>
      <c r="C24" s="594"/>
      <c r="D24" s="282" t="s">
        <v>170</v>
      </c>
      <c r="E24" s="71"/>
      <c r="F24" s="71"/>
      <c r="G24" s="72">
        <f t="shared" si="0"/>
        <v>0</v>
      </c>
      <c r="H24" s="561"/>
      <c r="K24" s="73">
        <v>46283</v>
      </c>
      <c r="L24" s="6">
        <f t="shared" si="3"/>
        <v>0</v>
      </c>
      <c r="M24" s="77">
        <f t="shared" si="4"/>
        <v>24</v>
      </c>
      <c r="N24" s="74">
        <f t="shared" si="5"/>
        <v>1</v>
      </c>
      <c r="O24" s="77">
        <f t="shared" si="1"/>
        <v>0</v>
      </c>
      <c r="P24" s="6"/>
    </row>
    <row r="25" spans="1:19" x14ac:dyDescent="0.3">
      <c r="A25" s="772">
        <v>46284</v>
      </c>
      <c r="B25" s="767"/>
      <c r="C25" s="594"/>
      <c r="D25" s="292" t="s">
        <v>170</v>
      </c>
      <c r="E25" s="71"/>
      <c r="F25" s="71"/>
      <c r="G25" s="72">
        <f t="shared" si="0"/>
        <v>0</v>
      </c>
      <c r="H25" s="562"/>
      <c r="K25" s="73">
        <v>46284</v>
      </c>
      <c r="L25" s="6">
        <f t="shared" si="3"/>
        <v>0</v>
      </c>
      <c r="M25" s="77">
        <f t="shared" si="4"/>
        <v>24</v>
      </c>
      <c r="N25" s="74">
        <f t="shared" si="5"/>
        <v>1</v>
      </c>
      <c r="O25" s="77">
        <f t="shared" si="1"/>
        <v>0</v>
      </c>
      <c r="P25" s="6"/>
    </row>
    <row r="26" spans="1:19" x14ac:dyDescent="0.3">
      <c r="A26" s="772">
        <v>46285</v>
      </c>
      <c r="B26" s="767"/>
      <c r="C26" s="594"/>
      <c r="D26" s="295" t="s">
        <v>170</v>
      </c>
      <c r="E26" s="71"/>
      <c r="F26" s="71"/>
      <c r="G26" s="72">
        <f t="shared" si="0"/>
        <v>0</v>
      </c>
      <c r="H26" s="561"/>
      <c r="K26" s="73">
        <v>46285</v>
      </c>
      <c r="L26" s="6">
        <f t="shared" si="3"/>
        <v>0</v>
      </c>
      <c r="M26" s="77">
        <f t="shared" si="4"/>
        <v>24</v>
      </c>
      <c r="N26" s="74">
        <f t="shared" si="5"/>
        <v>1</v>
      </c>
      <c r="O26" s="77">
        <f t="shared" si="1"/>
        <v>0</v>
      </c>
      <c r="P26" s="6"/>
    </row>
    <row r="27" spans="1:19" x14ac:dyDescent="0.3">
      <c r="A27" s="772">
        <v>46286</v>
      </c>
      <c r="B27" s="767"/>
      <c r="C27" s="594"/>
      <c r="D27" s="297" t="s">
        <v>170</v>
      </c>
      <c r="E27" s="71"/>
      <c r="F27" s="71"/>
      <c r="G27" s="72">
        <f t="shared" si="0"/>
        <v>0</v>
      </c>
      <c r="H27" s="563"/>
      <c r="K27" s="73">
        <v>46286</v>
      </c>
      <c r="L27" s="6">
        <f t="shared" si="3"/>
        <v>0</v>
      </c>
      <c r="M27" s="77">
        <f t="shared" si="4"/>
        <v>24</v>
      </c>
      <c r="N27" s="74">
        <f t="shared" si="5"/>
        <v>1</v>
      </c>
      <c r="O27" s="77">
        <f t="shared" si="1"/>
        <v>0</v>
      </c>
      <c r="P27" s="6"/>
    </row>
    <row r="28" spans="1:19" x14ac:dyDescent="0.3">
      <c r="A28" s="772">
        <v>46287</v>
      </c>
      <c r="B28" s="767"/>
      <c r="C28" s="594"/>
      <c r="D28" s="298" t="s">
        <v>170</v>
      </c>
      <c r="E28" s="71"/>
      <c r="F28" s="71"/>
      <c r="G28" s="72">
        <f t="shared" si="0"/>
        <v>0</v>
      </c>
      <c r="H28" s="564"/>
      <c r="K28" s="73">
        <v>46287</v>
      </c>
      <c r="L28" s="6">
        <f t="shared" si="3"/>
        <v>0</v>
      </c>
      <c r="M28" s="77">
        <f t="shared" si="4"/>
        <v>24</v>
      </c>
      <c r="N28" s="74">
        <f t="shared" si="5"/>
        <v>1</v>
      </c>
      <c r="O28" s="77">
        <f t="shared" si="1"/>
        <v>0</v>
      </c>
      <c r="P28" s="6"/>
    </row>
    <row r="29" spans="1:19" x14ac:dyDescent="0.3">
      <c r="A29" s="772">
        <v>46288</v>
      </c>
      <c r="B29" s="767"/>
      <c r="C29" s="594"/>
      <c r="D29" s="75"/>
      <c r="E29" s="71"/>
      <c r="F29" s="71"/>
      <c r="G29" s="72">
        <f t="shared" si="0"/>
        <v>0</v>
      </c>
      <c r="H29" s="565"/>
      <c r="K29" s="73">
        <v>46288</v>
      </c>
      <c r="L29" s="6">
        <f t="shared" si="3"/>
        <v>0</v>
      </c>
      <c r="M29" s="6">
        <f t="shared" si="4"/>
        <v>24</v>
      </c>
      <c r="N29" s="74">
        <f t="shared" si="5"/>
        <v>1</v>
      </c>
      <c r="O29" s="77">
        <f t="shared" si="1"/>
        <v>0</v>
      </c>
      <c r="P29" s="6"/>
    </row>
    <row r="30" spans="1:19" x14ac:dyDescent="0.3">
      <c r="A30" s="772">
        <v>46289</v>
      </c>
      <c r="B30" s="767"/>
      <c r="C30" s="594"/>
      <c r="D30" s="75"/>
      <c r="E30" s="71"/>
      <c r="F30" s="71"/>
      <c r="G30" s="72">
        <f t="shared" si="0"/>
        <v>0</v>
      </c>
      <c r="H30" s="565"/>
      <c r="K30" s="73">
        <v>46289</v>
      </c>
      <c r="L30" s="6">
        <f t="shared" si="3"/>
        <v>0</v>
      </c>
      <c r="M30" s="6">
        <f t="shared" si="4"/>
        <v>24</v>
      </c>
      <c r="N30" s="74">
        <f t="shared" si="5"/>
        <v>1</v>
      </c>
      <c r="O30" s="6"/>
      <c r="P30" s="6"/>
    </row>
    <row r="31" spans="1:19" x14ac:dyDescent="0.3">
      <c r="A31" s="772">
        <v>46290</v>
      </c>
      <c r="B31" s="767"/>
      <c r="C31" s="594"/>
      <c r="D31" s="75"/>
      <c r="E31" s="78"/>
      <c r="F31" s="78"/>
      <c r="G31" s="72">
        <f t="shared" si="0"/>
        <v>0</v>
      </c>
      <c r="H31" s="565"/>
      <c r="K31" s="73">
        <v>46290</v>
      </c>
      <c r="L31" s="77">
        <f t="shared" si="3"/>
        <v>0</v>
      </c>
      <c r="M31" s="6">
        <f>(1440-L31)/60</f>
        <v>24</v>
      </c>
      <c r="N31" s="74">
        <f t="shared" si="5"/>
        <v>1</v>
      </c>
      <c r="O31" s="6"/>
      <c r="P31" s="6"/>
    </row>
    <row r="32" spans="1:19" x14ac:dyDescent="0.3">
      <c r="A32" s="772">
        <v>46291</v>
      </c>
      <c r="B32" s="767"/>
      <c r="C32" s="594"/>
      <c r="D32" s="75"/>
      <c r="E32" s="78"/>
      <c r="F32" s="78"/>
      <c r="G32" s="72">
        <f t="shared" si="0"/>
        <v>0</v>
      </c>
      <c r="H32" s="565"/>
      <c r="K32" s="73">
        <v>46291</v>
      </c>
      <c r="L32" s="77">
        <f t="shared" si="3"/>
        <v>0</v>
      </c>
      <c r="M32" s="6">
        <f>(1440-L32)/60</f>
        <v>24</v>
      </c>
      <c r="N32" s="74">
        <f t="shared" si="5"/>
        <v>1</v>
      </c>
      <c r="O32" s="6"/>
      <c r="P32" s="6"/>
      <c r="S32" s="38"/>
    </row>
    <row r="33" spans="1:19" x14ac:dyDescent="0.3">
      <c r="A33" s="772">
        <v>46292</v>
      </c>
      <c r="B33" s="767"/>
      <c r="C33" s="594"/>
      <c r="D33" s="75"/>
      <c r="E33" s="78"/>
      <c r="F33" s="78"/>
      <c r="G33" s="72">
        <f t="shared" si="0"/>
        <v>0</v>
      </c>
      <c r="H33" s="565"/>
      <c r="K33" s="73">
        <v>46292</v>
      </c>
      <c r="L33" s="6">
        <f t="shared" si="3"/>
        <v>0</v>
      </c>
      <c r="M33" s="6">
        <f t="shared" si="4"/>
        <v>24</v>
      </c>
      <c r="N33" s="74">
        <f t="shared" si="5"/>
        <v>1</v>
      </c>
      <c r="O33" s="6"/>
      <c r="P33" s="6"/>
    </row>
    <row r="34" spans="1:19" x14ac:dyDescent="0.3">
      <c r="A34" s="772">
        <v>46293</v>
      </c>
      <c r="B34" s="767"/>
      <c r="C34" s="594"/>
      <c r="D34" s="75"/>
      <c r="E34" s="78"/>
      <c r="F34" s="78"/>
      <c r="G34" s="72">
        <f t="shared" si="0"/>
        <v>0</v>
      </c>
      <c r="H34" s="565"/>
      <c r="K34" s="73">
        <v>46293</v>
      </c>
      <c r="L34" s="77">
        <f>SUM(G34:G36)</f>
        <v>0</v>
      </c>
      <c r="M34" s="77">
        <f t="shared" si="4"/>
        <v>24</v>
      </c>
      <c r="N34" s="74">
        <f t="shared" si="5"/>
        <v>1</v>
      </c>
      <c r="O34" s="6"/>
      <c r="P34" s="6"/>
    </row>
    <row r="35" spans="1:19" x14ac:dyDescent="0.3">
      <c r="A35" s="772">
        <v>46294</v>
      </c>
      <c r="B35" s="767"/>
      <c r="C35" s="594"/>
      <c r="D35" s="75"/>
      <c r="E35" s="78"/>
      <c r="F35" s="78"/>
      <c r="G35" s="72">
        <f t="shared" si="0"/>
        <v>0</v>
      </c>
      <c r="H35" s="565"/>
      <c r="K35" s="73">
        <v>46294</v>
      </c>
      <c r="L35" s="77">
        <f>SUM(G37:G39)</f>
        <v>0</v>
      </c>
      <c r="M35" s="77">
        <f>(1440-L35)/60</f>
        <v>24</v>
      </c>
      <c r="N35" s="74">
        <f t="shared" si="5"/>
        <v>1</v>
      </c>
      <c r="O35" s="6"/>
      <c r="P35" s="6"/>
    </row>
    <row r="36" spans="1:19" x14ac:dyDescent="0.3">
      <c r="A36" s="772">
        <v>46295</v>
      </c>
      <c r="B36" s="767"/>
      <c r="C36" s="594"/>
      <c r="D36" s="75"/>
      <c r="E36" s="78"/>
      <c r="F36" s="78"/>
      <c r="G36" s="72">
        <f t="shared" si="0"/>
        <v>0</v>
      </c>
      <c r="H36" s="565"/>
      <c r="K36" s="73">
        <v>46295</v>
      </c>
      <c r="L36" s="6"/>
      <c r="M36" s="6"/>
      <c r="N36" s="74">
        <f t="shared" si="5"/>
        <v>0</v>
      </c>
      <c r="O36" s="6"/>
      <c r="P36" s="6"/>
    </row>
    <row r="37" spans="1:19" x14ac:dyDescent="0.3">
      <c r="A37" s="772">
        <v>46296</v>
      </c>
      <c r="B37" s="767"/>
      <c r="C37" s="594"/>
      <c r="D37" s="75"/>
      <c r="E37" s="78"/>
      <c r="F37" s="78"/>
      <c r="G37" s="72">
        <f t="shared" si="0"/>
        <v>0</v>
      </c>
      <c r="H37" s="565"/>
      <c r="K37" s="73">
        <v>46296</v>
      </c>
      <c r="L37" s="77">
        <f>SUM(G41:G42)</f>
        <v>0</v>
      </c>
      <c r="M37" s="6">
        <f t="shared" si="4"/>
        <v>24</v>
      </c>
      <c r="N37" s="74">
        <f t="shared" si="5"/>
        <v>1</v>
      </c>
      <c r="O37" s="6"/>
      <c r="P37" s="6"/>
    </row>
    <row r="38" spans="1:19" x14ac:dyDescent="0.3">
      <c r="A38" s="772">
        <v>46297</v>
      </c>
      <c r="B38" s="767"/>
      <c r="C38" s="594"/>
      <c r="D38" s="75"/>
      <c r="E38" s="78"/>
      <c r="F38" s="78"/>
      <c r="G38" s="72">
        <f t="shared" si="0"/>
        <v>0</v>
      </c>
      <c r="H38" s="565"/>
      <c r="K38" s="73">
        <v>46297</v>
      </c>
      <c r="L38" s="77">
        <f>SUM(G43:G45)</f>
        <v>0</v>
      </c>
      <c r="M38" s="77">
        <f t="shared" si="4"/>
        <v>24</v>
      </c>
      <c r="N38" s="74">
        <f t="shared" si="5"/>
        <v>1</v>
      </c>
      <c r="O38" s="6"/>
      <c r="P38" s="6"/>
    </row>
    <row r="39" spans="1:19" x14ac:dyDescent="0.3">
      <c r="A39" s="772">
        <v>46298</v>
      </c>
      <c r="B39" s="767"/>
      <c r="C39" s="594"/>
      <c r="D39" s="75"/>
      <c r="E39" s="78"/>
      <c r="F39" s="78"/>
      <c r="G39" s="72">
        <f t="shared" si="0"/>
        <v>0</v>
      </c>
      <c r="H39" s="565"/>
      <c r="K39" s="73">
        <v>46298</v>
      </c>
      <c r="L39" s="77">
        <f>SUM(G46:G48)</f>
        <v>0</v>
      </c>
      <c r="M39" s="77">
        <f>(1440-L39)/60</f>
        <v>24</v>
      </c>
      <c r="N39" s="74">
        <f t="shared" si="5"/>
        <v>1</v>
      </c>
      <c r="O39" s="6"/>
      <c r="P39" s="6"/>
    </row>
    <row r="40" spans="1:19" x14ac:dyDescent="0.3">
      <c r="A40" s="772">
        <v>46299</v>
      </c>
      <c r="B40" s="767"/>
      <c r="C40" s="594"/>
      <c r="D40" s="75"/>
      <c r="E40" s="78"/>
      <c r="F40" s="78"/>
      <c r="G40" s="72">
        <f t="shared" ref="G40:G41" si="6">(F40-E40)*1440</f>
        <v>0</v>
      </c>
      <c r="H40" s="565"/>
      <c r="K40" s="73">
        <v>46299</v>
      </c>
      <c r="L40" s="77">
        <f>SUM(G49:G50)</f>
        <v>0</v>
      </c>
      <c r="M40" s="77">
        <f>(1440-L40)/60</f>
        <v>24</v>
      </c>
      <c r="N40" s="74">
        <f t="shared" si="5"/>
        <v>1</v>
      </c>
      <c r="O40" s="6"/>
      <c r="P40" s="6"/>
    </row>
    <row r="41" spans="1:19" x14ac:dyDescent="0.3">
      <c r="A41" s="772">
        <v>46300</v>
      </c>
      <c r="B41" s="767"/>
      <c r="C41" s="594"/>
      <c r="D41" s="75"/>
      <c r="E41" s="78"/>
      <c r="F41" s="78"/>
      <c r="G41" s="72">
        <f t="shared" si="6"/>
        <v>0</v>
      </c>
      <c r="H41" s="565"/>
      <c r="K41" s="73">
        <v>46300</v>
      </c>
      <c r="L41" s="77">
        <f>SUM(G51:G54)</f>
        <v>0</v>
      </c>
      <c r="M41" s="77">
        <f>(1440-L41)/60</f>
        <v>24</v>
      </c>
      <c r="N41" s="74">
        <f t="shared" si="5"/>
        <v>1</v>
      </c>
      <c r="O41" s="6"/>
      <c r="P41" s="6"/>
    </row>
    <row r="42" spans="1:19" x14ac:dyDescent="0.3">
      <c r="A42" s="772">
        <v>46301</v>
      </c>
      <c r="B42" s="767"/>
      <c r="C42" s="594"/>
      <c r="D42" s="75"/>
      <c r="E42" s="78"/>
      <c r="F42" s="78"/>
      <c r="G42" s="72">
        <f t="shared" ref="G42" si="7">(F42-E42)*1440</f>
        <v>0</v>
      </c>
      <c r="H42" s="565"/>
      <c r="K42" s="73">
        <v>46301</v>
      </c>
      <c r="L42" s="77">
        <f>SUM(G55:G57)</f>
        <v>0</v>
      </c>
      <c r="M42" s="77">
        <f>(1440-L42)/60</f>
        <v>24</v>
      </c>
      <c r="N42" s="74">
        <f t="shared" si="5"/>
        <v>1</v>
      </c>
      <c r="O42" s="6"/>
      <c r="P42" s="6"/>
    </row>
    <row r="43" spans="1:19" ht="13.5" customHeight="1" x14ac:dyDescent="0.3">
      <c r="A43" s="772">
        <v>46302</v>
      </c>
      <c r="B43" s="767"/>
      <c r="C43" s="594"/>
      <c r="D43" s="75"/>
      <c r="E43" s="78"/>
      <c r="F43" s="78"/>
      <c r="G43" s="72">
        <f t="shared" ref="G43:G45" si="8">(F43-E43)*1440</f>
        <v>0</v>
      </c>
      <c r="H43" s="565"/>
      <c r="K43" s="73">
        <v>46302</v>
      </c>
      <c r="L43" s="77"/>
      <c r="M43" s="77"/>
      <c r="N43" s="74">
        <f t="shared" si="5"/>
        <v>0</v>
      </c>
      <c r="O43" s="6"/>
      <c r="P43" s="6"/>
    </row>
    <row r="44" spans="1:19" ht="13.5" customHeight="1" x14ac:dyDescent="0.3">
      <c r="A44" s="772">
        <v>46303</v>
      </c>
      <c r="B44" s="767"/>
      <c r="C44" s="594"/>
      <c r="D44" s="75"/>
      <c r="E44" s="78"/>
      <c r="F44" s="78"/>
      <c r="G44" s="72">
        <f t="shared" si="8"/>
        <v>0</v>
      </c>
      <c r="H44" s="565"/>
      <c r="K44" s="73">
        <v>46303</v>
      </c>
      <c r="L44" s="77"/>
      <c r="M44" s="77"/>
      <c r="N44" s="74">
        <f t="shared" si="5"/>
        <v>0</v>
      </c>
      <c r="O44" s="6"/>
      <c r="P44" s="6"/>
    </row>
    <row r="45" spans="1:19" x14ac:dyDescent="0.3">
      <c r="A45" s="772">
        <v>46304</v>
      </c>
      <c r="B45" s="767"/>
      <c r="C45" s="594"/>
      <c r="D45" s="75"/>
      <c r="E45" s="78"/>
      <c r="F45" s="78"/>
      <c r="G45" s="72">
        <f t="shared" si="8"/>
        <v>0</v>
      </c>
      <c r="H45" s="565"/>
      <c r="K45" s="73">
        <v>46304</v>
      </c>
      <c r="L45" s="77"/>
      <c r="M45" s="77"/>
      <c r="N45" s="74">
        <f t="shared" si="5"/>
        <v>0</v>
      </c>
      <c r="O45" s="6"/>
      <c r="P45" s="6"/>
      <c r="S45" s="1">
        <f>6.4+12</f>
        <v>18.399999999999999</v>
      </c>
    </row>
    <row r="46" spans="1:19" x14ac:dyDescent="0.3">
      <c r="A46" s="772">
        <v>46305</v>
      </c>
      <c r="B46" s="767"/>
      <c r="C46" s="594"/>
      <c r="D46" s="75"/>
      <c r="E46" s="78"/>
      <c r="F46" s="78"/>
      <c r="G46" s="72">
        <f>(F46-E46)*1440</f>
        <v>0</v>
      </c>
      <c r="H46" s="565"/>
      <c r="K46" s="73">
        <v>46305</v>
      </c>
      <c r="L46" s="77"/>
      <c r="M46" s="77"/>
      <c r="N46" s="74">
        <f t="shared" si="5"/>
        <v>0</v>
      </c>
      <c r="O46" s="6"/>
      <c r="P46" s="6"/>
    </row>
    <row r="47" spans="1:19" x14ac:dyDescent="0.3">
      <c r="A47" s="772">
        <v>46306</v>
      </c>
      <c r="B47" s="767"/>
      <c r="C47" s="594"/>
      <c r="D47" s="75"/>
      <c r="E47" s="78"/>
      <c r="F47" s="78"/>
      <c r="G47" s="72">
        <f t="shared" ref="G47:G51" si="9">(F47-E47)*1440</f>
        <v>0</v>
      </c>
      <c r="H47" s="565"/>
      <c r="K47" s="73">
        <v>46306</v>
      </c>
      <c r="L47" s="77"/>
      <c r="M47" s="77"/>
      <c r="N47" s="74">
        <f t="shared" si="5"/>
        <v>0</v>
      </c>
      <c r="O47" s="6"/>
      <c r="P47" s="6"/>
    </row>
    <row r="48" spans="1:19" x14ac:dyDescent="0.3">
      <c r="A48" s="772">
        <v>46307</v>
      </c>
      <c r="B48" s="767"/>
      <c r="C48" s="594"/>
      <c r="D48" s="75"/>
      <c r="E48" s="78"/>
      <c r="F48" s="78"/>
      <c r="G48" s="72">
        <f t="shared" si="9"/>
        <v>0</v>
      </c>
      <c r="H48" s="565"/>
      <c r="K48" s="73">
        <v>46307</v>
      </c>
      <c r="L48" s="77"/>
      <c r="M48" s="77"/>
      <c r="N48" s="74">
        <f t="shared" si="5"/>
        <v>0</v>
      </c>
      <c r="O48" s="6"/>
      <c r="P48" s="6"/>
    </row>
    <row r="49" spans="1:19" x14ac:dyDescent="0.3">
      <c r="A49" s="772">
        <v>46308</v>
      </c>
      <c r="B49" s="767"/>
      <c r="C49" s="594"/>
      <c r="D49" s="75"/>
      <c r="E49" s="78"/>
      <c r="F49" s="78"/>
      <c r="G49" s="72">
        <f t="shared" si="9"/>
        <v>0</v>
      </c>
      <c r="H49" s="565"/>
      <c r="K49" s="73">
        <v>46308</v>
      </c>
      <c r="L49" s="77"/>
      <c r="M49" s="77"/>
      <c r="N49" s="74">
        <f t="shared" si="5"/>
        <v>0</v>
      </c>
      <c r="O49" s="6"/>
      <c r="P49" s="6"/>
    </row>
    <row r="50" spans="1:19" x14ac:dyDescent="0.3">
      <c r="A50" s="772">
        <v>46309</v>
      </c>
      <c r="B50" s="767"/>
      <c r="C50" s="594"/>
      <c r="D50" s="75"/>
      <c r="E50" s="78"/>
      <c r="F50" s="78"/>
      <c r="G50" s="72">
        <f t="shared" si="9"/>
        <v>0</v>
      </c>
      <c r="H50" s="565"/>
      <c r="K50" s="73">
        <v>46309</v>
      </c>
      <c r="L50" s="77"/>
      <c r="M50" s="77"/>
      <c r="N50" s="74">
        <f t="shared" si="5"/>
        <v>0</v>
      </c>
      <c r="O50" s="6"/>
      <c r="P50" s="6"/>
      <c r="S50" s="1">
        <f>8*24</f>
        <v>192</v>
      </c>
    </row>
    <row r="51" spans="1:19" x14ac:dyDescent="0.3">
      <c r="A51" s="772">
        <v>46310</v>
      </c>
      <c r="B51" s="767"/>
      <c r="C51" s="594"/>
      <c r="D51" s="75"/>
      <c r="E51" s="78"/>
      <c r="F51" s="78"/>
      <c r="G51" s="72">
        <f t="shared" si="9"/>
        <v>0</v>
      </c>
      <c r="H51" s="565"/>
      <c r="K51" s="73">
        <v>46310</v>
      </c>
      <c r="L51" s="77"/>
      <c r="M51" s="77"/>
      <c r="N51" s="74">
        <f t="shared" si="5"/>
        <v>0</v>
      </c>
      <c r="O51" s="6"/>
      <c r="P51" s="6"/>
    </row>
    <row r="52" spans="1:19" x14ac:dyDescent="0.3">
      <c r="A52" s="772">
        <v>46311</v>
      </c>
      <c r="B52" s="767"/>
      <c r="C52" s="594"/>
      <c r="D52" s="75"/>
      <c r="E52" s="78"/>
      <c r="F52" s="78"/>
      <c r="G52" s="72">
        <f t="shared" ref="G52:G63" si="10">(F52-E52)*1440</f>
        <v>0</v>
      </c>
      <c r="H52" s="565"/>
      <c r="K52" s="73">
        <v>46311</v>
      </c>
      <c r="L52" s="77"/>
      <c r="M52" s="77"/>
      <c r="N52" s="74">
        <f t="shared" si="5"/>
        <v>0</v>
      </c>
      <c r="O52" s="6"/>
      <c r="P52" s="6"/>
    </row>
    <row r="53" spans="1:19" x14ac:dyDescent="0.3">
      <c r="A53" s="772">
        <v>46312</v>
      </c>
      <c r="B53" s="767"/>
      <c r="C53" s="594"/>
      <c r="D53" s="75"/>
      <c r="E53" s="78"/>
      <c r="F53" s="78"/>
      <c r="G53" s="72">
        <f t="shared" si="10"/>
        <v>0</v>
      </c>
      <c r="H53" s="565"/>
      <c r="K53" s="73">
        <v>46312</v>
      </c>
      <c r="L53" s="77"/>
      <c r="M53" s="77"/>
      <c r="N53" s="74">
        <f t="shared" si="5"/>
        <v>0</v>
      </c>
      <c r="O53" s="6"/>
      <c r="P53" s="6"/>
    </row>
    <row r="54" spans="1:19" x14ac:dyDescent="0.3">
      <c r="A54" s="772">
        <v>46313</v>
      </c>
      <c r="B54" s="767"/>
      <c r="C54" s="594"/>
      <c r="D54" s="75"/>
      <c r="E54" s="78"/>
      <c r="F54" s="78"/>
      <c r="G54" s="72">
        <f t="shared" si="10"/>
        <v>0</v>
      </c>
      <c r="H54" s="565"/>
      <c r="K54" s="73">
        <v>46313</v>
      </c>
      <c r="L54" s="77"/>
      <c r="M54" s="77"/>
      <c r="N54" s="74">
        <f t="shared" si="5"/>
        <v>0</v>
      </c>
      <c r="O54" s="6"/>
      <c r="P54" s="6"/>
    </row>
    <row r="55" spans="1:19" x14ac:dyDescent="0.3">
      <c r="A55" s="772">
        <v>46314</v>
      </c>
      <c r="B55" s="767"/>
      <c r="C55" s="594"/>
      <c r="D55" s="75"/>
      <c r="E55" s="78"/>
      <c r="F55" s="78"/>
      <c r="G55" s="72">
        <f t="shared" si="10"/>
        <v>0</v>
      </c>
      <c r="H55" s="565"/>
      <c r="K55" s="73">
        <v>46314</v>
      </c>
      <c r="L55" s="77"/>
      <c r="M55" s="77"/>
      <c r="N55" s="74">
        <f t="shared" si="5"/>
        <v>0</v>
      </c>
      <c r="O55" s="6"/>
      <c r="P55" s="6"/>
    </row>
    <row r="56" spans="1:19" x14ac:dyDescent="0.3">
      <c r="A56" s="772">
        <v>46315</v>
      </c>
      <c r="B56" s="767"/>
      <c r="C56" s="594"/>
      <c r="D56" s="75"/>
      <c r="E56" s="78"/>
      <c r="F56" s="78"/>
      <c r="G56" s="72">
        <f t="shared" si="10"/>
        <v>0</v>
      </c>
      <c r="H56" s="565"/>
      <c r="K56" s="73">
        <v>46315</v>
      </c>
      <c r="L56" s="77"/>
      <c r="M56" s="77"/>
      <c r="N56" s="74">
        <f t="shared" si="5"/>
        <v>0</v>
      </c>
      <c r="O56" s="6"/>
      <c r="P56" s="6"/>
    </row>
    <row r="57" spans="1:19" x14ac:dyDescent="0.3">
      <c r="A57" s="772">
        <v>46316</v>
      </c>
      <c r="B57" s="767"/>
      <c r="C57" s="594"/>
      <c r="D57" s="75"/>
      <c r="E57" s="78"/>
      <c r="F57" s="78"/>
      <c r="G57" s="72">
        <f t="shared" si="10"/>
        <v>0</v>
      </c>
      <c r="H57" s="565"/>
      <c r="K57" s="73">
        <v>46316</v>
      </c>
      <c r="L57" s="77"/>
      <c r="M57" s="77"/>
      <c r="N57" s="74">
        <f t="shared" si="5"/>
        <v>0</v>
      </c>
      <c r="O57" s="6"/>
      <c r="P57" s="6"/>
    </row>
    <row r="58" spans="1:19" x14ac:dyDescent="0.3">
      <c r="A58" s="772">
        <v>46317</v>
      </c>
      <c r="B58" s="767"/>
      <c r="C58" s="594"/>
      <c r="D58" s="75"/>
      <c r="E58" s="78"/>
      <c r="F58" s="78"/>
      <c r="G58" s="72">
        <f t="shared" si="10"/>
        <v>0</v>
      </c>
      <c r="H58" s="565"/>
      <c r="K58" s="73"/>
      <c r="L58" s="80">
        <f>SUM(L5:L28)</f>
        <v>3692</v>
      </c>
      <c r="M58" s="80">
        <f>SUM(M5:M28)</f>
        <v>490.4666666666667</v>
      </c>
      <c r="N58" s="81">
        <f>AVERAGE(N5:N28)</f>
        <v>0.88852657004830915</v>
      </c>
      <c r="O58" s="77">
        <f>SUM(O5:O57)</f>
        <v>61.533333333333324</v>
      </c>
      <c r="P58" s="6"/>
    </row>
    <row r="59" spans="1:19" x14ac:dyDescent="0.3">
      <c r="A59" s="772">
        <v>46318</v>
      </c>
      <c r="B59" s="767"/>
      <c r="C59" s="594"/>
      <c r="D59" s="75"/>
      <c r="E59" s="78"/>
      <c r="F59" s="78"/>
      <c r="G59" s="72">
        <f t="shared" si="10"/>
        <v>0</v>
      </c>
      <c r="H59" s="565"/>
      <c r="K59" s="73"/>
      <c r="L59" s="82">
        <f>L58/60</f>
        <v>61.533333333333331</v>
      </c>
      <c r="M59" s="54">
        <f>M58/24</f>
        <v>20.436111111111114</v>
      </c>
      <c r="N59" s="12"/>
      <c r="O59" s="13">
        <f>O58/24</f>
        <v>2.5638888888888887</v>
      </c>
    </row>
    <row r="60" spans="1:19" x14ac:dyDescent="0.3">
      <c r="A60" s="772">
        <v>46319</v>
      </c>
      <c r="B60" s="767"/>
      <c r="C60" s="594"/>
      <c r="D60" s="75"/>
      <c r="E60" s="78"/>
      <c r="F60" s="78"/>
      <c r="G60" s="72">
        <f t="shared" si="10"/>
        <v>0</v>
      </c>
      <c r="H60" s="565"/>
      <c r="M60" s="54">
        <f>M59+O59</f>
        <v>23.000000000000004</v>
      </c>
    </row>
    <row r="61" spans="1:19" x14ac:dyDescent="0.3">
      <c r="A61" s="772">
        <v>46320</v>
      </c>
      <c r="B61" s="767"/>
      <c r="C61" s="594"/>
      <c r="D61" s="75"/>
      <c r="E61" s="78"/>
      <c r="F61" s="78"/>
      <c r="G61" s="72">
        <f t="shared" si="10"/>
        <v>0</v>
      </c>
      <c r="H61" s="565"/>
      <c r="N61" s="13">
        <f>'Au Cal Leaching Tank'!K61/238</f>
        <v>4.0918581932773108</v>
      </c>
    </row>
    <row r="62" spans="1:19" x14ac:dyDescent="0.3">
      <c r="A62" s="772">
        <v>46321</v>
      </c>
      <c r="B62" s="767"/>
      <c r="C62" s="594"/>
      <c r="D62" s="75"/>
      <c r="E62" s="78"/>
      <c r="F62" s="78"/>
      <c r="G62" s="72">
        <f t="shared" si="10"/>
        <v>0</v>
      </c>
      <c r="H62" s="565"/>
      <c r="N62" s="1">
        <f>N61*234</f>
        <v>957.49481722689075</v>
      </c>
    </row>
    <row r="63" spans="1:19" x14ac:dyDescent="0.3">
      <c r="A63" s="772">
        <v>46322</v>
      </c>
      <c r="B63" s="767"/>
      <c r="C63" s="594"/>
      <c r="D63" s="75"/>
      <c r="E63" s="78"/>
      <c r="F63" s="78"/>
      <c r="G63" s="72">
        <f t="shared" si="10"/>
        <v>0</v>
      </c>
      <c r="H63" s="565"/>
    </row>
    <row r="66" spans="13:13" x14ac:dyDescent="0.3">
      <c r="M66" s="38"/>
    </row>
  </sheetData>
  <mergeCells count="61">
    <mergeCell ref="A16:B16"/>
    <mergeCell ref="A62:B62"/>
    <mergeCell ref="A63:B63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2:B42"/>
    <mergeCell ref="A43:B43"/>
    <mergeCell ref="A45:B45"/>
    <mergeCell ref="A44:B44"/>
    <mergeCell ref="A35:B35"/>
    <mergeCell ref="A36:B36"/>
    <mergeCell ref="A40:B40"/>
    <mergeCell ref="A41:B41"/>
    <mergeCell ref="A39:B39"/>
    <mergeCell ref="A37:B37"/>
    <mergeCell ref="A38:B38"/>
    <mergeCell ref="A15:B15"/>
    <mergeCell ref="A9:B9"/>
    <mergeCell ref="A10:B10"/>
    <mergeCell ref="A11:B11"/>
    <mergeCell ref="A12:B12"/>
    <mergeCell ref="A29:B29"/>
    <mergeCell ref="A30:B30"/>
    <mergeCell ref="A31:B31"/>
    <mergeCell ref="A32:B32"/>
    <mergeCell ref="A17:B17"/>
    <mergeCell ref="A18:B18"/>
    <mergeCell ref="A19:B19"/>
    <mergeCell ref="A20:B20"/>
    <mergeCell ref="A21:B21"/>
    <mergeCell ref="A22:B22"/>
    <mergeCell ref="A3:H3"/>
    <mergeCell ref="A5:B5"/>
    <mergeCell ref="A6:B6"/>
    <mergeCell ref="A7:B7"/>
    <mergeCell ref="A8:B8"/>
    <mergeCell ref="A4:B4"/>
    <mergeCell ref="A49:B49"/>
    <mergeCell ref="A50:B50"/>
    <mergeCell ref="A51:B51"/>
    <mergeCell ref="A13:B13"/>
    <mergeCell ref="A14:B14"/>
    <mergeCell ref="A46:B46"/>
    <mergeCell ref="A47:B47"/>
    <mergeCell ref="A48:B48"/>
    <mergeCell ref="A33:B33"/>
    <mergeCell ref="A34:B34"/>
    <mergeCell ref="A23:B23"/>
    <mergeCell ref="A24:B24"/>
    <mergeCell ref="A25:B25"/>
    <mergeCell ref="A26:B26"/>
    <mergeCell ref="A27:B27"/>
    <mergeCell ref="A28:B28"/>
  </mergeCells>
  <phoneticPr fontId="52" type="noConversion"/>
  <dataValidations count="1">
    <dataValidation type="list" allowBlank="1" showInputMessage="1" showErrorMessage="1" sqref="C5:C63" xr:uid="{F96CC3E5-CBCB-4218-87B5-36E6FEFD7992}">
      <formula1>$I$5:$I$6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30"/>
  <sheetViews>
    <sheetView zoomScale="79" workbookViewId="0">
      <selection activeCell="K8" sqref="K8"/>
    </sheetView>
  </sheetViews>
  <sheetFormatPr defaultRowHeight="14.4" x14ac:dyDescent="0.3"/>
  <cols>
    <col min="1" max="2" width="8.88671875" style="1"/>
    <col min="3" max="3" width="10.5546875" style="1" bestFit="1" customWidth="1"/>
    <col min="4" max="6" width="8.88671875" style="1"/>
    <col min="7" max="7" width="13.5546875" style="1" bestFit="1" customWidth="1"/>
    <col min="8" max="9" width="10.44140625" style="1" bestFit="1" customWidth="1"/>
    <col min="10" max="10" width="8.88671875" style="1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" bestFit="1" customWidth="1"/>
    <col min="17" max="17" width="10.5546875" style="1" bestFit="1" customWidth="1"/>
    <col min="18" max="16384" width="8.88671875" style="1"/>
  </cols>
  <sheetData>
    <row r="3" spans="2:20" x14ac:dyDescent="0.3">
      <c r="B3" s="699" t="s">
        <v>71</v>
      </c>
      <c r="C3" s="699" t="s">
        <v>292</v>
      </c>
      <c r="D3" s="699" t="s">
        <v>293</v>
      </c>
      <c r="E3" s="252" t="s">
        <v>296</v>
      </c>
      <c r="F3" s="252" t="s">
        <v>297</v>
      </c>
      <c r="G3" s="692" t="s">
        <v>253</v>
      </c>
      <c r="H3" s="693"/>
      <c r="I3" s="693"/>
      <c r="J3" s="694"/>
      <c r="K3" s="695" t="s">
        <v>260</v>
      </c>
    </row>
    <row r="4" spans="2:20" x14ac:dyDescent="0.3">
      <c r="B4" s="700"/>
      <c r="C4" s="700"/>
      <c r="D4" s="700"/>
      <c r="E4" s="253" t="s">
        <v>55</v>
      </c>
      <c r="F4" s="253" t="s">
        <v>298</v>
      </c>
      <c r="G4" s="692" t="s">
        <v>266</v>
      </c>
      <c r="H4" s="693"/>
      <c r="I4" s="694"/>
      <c r="J4" s="147" t="s">
        <v>259</v>
      </c>
      <c r="K4" s="695"/>
      <c r="O4" s="17" t="s">
        <v>492</v>
      </c>
      <c r="P4" s="17" t="s">
        <v>260</v>
      </c>
      <c r="Q4" s="548" t="s">
        <v>1</v>
      </c>
      <c r="R4" s="17" t="s">
        <v>254</v>
      </c>
      <c r="S4" s="17" t="s">
        <v>255</v>
      </c>
      <c r="T4" s="17" t="s">
        <v>256</v>
      </c>
    </row>
    <row r="5" spans="2:20" x14ac:dyDescent="0.3">
      <c r="B5" s="701"/>
      <c r="C5" s="701"/>
      <c r="D5" s="701"/>
      <c r="E5" s="223" t="s">
        <v>71</v>
      </c>
      <c r="F5" s="223" t="s">
        <v>71</v>
      </c>
      <c r="G5" s="147" t="s">
        <v>254</v>
      </c>
      <c r="H5" s="147" t="s">
        <v>255</v>
      </c>
      <c r="I5" s="147" t="s">
        <v>256</v>
      </c>
      <c r="J5" s="147" t="s">
        <v>254</v>
      </c>
      <c r="K5" s="695"/>
      <c r="O5" s="16" t="s">
        <v>493</v>
      </c>
      <c r="P5" s="16">
        <v>1</v>
      </c>
      <c r="Q5" s="84">
        <v>46268</v>
      </c>
      <c r="R5" s="16">
        <v>7.8E-2</v>
      </c>
      <c r="S5" s="16">
        <v>0.6</v>
      </c>
      <c r="T5" s="16">
        <v>9.08</v>
      </c>
    </row>
    <row r="6" spans="2:20" x14ac:dyDescent="0.3">
      <c r="B6" s="16">
        <v>1</v>
      </c>
      <c r="C6" s="84">
        <v>46268</v>
      </c>
      <c r="D6" s="16" t="s">
        <v>14</v>
      </c>
      <c r="E6" s="16">
        <v>2</v>
      </c>
      <c r="F6" s="16">
        <v>1</v>
      </c>
      <c r="G6" s="150">
        <f>AVERAGE(R5:R10)</f>
        <v>0.11299999999999999</v>
      </c>
      <c r="H6" s="150">
        <f>AVERAGE(S5:S8)</f>
        <v>0.61749999999999994</v>
      </c>
      <c r="I6" s="150">
        <f t="shared" ref="I6" si="0">AVERAGE(T5:T10)</f>
        <v>8.6916666666666664</v>
      </c>
      <c r="J6" s="16">
        <v>0.02</v>
      </c>
      <c r="K6" s="16">
        <v>1</v>
      </c>
      <c r="O6" s="16" t="s">
        <v>494</v>
      </c>
      <c r="P6" s="16">
        <v>1</v>
      </c>
      <c r="Q6" s="84">
        <v>46268</v>
      </c>
      <c r="R6" s="16">
        <v>0.38</v>
      </c>
      <c r="S6" s="16">
        <v>0.59</v>
      </c>
      <c r="T6" s="16">
        <v>8.7100000000000009</v>
      </c>
    </row>
    <row r="7" spans="2:20" x14ac:dyDescent="0.3">
      <c r="B7" s="16">
        <v>2</v>
      </c>
      <c r="C7" s="84">
        <v>46269</v>
      </c>
      <c r="D7" s="16" t="s">
        <v>14</v>
      </c>
      <c r="E7" s="16">
        <v>3</v>
      </c>
      <c r="F7" s="16">
        <v>2</v>
      </c>
      <c r="G7" s="150">
        <f>AVERAGE(R9:R12)</f>
        <v>5.5749999999999994E-2</v>
      </c>
      <c r="H7" s="150">
        <f t="shared" ref="H7:I7" si="1">AVERAGE(S9:S12)</f>
        <v>0.25</v>
      </c>
      <c r="I7" s="150">
        <f t="shared" si="1"/>
        <v>8.3524999999999991</v>
      </c>
      <c r="J7" s="500">
        <v>2.9000000000000001E-2</v>
      </c>
      <c r="K7" s="16">
        <v>2</v>
      </c>
      <c r="O7" s="16" t="s">
        <v>495</v>
      </c>
      <c r="P7" s="16">
        <v>1</v>
      </c>
      <c r="Q7" s="84">
        <v>46268</v>
      </c>
      <c r="R7" s="16">
        <v>3.7999999999999999E-2</v>
      </c>
      <c r="S7" s="16">
        <v>0.61</v>
      </c>
      <c r="T7" s="16">
        <v>8.8000000000000007</v>
      </c>
    </row>
    <row r="8" spans="2:20" x14ac:dyDescent="0.3">
      <c r="B8" s="16">
        <v>3</v>
      </c>
      <c r="C8" s="73"/>
      <c r="D8" s="16"/>
      <c r="E8" s="16"/>
      <c r="F8" s="16"/>
      <c r="G8" s="16"/>
      <c r="H8" s="16"/>
      <c r="I8" s="16"/>
      <c r="J8" s="6"/>
      <c r="K8" s="16"/>
      <c r="O8" s="16" t="s">
        <v>496</v>
      </c>
      <c r="P8" s="16">
        <v>1</v>
      </c>
      <c r="Q8" s="84">
        <v>46268</v>
      </c>
      <c r="R8" s="16">
        <v>6.9000000000000006E-2</v>
      </c>
      <c r="S8" s="16">
        <v>0.67</v>
      </c>
      <c r="T8" s="16">
        <v>9.18</v>
      </c>
    </row>
    <row r="9" spans="2:20" x14ac:dyDescent="0.3">
      <c r="B9" s="16">
        <v>4</v>
      </c>
      <c r="C9" s="73"/>
      <c r="D9" s="16"/>
      <c r="E9" s="16"/>
      <c r="F9" s="16"/>
      <c r="G9" s="6"/>
      <c r="H9" s="6"/>
      <c r="I9" s="6"/>
      <c r="J9" s="6"/>
      <c r="K9" s="16"/>
      <c r="O9" s="16" t="s">
        <v>493</v>
      </c>
      <c r="P9" s="16">
        <v>2</v>
      </c>
      <c r="Q9" s="84">
        <v>46269</v>
      </c>
      <c r="R9" s="16">
        <v>3.4000000000000002E-2</v>
      </c>
      <c r="S9" s="16">
        <v>0.26</v>
      </c>
      <c r="T9" s="16">
        <v>8.2100000000000009</v>
      </c>
    </row>
    <row r="10" spans="2:20" x14ac:dyDescent="0.3">
      <c r="B10" s="16">
        <v>5</v>
      </c>
      <c r="C10" s="6"/>
      <c r="D10" s="6"/>
      <c r="E10" s="16"/>
      <c r="F10" s="16"/>
      <c r="G10" s="6"/>
      <c r="H10" s="6"/>
      <c r="I10" s="6"/>
      <c r="J10" s="6"/>
      <c r="K10" s="16"/>
      <c r="O10" s="16" t="s">
        <v>494</v>
      </c>
      <c r="P10" s="16">
        <v>2</v>
      </c>
      <c r="Q10" s="84">
        <v>46269</v>
      </c>
      <c r="R10" s="16">
        <v>7.9000000000000001E-2</v>
      </c>
      <c r="S10" s="16">
        <v>0.25</v>
      </c>
      <c r="T10" s="16">
        <v>8.17</v>
      </c>
    </row>
    <row r="11" spans="2:20" x14ac:dyDescent="0.3">
      <c r="B11" s="16">
        <v>6</v>
      </c>
      <c r="C11" s="6"/>
      <c r="D11" s="6"/>
      <c r="E11" s="16"/>
      <c r="F11" s="16"/>
      <c r="G11" s="6"/>
      <c r="H11" s="6"/>
      <c r="I11" s="6"/>
      <c r="J11" s="6"/>
      <c r="K11" s="16"/>
      <c r="O11" s="16" t="s">
        <v>495</v>
      </c>
      <c r="P11" s="16">
        <v>2</v>
      </c>
      <c r="Q11" s="84">
        <v>46269</v>
      </c>
      <c r="R11" s="16">
        <v>3.6999999999999998E-2</v>
      </c>
      <c r="S11" s="16">
        <v>0.25</v>
      </c>
      <c r="T11" s="16">
        <v>8.8699999999999992</v>
      </c>
    </row>
    <row r="12" spans="2:20" x14ac:dyDescent="0.3">
      <c r="B12" s="16">
        <v>7</v>
      </c>
      <c r="C12" s="73"/>
      <c r="D12" s="6"/>
      <c r="E12" s="16"/>
      <c r="F12" s="16"/>
      <c r="G12" s="287"/>
      <c r="H12" s="287"/>
      <c r="I12" s="287"/>
      <c r="J12" s="6"/>
      <c r="K12" s="16"/>
      <c r="O12" s="16" t="s">
        <v>496</v>
      </c>
      <c r="P12" s="16">
        <v>2</v>
      </c>
      <c r="Q12" s="84">
        <v>46269</v>
      </c>
      <c r="R12" s="16">
        <v>7.2999999999999995E-2</v>
      </c>
      <c r="S12" s="16">
        <v>0.24</v>
      </c>
      <c r="T12" s="16">
        <v>8.16</v>
      </c>
    </row>
    <row r="13" spans="2:20" x14ac:dyDescent="0.3">
      <c r="B13" s="16">
        <v>8</v>
      </c>
      <c r="C13" s="73"/>
      <c r="D13" s="6"/>
      <c r="E13" s="16"/>
      <c r="F13" s="16"/>
      <c r="G13" s="287"/>
      <c r="H13" s="287"/>
      <c r="I13" s="287"/>
      <c r="J13" s="6"/>
      <c r="K13" s="16"/>
      <c r="O13" s="16"/>
      <c r="P13" s="16"/>
      <c r="Q13" s="84"/>
      <c r="R13" s="16"/>
      <c r="S13" s="16"/>
      <c r="T13" s="16"/>
    </row>
    <row r="14" spans="2:20" x14ac:dyDescent="0.3">
      <c r="B14" s="16">
        <v>9</v>
      </c>
      <c r="C14" s="73"/>
      <c r="D14" s="6"/>
      <c r="E14" s="16"/>
      <c r="F14" s="16"/>
      <c r="G14" s="287"/>
      <c r="H14" s="287"/>
      <c r="I14" s="287"/>
      <c r="J14" s="6"/>
      <c r="K14" s="16"/>
      <c r="O14" s="16"/>
      <c r="P14" s="16"/>
      <c r="Q14" s="84"/>
      <c r="R14" s="16"/>
      <c r="S14" s="16"/>
      <c r="T14" s="16"/>
    </row>
    <row r="15" spans="2:20" x14ac:dyDescent="0.3">
      <c r="B15" s="16">
        <v>10</v>
      </c>
      <c r="C15" s="73"/>
      <c r="D15" s="6"/>
      <c r="E15" s="16"/>
      <c r="F15" s="16"/>
      <c r="G15" s="287"/>
      <c r="H15" s="287"/>
      <c r="I15" s="287"/>
      <c r="J15" s="6"/>
      <c r="K15" s="16"/>
      <c r="O15" s="16"/>
      <c r="P15" s="16"/>
      <c r="Q15" s="84"/>
      <c r="R15" s="16"/>
      <c r="S15" s="16"/>
      <c r="T15" s="16"/>
    </row>
    <row r="16" spans="2:20" x14ac:dyDescent="0.3">
      <c r="B16" s="16">
        <v>11</v>
      </c>
      <c r="C16" s="73"/>
      <c r="D16" s="6"/>
      <c r="E16" s="16"/>
      <c r="F16" s="16"/>
      <c r="G16" s="287"/>
      <c r="H16" s="287"/>
      <c r="I16" s="287"/>
      <c r="J16" s="6"/>
      <c r="K16" s="16"/>
      <c r="O16" s="16"/>
      <c r="P16" s="16"/>
      <c r="Q16" s="84"/>
      <c r="R16" s="16"/>
      <c r="S16" s="16"/>
      <c r="T16" s="16"/>
    </row>
    <row r="17" spans="2:20" x14ac:dyDescent="0.3">
      <c r="B17" s="16">
        <v>12</v>
      </c>
      <c r="C17" s="73"/>
      <c r="D17" s="6"/>
      <c r="E17" s="6"/>
      <c r="F17" s="6"/>
      <c r="G17" s="6"/>
      <c r="H17" s="6"/>
      <c r="I17" s="6"/>
      <c r="J17" s="6"/>
      <c r="K17" s="16"/>
      <c r="O17" s="16"/>
      <c r="P17" s="16"/>
      <c r="Q17" s="84"/>
      <c r="R17" s="16"/>
      <c r="S17" s="16"/>
      <c r="T17" s="16"/>
    </row>
    <row r="18" spans="2:20" x14ac:dyDescent="0.3">
      <c r="B18" s="16">
        <v>13</v>
      </c>
      <c r="C18" s="73"/>
      <c r="D18" s="6"/>
      <c r="E18" s="6"/>
      <c r="F18" s="6"/>
      <c r="G18" s="6"/>
      <c r="H18" s="6"/>
      <c r="I18" s="6"/>
      <c r="J18" s="6"/>
      <c r="K18" s="16"/>
      <c r="O18" s="16"/>
      <c r="P18" s="16"/>
      <c r="Q18" s="84"/>
      <c r="R18" s="16"/>
      <c r="S18" s="16"/>
      <c r="T18" s="16"/>
    </row>
    <row r="19" spans="2:20" x14ac:dyDescent="0.3">
      <c r="B19" s="16">
        <v>14</v>
      </c>
      <c r="C19" s="73"/>
      <c r="D19" s="6"/>
      <c r="E19" s="6"/>
      <c r="F19" s="6"/>
      <c r="G19" s="6"/>
      <c r="H19" s="6"/>
      <c r="I19" s="6"/>
      <c r="J19" s="6"/>
      <c r="K19" s="16"/>
      <c r="O19" s="16"/>
      <c r="P19" s="16"/>
      <c r="Q19" s="84"/>
      <c r="R19" s="16"/>
      <c r="S19" s="16"/>
      <c r="T19" s="16"/>
    </row>
    <row r="20" spans="2:20" x14ac:dyDescent="0.3">
      <c r="B20" s="16">
        <v>15</v>
      </c>
      <c r="C20" s="73"/>
      <c r="D20" s="6"/>
      <c r="E20" s="6"/>
      <c r="F20" s="6"/>
      <c r="G20" s="6"/>
      <c r="H20" s="6"/>
      <c r="I20" s="6"/>
      <c r="J20" s="6"/>
      <c r="K20" s="16"/>
      <c r="O20" s="16"/>
      <c r="P20" s="16"/>
      <c r="Q20" s="84"/>
      <c r="R20" s="16"/>
      <c r="S20" s="16"/>
      <c r="T20" s="16"/>
    </row>
    <row r="21" spans="2:20" x14ac:dyDescent="0.3">
      <c r="B21" s="16">
        <v>16</v>
      </c>
      <c r="C21" s="6"/>
      <c r="D21" s="6"/>
      <c r="E21" s="6"/>
      <c r="F21" s="6"/>
      <c r="G21" s="6"/>
      <c r="H21" s="6"/>
      <c r="I21" s="6"/>
      <c r="J21" s="6"/>
      <c r="K21" s="16"/>
      <c r="O21" s="16"/>
      <c r="P21" s="16"/>
      <c r="Q21" s="84"/>
      <c r="R21" s="16"/>
      <c r="S21" s="16"/>
      <c r="T21" s="16"/>
    </row>
    <row r="22" spans="2:20" x14ac:dyDescent="0.3">
      <c r="B22" s="16">
        <v>17</v>
      </c>
      <c r="C22" s="6"/>
      <c r="D22" s="6"/>
      <c r="E22" s="6"/>
      <c r="F22" s="6"/>
      <c r="G22" s="6"/>
      <c r="H22" s="6"/>
      <c r="I22" s="6"/>
      <c r="J22" s="6"/>
      <c r="K22" s="16"/>
      <c r="O22" s="16"/>
      <c r="P22" s="16"/>
      <c r="Q22" s="84"/>
      <c r="R22" s="16"/>
      <c r="S22" s="16"/>
      <c r="T22" s="16"/>
    </row>
    <row r="23" spans="2:20" x14ac:dyDescent="0.3">
      <c r="B23" s="16">
        <v>18</v>
      </c>
      <c r="C23" s="6"/>
      <c r="D23" s="6"/>
      <c r="E23" s="6"/>
      <c r="F23" s="6"/>
      <c r="G23" s="6"/>
      <c r="H23" s="6"/>
      <c r="I23" s="6"/>
      <c r="J23" s="6"/>
      <c r="K23" s="16"/>
      <c r="O23" s="16"/>
      <c r="P23" s="16"/>
      <c r="Q23" s="84"/>
      <c r="R23" s="16"/>
      <c r="S23" s="16"/>
      <c r="T23" s="16"/>
    </row>
    <row r="24" spans="2:20" x14ac:dyDescent="0.3">
      <c r="B24" s="16">
        <v>19</v>
      </c>
      <c r="C24" s="6"/>
      <c r="D24" s="6"/>
      <c r="E24" s="6"/>
      <c r="F24" s="6"/>
      <c r="G24" s="6"/>
      <c r="H24" s="6"/>
      <c r="I24" s="6"/>
      <c r="J24" s="6"/>
      <c r="K24" s="16"/>
      <c r="O24" s="16"/>
      <c r="P24" s="16"/>
      <c r="Q24" s="84"/>
      <c r="R24" s="16"/>
      <c r="S24" s="16"/>
      <c r="T24" s="16"/>
    </row>
    <row r="25" spans="2:20" x14ac:dyDescent="0.3">
      <c r="O25" s="16"/>
      <c r="P25" s="16"/>
      <c r="Q25" s="84"/>
      <c r="R25" s="16"/>
      <c r="S25" s="16"/>
      <c r="T25" s="16"/>
    </row>
    <row r="26" spans="2:20" x14ac:dyDescent="0.3">
      <c r="O26" s="16"/>
      <c r="P26" s="16"/>
      <c r="Q26" s="84"/>
      <c r="R26" s="16"/>
      <c r="S26" s="16"/>
      <c r="T26" s="16"/>
    </row>
    <row r="27" spans="2:20" x14ac:dyDescent="0.3">
      <c r="O27" s="16"/>
      <c r="P27" s="16"/>
      <c r="Q27" s="84"/>
      <c r="R27" s="16"/>
      <c r="S27" s="16"/>
      <c r="T27" s="16"/>
    </row>
    <row r="28" spans="2:20" x14ac:dyDescent="0.3">
      <c r="O28" s="16"/>
      <c r="P28" s="16"/>
      <c r="Q28" s="84"/>
      <c r="R28" s="16"/>
      <c r="S28" s="16"/>
      <c r="T28" s="16"/>
    </row>
    <row r="29" spans="2:20" x14ac:dyDescent="0.3">
      <c r="O29" s="16"/>
      <c r="P29" s="16"/>
      <c r="Q29" s="84"/>
      <c r="R29" s="16"/>
      <c r="S29" s="16"/>
      <c r="T29" s="16"/>
    </row>
    <row r="30" spans="2:20" x14ac:dyDescent="0.3">
      <c r="O30" s="16"/>
      <c r="P30" s="16"/>
      <c r="Q30" s="84"/>
      <c r="R30" s="16"/>
      <c r="S30" s="16"/>
      <c r="T30" s="16"/>
    </row>
  </sheetData>
  <mergeCells count="6">
    <mergeCell ref="K3:K5"/>
    <mergeCell ref="B3:B5"/>
    <mergeCell ref="C3:C5"/>
    <mergeCell ref="D3:D5"/>
    <mergeCell ref="G3:J3"/>
    <mergeCell ref="G4:I4"/>
  </mergeCells>
  <phoneticPr fontId="5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workbookViewId="0">
      <selection activeCell="J4" sqref="J4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737" t="s">
        <v>271</v>
      </c>
      <c r="B3" s="768"/>
      <c r="C3" s="768"/>
      <c r="D3" s="768"/>
      <c r="E3" s="768"/>
      <c r="F3" s="768"/>
      <c r="G3" s="738"/>
      <c r="I3" s="1">
        <f>I2/2</f>
        <v>720</v>
      </c>
    </row>
    <row r="4" spans="1:14" ht="15" thickBot="1" x14ac:dyDescent="0.35">
      <c r="A4" s="769" t="s">
        <v>1</v>
      </c>
      <c r="B4" s="770"/>
      <c r="C4" s="155" t="s">
        <v>2</v>
      </c>
      <c r="D4" s="156" t="s">
        <v>61</v>
      </c>
      <c r="E4" s="156" t="s">
        <v>62</v>
      </c>
      <c r="F4" s="156" t="s">
        <v>63</v>
      </c>
      <c r="G4" s="157" t="s">
        <v>65</v>
      </c>
      <c r="J4" s="18" t="s">
        <v>1</v>
      </c>
      <c r="K4" s="18" t="s">
        <v>66</v>
      </c>
      <c r="L4" s="18" t="s">
        <v>67</v>
      </c>
      <c r="M4" s="18" t="s">
        <v>68</v>
      </c>
      <c r="N4" s="1" t="s">
        <v>272</v>
      </c>
    </row>
    <row r="5" spans="1:14" x14ac:dyDescent="0.3">
      <c r="A5" s="773">
        <v>46268</v>
      </c>
      <c r="B5" s="767"/>
      <c r="C5" s="173" t="s">
        <v>170</v>
      </c>
      <c r="D5" s="174">
        <v>6.9444444444444447E-4</v>
      </c>
      <c r="E5" s="71">
        <v>0.44444444444444442</v>
      </c>
      <c r="F5" s="72">
        <f>(E5-D5)*720</f>
        <v>319.5</v>
      </c>
      <c r="G5" s="595" t="s">
        <v>517</v>
      </c>
      <c r="J5" s="73">
        <v>46142</v>
      </c>
      <c r="K5" s="77">
        <f>F5</f>
        <v>319.5</v>
      </c>
      <c r="L5" s="77">
        <f>(720-K5)/60</f>
        <v>6.6749999999999998</v>
      </c>
      <c r="M5" s="74">
        <f>L5/12</f>
        <v>0.55625000000000002</v>
      </c>
      <c r="N5" s="1" t="s">
        <v>273</v>
      </c>
    </row>
    <row r="6" spans="1:14" x14ac:dyDescent="0.3">
      <c r="A6" s="773">
        <v>46269</v>
      </c>
      <c r="B6" s="767"/>
      <c r="C6" s="178"/>
      <c r="D6" s="71">
        <v>6.9444444444444447E-4</v>
      </c>
      <c r="E6" s="71">
        <v>2.9166666666666667E-2</v>
      </c>
      <c r="F6" s="72">
        <f>(E6-D6)*720</f>
        <v>20.5</v>
      </c>
      <c r="G6" s="596" t="s">
        <v>518</v>
      </c>
      <c r="J6" s="73">
        <v>46143</v>
      </c>
      <c r="K6" s="77">
        <f t="shared" ref="K6:K32" si="0">F6</f>
        <v>20.5</v>
      </c>
      <c r="L6" s="77">
        <f>(720-K6)/60</f>
        <v>11.658333333333333</v>
      </c>
      <c r="M6" s="74">
        <f>L6/12</f>
        <v>0.97152777777777777</v>
      </c>
    </row>
    <row r="7" spans="1:14" x14ac:dyDescent="0.3">
      <c r="A7" s="773">
        <v>46270</v>
      </c>
      <c r="B7" s="767"/>
      <c r="C7" s="178"/>
      <c r="D7" s="71"/>
      <c r="E7" s="71"/>
      <c r="F7" s="72"/>
      <c r="G7" s="179"/>
      <c r="J7" s="73">
        <v>46144</v>
      </c>
      <c r="K7" s="6">
        <f t="shared" si="0"/>
        <v>0</v>
      </c>
      <c r="L7" s="77">
        <f t="shared" ref="L7:L37" si="1">(1440-K7)/60</f>
        <v>24</v>
      </c>
      <c r="M7" s="74">
        <f t="shared" ref="M7:M32" si="2">L7/24</f>
        <v>1</v>
      </c>
    </row>
    <row r="8" spans="1:14" x14ac:dyDescent="0.3">
      <c r="A8" s="773">
        <v>46271</v>
      </c>
      <c r="B8" s="767"/>
      <c r="C8" s="180"/>
      <c r="D8" s="71"/>
      <c r="E8" s="71"/>
      <c r="F8" s="72"/>
      <c r="G8" s="181"/>
      <c r="J8" s="73">
        <v>46145</v>
      </c>
      <c r="K8" s="6">
        <f t="shared" si="0"/>
        <v>0</v>
      </c>
      <c r="L8" s="77">
        <f t="shared" si="1"/>
        <v>24</v>
      </c>
      <c r="M8" s="74">
        <f t="shared" si="2"/>
        <v>1</v>
      </c>
    </row>
    <row r="9" spans="1:14" x14ac:dyDescent="0.3">
      <c r="A9" s="773">
        <v>46272</v>
      </c>
      <c r="B9" s="767"/>
      <c r="C9" s="190"/>
      <c r="D9" s="188"/>
      <c r="E9" s="71"/>
      <c r="F9" s="72"/>
      <c r="G9" s="189"/>
      <c r="J9" s="73">
        <v>46146</v>
      </c>
      <c r="K9" s="6">
        <f t="shared" si="0"/>
        <v>0</v>
      </c>
      <c r="L9" s="77">
        <f t="shared" si="1"/>
        <v>24</v>
      </c>
      <c r="M9" s="74">
        <f t="shared" si="2"/>
        <v>1</v>
      </c>
    </row>
    <row r="10" spans="1:14" x14ac:dyDescent="0.3">
      <c r="A10" s="773">
        <v>46273</v>
      </c>
      <c r="B10" s="767"/>
      <c r="C10" s="195"/>
      <c r="D10" s="71"/>
      <c r="E10" s="71"/>
      <c r="F10" s="72"/>
      <c r="G10" s="220"/>
      <c r="J10" s="73">
        <v>46147</v>
      </c>
      <c r="K10" s="6">
        <f t="shared" si="0"/>
        <v>0</v>
      </c>
      <c r="L10" s="77">
        <f t="shared" si="1"/>
        <v>24</v>
      </c>
      <c r="M10" s="74">
        <f t="shared" si="2"/>
        <v>1</v>
      </c>
    </row>
    <row r="11" spans="1:14" x14ac:dyDescent="0.3">
      <c r="A11" s="773">
        <v>46274</v>
      </c>
      <c r="B11" s="767"/>
      <c r="C11" s="219"/>
      <c r="D11" s="71"/>
      <c r="E11" s="71"/>
      <c r="F11" s="72"/>
      <c r="G11" s="220"/>
      <c r="J11" s="73">
        <v>46148</v>
      </c>
      <c r="K11" s="6">
        <f t="shared" si="0"/>
        <v>0</v>
      </c>
      <c r="L11" s="77">
        <f t="shared" si="1"/>
        <v>24</v>
      </c>
      <c r="M11" s="74">
        <f t="shared" si="2"/>
        <v>1</v>
      </c>
    </row>
    <row r="12" spans="1:14" x14ac:dyDescent="0.3">
      <c r="A12" s="773">
        <v>46275</v>
      </c>
      <c r="B12" s="767"/>
      <c r="C12" s="75"/>
      <c r="D12" s="71"/>
      <c r="E12" s="71"/>
      <c r="F12" s="72">
        <f t="shared" ref="F12:F44" si="3">(E12-D12)*1440</f>
        <v>0</v>
      </c>
      <c r="G12" s="76"/>
      <c r="J12" s="73">
        <v>46149</v>
      </c>
      <c r="K12" s="6">
        <f t="shared" si="0"/>
        <v>0</v>
      </c>
      <c r="L12" s="6">
        <f t="shared" si="1"/>
        <v>24</v>
      </c>
      <c r="M12" s="74">
        <f t="shared" si="2"/>
        <v>1</v>
      </c>
    </row>
    <row r="13" spans="1:14" x14ac:dyDescent="0.3">
      <c r="A13" s="773">
        <v>46276</v>
      </c>
      <c r="B13" s="767"/>
      <c r="C13" s="75"/>
      <c r="D13" s="71"/>
      <c r="E13" s="71"/>
      <c r="F13" s="72">
        <f t="shared" si="3"/>
        <v>0</v>
      </c>
      <c r="G13" s="76"/>
      <c r="J13" s="73">
        <v>46150</v>
      </c>
      <c r="K13" s="6">
        <f t="shared" si="0"/>
        <v>0</v>
      </c>
      <c r="L13" s="6">
        <f t="shared" si="1"/>
        <v>24</v>
      </c>
      <c r="M13" s="74">
        <f t="shared" si="2"/>
        <v>1</v>
      </c>
    </row>
    <row r="14" spans="1:14" x14ac:dyDescent="0.3">
      <c r="A14" s="773">
        <v>46277</v>
      </c>
      <c r="B14" s="767"/>
      <c r="C14" s="75"/>
      <c r="D14" s="71"/>
      <c r="E14" s="71"/>
      <c r="F14" s="72">
        <f t="shared" si="3"/>
        <v>0</v>
      </c>
      <c r="G14" s="76"/>
      <c r="J14" s="73">
        <v>46151</v>
      </c>
      <c r="K14" s="6">
        <f t="shared" si="0"/>
        <v>0</v>
      </c>
      <c r="L14" s="6">
        <f t="shared" si="1"/>
        <v>24</v>
      </c>
      <c r="M14" s="74">
        <f t="shared" si="2"/>
        <v>1</v>
      </c>
    </row>
    <row r="15" spans="1:14" x14ac:dyDescent="0.3">
      <c r="A15" s="773">
        <v>46278</v>
      </c>
      <c r="B15" s="767"/>
      <c r="C15" s="75"/>
      <c r="D15" s="71"/>
      <c r="E15" s="71"/>
      <c r="F15" s="72">
        <f>(E15-D15)*1440</f>
        <v>0</v>
      </c>
      <c r="G15" s="76"/>
      <c r="J15" s="73">
        <v>46152</v>
      </c>
      <c r="K15" s="6">
        <f t="shared" si="0"/>
        <v>0</v>
      </c>
      <c r="L15" s="6">
        <f t="shared" si="1"/>
        <v>24</v>
      </c>
      <c r="M15" s="74">
        <f t="shared" si="2"/>
        <v>1</v>
      </c>
    </row>
    <row r="16" spans="1:14" x14ac:dyDescent="0.3">
      <c r="A16" s="773">
        <v>46279</v>
      </c>
      <c r="B16" s="767"/>
      <c r="C16" s="75"/>
      <c r="D16" s="71"/>
      <c r="E16" s="71"/>
      <c r="F16" s="72">
        <f t="shared" si="3"/>
        <v>0</v>
      </c>
      <c r="G16" s="76"/>
      <c r="J16" s="73">
        <v>46153</v>
      </c>
      <c r="K16" s="6">
        <f t="shared" si="0"/>
        <v>0</v>
      </c>
      <c r="L16" s="6">
        <f t="shared" si="1"/>
        <v>24</v>
      </c>
      <c r="M16" s="74">
        <f t="shared" si="2"/>
        <v>1</v>
      </c>
    </row>
    <row r="17" spans="1:18" x14ac:dyDescent="0.3">
      <c r="A17" s="773">
        <v>46280</v>
      </c>
      <c r="B17" s="767"/>
      <c r="C17" s="75"/>
      <c r="D17" s="71"/>
      <c r="E17" s="71"/>
      <c r="F17" s="72">
        <f t="shared" si="3"/>
        <v>0</v>
      </c>
      <c r="G17" s="76"/>
      <c r="J17" s="73">
        <v>46154</v>
      </c>
      <c r="K17" s="6">
        <f t="shared" si="0"/>
        <v>0</v>
      </c>
      <c r="L17" s="6">
        <f t="shared" si="1"/>
        <v>24</v>
      </c>
      <c r="M17" s="74">
        <f t="shared" si="2"/>
        <v>1</v>
      </c>
    </row>
    <row r="18" spans="1:18" x14ac:dyDescent="0.3">
      <c r="A18" s="773">
        <v>46281</v>
      </c>
      <c r="B18" s="767"/>
      <c r="C18" s="75"/>
      <c r="D18" s="71"/>
      <c r="E18" s="71"/>
      <c r="F18" s="72">
        <f t="shared" si="3"/>
        <v>0</v>
      </c>
      <c r="G18" s="76"/>
      <c r="J18" s="73">
        <v>46155</v>
      </c>
      <c r="K18" s="6">
        <f t="shared" si="0"/>
        <v>0</v>
      </c>
      <c r="L18" s="6">
        <f t="shared" si="1"/>
        <v>24</v>
      </c>
      <c r="M18" s="74">
        <f t="shared" si="2"/>
        <v>1</v>
      </c>
    </row>
    <row r="19" spans="1:18" x14ac:dyDescent="0.3">
      <c r="A19" s="773">
        <v>46282</v>
      </c>
      <c r="B19" s="767"/>
      <c r="C19" s="75"/>
      <c r="D19" s="71"/>
      <c r="E19" s="71"/>
      <c r="F19" s="72">
        <f t="shared" si="3"/>
        <v>0</v>
      </c>
      <c r="G19" s="76"/>
      <c r="J19" s="73">
        <v>46156</v>
      </c>
      <c r="K19" s="6">
        <f t="shared" si="0"/>
        <v>0</v>
      </c>
      <c r="L19" s="6">
        <f t="shared" si="1"/>
        <v>24</v>
      </c>
      <c r="M19" s="74">
        <f t="shared" si="2"/>
        <v>1</v>
      </c>
    </row>
    <row r="20" spans="1:18" x14ac:dyDescent="0.3">
      <c r="A20" s="773">
        <v>46283</v>
      </c>
      <c r="B20" s="767"/>
      <c r="C20" s="75"/>
      <c r="D20" s="71"/>
      <c r="E20" s="71"/>
      <c r="F20" s="72">
        <f t="shared" si="3"/>
        <v>0</v>
      </c>
      <c r="G20" s="76"/>
      <c r="J20" s="73">
        <v>46157</v>
      </c>
      <c r="K20" s="6">
        <f t="shared" si="0"/>
        <v>0</v>
      </c>
      <c r="L20" s="6">
        <f t="shared" si="1"/>
        <v>24</v>
      </c>
      <c r="M20" s="74">
        <f t="shared" si="2"/>
        <v>1</v>
      </c>
    </row>
    <row r="21" spans="1:18" x14ac:dyDescent="0.3">
      <c r="A21" s="773">
        <v>46284</v>
      </c>
      <c r="B21" s="767"/>
      <c r="C21" s="75"/>
      <c r="D21" s="71"/>
      <c r="E21" s="71"/>
      <c r="F21" s="72">
        <f t="shared" si="3"/>
        <v>0</v>
      </c>
      <c r="G21" s="76"/>
      <c r="J21" s="73">
        <v>46158</v>
      </c>
      <c r="K21" s="6">
        <f t="shared" si="0"/>
        <v>0</v>
      </c>
      <c r="L21" s="6">
        <f t="shared" si="1"/>
        <v>24</v>
      </c>
      <c r="M21" s="74">
        <f t="shared" si="2"/>
        <v>1</v>
      </c>
    </row>
    <row r="22" spans="1:18" x14ac:dyDescent="0.3">
      <c r="A22" s="773">
        <v>46285</v>
      </c>
      <c r="B22" s="767"/>
      <c r="C22" s="75"/>
      <c r="D22" s="71"/>
      <c r="E22" s="71"/>
      <c r="F22" s="72">
        <f t="shared" si="3"/>
        <v>0</v>
      </c>
      <c r="G22" s="76"/>
      <c r="J22" s="73">
        <v>46159</v>
      </c>
      <c r="K22" s="6">
        <f t="shared" si="0"/>
        <v>0</v>
      </c>
      <c r="L22" s="6">
        <f t="shared" si="1"/>
        <v>24</v>
      </c>
      <c r="M22" s="74">
        <f t="shared" si="2"/>
        <v>1</v>
      </c>
    </row>
    <row r="23" spans="1:18" x14ac:dyDescent="0.3">
      <c r="A23" s="773">
        <v>46286</v>
      </c>
      <c r="B23" s="767"/>
      <c r="C23" s="75"/>
      <c r="D23" s="71"/>
      <c r="E23" s="71"/>
      <c r="F23" s="72">
        <f t="shared" si="3"/>
        <v>0</v>
      </c>
      <c r="G23" s="76"/>
      <c r="J23" s="73">
        <v>46160</v>
      </c>
      <c r="K23" s="6">
        <f t="shared" si="0"/>
        <v>0</v>
      </c>
      <c r="L23" s="6">
        <f t="shared" si="1"/>
        <v>24</v>
      </c>
      <c r="M23" s="74">
        <f t="shared" si="2"/>
        <v>1</v>
      </c>
    </row>
    <row r="24" spans="1:18" x14ac:dyDescent="0.3">
      <c r="A24" s="773">
        <v>46287</v>
      </c>
      <c r="B24" s="767"/>
      <c r="C24" s="75"/>
      <c r="D24" s="71"/>
      <c r="E24" s="71"/>
      <c r="F24" s="72">
        <f t="shared" si="3"/>
        <v>0</v>
      </c>
      <c r="G24" s="76"/>
      <c r="J24" s="73">
        <v>46161</v>
      </c>
      <c r="K24" s="6">
        <f t="shared" si="0"/>
        <v>0</v>
      </c>
      <c r="L24" s="6">
        <f t="shared" si="1"/>
        <v>24</v>
      </c>
      <c r="M24" s="74">
        <f t="shared" si="2"/>
        <v>1</v>
      </c>
    </row>
    <row r="25" spans="1:18" x14ac:dyDescent="0.3">
      <c r="A25" s="773">
        <v>46288</v>
      </c>
      <c r="B25" s="767"/>
      <c r="C25" s="75"/>
      <c r="D25" s="71"/>
      <c r="E25" s="71"/>
      <c r="F25" s="72">
        <f t="shared" si="3"/>
        <v>0</v>
      </c>
      <c r="G25" s="76"/>
      <c r="J25" s="73">
        <v>46162</v>
      </c>
      <c r="K25" s="6">
        <f t="shared" si="0"/>
        <v>0</v>
      </c>
      <c r="L25" s="6">
        <f t="shared" si="1"/>
        <v>24</v>
      </c>
      <c r="M25" s="74">
        <f t="shared" si="2"/>
        <v>1</v>
      </c>
    </row>
    <row r="26" spans="1:18" x14ac:dyDescent="0.3">
      <c r="A26" s="773">
        <v>46289</v>
      </c>
      <c r="B26" s="767"/>
      <c r="C26" s="75"/>
      <c r="D26" s="71"/>
      <c r="E26" s="71"/>
      <c r="F26" s="72">
        <f t="shared" si="3"/>
        <v>0</v>
      </c>
      <c r="G26" s="76"/>
      <c r="J26" s="73">
        <v>45952</v>
      </c>
      <c r="K26" s="6">
        <f t="shared" si="0"/>
        <v>0</v>
      </c>
      <c r="L26" s="6">
        <f t="shared" si="1"/>
        <v>24</v>
      </c>
      <c r="M26" s="74">
        <f t="shared" si="2"/>
        <v>1</v>
      </c>
    </row>
    <row r="27" spans="1:18" x14ac:dyDescent="0.3">
      <c r="A27" s="773">
        <v>46290</v>
      </c>
      <c r="B27" s="767"/>
      <c r="C27" s="75"/>
      <c r="D27" s="71"/>
      <c r="E27" s="71"/>
      <c r="F27" s="72">
        <f t="shared" si="3"/>
        <v>0</v>
      </c>
      <c r="G27" s="76"/>
      <c r="J27" s="73">
        <v>45953</v>
      </c>
      <c r="K27" s="6">
        <f t="shared" si="0"/>
        <v>0</v>
      </c>
      <c r="L27" s="6">
        <f t="shared" si="1"/>
        <v>24</v>
      </c>
      <c r="M27" s="74">
        <f t="shared" si="2"/>
        <v>1</v>
      </c>
    </row>
    <row r="28" spans="1:18" x14ac:dyDescent="0.3">
      <c r="A28" s="773">
        <v>46291</v>
      </c>
      <c r="B28" s="767"/>
      <c r="C28" s="75"/>
      <c r="D28" s="71"/>
      <c r="E28" s="71"/>
      <c r="F28" s="72">
        <f t="shared" si="3"/>
        <v>0</v>
      </c>
      <c r="G28" s="76"/>
      <c r="J28" s="73">
        <v>45954</v>
      </c>
      <c r="K28" s="6">
        <f t="shared" si="0"/>
        <v>0</v>
      </c>
      <c r="L28" s="6">
        <f t="shared" si="1"/>
        <v>24</v>
      </c>
      <c r="M28" s="74">
        <f t="shared" si="2"/>
        <v>1</v>
      </c>
    </row>
    <row r="29" spans="1:18" x14ac:dyDescent="0.3">
      <c r="A29" s="773">
        <v>46292</v>
      </c>
      <c r="B29" s="767"/>
      <c r="C29" s="75"/>
      <c r="D29" s="71"/>
      <c r="E29" s="71"/>
      <c r="F29" s="72">
        <f t="shared" si="3"/>
        <v>0</v>
      </c>
      <c r="G29" s="76"/>
      <c r="J29" s="73">
        <v>45955</v>
      </c>
      <c r="K29" s="6">
        <f t="shared" si="0"/>
        <v>0</v>
      </c>
      <c r="L29" s="6">
        <f t="shared" si="1"/>
        <v>24</v>
      </c>
      <c r="M29" s="74">
        <f t="shared" si="2"/>
        <v>1</v>
      </c>
    </row>
    <row r="30" spans="1:18" x14ac:dyDescent="0.3">
      <c r="A30" s="773">
        <v>46293</v>
      </c>
      <c r="B30" s="767"/>
      <c r="C30" s="75"/>
      <c r="D30" s="78"/>
      <c r="E30" s="78"/>
      <c r="F30" s="72">
        <f t="shared" si="3"/>
        <v>0</v>
      </c>
      <c r="G30" s="76"/>
      <c r="J30" s="73">
        <v>45956</v>
      </c>
      <c r="K30" s="77">
        <f t="shared" si="0"/>
        <v>0</v>
      </c>
      <c r="L30" s="6">
        <f>(1440-K30)/60</f>
        <v>24</v>
      </c>
      <c r="M30" s="74">
        <f t="shared" si="2"/>
        <v>1</v>
      </c>
    </row>
    <row r="31" spans="1:18" x14ac:dyDescent="0.3">
      <c r="A31" s="773">
        <v>46294</v>
      </c>
      <c r="B31" s="767"/>
      <c r="C31" s="75"/>
      <c r="D31" s="78"/>
      <c r="E31" s="78"/>
      <c r="F31" s="72">
        <f t="shared" si="3"/>
        <v>0</v>
      </c>
      <c r="G31" s="76"/>
      <c r="J31" s="73">
        <v>45957</v>
      </c>
      <c r="K31" s="77">
        <f t="shared" si="0"/>
        <v>0</v>
      </c>
      <c r="L31" s="6">
        <f>(1440-K31)/60</f>
        <v>24</v>
      </c>
      <c r="M31" s="74">
        <f t="shared" si="2"/>
        <v>1</v>
      </c>
      <c r="R31" s="38"/>
    </row>
    <row r="32" spans="1:18" x14ac:dyDescent="0.3">
      <c r="A32" s="773">
        <v>46295</v>
      </c>
      <c r="B32" s="767"/>
      <c r="C32" s="75"/>
      <c r="D32" s="78"/>
      <c r="E32" s="78"/>
      <c r="F32" s="72">
        <f t="shared" si="3"/>
        <v>0</v>
      </c>
      <c r="G32" s="76"/>
      <c r="J32" s="73">
        <v>45958</v>
      </c>
      <c r="K32" s="6">
        <f t="shared" si="0"/>
        <v>0</v>
      </c>
      <c r="L32" s="6">
        <f t="shared" si="1"/>
        <v>24</v>
      </c>
      <c r="M32" s="74">
        <f t="shared" si="2"/>
        <v>1</v>
      </c>
    </row>
    <row r="33" spans="1:13" x14ac:dyDescent="0.3">
      <c r="A33" s="773">
        <v>46296</v>
      </c>
      <c r="B33" s="767"/>
      <c r="C33" s="75"/>
      <c r="D33" s="78"/>
      <c r="E33" s="78"/>
      <c r="F33" s="72">
        <f t="shared" si="3"/>
        <v>0</v>
      </c>
      <c r="G33" s="76"/>
      <c r="J33" s="73">
        <v>45959</v>
      </c>
      <c r="K33" s="77">
        <f>SUM(F33:F35)</f>
        <v>0</v>
      </c>
      <c r="L33" s="77">
        <f t="shared" si="1"/>
        <v>24</v>
      </c>
      <c r="M33" s="74">
        <f>L33/12</f>
        <v>2</v>
      </c>
    </row>
    <row r="34" spans="1:13" x14ac:dyDescent="0.3">
      <c r="A34" s="773">
        <v>46297</v>
      </c>
      <c r="B34" s="767"/>
      <c r="C34" s="75"/>
      <c r="D34" s="78"/>
      <c r="E34" s="78"/>
      <c r="F34" s="72">
        <f t="shared" si="3"/>
        <v>0</v>
      </c>
      <c r="G34" s="76"/>
      <c r="J34" s="73">
        <v>45960</v>
      </c>
      <c r="K34" s="77">
        <f>SUM(F36:F38)</f>
        <v>0</v>
      </c>
      <c r="L34" s="77">
        <f>(1440-K34)/60</f>
        <v>24</v>
      </c>
      <c r="M34" s="74">
        <f>L34/12</f>
        <v>2</v>
      </c>
    </row>
    <row r="35" spans="1:13" x14ac:dyDescent="0.3">
      <c r="A35" s="773">
        <v>46298</v>
      </c>
      <c r="B35" s="767"/>
      <c r="C35" s="75"/>
      <c r="D35" s="78"/>
      <c r="E35" s="78"/>
      <c r="F35" s="72">
        <f t="shared" si="3"/>
        <v>0</v>
      </c>
      <c r="G35" s="76"/>
      <c r="J35" s="73">
        <v>45961</v>
      </c>
      <c r="K35" s="6"/>
      <c r="L35" s="6"/>
      <c r="M35" s="74"/>
    </row>
    <row r="36" spans="1:13" x14ac:dyDescent="0.3">
      <c r="A36" s="773">
        <v>46299</v>
      </c>
      <c r="B36" s="767"/>
      <c r="C36" s="75"/>
      <c r="D36" s="78"/>
      <c r="E36" s="78"/>
      <c r="F36" s="72">
        <f t="shared" si="3"/>
        <v>0</v>
      </c>
      <c r="G36" s="76"/>
      <c r="J36" s="73">
        <v>45962</v>
      </c>
      <c r="K36" s="77">
        <f>SUM(F40:F41)</f>
        <v>0</v>
      </c>
      <c r="L36" s="6">
        <f t="shared" si="1"/>
        <v>24</v>
      </c>
      <c r="M36" s="74">
        <f t="shared" ref="M36:M41" si="4">L36/12</f>
        <v>2</v>
      </c>
    </row>
    <row r="37" spans="1:13" x14ac:dyDescent="0.3">
      <c r="A37" s="773">
        <v>46300</v>
      </c>
      <c r="B37" s="767"/>
      <c r="C37" s="75"/>
      <c r="D37" s="78"/>
      <c r="E37" s="78"/>
      <c r="F37" s="72">
        <f t="shared" si="3"/>
        <v>0</v>
      </c>
      <c r="G37" s="76"/>
      <c r="J37" s="73">
        <v>45963</v>
      </c>
      <c r="K37" s="77">
        <f>SUM(F42:F44)</f>
        <v>0</v>
      </c>
      <c r="L37" s="77">
        <f t="shared" si="1"/>
        <v>24</v>
      </c>
      <c r="M37" s="74">
        <f t="shared" si="4"/>
        <v>2</v>
      </c>
    </row>
    <row r="38" spans="1:13" x14ac:dyDescent="0.3">
      <c r="A38" s="773">
        <v>46301</v>
      </c>
      <c r="B38" s="767"/>
      <c r="C38" s="75"/>
      <c r="D38" s="78"/>
      <c r="E38" s="78"/>
      <c r="F38" s="72">
        <f t="shared" si="3"/>
        <v>0</v>
      </c>
      <c r="G38" s="76"/>
      <c r="J38" s="73">
        <v>45964</v>
      </c>
      <c r="K38" s="77">
        <f>SUM(F45:F47)</f>
        <v>0</v>
      </c>
      <c r="L38" s="77">
        <f>(1440-K38)/60</f>
        <v>24</v>
      </c>
      <c r="M38" s="74">
        <f t="shared" si="4"/>
        <v>2</v>
      </c>
    </row>
    <row r="39" spans="1:13" x14ac:dyDescent="0.3">
      <c r="A39" s="773">
        <v>46302</v>
      </c>
      <c r="B39" s="767"/>
      <c r="C39" s="75"/>
      <c r="D39" s="78"/>
      <c r="E39" s="78"/>
      <c r="F39" s="72">
        <f t="shared" si="3"/>
        <v>0</v>
      </c>
      <c r="G39" s="76"/>
      <c r="J39" s="73">
        <v>45965</v>
      </c>
      <c r="K39" s="77">
        <f>SUM(F48:F49)</f>
        <v>0</v>
      </c>
      <c r="L39" s="77">
        <f>(1440-K39)/60</f>
        <v>24</v>
      </c>
      <c r="M39" s="74">
        <f t="shared" si="4"/>
        <v>2</v>
      </c>
    </row>
    <row r="40" spans="1:13" x14ac:dyDescent="0.3">
      <c r="A40" s="773">
        <v>46303</v>
      </c>
      <c r="B40" s="767"/>
      <c r="C40" s="75"/>
      <c r="D40" s="78"/>
      <c r="E40" s="78"/>
      <c r="F40" s="72">
        <f t="shared" si="3"/>
        <v>0</v>
      </c>
      <c r="G40" s="76"/>
      <c r="J40" s="73">
        <v>45966</v>
      </c>
      <c r="K40" s="77">
        <f>SUM(F50:F53)</f>
        <v>0</v>
      </c>
      <c r="L40" s="77">
        <f>(1440-K40)/60</f>
        <v>24</v>
      </c>
      <c r="M40" s="74">
        <f t="shared" si="4"/>
        <v>2</v>
      </c>
    </row>
    <row r="41" spans="1:13" x14ac:dyDescent="0.3">
      <c r="A41" s="773">
        <v>46304</v>
      </c>
      <c r="B41" s="767"/>
      <c r="C41" s="75"/>
      <c r="D41" s="78"/>
      <c r="E41" s="78"/>
      <c r="F41" s="72">
        <f t="shared" si="3"/>
        <v>0</v>
      </c>
      <c r="G41" s="76"/>
      <c r="J41" s="73">
        <v>45967</v>
      </c>
      <c r="K41" s="77">
        <f>SUM(F54:F56)</f>
        <v>0</v>
      </c>
      <c r="L41" s="77">
        <f>(1440-K41)/60</f>
        <v>24</v>
      </c>
      <c r="M41" s="74">
        <f t="shared" si="4"/>
        <v>2</v>
      </c>
    </row>
    <row r="42" spans="1:13" ht="13.5" customHeight="1" x14ac:dyDescent="0.3">
      <c r="A42" s="773">
        <v>46305</v>
      </c>
      <c r="B42" s="767"/>
      <c r="C42" s="75"/>
      <c r="D42" s="78"/>
      <c r="E42" s="78"/>
      <c r="F42" s="72">
        <f t="shared" si="3"/>
        <v>0</v>
      </c>
      <c r="G42" s="76"/>
      <c r="J42" s="73">
        <v>45968</v>
      </c>
      <c r="K42" s="77"/>
      <c r="L42" s="77"/>
      <c r="M42" s="74"/>
    </row>
    <row r="43" spans="1:13" ht="13.5" customHeight="1" x14ac:dyDescent="0.3">
      <c r="A43" s="773">
        <v>46306</v>
      </c>
      <c r="B43" s="767"/>
      <c r="C43" s="75"/>
      <c r="D43" s="78"/>
      <c r="E43" s="78"/>
      <c r="F43" s="72">
        <f t="shared" si="3"/>
        <v>0</v>
      </c>
      <c r="G43" s="76"/>
      <c r="J43" s="73">
        <v>45969</v>
      </c>
      <c r="K43" s="77"/>
      <c r="L43" s="77"/>
      <c r="M43" s="74"/>
    </row>
    <row r="44" spans="1:13" x14ac:dyDescent="0.3">
      <c r="A44" s="773">
        <v>46307</v>
      </c>
      <c r="B44" s="767"/>
      <c r="C44" s="75"/>
      <c r="D44" s="78"/>
      <c r="E44" s="78"/>
      <c r="F44" s="72">
        <f t="shared" si="3"/>
        <v>0</v>
      </c>
      <c r="G44" s="76"/>
      <c r="J44" s="73">
        <v>45970</v>
      </c>
      <c r="K44" s="77"/>
      <c r="L44" s="77"/>
      <c r="M44" s="74"/>
    </row>
    <row r="45" spans="1:13" x14ac:dyDescent="0.3">
      <c r="A45" s="773">
        <v>46308</v>
      </c>
      <c r="B45" s="767"/>
      <c r="C45" s="75"/>
      <c r="D45" s="78"/>
      <c r="E45" s="78"/>
      <c r="F45" s="72">
        <f>(E45-D45)*1440</f>
        <v>0</v>
      </c>
      <c r="G45" s="76"/>
      <c r="J45" s="73">
        <v>45971</v>
      </c>
      <c r="K45" s="77"/>
      <c r="L45" s="77"/>
      <c r="M45" s="74"/>
    </row>
    <row r="46" spans="1:13" x14ac:dyDescent="0.3">
      <c r="A46" s="773">
        <v>46309</v>
      </c>
      <c r="B46" s="767"/>
      <c r="C46" s="75"/>
      <c r="D46" s="78"/>
      <c r="E46" s="78"/>
      <c r="F46" s="72">
        <f t="shared" ref="F46:F62" si="5">(E46-D46)*1440</f>
        <v>0</v>
      </c>
      <c r="G46" s="76"/>
      <c r="J46" s="73">
        <v>45972</v>
      </c>
      <c r="K46" s="77"/>
      <c r="L46" s="77"/>
      <c r="M46" s="74"/>
    </row>
    <row r="47" spans="1:13" x14ac:dyDescent="0.3">
      <c r="A47" s="773">
        <v>46310</v>
      </c>
      <c r="B47" s="767"/>
      <c r="C47" s="75"/>
      <c r="D47" s="78"/>
      <c r="E47" s="78"/>
      <c r="F47" s="72">
        <f t="shared" si="5"/>
        <v>0</v>
      </c>
      <c r="G47" s="76"/>
      <c r="J47" s="73">
        <v>45973</v>
      </c>
      <c r="K47" s="77"/>
      <c r="L47" s="77"/>
      <c r="M47" s="74"/>
    </row>
    <row r="48" spans="1:13" x14ac:dyDescent="0.3">
      <c r="A48" s="773">
        <v>46311</v>
      </c>
      <c r="B48" s="767"/>
      <c r="C48" s="75"/>
      <c r="D48" s="78"/>
      <c r="E48" s="78"/>
      <c r="F48" s="72">
        <f t="shared" si="5"/>
        <v>0</v>
      </c>
      <c r="G48" s="76"/>
      <c r="J48" s="73">
        <v>45974</v>
      </c>
      <c r="K48" s="77"/>
      <c r="L48" s="77"/>
      <c r="M48" s="74"/>
    </row>
    <row r="49" spans="1:18" x14ac:dyDescent="0.3">
      <c r="A49" s="773">
        <v>46312</v>
      </c>
      <c r="B49" s="767"/>
      <c r="C49" s="75"/>
      <c r="D49" s="78"/>
      <c r="E49" s="78"/>
      <c r="F49" s="72">
        <f t="shared" si="5"/>
        <v>0</v>
      </c>
      <c r="G49" s="76"/>
      <c r="J49" s="73">
        <v>45975</v>
      </c>
      <c r="K49" s="77"/>
      <c r="L49" s="77"/>
      <c r="M49" s="74"/>
      <c r="R49" s="1">
        <f>8*24</f>
        <v>192</v>
      </c>
    </row>
    <row r="50" spans="1:18" x14ac:dyDescent="0.3">
      <c r="A50" s="773">
        <v>46313</v>
      </c>
      <c r="B50" s="767"/>
      <c r="C50" s="75"/>
      <c r="D50" s="78"/>
      <c r="E50" s="78"/>
      <c r="F50" s="72">
        <f t="shared" si="5"/>
        <v>0</v>
      </c>
      <c r="G50" s="76"/>
      <c r="J50" s="73">
        <v>45976</v>
      </c>
      <c r="K50" s="77"/>
      <c r="L50" s="77"/>
      <c r="M50" s="74"/>
    </row>
    <row r="51" spans="1:18" x14ac:dyDescent="0.3">
      <c r="A51" s="773">
        <v>46314</v>
      </c>
      <c r="B51" s="767"/>
      <c r="C51" s="75"/>
      <c r="D51" s="78"/>
      <c r="E51" s="78"/>
      <c r="F51" s="72">
        <f t="shared" si="5"/>
        <v>0</v>
      </c>
      <c r="G51" s="76"/>
      <c r="J51" s="73">
        <v>45977</v>
      </c>
      <c r="K51" s="77"/>
      <c r="L51" s="77"/>
      <c r="M51" s="74"/>
    </row>
    <row r="52" spans="1:18" x14ac:dyDescent="0.3">
      <c r="A52" s="773">
        <v>46315</v>
      </c>
      <c r="B52" s="767"/>
      <c r="C52" s="75"/>
      <c r="D52" s="78"/>
      <c r="E52" s="78"/>
      <c r="F52" s="72">
        <f t="shared" si="5"/>
        <v>0</v>
      </c>
      <c r="G52" s="76"/>
      <c r="J52" s="73">
        <v>45978</v>
      </c>
      <c r="K52" s="77"/>
      <c r="L52" s="77"/>
      <c r="M52" s="74"/>
    </row>
    <row r="53" spans="1:18" x14ac:dyDescent="0.3">
      <c r="A53" s="773">
        <v>46316</v>
      </c>
      <c r="B53" s="767"/>
      <c r="C53" s="75"/>
      <c r="D53" s="78"/>
      <c r="E53" s="78"/>
      <c r="F53" s="72">
        <f t="shared" si="5"/>
        <v>0</v>
      </c>
      <c r="G53" s="76"/>
      <c r="J53" s="73">
        <v>45979</v>
      </c>
      <c r="K53" s="77"/>
      <c r="L53" s="77"/>
      <c r="M53" s="74"/>
    </row>
    <row r="54" spans="1:18" x14ac:dyDescent="0.3">
      <c r="A54" s="773">
        <v>46317</v>
      </c>
      <c r="B54" s="767"/>
      <c r="C54" s="75"/>
      <c r="D54" s="78"/>
      <c r="E54" s="78"/>
      <c r="F54" s="72">
        <f t="shared" si="5"/>
        <v>0</v>
      </c>
      <c r="G54" s="76"/>
      <c r="J54" s="73">
        <v>45980</v>
      </c>
      <c r="K54" s="77"/>
      <c r="L54" s="77"/>
      <c r="M54" s="74"/>
    </row>
    <row r="55" spans="1:18" x14ac:dyDescent="0.3">
      <c r="A55" s="773">
        <v>46318</v>
      </c>
      <c r="B55" s="767"/>
      <c r="C55" s="75"/>
      <c r="D55" s="78"/>
      <c r="E55" s="78"/>
      <c r="F55" s="72">
        <f t="shared" si="5"/>
        <v>0</v>
      </c>
      <c r="G55" s="76"/>
      <c r="J55" s="73">
        <v>45981</v>
      </c>
      <c r="K55" s="77"/>
      <c r="L55" s="77"/>
      <c r="M55" s="74"/>
    </row>
    <row r="56" spans="1:18" x14ac:dyDescent="0.3">
      <c r="A56" s="773">
        <v>46319</v>
      </c>
      <c r="B56" s="767"/>
      <c r="C56" s="75"/>
      <c r="D56" s="78"/>
      <c r="E56" s="78"/>
      <c r="F56" s="72">
        <f t="shared" si="5"/>
        <v>0</v>
      </c>
      <c r="G56" s="76"/>
      <c r="J56" s="73">
        <v>45982</v>
      </c>
      <c r="K56" s="77"/>
      <c r="L56" s="77"/>
      <c r="M56" s="74"/>
    </row>
    <row r="57" spans="1:18" x14ac:dyDescent="0.3">
      <c r="A57" s="773">
        <v>46320</v>
      </c>
      <c r="B57" s="767"/>
      <c r="C57" s="75"/>
      <c r="D57" s="78"/>
      <c r="E57" s="78"/>
      <c r="F57" s="72">
        <f t="shared" si="5"/>
        <v>0</v>
      </c>
      <c r="G57" s="76"/>
      <c r="J57" s="18" t="s">
        <v>18</v>
      </c>
      <c r="K57" s="128">
        <f>SUM(K33:K40)</f>
        <v>0</v>
      </c>
      <c r="L57" s="138">
        <f>SUM(L33:L41)</f>
        <v>192</v>
      </c>
      <c r="M57" s="81">
        <f>L57/192</f>
        <v>1</v>
      </c>
    </row>
    <row r="58" spans="1:18" x14ac:dyDescent="0.3">
      <c r="A58" s="773">
        <v>46321</v>
      </c>
      <c r="B58" s="767"/>
      <c r="C58" s="75"/>
      <c r="D58" s="78"/>
      <c r="E58" s="78"/>
      <c r="F58" s="72">
        <f t="shared" si="5"/>
        <v>0</v>
      </c>
      <c r="G58" s="76"/>
      <c r="J58" s="48" t="s">
        <v>69</v>
      </c>
      <c r="K58" s="82">
        <f>K57/60</f>
        <v>0</v>
      </c>
      <c r="L58" s="15"/>
      <c r="M58" s="15"/>
    </row>
    <row r="59" spans="1:18" x14ac:dyDescent="0.3">
      <c r="A59" s="773">
        <v>46322</v>
      </c>
      <c r="B59" s="767"/>
      <c r="C59" s="75"/>
      <c r="D59" s="78"/>
      <c r="E59" s="78"/>
      <c r="F59" s="72">
        <f t="shared" si="5"/>
        <v>0</v>
      </c>
      <c r="G59" s="76"/>
    </row>
    <row r="60" spans="1:18" x14ac:dyDescent="0.3">
      <c r="A60" s="773">
        <v>46323</v>
      </c>
      <c r="B60" s="767"/>
      <c r="C60" s="75"/>
      <c r="D60" s="78"/>
      <c r="E60" s="78"/>
      <c r="F60" s="72">
        <f t="shared" si="5"/>
        <v>0</v>
      </c>
      <c r="G60" s="76"/>
    </row>
    <row r="61" spans="1:18" x14ac:dyDescent="0.3">
      <c r="A61" s="773">
        <v>46324</v>
      </c>
      <c r="B61" s="767"/>
      <c r="C61" s="75"/>
      <c r="D61" s="78"/>
      <c r="E61" s="78"/>
      <c r="F61" s="72">
        <f t="shared" si="5"/>
        <v>0</v>
      </c>
      <c r="G61" s="76"/>
    </row>
    <row r="62" spans="1:18" x14ac:dyDescent="0.3">
      <c r="A62" s="773">
        <v>46325</v>
      </c>
      <c r="B62" s="767"/>
      <c r="C62" s="75"/>
      <c r="D62" s="78"/>
      <c r="E62" s="78"/>
      <c r="F62" s="72">
        <f t="shared" si="5"/>
        <v>0</v>
      </c>
      <c r="G62" s="76"/>
    </row>
  </sheetData>
  <mergeCells count="60"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topLeftCell="F1" zoomScale="63" workbookViewId="0">
      <selection activeCell="M8" sqref="M8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5" customWidth="1"/>
    <col min="7" max="7" width="9.77734375" style="15" bestFit="1" customWidth="1"/>
    <col min="8" max="8" width="10.6640625" style="15" bestFit="1" customWidth="1"/>
    <col min="9" max="9" width="12.33203125" style="1" customWidth="1"/>
    <col min="10" max="10" width="16.44140625" style="15" customWidth="1"/>
    <col min="11" max="11" width="18.109375" style="1" bestFit="1" customWidth="1"/>
    <col min="12" max="12" width="21.21875" style="1" bestFit="1" customWidth="1"/>
    <col min="13" max="13" width="65.109375" style="566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16" t="s">
        <v>71</v>
      </c>
      <c r="C4" s="116" t="s">
        <v>243</v>
      </c>
      <c r="D4" s="116" t="s">
        <v>55</v>
      </c>
      <c r="E4" s="116" t="s">
        <v>134</v>
      </c>
      <c r="F4" s="116" t="s">
        <v>135</v>
      </c>
      <c r="G4" s="116" t="s">
        <v>136</v>
      </c>
      <c r="H4" s="116" t="s">
        <v>137</v>
      </c>
      <c r="I4" s="116" t="s">
        <v>138</v>
      </c>
      <c r="J4" s="116" t="s">
        <v>139</v>
      </c>
      <c r="K4" s="116" t="s">
        <v>142</v>
      </c>
      <c r="L4" s="116" t="s">
        <v>316</v>
      </c>
      <c r="M4" s="116" t="s">
        <v>140</v>
      </c>
      <c r="Q4" s="774" t="s">
        <v>486</v>
      </c>
      <c r="R4" s="775"/>
      <c r="S4" s="775"/>
      <c r="T4" s="776"/>
    </row>
    <row r="5" spans="2:21" ht="15" thickBot="1" x14ac:dyDescent="0.35">
      <c r="B5" s="16">
        <v>1</v>
      </c>
      <c r="C5" s="16">
        <v>1</v>
      </c>
      <c r="D5" s="16">
        <v>2</v>
      </c>
      <c r="E5" s="16" t="s">
        <v>141</v>
      </c>
      <c r="F5" s="84">
        <v>46266</v>
      </c>
      <c r="G5" s="115">
        <v>6.9444444444444447E-4</v>
      </c>
      <c r="H5" s="115">
        <v>4.2361111111111113E-2</v>
      </c>
      <c r="I5" s="84"/>
      <c r="J5" s="273">
        <f>(H5-G5)*1440</f>
        <v>60.000000000000007</v>
      </c>
      <c r="K5" s="16" t="s">
        <v>143</v>
      </c>
      <c r="L5" s="269">
        <f>J5/60</f>
        <v>1.0000000000000002</v>
      </c>
      <c r="M5" s="546" t="s">
        <v>482</v>
      </c>
      <c r="Q5" s="777"/>
      <c r="R5" s="778"/>
      <c r="S5" s="778"/>
      <c r="T5" s="779"/>
    </row>
    <row r="6" spans="2:21" x14ac:dyDescent="0.3">
      <c r="B6" s="16">
        <v>2</v>
      </c>
      <c r="C6" s="16">
        <v>1</v>
      </c>
      <c r="D6" s="16">
        <v>2</v>
      </c>
      <c r="E6" s="16" t="s">
        <v>141</v>
      </c>
      <c r="F6" s="84">
        <v>46267</v>
      </c>
      <c r="G6" s="115">
        <v>6.9444444444444447E-4</v>
      </c>
      <c r="H6" s="115">
        <v>0.99930555555555556</v>
      </c>
      <c r="I6" s="73"/>
      <c r="J6" s="273">
        <f>(H6-G6)*1440</f>
        <v>1438</v>
      </c>
      <c r="K6" s="16"/>
      <c r="L6" s="269">
        <f t="shared" ref="L6:L33" si="0">J6/60</f>
        <v>23.966666666666665</v>
      </c>
      <c r="M6" s="227" t="s">
        <v>483</v>
      </c>
      <c r="Q6" s="15"/>
      <c r="R6" s="15"/>
      <c r="S6" s="15"/>
      <c r="T6" s="15"/>
    </row>
    <row r="7" spans="2:21" ht="28.8" x14ac:dyDescent="0.3">
      <c r="B7" s="16">
        <v>2</v>
      </c>
      <c r="C7" s="84" t="s">
        <v>487</v>
      </c>
      <c r="D7" s="16" t="s">
        <v>485</v>
      </c>
      <c r="E7" s="16" t="s">
        <v>141</v>
      </c>
      <c r="F7" s="84">
        <v>46268</v>
      </c>
      <c r="G7" s="115">
        <v>6.9444444444444447E-4</v>
      </c>
      <c r="H7" s="115">
        <v>0.99930555555555556</v>
      </c>
      <c r="I7" s="73"/>
      <c r="J7" s="273">
        <f t="shared" ref="J7:J33" si="1">(H7-G7)*1440</f>
        <v>1438</v>
      </c>
      <c r="K7" s="50"/>
      <c r="L7" s="269">
        <f t="shared" si="0"/>
        <v>23.966666666666665</v>
      </c>
      <c r="M7" s="546" t="s">
        <v>488</v>
      </c>
      <c r="N7" s="153"/>
      <c r="Q7" s="121" t="s">
        <v>148</v>
      </c>
      <c r="R7" s="120" t="s">
        <v>139</v>
      </c>
      <c r="S7" s="120" t="s">
        <v>147</v>
      </c>
      <c r="T7" s="120" t="s">
        <v>149</v>
      </c>
      <c r="U7" s="120" t="s">
        <v>150</v>
      </c>
    </row>
    <row r="8" spans="2:21" ht="37.200000000000003" customHeight="1" x14ac:dyDescent="0.3">
      <c r="B8" s="16">
        <v>3</v>
      </c>
      <c r="C8" s="84" t="s">
        <v>487</v>
      </c>
      <c r="D8" s="16">
        <v>2</v>
      </c>
      <c r="E8" s="16" t="s">
        <v>141</v>
      </c>
      <c r="F8" s="84">
        <v>46269</v>
      </c>
      <c r="G8" s="115">
        <v>6.9444444444444447E-4</v>
      </c>
      <c r="H8" s="115">
        <v>0.95833333333333337</v>
      </c>
      <c r="I8" s="73"/>
      <c r="J8" s="273">
        <f t="shared" si="1"/>
        <v>1379</v>
      </c>
      <c r="K8" s="16"/>
      <c r="L8" s="269">
        <f t="shared" si="0"/>
        <v>22.983333333333334</v>
      </c>
      <c r="M8" s="546" t="s">
        <v>514</v>
      </c>
      <c r="Q8" s="6" t="s">
        <v>141</v>
      </c>
      <c r="R8" s="16">
        <f>SUMIFS(J5:J27,E5:E27,"Normal Operation")</f>
        <v>4315</v>
      </c>
      <c r="S8" s="50">
        <f>R8/60</f>
        <v>71.916666666666671</v>
      </c>
      <c r="T8" s="50">
        <f>S8/24</f>
        <v>2.9965277777777781</v>
      </c>
      <c r="U8" s="49">
        <f>S8/S11</f>
        <v>0.98628571428571432</v>
      </c>
    </row>
    <row r="9" spans="2:21" x14ac:dyDescent="0.3">
      <c r="B9" s="16">
        <v>4</v>
      </c>
      <c r="C9" s="16">
        <v>2</v>
      </c>
      <c r="D9" s="16">
        <v>2</v>
      </c>
      <c r="E9" s="16" t="s">
        <v>515</v>
      </c>
      <c r="F9" s="84">
        <v>46269</v>
      </c>
      <c r="G9" s="115">
        <v>6.9444444444444447E-4</v>
      </c>
      <c r="H9" s="122">
        <v>4.2361111111111113E-2</v>
      </c>
      <c r="I9" s="6"/>
      <c r="J9" s="273">
        <f t="shared" si="1"/>
        <v>60.000000000000007</v>
      </c>
      <c r="K9" s="16"/>
      <c r="L9" s="269">
        <f t="shared" si="0"/>
        <v>1.0000000000000002</v>
      </c>
      <c r="M9" s="227" t="s">
        <v>516</v>
      </c>
      <c r="Q9" s="6" t="s">
        <v>144</v>
      </c>
      <c r="R9" s="16">
        <f>SUMIFS(J5:J27,E5:E27,"Downtime Planed")</f>
        <v>0</v>
      </c>
      <c r="S9" s="16">
        <f t="shared" ref="S9" si="2">R9/60</f>
        <v>0</v>
      </c>
      <c r="T9" s="50">
        <f t="shared" ref="T9" si="3">S9/24</f>
        <v>0</v>
      </c>
      <c r="U9" s="16"/>
    </row>
    <row r="10" spans="2:21" x14ac:dyDescent="0.3">
      <c r="B10" s="16">
        <v>5</v>
      </c>
      <c r="C10" s="84"/>
      <c r="D10" s="16">
        <v>3</v>
      </c>
      <c r="E10" s="16"/>
      <c r="F10" s="270"/>
      <c r="G10" s="115"/>
      <c r="H10" s="115"/>
      <c r="I10" s="6"/>
      <c r="J10" s="273">
        <f t="shared" si="1"/>
        <v>0</v>
      </c>
      <c r="K10" s="16"/>
      <c r="L10" s="269">
        <f t="shared" si="0"/>
        <v>0</v>
      </c>
      <c r="M10" s="227"/>
      <c r="Q10" s="6" t="s">
        <v>146</v>
      </c>
      <c r="R10" s="16">
        <f>SUMIFS(J5:J33,E5:E33,"Unplaned Downtime")</f>
        <v>60.000000000000007</v>
      </c>
      <c r="S10" s="50">
        <f>R10/60</f>
        <v>1.0000000000000002</v>
      </c>
      <c r="T10" s="50">
        <f>S10/24</f>
        <v>4.1666666666666678E-2</v>
      </c>
      <c r="U10" s="16"/>
    </row>
    <row r="11" spans="2:21" x14ac:dyDescent="0.3">
      <c r="B11" s="16">
        <v>6</v>
      </c>
      <c r="C11" s="84"/>
      <c r="D11" s="16">
        <v>3</v>
      </c>
      <c r="E11" s="16"/>
      <c r="F11" s="270"/>
      <c r="G11" s="115"/>
      <c r="H11" s="115"/>
      <c r="I11" s="6"/>
      <c r="J11" s="273">
        <f t="shared" si="1"/>
        <v>0</v>
      </c>
      <c r="K11" s="16"/>
      <c r="L11" s="269">
        <f t="shared" si="0"/>
        <v>0</v>
      </c>
      <c r="M11" s="227"/>
      <c r="Q11" s="227" t="s">
        <v>317</v>
      </c>
      <c r="R11" s="16"/>
      <c r="S11" s="50">
        <f>SUM(S8:S10)</f>
        <v>72.916666666666671</v>
      </c>
      <c r="T11" s="50">
        <f>S11/24</f>
        <v>3.0381944444444446</v>
      </c>
      <c r="U11" s="16"/>
    </row>
    <row r="12" spans="2:21" x14ac:dyDescent="0.3">
      <c r="B12" s="16">
        <v>7</v>
      </c>
      <c r="C12" s="84"/>
      <c r="D12" s="16">
        <v>3</v>
      </c>
      <c r="E12" s="16"/>
      <c r="F12" s="270"/>
      <c r="G12" s="115"/>
      <c r="H12" s="115"/>
      <c r="I12" s="6"/>
      <c r="J12" s="273">
        <f t="shared" si="1"/>
        <v>0</v>
      </c>
      <c r="K12" s="16"/>
      <c r="L12" s="269">
        <f t="shared" si="0"/>
        <v>0</v>
      </c>
      <c r="M12" s="227"/>
    </row>
    <row r="13" spans="2:21" x14ac:dyDescent="0.3">
      <c r="B13" s="16">
        <v>8</v>
      </c>
      <c r="C13" s="84"/>
      <c r="D13" s="16">
        <v>2</v>
      </c>
      <c r="E13" s="16"/>
      <c r="F13" s="84"/>
      <c r="G13" s="115"/>
      <c r="H13" s="115"/>
      <c r="I13" s="6"/>
      <c r="J13" s="273">
        <f t="shared" si="1"/>
        <v>0</v>
      </c>
      <c r="K13" s="16"/>
      <c r="L13" s="269">
        <f t="shared" si="0"/>
        <v>0</v>
      </c>
      <c r="M13" s="227"/>
    </row>
    <row r="14" spans="2:21" x14ac:dyDescent="0.3">
      <c r="B14" s="16">
        <v>10</v>
      </c>
      <c r="C14" s="84"/>
      <c r="D14" s="16">
        <v>2</v>
      </c>
      <c r="E14" s="16"/>
      <c r="F14" s="84"/>
      <c r="G14" s="115"/>
      <c r="H14" s="115"/>
      <c r="I14" s="6"/>
      <c r="J14" s="273">
        <f t="shared" si="1"/>
        <v>0</v>
      </c>
      <c r="K14" s="16"/>
      <c r="L14" s="269">
        <f t="shared" si="0"/>
        <v>0</v>
      </c>
      <c r="M14" s="227"/>
    </row>
    <row r="15" spans="2:21" x14ac:dyDescent="0.3">
      <c r="B15" s="16">
        <v>11</v>
      </c>
      <c r="C15" s="84"/>
      <c r="D15" s="16">
        <v>2</v>
      </c>
      <c r="E15" s="16"/>
      <c r="F15" s="84"/>
      <c r="G15" s="115"/>
      <c r="H15" s="115"/>
      <c r="I15" s="6"/>
      <c r="J15" s="273">
        <f t="shared" si="1"/>
        <v>0</v>
      </c>
      <c r="K15" s="16"/>
      <c r="L15" s="269">
        <f t="shared" si="0"/>
        <v>0</v>
      </c>
      <c r="M15" s="227"/>
    </row>
    <row r="16" spans="2:21" x14ac:dyDescent="0.3">
      <c r="B16" s="16">
        <v>12</v>
      </c>
      <c r="C16" s="84"/>
      <c r="D16" s="16">
        <v>3</v>
      </c>
      <c r="E16" s="16"/>
      <c r="F16" s="84"/>
      <c r="G16" s="115"/>
      <c r="H16" s="115"/>
      <c r="I16" s="6"/>
      <c r="J16" s="273">
        <f t="shared" si="1"/>
        <v>0</v>
      </c>
      <c r="K16" s="16"/>
      <c r="L16" s="269">
        <f t="shared" si="0"/>
        <v>0</v>
      </c>
      <c r="M16" s="227"/>
    </row>
    <row r="17" spans="2:17" x14ac:dyDescent="0.3">
      <c r="B17" s="16">
        <v>13</v>
      </c>
      <c r="C17" s="84"/>
      <c r="D17" s="16">
        <v>3</v>
      </c>
      <c r="E17" s="16"/>
      <c r="F17" s="115"/>
      <c r="G17" s="115"/>
      <c r="H17" s="115"/>
      <c r="I17" s="6"/>
      <c r="J17" s="273">
        <f t="shared" si="1"/>
        <v>0</v>
      </c>
      <c r="K17" s="16"/>
      <c r="L17" s="269">
        <f t="shared" si="0"/>
        <v>0</v>
      </c>
      <c r="M17" s="227"/>
    </row>
    <row r="18" spans="2:17" x14ac:dyDescent="0.3">
      <c r="B18" s="16">
        <v>14</v>
      </c>
      <c r="C18" s="84"/>
      <c r="D18" s="16">
        <v>3</v>
      </c>
      <c r="E18" s="16"/>
      <c r="F18" s="84"/>
      <c r="G18" s="115"/>
      <c r="H18" s="115"/>
      <c r="I18" s="6"/>
      <c r="J18" s="273">
        <f t="shared" si="1"/>
        <v>0</v>
      </c>
      <c r="K18" s="16"/>
      <c r="L18" s="269">
        <f t="shared" si="0"/>
        <v>0</v>
      </c>
      <c r="M18" s="227"/>
    </row>
    <row r="19" spans="2:17" s="15" customFormat="1" x14ac:dyDescent="0.3">
      <c r="B19" s="16">
        <v>15</v>
      </c>
      <c r="C19" s="84"/>
      <c r="D19" s="16">
        <v>3</v>
      </c>
      <c r="E19" s="16"/>
      <c r="F19" s="270"/>
      <c r="G19" s="115"/>
      <c r="H19" s="115"/>
      <c r="I19" s="16"/>
      <c r="J19" s="273">
        <f t="shared" si="1"/>
        <v>0</v>
      </c>
      <c r="K19" s="16"/>
      <c r="L19" s="269">
        <f t="shared" si="0"/>
        <v>0</v>
      </c>
      <c r="M19" s="227"/>
      <c r="Q19" s="54"/>
    </row>
    <row r="20" spans="2:17" x14ac:dyDescent="0.3">
      <c r="B20" s="16">
        <v>16</v>
      </c>
      <c r="C20" s="84"/>
      <c r="D20" s="16">
        <v>3</v>
      </c>
      <c r="E20" s="16"/>
      <c r="F20" s="84"/>
      <c r="G20" s="115"/>
      <c r="H20" s="115"/>
      <c r="I20" s="16"/>
      <c r="J20" s="273">
        <f t="shared" si="1"/>
        <v>0</v>
      </c>
      <c r="K20" s="16"/>
      <c r="L20" s="269">
        <f t="shared" si="0"/>
        <v>0</v>
      </c>
      <c r="M20" s="227"/>
      <c r="Q20" s="13"/>
    </row>
    <row r="21" spans="2:17" x14ac:dyDescent="0.3">
      <c r="B21" s="16">
        <v>18</v>
      </c>
      <c r="C21" s="84"/>
      <c r="D21" s="16">
        <v>2</v>
      </c>
      <c r="E21" s="16"/>
      <c r="F21" s="84"/>
      <c r="G21" s="115"/>
      <c r="H21" s="115"/>
      <c r="I21" s="6"/>
      <c r="J21" s="273">
        <f t="shared" si="1"/>
        <v>0</v>
      </c>
      <c r="K21" s="16"/>
      <c r="L21" s="269">
        <f t="shared" si="0"/>
        <v>0</v>
      </c>
      <c r="M21" s="227"/>
    </row>
    <row r="22" spans="2:17" x14ac:dyDescent="0.3">
      <c r="B22" s="16">
        <v>19</v>
      </c>
      <c r="C22" s="84"/>
      <c r="D22" s="16">
        <v>3</v>
      </c>
      <c r="E22" s="16"/>
      <c r="F22" s="84"/>
      <c r="G22" s="115"/>
      <c r="H22" s="115"/>
      <c r="I22" s="6"/>
      <c r="J22" s="273">
        <f t="shared" si="1"/>
        <v>0</v>
      </c>
      <c r="K22" s="16"/>
      <c r="L22" s="269">
        <f t="shared" si="0"/>
        <v>0</v>
      </c>
      <c r="M22" s="227"/>
    </row>
    <row r="23" spans="2:17" x14ac:dyDescent="0.3">
      <c r="B23" s="16">
        <v>20</v>
      </c>
      <c r="C23" s="84"/>
      <c r="D23" s="16">
        <v>3</v>
      </c>
      <c r="E23" s="16"/>
      <c r="F23" s="84"/>
      <c r="G23" s="115"/>
      <c r="H23" s="115"/>
      <c r="I23" s="6"/>
      <c r="J23" s="273">
        <f t="shared" si="1"/>
        <v>0</v>
      </c>
      <c r="K23" s="16"/>
      <c r="L23" s="269">
        <f t="shared" si="0"/>
        <v>0</v>
      </c>
      <c r="M23" s="227"/>
    </row>
    <row r="24" spans="2:17" x14ac:dyDescent="0.3">
      <c r="B24" s="16">
        <v>21</v>
      </c>
      <c r="C24" s="84"/>
      <c r="D24" s="6">
        <v>3</v>
      </c>
      <c r="E24" s="6"/>
      <c r="F24" s="84"/>
      <c r="G24" s="115"/>
      <c r="H24" s="115"/>
      <c r="I24" s="6"/>
      <c r="J24" s="273">
        <f t="shared" si="1"/>
        <v>0</v>
      </c>
      <c r="K24" s="6"/>
      <c r="L24" s="269">
        <f t="shared" si="0"/>
        <v>0</v>
      </c>
      <c r="M24" s="227"/>
    </row>
    <row r="25" spans="2:17" x14ac:dyDescent="0.3">
      <c r="B25" s="16">
        <v>22</v>
      </c>
      <c r="C25" s="84"/>
      <c r="D25" s="6"/>
      <c r="E25" s="6"/>
      <c r="F25" s="16"/>
      <c r="G25" s="16"/>
      <c r="H25" s="16"/>
      <c r="I25" s="6"/>
      <c r="J25" s="273">
        <f t="shared" si="1"/>
        <v>0</v>
      </c>
      <c r="K25" s="6"/>
      <c r="L25" s="269">
        <f t="shared" si="0"/>
        <v>0</v>
      </c>
      <c r="M25" s="227"/>
    </row>
    <row r="26" spans="2:17" x14ac:dyDescent="0.3">
      <c r="B26" s="16">
        <v>23</v>
      </c>
      <c r="C26" s="84"/>
      <c r="D26" s="6"/>
      <c r="E26" s="6"/>
      <c r="F26" s="16"/>
      <c r="G26" s="16"/>
      <c r="H26" s="16"/>
      <c r="I26" s="6"/>
      <c r="J26" s="273">
        <f t="shared" si="1"/>
        <v>0</v>
      </c>
      <c r="K26" s="6"/>
      <c r="L26" s="269">
        <f t="shared" si="0"/>
        <v>0</v>
      </c>
      <c r="M26" s="227"/>
    </row>
    <row r="27" spans="2:17" x14ac:dyDescent="0.3">
      <c r="B27" s="16">
        <v>24</v>
      </c>
      <c r="C27" s="84"/>
      <c r="D27" s="6"/>
      <c r="E27" s="6"/>
      <c r="F27" s="16"/>
      <c r="G27" s="16"/>
      <c r="H27" s="16"/>
      <c r="I27" s="6"/>
      <c r="J27" s="273">
        <f t="shared" si="1"/>
        <v>0</v>
      </c>
      <c r="K27" s="6"/>
      <c r="L27" s="269">
        <f t="shared" si="0"/>
        <v>0</v>
      </c>
      <c r="M27" s="227"/>
    </row>
    <row r="28" spans="2:17" x14ac:dyDescent="0.3">
      <c r="B28" s="16">
        <v>25</v>
      </c>
      <c r="C28" s="84"/>
      <c r="D28" s="6"/>
      <c r="E28" s="6"/>
      <c r="F28" s="16"/>
      <c r="G28" s="16"/>
      <c r="H28" s="16"/>
      <c r="I28" s="6"/>
      <c r="J28" s="273">
        <f t="shared" si="1"/>
        <v>0</v>
      </c>
      <c r="K28" s="6"/>
      <c r="L28" s="269">
        <f t="shared" si="0"/>
        <v>0</v>
      </c>
      <c r="M28" s="227"/>
    </row>
    <row r="29" spans="2:17" x14ac:dyDescent="0.3">
      <c r="B29" s="16">
        <v>26</v>
      </c>
      <c r="C29" s="84"/>
      <c r="D29" s="6"/>
      <c r="E29" s="6"/>
      <c r="F29" s="16"/>
      <c r="G29" s="16"/>
      <c r="H29" s="16"/>
      <c r="I29" s="6"/>
      <c r="J29" s="273">
        <f t="shared" si="1"/>
        <v>0</v>
      </c>
      <c r="K29" s="6"/>
      <c r="L29" s="269">
        <f t="shared" si="0"/>
        <v>0</v>
      </c>
      <c r="M29" s="227"/>
    </row>
    <row r="30" spans="2:17" x14ac:dyDescent="0.3">
      <c r="B30" s="16">
        <v>27</v>
      </c>
      <c r="C30" s="84"/>
      <c r="D30" s="6"/>
      <c r="E30" s="6"/>
      <c r="F30" s="16"/>
      <c r="G30" s="16"/>
      <c r="H30" s="16"/>
      <c r="I30" s="6"/>
      <c r="J30" s="273">
        <f t="shared" si="1"/>
        <v>0</v>
      </c>
      <c r="K30" s="6"/>
      <c r="L30" s="269">
        <f t="shared" si="0"/>
        <v>0</v>
      </c>
      <c r="M30" s="227"/>
    </row>
    <row r="31" spans="2:17" x14ac:dyDescent="0.3">
      <c r="B31" s="16">
        <v>28</v>
      </c>
      <c r="C31" s="84"/>
      <c r="D31" s="6"/>
      <c r="E31" s="6"/>
      <c r="F31" s="16"/>
      <c r="G31" s="16"/>
      <c r="H31" s="16"/>
      <c r="I31" s="6"/>
      <c r="J31" s="273">
        <f t="shared" si="1"/>
        <v>0</v>
      </c>
      <c r="K31" s="6"/>
      <c r="L31" s="269">
        <f t="shared" si="0"/>
        <v>0</v>
      </c>
      <c r="M31" s="227"/>
    </row>
    <row r="32" spans="2:17" x14ac:dyDescent="0.3">
      <c r="B32" s="16">
        <v>29</v>
      </c>
      <c r="C32" s="84"/>
      <c r="D32" s="6"/>
      <c r="E32" s="6"/>
      <c r="F32" s="16"/>
      <c r="G32" s="16"/>
      <c r="H32" s="16"/>
      <c r="I32" s="6"/>
      <c r="J32" s="273">
        <f t="shared" si="1"/>
        <v>0</v>
      </c>
      <c r="K32" s="6"/>
      <c r="L32" s="269">
        <f t="shared" si="0"/>
        <v>0</v>
      </c>
      <c r="M32" s="227"/>
    </row>
    <row r="33" spans="2:13" x14ac:dyDescent="0.3">
      <c r="B33" s="16">
        <v>30</v>
      </c>
      <c r="C33" s="84"/>
      <c r="D33" s="6"/>
      <c r="E33" s="6"/>
      <c r="F33" s="16"/>
      <c r="G33" s="16"/>
      <c r="H33" s="16"/>
      <c r="I33" s="6"/>
      <c r="J33" s="273">
        <f t="shared" si="1"/>
        <v>0</v>
      </c>
      <c r="K33" s="6"/>
      <c r="L33" s="269">
        <f t="shared" si="0"/>
        <v>0</v>
      </c>
      <c r="M33" s="227"/>
    </row>
  </sheetData>
  <mergeCells count="1">
    <mergeCell ref="Q4:T5"/>
  </mergeCells>
  <phoneticPr fontId="52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61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5"/>
      <c r="H2" s="1"/>
      <c r="I2" s="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803" t="s">
        <v>1</v>
      </c>
      <c r="B4" s="806" t="s">
        <v>51</v>
      </c>
      <c r="C4" s="806"/>
      <c r="D4" s="806"/>
      <c r="E4" s="806"/>
      <c r="F4" s="112"/>
      <c r="G4" s="65"/>
      <c r="H4" s="65"/>
      <c r="I4" s="117"/>
      <c r="J4" s="117"/>
      <c r="K4" s="117"/>
      <c r="L4" s="816" t="s">
        <v>240</v>
      </c>
      <c r="M4" s="817"/>
      <c r="N4" s="818"/>
      <c r="O4" s="816" t="s">
        <v>236</v>
      </c>
      <c r="P4" s="817"/>
      <c r="Q4" s="818"/>
      <c r="R4" s="816" t="s">
        <v>237</v>
      </c>
      <c r="S4" s="817"/>
      <c r="T4" s="818"/>
      <c r="U4" s="816" t="s">
        <v>238</v>
      </c>
      <c r="V4" s="817"/>
      <c r="W4" s="818"/>
      <c r="X4" s="816" t="s">
        <v>239</v>
      </c>
      <c r="Y4" s="817"/>
      <c r="Z4" s="818"/>
      <c r="AA4" s="816" t="s">
        <v>52</v>
      </c>
      <c r="AB4" s="817"/>
      <c r="AC4" s="818"/>
      <c r="AD4" s="816" t="s">
        <v>53</v>
      </c>
      <c r="AE4" s="817"/>
      <c r="AF4" s="818"/>
      <c r="AG4" s="819">
        <v>0.83333333333333337</v>
      </c>
      <c r="AH4" s="817"/>
      <c r="AI4" s="818"/>
      <c r="AJ4" s="819">
        <v>0.91666666666666663</v>
      </c>
      <c r="AK4" s="820"/>
      <c r="AL4" s="821"/>
      <c r="AM4" s="822">
        <v>0</v>
      </c>
      <c r="AN4" s="823"/>
      <c r="AO4" s="824"/>
      <c r="AP4" s="819">
        <v>8.3333333333333329E-2</v>
      </c>
      <c r="AQ4" s="820"/>
      <c r="AR4" s="821"/>
      <c r="AS4" s="819">
        <v>0.16666666666666666</v>
      </c>
      <c r="AT4" s="820"/>
      <c r="AU4" s="821"/>
      <c r="AV4" s="70" t="s">
        <v>54</v>
      </c>
      <c r="AW4" s="55"/>
    </row>
    <row r="5" spans="1:49" x14ac:dyDescent="0.3">
      <c r="A5" s="803"/>
      <c r="B5" s="67" t="s">
        <v>59</v>
      </c>
      <c r="C5" s="67" t="s">
        <v>60</v>
      </c>
      <c r="D5" s="68" t="s">
        <v>129</v>
      </c>
      <c r="E5" s="68" t="s">
        <v>130</v>
      </c>
      <c r="F5" s="113" t="s">
        <v>131</v>
      </c>
      <c r="G5" s="66" t="s">
        <v>55</v>
      </c>
      <c r="H5" s="65" t="s">
        <v>227</v>
      </c>
      <c r="I5" s="65" t="s">
        <v>145</v>
      </c>
      <c r="J5" s="65" t="s">
        <v>225</v>
      </c>
      <c r="K5" s="65" t="s">
        <v>233</v>
      </c>
      <c r="L5" s="69" t="s">
        <v>56</v>
      </c>
      <c r="M5" s="69" t="s">
        <v>34</v>
      </c>
      <c r="N5" s="69" t="s">
        <v>226</v>
      </c>
      <c r="O5" s="69" t="s">
        <v>56</v>
      </c>
      <c r="P5" s="69" t="s">
        <v>34</v>
      </c>
      <c r="Q5" s="69" t="s">
        <v>226</v>
      </c>
      <c r="R5" s="69" t="s">
        <v>56</v>
      </c>
      <c r="S5" s="69" t="s">
        <v>34</v>
      </c>
      <c r="T5" s="69" t="s">
        <v>226</v>
      </c>
      <c r="U5" s="69" t="s">
        <v>56</v>
      </c>
      <c r="V5" s="69" t="s">
        <v>34</v>
      </c>
      <c r="W5" s="69" t="s">
        <v>226</v>
      </c>
      <c r="X5" s="69" t="s">
        <v>56</v>
      </c>
      <c r="Y5" s="69" t="s">
        <v>34</v>
      </c>
      <c r="Z5" s="69" t="s">
        <v>226</v>
      </c>
      <c r="AA5" s="69" t="s">
        <v>56</v>
      </c>
      <c r="AB5" s="69" t="s">
        <v>34</v>
      </c>
      <c r="AC5" s="69" t="s">
        <v>226</v>
      </c>
      <c r="AD5" s="69" t="s">
        <v>56</v>
      </c>
      <c r="AE5" s="69" t="s">
        <v>34</v>
      </c>
      <c r="AF5" s="69" t="s">
        <v>226</v>
      </c>
      <c r="AG5" s="69" t="s">
        <v>56</v>
      </c>
      <c r="AH5" s="69" t="s">
        <v>34</v>
      </c>
      <c r="AI5" s="69" t="s">
        <v>226</v>
      </c>
      <c r="AJ5" s="69" t="s">
        <v>56</v>
      </c>
      <c r="AK5" s="69" t="s">
        <v>34</v>
      </c>
      <c r="AL5" s="69" t="s">
        <v>226</v>
      </c>
      <c r="AM5" s="69" t="s">
        <v>56</v>
      </c>
      <c r="AN5" s="69" t="s">
        <v>34</v>
      </c>
      <c r="AO5" s="69" t="s">
        <v>226</v>
      </c>
      <c r="AP5" s="69" t="s">
        <v>56</v>
      </c>
      <c r="AQ5" s="69" t="s">
        <v>34</v>
      </c>
      <c r="AR5" s="69" t="s">
        <v>226</v>
      </c>
      <c r="AS5" s="69" t="s">
        <v>56</v>
      </c>
      <c r="AT5" s="69" t="s">
        <v>34</v>
      </c>
      <c r="AU5" s="69" t="s">
        <v>226</v>
      </c>
      <c r="AV5" s="56" t="s">
        <v>57</v>
      </c>
      <c r="AW5" s="56" t="s">
        <v>58</v>
      </c>
    </row>
    <row r="6" spans="1:49" x14ac:dyDescent="0.3">
      <c r="A6" s="801">
        <v>46147</v>
      </c>
      <c r="B6" s="804"/>
      <c r="C6" s="60" t="s">
        <v>170</v>
      </c>
      <c r="D6" s="60" t="s">
        <v>133</v>
      </c>
      <c r="E6" s="114"/>
      <c r="F6" s="111" t="s">
        <v>228</v>
      </c>
      <c r="G6" s="57">
        <v>1</v>
      </c>
      <c r="H6" s="192"/>
      <c r="I6" s="58"/>
      <c r="J6" s="58"/>
      <c r="K6" s="58"/>
      <c r="L6" s="58"/>
      <c r="M6" s="58"/>
      <c r="N6" s="58"/>
      <c r="O6" s="58"/>
      <c r="P6" s="191"/>
      <c r="Q6" s="191"/>
      <c r="R6" s="58"/>
      <c r="S6" s="58"/>
      <c r="T6" s="58"/>
      <c r="U6" s="58"/>
      <c r="V6" s="58"/>
      <c r="W6" s="58"/>
      <c r="X6" s="58"/>
      <c r="Y6" s="191"/>
      <c r="Z6" s="191"/>
      <c r="AA6" s="58">
        <v>11</v>
      </c>
      <c r="AB6" s="191">
        <v>0.38</v>
      </c>
      <c r="AC6" s="58">
        <v>200</v>
      </c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780" t="s">
        <v>232</v>
      </c>
      <c r="AW6" s="781"/>
    </row>
    <row r="7" spans="1:49" x14ac:dyDescent="0.3">
      <c r="A7" s="801"/>
      <c r="B7" s="805"/>
      <c r="C7" s="60"/>
      <c r="D7" s="60"/>
      <c r="E7" s="6"/>
      <c r="F7" s="6"/>
      <c r="G7" s="57">
        <v>2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780"/>
      <c r="AW7" s="782"/>
    </row>
    <row r="8" spans="1:49" x14ac:dyDescent="0.3">
      <c r="A8" s="801"/>
      <c r="B8" s="805"/>
      <c r="C8" s="60"/>
      <c r="D8" s="60"/>
      <c r="E8" s="6"/>
      <c r="F8" s="6"/>
      <c r="G8" s="57">
        <v>3</v>
      </c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780"/>
      <c r="AW8" s="782"/>
    </row>
    <row r="9" spans="1:49" ht="15" thickBot="1" x14ac:dyDescent="0.35">
      <c r="A9" s="804"/>
      <c r="B9" s="805"/>
      <c r="C9" s="196"/>
      <c r="D9" s="196"/>
      <c r="E9" s="197"/>
      <c r="F9" s="197"/>
      <c r="G9" s="198">
        <v>4</v>
      </c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781"/>
      <c r="AW9" s="783"/>
    </row>
    <row r="10" spans="1:49" x14ac:dyDescent="0.3">
      <c r="A10" s="807">
        <v>46148</v>
      </c>
      <c r="B10" s="825" t="s">
        <v>229</v>
      </c>
      <c r="C10" s="202" t="s">
        <v>170</v>
      </c>
      <c r="D10" s="203" t="s">
        <v>230</v>
      </c>
      <c r="E10" s="204"/>
      <c r="F10" s="205"/>
      <c r="G10" s="206">
        <v>1</v>
      </c>
      <c r="H10" s="207">
        <f>(1.5*1000)/I10</f>
        <v>2.7777777777777777</v>
      </c>
      <c r="I10" s="208">
        <v>540</v>
      </c>
      <c r="J10" s="208">
        <v>258</v>
      </c>
      <c r="K10" s="208"/>
      <c r="L10" s="208"/>
      <c r="M10" s="208"/>
      <c r="N10" s="208"/>
      <c r="O10" s="206"/>
      <c r="P10" s="206"/>
      <c r="Q10" s="206"/>
      <c r="R10" s="206"/>
      <c r="S10" s="206"/>
      <c r="T10" s="206"/>
      <c r="U10" s="206">
        <v>11</v>
      </c>
      <c r="V10" s="206"/>
      <c r="W10" s="206">
        <v>170</v>
      </c>
      <c r="X10" s="58">
        <v>11.1</v>
      </c>
      <c r="Y10" s="191">
        <v>0.38</v>
      </c>
      <c r="Z10" s="206"/>
      <c r="AA10" s="206">
        <v>11</v>
      </c>
      <c r="AB10" s="206"/>
      <c r="AC10" s="206">
        <v>170</v>
      </c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789" t="s">
        <v>241</v>
      </c>
      <c r="AW10" s="792" t="s">
        <v>231</v>
      </c>
    </row>
    <row r="11" spans="1:49" x14ac:dyDescent="0.3">
      <c r="A11" s="808"/>
      <c r="B11" s="805"/>
      <c r="C11" s="60"/>
      <c r="D11" s="60"/>
      <c r="E11" s="114"/>
      <c r="F11" s="111"/>
      <c r="G11" s="57">
        <v>2</v>
      </c>
      <c r="H11" s="58"/>
      <c r="I11" s="58"/>
      <c r="J11" s="58"/>
      <c r="K11" s="58"/>
      <c r="L11" s="58"/>
      <c r="M11" s="58"/>
      <c r="N11" s="58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790"/>
      <c r="AW11" s="793"/>
    </row>
    <row r="12" spans="1:49" x14ac:dyDescent="0.3">
      <c r="A12" s="808"/>
      <c r="B12" s="805"/>
      <c r="C12" s="60"/>
      <c r="D12" s="60"/>
      <c r="E12" s="114"/>
      <c r="F12" s="111"/>
      <c r="G12" s="57">
        <v>3</v>
      </c>
      <c r="H12" s="21"/>
      <c r="I12" s="21"/>
      <c r="J12" s="21"/>
      <c r="K12" s="21"/>
      <c r="L12" s="21"/>
      <c r="M12" s="21"/>
      <c r="N12" s="21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790"/>
      <c r="AW12" s="793"/>
    </row>
    <row r="13" spans="1:49" ht="15" thickBot="1" x14ac:dyDescent="0.35">
      <c r="A13" s="809"/>
      <c r="B13" s="805"/>
      <c r="C13" s="209"/>
      <c r="D13" s="209"/>
      <c r="E13" s="210"/>
      <c r="F13" s="211"/>
      <c r="G13" s="212">
        <v>4</v>
      </c>
      <c r="H13" s="213"/>
      <c r="I13" s="213"/>
      <c r="J13" s="213"/>
      <c r="K13" s="213"/>
      <c r="L13" s="213"/>
      <c r="M13" s="213"/>
      <c r="N13" s="213"/>
      <c r="O13" s="212"/>
      <c r="P13" s="212"/>
      <c r="Q13" s="212"/>
      <c r="R13" s="212"/>
      <c r="S13" s="212"/>
      <c r="T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791"/>
      <c r="AW13" s="794"/>
    </row>
    <row r="14" spans="1:49" ht="15" thickBot="1" x14ac:dyDescent="0.35">
      <c r="A14" s="807">
        <v>46149</v>
      </c>
      <c r="B14" s="187" t="s">
        <v>275</v>
      </c>
      <c r="C14" s="202"/>
      <c r="D14" s="215"/>
      <c r="E14" s="183"/>
      <c r="F14" s="30"/>
      <c r="G14" s="206">
        <v>1</v>
      </c>
      <c r="H14" s="207">
        <f>(1.5*1000)/I14</f>
        <v>2.7777777777777777</v>
      </c>
      <c r="I14" s="208">
        <v>540</v>
      </c>
      <c r="J14" s="208">
        <v>258</v>
      </c>
      <c r="K14" s="207">
        <f>J14*((1-38%)/38%)</f>
        <v>420.9473684210526</v>
      </c>
      <c r="L14" s="207"/>
      <c r="M14" s="207"/>
      <c r="N14" s="207"/>
      <c r="O14" s="206"/>
      <c r="P14" s="206"/>
      <c r="Q14" s="206"/>
      <c r="R14" s="206">
        <v>11</v>
      </c>
      <c r="S14" s="206"/>
      <c r="T14" s="206">
        <v>180</v>
      </c>
      <c r="U14" s="206">
        <v>11</v>
      </c>
      <c r="V14" s="206"/>
      <c r="W14" s="206">
        <v>180</v>
      </c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789" t="s">
        <v>242</v>
      </c>
      <c r="AW14" s="795"/>
    </row>
    <row r="15" spans="1:49" x14ac:dyDescent="0.3">
      <c r="A15" s="808"/>
      <c r="B15" s="187" t="s">
        <v>234</v>
      </c>
      <c r="C15" s="60" t="s">
        <v>170</v>
      </c>
      <c r="D15" s="110" t="s">
        <v>235</v>
      </c>
      <c r="E15" s="6"/>
      <c r="F15" s="16"/>
      <c r="G15" s="57">
        <v>2</v>
      </c>
      <c r="H15" s="192">
        <f>1200/I15</f>
        <v>2.2222222222222223</v>
      </c>
      <c r="I15" s="58">
        <v>540</v>
      </c>
      <c r="J15" s="58">
        <v>265</v>
      </c>
      <c r="K15" s="207">
        <f>J15*((1-39%)/39%)</f>
        <v>414.4871794871795</v>
      </c>
      <c r="L15" s="222"/>
      <c r="M15" s="222"/>
      <c r="N15" s="222"/>
      <c r="O15" s="57">
        <v>11</v>
      </c>
      <c r="P15" s="221">
        <v>0.39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790"/>
      <c r="AW15" s="796"/>
    </row>
    <row r="16" spans="1:49" x14ac:dyDescent="0.3">
      <c r="A16" s="808"/>
      <c r="B16" s="187"/>
      <c r="C16" s="60"/>
      <c r="D16" s="110"/>
      <c r="E16" s="6"/>
      <c r="F16" s="16"/>
      <c r="G16" s="57">
        <v>3</v>
      </c>
      <c r="H16" s="59"/>
      <c r="I16" s="59"/>
      <c r="J16" s="59"/>
      <c r="K16" s="59"/>
      <c r="L16" s="59"/>
      <c r="M16" s="59"/>
      <c r="N16" s="59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790"/>
      <c r="AW16" s="796"/>
    </row>
    <row r="17" spans="1:49" ht="15" thickBot="1" x14ac:dyDescent="0.35">
      <c r="A17" s="809"/>
      <c r="B17" s="187"/>
      <c r="C17" s="209"/>
      <c r="D17" s="216"/>
      <c r="E17" s="217"/>
      <c r="F17" s="36"/>
      <c r="G17" s="212">
        <v>4</v>
      </c>
      <c r="H17" s="218"/>
      <c r="I17" s="218"/>
      <c r="J17" s="218"/>
      <c r="K17" s="218"/>
      <c r="L17" s="218"/>
      <c r="M17" s="218"/>
      <c r="N17" s="218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790"/>
      <c r="AW17" s="797"/>
    </row>
    <row r="18" spans="1:49" x14ac:dyDescent="0.3">
      <c r="A18" s="810">
        <v>46150</v>
      </c>
      <c r="B18" s="187" t="s">
        <v>276</v>
      </c>
      <c r="C18" s="199"/>
      <c r="D18" s="200"/>
      <c r="E18" s="46"/>
      <c r="F18" s="45"/>
      <c r="G18" s="201">
        <v>1</v>
      </c>
      <c r="H18" s="214"/>
      <c r="I18" s="214"/>
      <c r="J18" s="214"/>
      <c r="K18" s="214"/>
      <c r="L18" s="214"/>
      <c r="M18" s="214"/>
      <c r="N18" s="214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49" t="s">
        <v>289</v>
      </c>
      <c r="AW18" s="798"/>
    </row>
    <row r="19" spans="1:49" x14ac:dyDescent="0.3">
      <c r="A19" s="801"/>
      <c r="B19" s="187" t="s">
        <v>277</v>
      </c>
      <c r="C19" s="60"/>
      <c r="D19" s="110"/>
      <c r="E19" s="6"/>
      <c r="F19" s="16"/>
      <c r="G19" s="57">
        <v>2</v>
      </c>
      <c r="H19" s="59"/>
      <c r="I19" s="59"/>
      <c r="J19" s="59"/>
      <c r="K19" s="59"/>
      <c r="L19" s="59"/>
      <c r="M19" s="59"/>
      <c r="N19" s="59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249" t="s">
        <v>290</v>
      </c>
      <c r="AW19" s="799"/>
    </row>
    <row r="20" spans="1:49" x14ac:dyDescent="0.3">
      <c r="A20" s="801"/>
      <c r="B20" s="187"/>
      <c r="C20" s="60"/>
      <c r="D20" s="110"/>
      <c r="E20" s="6"/>
      <c r="F20" s="16"/>
      <c r="G20" s="57">
        <v>3</v>
      </c>
      <c r="H20" s="59"/>
      <c r="I20" s="59"/>
      <c r="J20" s="59"/>
      <c r="K20" s="59"/>
      <c r="L20" s="59"/>
      <c r="M20" s="59"/>
      <c r="N20" s="59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249"/>
      <c r="AW20" s="799"/>
    </row>
    <row r="21" spans="1:49" x14ac:dyDescent="0.3">
      <c r="A21" s="801"/>
      <c r="B21" s="64"/>
      <c r="C21" s="60"/>
      <c r="D21" s="110"/>
      <c r="E21" s="6"/>
      <c r="F21" s="16"/>
      <c r="G21" s="57">
        <v>4</v>
      </c>
      <c r="H21" s="59"/>
      <c r="I21" s="59"/>
      <c r="J21" s="59"/>
      <c r="K21" s="59"/>
      <c r="L21" s="59"/>
      <c r="M21" s="59"/>
      <c r="N21" s="59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249"/>
      <c r="AW21" s="799"/>
    </row>
    <row r="22" spans="1:49" x14ac:dyDescent="0.3">
      <c r="A22" s="801">
        <v>46151</v>
      </c>
      <c r="B22" s="62"/>
      <c r="C22" s="60"/>
      <c r="D22" s="786"/>
      <c r="E22" s="784"/>
      <c r="F22" s="108"/>
      <c r="G22" s="57">
        <v>5</v>
      </c>
      <c r="H22" s="59"/>
      <c r="I22" s="59"/>
      <c r="J22" s="59"/>
      <c r="K22" s="59"/>
      <c r="L22" s="59"/>
      <c r="M22" s="59"/>
      <c r="N22" s="59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6"/>
      <c r="AW22" s="799"/>
    </row>
    <row r="23" spans="1:49" x14ac:dyDescent="0.3">
      <c r="A23" s="801"/>
      <c r="B23" s="63"/>
      <c r="C23" s="60"/>
      <c r="D23" s="787"/>
      <c r="E23" s="785"/>
      <c r="F23" s="109"/>
      <c r="G23" s="57">
        <v>6</v>
      </c>
      <c r="H23" s="59"/>
      <c r="I23" s="59"/>
      <c r="J23" s="59"/>
      <c r="K23" s="59"/>
      <c r="L23" s="59"/>
      <c r="M23" s="59"/>
      <c r="N23" s="59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6"/>
      <c r="AW23" s="799"/>
    </row>
    <row r="24" spans="1:49" x14ac:dyDescent="0.3">
      <c r="A24" s="801"/>
      <c r="B24" s="63"/>
      <c r="C24" s="60"/>
      <c r="D24" s="787"/>
      <c r="E24" s="785"/>
      <c r="F24" s="109"/>
      <c r="G24" s="57">
        <v>7</v>
      </c>
      <c r="H24" s="59"/>
      <c r="I24" s="59"/>
      <c r="J24" s="59"/>
      <c r="K24" s="59"/>
      <c r="L24" s="59"/>
      <c r="M24" s="59"/>
      <c r="N24" s="59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6"/>
      <c r="AW24" s="799"/>
    </row>
    <row r="25" spans="1:49" ht="15" thickBot="1" x14ac:dyDescent="0.35">
      <c r="A25" s="801"/>
      <c r="B25" s="64"/>
      <c r="C25" s="60"/>
      <c r="D25" s="788"/>
      <c r="E25" s="753"/>
      <c r="F25" s="45"/>
      <c r="G25" s="57">
        <v>8</v>
      </c>
      <c r="H25" s="59"/>
      <c r="I25" s="59"/>
      <c r="J25" s="59"/>
      <c r="K25" s="59"/>
      <c r="L25" s="59"/>
      <c r="M25" s="59"/>
      <c r="N25" s="59"/>
      <c r="O25" s="57"/>
      <c r="P25" s="57"/>
      <c r="Q25" s="57"/>
      <c r="R25" s="57"/>
      <c r="S25" s="57"/>
      <c r="T25" s="57"/>
      <c r="U25" s="57"/>
      <c r="V25" s="57"/>
      <c r="W25" s="212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110"/>
      <c r="AW25" s="800"/>
    </row>
    <row r="26" spans="1:49" x14ac:dyDescent="0.3">
      <c r="A26" s="801">
        <v>46152</v>
      </c>
      <c r="B26" s="62"/>
      <c r="C26" s="60"/>
      <c r="D26" s="786"/>
      <c r="E26" s="784"/>
      <c r="F26" s="108"/>
      <c r="G26" s="57">
        <v>1</v>
      </c>
      <c r="H26" s="21"/>
      <c r="I26" s="21"/>
      <c r="J26" s="21"/>
      <c r="K26" s="21"/>
      <c r="L26" s="21"/>
      <c r="M26" s="21"/>
      <c r="N26" s="21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798"/>
      <c r="AW26" s="798"/>
    </row>
    <row r="27" spans="1:49" x14ac:dyDescent="0.3">
      <c r="A27" s="801"/>
      <c r="B27" s="63"/>
      <c r="C27" s="60"/>
      <c r="D27" s="787"/>
      <c r="E27" s="785"/>
      <c r="F27" s="109"/>
      <c r="G27" s="57">
        <v>2</v>
      </c>
      <c r="H27" s="21"/>
      <c r="I27" s="21"/>
      <c r="J27" s="21"/>
      <c r="K27" s="21"/>
      <c r="L27" s="21"/>
      <c r="M27" s="21"/>
      <c r="N27" s="21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799"/>
      <c r="AW27" s="799"/>
    </row>
    <row r="28" spans="1:49" x14ac:dyDescent="0.3">
      <c r="A28" s="801"/>
      <c r="B28" s="63"/>
      <c r="C28" s="60"/>
      <c r="D28" s="787"/>
      <c r="E28" s="785"/>
      <c r="F28" s="109"/>
      <c r="G28" s="57">
        <v>3</v>
      </c>
      <c r="H28" s="58"/>
      <c r="I28" s="58"/>
      <c r="J28" s="58"/>
      <c r="K28" s="58"/>
      <c r="L28" s="58"/>
      <c r="M28" s="58"/>
      <c r="N28" s="58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799"/>
      <c r="AW28" s="799"/>
    </row>
    <row r="29" spans="1:49" x14ac:dyDescent="0.3">
      <c r="A29" s="801"/>
      <c r="B29" s="64"/>
      <c r="C29" s="60"/>
      <c r="D29" s="788"/>
      <c r="E29" s="753"/>
      <c r="F29" s="45"/>
      <c r="G29" s="57">
        <v>4</v>
      </c>
      <c r="H29" s="58"/>
      <c r="I29" s="58"/>
      <c r="J29" s="58"/>
      <c r="K29" s="58"/>
      <c r="L29" s="58"/>
      <c r="M29" s="58"/>
      <c r="N29" s="58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799"/>
      <c r="AW29" s="799"/>
    </row>
    <row r="30" spans="1:49" x14ac:dyDescent="0.3">
      <c r="A30" s="801">
        <v>46153</v>
      </c>
      <c r="B30" s="62"/>
      <c r="C30" s="60"/>
      <c r="D30" s="786"/>
      <c r="E30" s="784"/>
      <c r="F30" s="108"/>
      <c r="G30" s="57">
        <v>5</v>
      </c>
      <c r="H30" s="58"/>
      <c r="I30" s="58"/>
      <c r="J30" s="58"/>
      <c r="K30" s="58"/>
      <c r="L30" s="58"/>
      <c r="M30" s="58"/>
      <c r="N30" s="58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799"/>
      <c r="AW30" s="799"/>
    </row>
    <row r="31" spans="1:49" x14ac:dyDescent="0.3">
      <c r="A31" s="801"/>
      <c r="B31" s="63"/>
      <c r="C31" s="60"/>
      <c r="D31" s="787"/>
      <c r="E31" s="785"/>
      <c r="F31" s="109"/>
      <c r="G31" s="57">
        <v>6</v>
      </c>
      <c r="H31" s="59"/>
      <c r="I31" s="59"/>
      <c r="J31" s="59"/>
      <c r="K31" s="59"/>
      <c r="L31" s="59"/>
      <c r="M31" s="59"/>
      <c r="N31" s="59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799"/>
      <c r="AW31" s="799"/>
    </row>
    <row r="32" spans="1:49" x14ac:dyDescent="0.3">
      <c r="A32" s="801"/>
      <c r="B32" s="63"/>
      <c r="C32" s="60"/>
      <c r="D32" s="787"/>
      <c r="E32" s="785"/>
      <c r="F32" s="109"/>
      <c r="G32" s="57">
        <v>7</v>
      </c>
      <c r="H32" s="59"/>
      <c r="I32" s="59"/>
      <c r="J32" s="59"/>
      <c r="K32" s="59"/>
      <c r="L32" s="59"/>
      <c r="M32" s="59"/>
      <c r="N32" s="59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799"/>
      <c r="AW32" s="799"/>
    </row>
    <row r="33" spans="1:49" x14ac:dyDescent="0.3">
      <c r="A33" s="801"/>
      <c r="B33" s="64"/>
      <c r="C33" s="60"/>
      <c r="D33" s="788"/>
      <c r="E33" s="753"/>
      <c r="F33" s="45"/>
      <c r="G33" s="57">
        <v>8</v>
      </c>
      <c r="H33" s="59"/>
      <c r="I33" s="59"/>
      <c r="J33" s="59"/>
      <c r="K33" s="59"/>
      <c r="L33" s="59"/>
      <c r="M33" s="59"/>
      <c r="N33" s="59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800"/>
      <c r="AW33" s="800"/>
    </row>
    <row r="34" spans="1:49" x14ac:dyDescent="0.3">
      <c r="A34" s="801">
        <v>46154</v>
      </c>
      <c r="B34" s="62"/>
      <c r="C34" s="60"/>
      <c r="D34" s="786"/>
      <c r="E34" s="784"/>
      <c r="F34" s="108"/>
      <c r="G34" s="57">
        <v>1</v>
      </c>
      <c r="H34" s="58"/>
      <c r="I34" s="58"/>
      <c r="J34" s="58"/>
      <c r="K34" s="58"/>
      <c r="L34" s="58"/>
      <c r="M34" s="58"/>
      <c r="N34" s="58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798"/>
      <c r="AW34" s="798"/>
    </row>
    <row r="35" spans="1:49" x14ac:dyDescent="0.3">
      <c r="A35" s="801"/>
      <c r="B35" s="63"/>
      <c r="C35" s="60"/>
      <c r="D35" s="787"/>
      <c r="E35" s="785"/>
      <c r="F35" s="109"/>
      <c r="G35" s="57">
        <v>2</v>
      </c>
      <c r="H35" s="58"/>
      <c r="I35" s="58"/>
      <c r="J35" s="58"/>
      <c r="K35" s="58"/>
      <c r="L35" s="58"/>
      <c r="M35" s="58"/>
      <c r="N35" s="58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799"/>
      <c r="AW35" s="799"/>
    </row>
    <row r="36" spans="1:49" x14ac:dyDescent="0.3">
      <c r="A36" s="801"/>
      <c r="B36" s="63"/>
      <c r="C36" s="60"/>
      <c r="D36" s="787"/>
      <c r="E36" s="785"/>
      <c r="F36" s="109"/>
      <c r="G36" s="57">
        <v>3</v>
      </c>
      <c r="H36" s="58"/>
      <c r="I36" s="58"/>
      <c r="J36" s="58"/>
      <c r="K36" s="58"/>
      <c r="L36" s="58"/>
      <c r="M36" s="58"/>
      <c r="N36" s="58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799"/>
      <c r="AW36" s="799"/>
    </row>
    <row r="37" spans="1:49" x14ac:dyDescent="0.3">
      <c r="A37" s="801"/>
      <c r="B37" s="64"/>
      <c r="C37" s="60"/>
      <c r="D37" s="788"/>
      <c r="E37" s="753"/>
      <c r="F37" s="45"/>
      <c r="G37" s="57">
        <v>4</v>
      </c>
      <c r="H37" s="59"/>
      <c r="I37" s="59"/>
      <c r="J37" s="59"/>
      <c r="K37" s="59"/>
      <c r="L37" s="59"/>
      <c r="M37" s="59"/>
      <c r="N37" s="59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799"/>
      <c r="AW37" s="799"/>
    </row>
    <row r="38" spans="1:49" x14ac:dyDescent="0.3">
      <c r="A38" s="801">
        <v>46155</v>
      </c>
      <c r="B38" s="62"/>
      <c r="C38" s="60"/>
      <c r="D38" s="786"/>
      <c r="E38" s="784"/>
      <c r="F38" s="108"/>
      <c r="G38" s="57">
        <v>5</v>
      </c>
      <c r="H38" s="59"/>
      <c r="I38" s="59"/>
      <c r="J38" s="59"/>
      <c r="K38" s="59"/>
      <c r="L38" s="59"/>
      <c r="M38" s="59"/>
      <c r="N38" s="59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799"/>
      <c r="AW38" s="799"/>
    </row>
    <row r="39" spans="1:49" x14ac:dyDescent="0.3">
      <c r="A39" s="801"/>
      <c r="B39" s="63"/>
      <c r="C39" s="60"/>
      <c r="D39" s="787"/>
      <c r="E39" s="785"/>
      <c r="F39" s="109"/>
      <c r="G39" s="57">
        <v>6</v>
      </c>
      <c r="H39" s="59"/>
      <c r="I39" s="59"/>
      <c r="J39" s="59"/>
      <c r="K39" s="59"/>
      <c r="L39" s="59"/>
      <c r="M39" s="59"/>
      <c r="N39" s="59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799"/>
      <c r="AW39" s="799"/>
    </row>
    <row r="40" spans="1:49" x14ac:dyDescent="0.3">
      <c r="A40" s="801"/>
      <c r="B40" s="63"/>
      <c r="C40" s="60"/>
      <c r="D40" s="787"/>
      <c r="E40" s="785"/>
      <c r="F40" s="109"/>
      <c r="G40" s="57">
        <v>7</v>
      </c>
      <c r="H40" s="59"/>
      <c r="I40" s="59"/>
      <c r="J40" s="59"/>
      <c r="K40" s="59"/>
      <c r="L40" s="59"/>
      <c r="M40" s="59"/>
      <c r="N40" s="59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799"/>
      <c r="AW40" s="799"/>
    </row>
    <row r="41" spans="1:49" x14ac:dyDescent="0.3">
      <c r="A41" s="801"/>
      <c r="B41" s="64"/>
      <c r="C41" s="60"/>
      <c r="D41" s="788"/>
      <c r="E41" s="753"/>
      <c r="F41" s="45"/>
      <c r="G41" s="57">
        <v>8</v>
      </c>
      <c r="H41" s="59"/>
      <c r="I41" s="59"/>
      <c r="J41" s="59"/>
      <c r="K41" s="59"/>
      <c r="L41" s="59"/>
      <c r="M41" s="59"/>
      <c r="N41" s="59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800"/>
      <c r="AW41" s="800"/>
    </row>
    <row r="42" spans="1:49" x14ac:dyDescent="0.3">
      <c r="A42" s="801">
        <v>46156</v>
      </c>
      <c r="B42" s="62"/>
      <c r="C42" s="60"/>
      <c r="D42" s="786"/>
      <c r="E42" s="784"/>
      <c r="F42" s="108"/>
      <c r="G42" s="57">
        <v>1</v>
      </c>
      <c r="H42" s="58"/>
      <c r="I42" s="58"/>
      <c r="J42" s="58"/>
      <c r="K42" s="58"/>
      <c r="L42" s="58"/>
      <c r="M42" s="58"/>
      <c r="N42" s="58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798"/>
      <c r="AW42" s="798"/>
    </row>
    <row r="43" spans="1:49" x14ac:dyDescent="0.3">
      <c r="A43" s="801"/>
      <c r="B43" s="63"/>
      <c r="C43" s="60"/>
      <c r="D43" s="787"/>
      <c r="E43" s="785"/>
      <c r="F43" s="109"/>
      <c r="G43" s="57">
        <v>2</v>
      </c>
      <c r="H43" s="58"/>
      <c r="I43" s="58"/>
      <c r="J43" s="58"/>
      <c r="K43" s="58"/>
      <c r="L43" s="58"/>
      <c r="M43" s="58"/>
      <c r="N43" s="58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799"/>
      <c r="AW43" s="799"/>
    </row>
    <row r="44" spans="1:49" x14ac:dyDescent="0.3">
      <c r="A44" s="801"/>
      <c r="B44" s="63"/>
      <c r="C44" s="60"/>
      <c r="D44" s="787"/>
      <c r="E44" s="785"/>
      <c r="F44" s="109"/>
      <c r="G44" s="57">
        <v>3</v>
      </c>
      <c r="H44" s="58"/>
      <c r="I44" s="58"/>
      <c r="J44" s="58"/>
      <c r="K44" s="58"/>
      <c r="L44" s="58"/>
      <c r="M44" s="58"/>
      <c r="N44" s="58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799"/>
      <c r="AW44" s="799"/>
    </row>
    <row r="45" spans="1:49" x14ac:dyDescent="0.3">
      <c r="A45" s="801"/>
      <c r="B45" s="64"/>
      <c r="C45" s="60"/>
      <c r="D45" s="788"/>
      <c r="E45" s="753"/>
      <c r="F45" s="45"/>
      <c r="G45" s="57">
        <v>4</v>
      </c>
      <c r="H45" s="59"/>
      <c r="I45" s="59"/>
      <c r="J45" s="59"/>
      <c r="K45" s="59"/>
      <c r="L45" s="59"/>
      <c r="M45" s="59"/>
      <c r="N45" s="59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799"/>
      <c r="AW45" s="799"/>
    </row>
    <row r="46" spans="1:49" x14ac:dyDescent="0.3">
      <c r="A46" s="801">
        <v>46157</v>
      </c>
      <c r="B46" s="62"/>
      <c r="C46" s="60"/>
      <c r="D46" s="813" t="s">
        <v>158</v>
      </c>
      <c r="E46" s="784"/>
      <c r="F46" s="108" t="s">
        <v>159</v>
      </c>
      <c r="G46" s="57">
        <v>5</v>
      </c>
      <c r="H46" s="59"/>
      <c r="I46" s="59"/>
      <c r="J46" s="59"/>
      <c r="K46" s="59"/>
      <c r="L46" s="59"/>
      <c r="M46" s="59"/>
      <c r="N46" s="59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799"/>
      <c r="AW46" s="799"/>
    </row>
    <row r="47" spans="1:49" x14ac:dyDescent="0.3">
      <c r="A47" s="801"/>
      <c r="B47" s="63"/>
      <c r="C47" s="60"/>
      <c r="D47" s="814"/>
      <c r="E47" s="785"/>
      <c r="F47" s="109"/>
      <c r="G47" s="57">
        <v>6</v>
      </c>
      <c r="H47" s="59"/>
      <c r="I47" s="59"/>
      <c r="J47" s="59"/>
      <c r="K47" s="59"/>
      <c r="L47" s="59"/>
      <c r="M47" s="59"/>
      <c r="N47" s="59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799"/>
      <c r="AW47" s="799"/>
    </row>
    <row r="48" spans="1:49" x14ac:dyDescent="0.3">
      <c r="A48" s="801"/>
      <c r="B48" s="63"/>
      <c r="C48" s="60"/>
      <c r="D48" s="814"/>
      <c r="E48" s="785"/>
      <c r="F48" s="109"/>
      <c r="G48" s="57">
        <v>7</v>
      </c>
      <c r="H48" s="59"/>
      <c r="I48" s="59"/>
      <c r="J48" s="59"/>
      <c r="K48" s="59"/>
      <c r="L48" s="59"/>
      <c r="M48" s="59"/>
      <c r="N48" s="59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799"/>
      <c r="AW48" s="799"/>
    </row>
    <row r="49" spans="1:49" x14ac:dyDescent="0.3">
      <c r="A49" s="801"/>
      <c r="B49" s="64"/>
      <c r="C49" s="60"/>
      <c r="D49" s="815"/>
      <c r="E49" s="753"/>
      <c r="F49" s="45"/>
      <c r="G49" s="57">
        <v>8</v>
      </c>
      <c r="H49" s="59"/>
      <c r="I49" s="59"/>
      <c r="J49" s="59"/>
      <c r="K49" s="59"/>
      <c r="L49" s="59"/>
      <c r="M49" s="59"/>
      <c r="N49" s="59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800"/>
      <c r="AW49" s="800"/>
    </row>
    <row r="50" spans="1:49" x14ac:dyDescent="0.3">
      <c r="A50" s="801">
        <v>46158</v>
      </c>
      <c r="B50" s="62"/>
      <c r="C50" s="60"/>
      <c r="D50" s="786"/>
      <c r="E50" s="784"/>
      <c r="F50" s="108"/>
      <c r="G50" s="57">
        <v>1</v>
      </c>
      <c r="H50" s="58"/>
      <c r="I50" s="58"/>
      <c r="J50" s="58"/>
      <c r="K50" s="58"/>
      <c r="L50" s="58"/>
      <c r="M50" s="58"/>
      <c r="N50" s="58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798"/>
      <c r="AW50" s="798"/>
    </row>
    <row r="51" spans="1:49" x14ac:dyDescent="0.3">
      <c r="A51" s="801"/>
      <c r="B51" s="63"/>
      <c r="C51" s="60"/>
      <c r="D51" s="787"/>
      <c r="E51" s="785"/>
      <c r="F51" s="109"/>
      <c r="G51" s="57">
        <v>2</v>
      </c>
      <c r="H51" s="58"/>
      <c r="I51" s="58"/>
      <c r="J51" s="58"/>
      <c r="K51" s="58"/>
      <c r="L51" s="58"/>
      <c r="M51" s="58"/>
      <c r="N51" s="58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799"/>
      <c r="AW51" s="799"/>
    </row>
    <row r="52" spans="1:49" x14ac:dyDescent="0.3">
      <c r="A52" s="801"/>
      <c r="B52" s="63"/>
      <c r="C52" s="60"/>
      <c r="D52" s="787"/>
      <c r="E52" s="785"/>
      <c r="F52" s="109"/>
      <c r="G52" s="57">
        <v>3</v>
      </c>
      <c r="H52" s="58"/>
      <c r="I52" s="58"/>
      <c r="J52" s="58"/>
      <c r="K52" s="58"/>
      <c r="L52" s="58"/>
      <c r="M52" s="58"/>
      <c r="N52" s="58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799"/>
      <c r="AW52" s="799"/>
    </row>
    <row r="53" spans="1:49" x14ac:dyDescent="0.3">
      <c r="A53" s="801"/>
      <c r="B53" s="64"/>
      <c r="C53" s="60"/>
      <c r="D53" s="788"/>
      <c r="E53" s="753"/>
      <c r="F53" s="45"/>
      <c r="G53" s="57">
        <v>4</v>
      </c>
      <c r="H53" s="59"/>
      <c r="I53" s="59"/>
      <c r="J53" s="59"/>
      <c r="K53" s="59"/>
      <c r="L53" s="59"/>
      <c r="M53" s="59"/>
      <c r="N53" s="59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799"/>
      <c r="AW53" s="799"/>
    </row>
    <row r="54" spans="1:49" x14ac:dyDescent="0.3">
      <c r="A54" s="801">
        <v>46159</v>
      </c>
      <c r="B54" s="62"/>
      <c r="C54" s="60"/>
      <c r="D54" s="110"/>
      <c r="E54" s="811" t="s">
        <v>157</v>
      </c>
      <c r="F54" s="108" t="s">
        <v>160</v>
      </c>
      <c r="G54" s="57">
        <v>5</v>
      </c>
      <c r="H54" s="59"/>
      <c r="I54" s="59"/>
      <c r="J54" s="59"/>
      <c r="K54" s="59"/>
      <c r="L54" s="59"/>
      <c r="M54" s="59"/>
      <c r="N54" s="59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799"/>
      <c r="AW54" s="799"/>
    </row>
    <row r="55" spans="1:49" x14ac:dyDescent="0.3">
      <c r="A55" s="801"/>
      <c r="B55" s="63"/>
      <c r="C55" s="60"/>
      <c r="D55" s="110"/>
      <c r="E55" s="812"/>
      <c r="F55" s="109"/>
      <c r="G55" s="57">
        <v>6</v>
      </c>
      <c r="H55" s="59"/>
      <c r="I55" s="59"/>
      <c r="J55" s="59"/>
      <c r="K55" s="59"/>
      <c r="L55" s="59"/>
      <c r="M55" s="59"/>
      <c r="N55" s="59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799"/>
      <c r="AW55" s="799"/>
    </row>
    <row r="56" spans="1:49" x14ac:dyDescent="0.3">
      <c r="A56" s="801"/>
      <c r="B56" s="63"/>
      <c r="C56" s="60"/>
      <c r="D56" s="110"/>
      <c r="E56" s="812"/>
      <c r="F56" s="109"/>
      <c r="G56" s="57">
        <v>7</v>
      </c>
      <c r="H56" s="59"/>
      <c r="I56" s="59"/>
      <c r="J56" s="59"/>
      <c r="K56" s="59"/>
      <c r="L56" s="59"/>
      <c r="M56" s="59"/>
      <c r="N56" s="59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799"/>
      <c r="AW56" s="799"/>
    </row>
    <row r="57" spans="1:49" x14ac:dyDescent="0.3">
      <c r="A57" s="801"/>
      <c r="B57" s="64"/>
      <c r="C57" s="60"/>
      <c r="D57" s="110"/>
      <c r="E57" s="761"/>
      <c r="F57" s="45"/>
      <c r="G57" s="57">
        <v>8</v>
      </c>
      <c r="H57" s="59"/>
      <c r="I57" s="59"/>
      <c r="J57" s="59"/>
      <c r="K57" s="59"/>
      <c r="L57" s="59"/>
      <c r="M57" s="59"/>
      <c r="N57" s="59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800"/>
      <c r="AW57" s="800"/>
    </row>
    <row r="58" spans="1:49" x14ac:dyDescent="0.3">
      <c r="A58" s="801">
        <v>46160</v>
      </c>
      <c r="B58" s="62"/>
      <c r="C58" s="60"/>
      <c r="D58" s="110"/>
      <c r="E58" s="6"/>
      <c r="F58" s="108"/>
      <c r="G58" s="57">
        <v>1</v>
      </c>
      <c r="H58" s="58"/>
      <c r="I58" s="58"/>
      <c r="J58" s="58"/>
      <c r="K58" s="58"/>
      <c r="L58" s="58"/>
      <c r="M58" s="58"/>
      <c r="N58" s="58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798"/>
      <c r="AW58" s="798"/>
    </row>
    <row r="59" spans="1:49" x14ac:dyDescent="0.3">
      <c r="A59" s="801"/>
      <c r="B59" s="63"/>
      <c r="C59" s="60"/>
      <c r="D59" s="110"/>
      <c r="E59" s="6"/>
      <c r="F59" s="109"/>
      <c r="G59" s="57">
        <v>2</v>
      </c>
      <c r="H59" s="58"/>
      <c r="I59" s="58"/>
      <c r="J59" s="58"/>
      <c r="K59" s="58"/>
      <c r="L59" s="58"/>
      <c r="M59" s="58"/>
      <c r="N59" s="58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799"/>
      <c r="AW59" s="799"/>
    </row>
    <row r="60" spans="1:49" x14ac:dyDescent="0.3">
      <c r="A60" s="801"/>
      <c r="B60" s="63"/>
      <c r="C60" s="60"/>
      <c r="D60" s="110"/>
      <c r="E60" s="6"/>
      <c r="F60" s="109"/>
      <c r="G60" s="57">
        <v>3</v>
      </c>
      <c r="H60" s="58"/>
      <c r="I60" s="58"/>
      <c r="J60" s="58"/>
      <c r="K60" s="58"/>
      <c r="L60" s="58"/>
      <c r="M60" s="58"/>
      <c r="N60" s="58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799"/>
      <c r="AW60" s="799"/>
    </row>
    <row r="61" spans="1:49" x14ac:dyDescent="0.3">
      <c r="A61" s="801"/>
      <c r="B61" s="64"/>
      <c r="C61" s="60"/>
      <c r="D61" s="110"/>
      <c r="E61" s="6"/>
      <c r="F61" s="45"/>
      <c r="G61" s="57">
        <v>4</v>
      </c>
      <c r="H61" s="59"/>
      <c r="I61" s="59"/>
      <c r="J61" s="59"/>
      <c r="K61" s="59"/>
      <c r="L61" s="59"/>
      <c r="M61" s="59"/>
      <c r="N61" s="59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799"/>
      <c r="AW61" s="799"/>
    </row>
    <row r="62" spans="1:49" x14ac:dyDescent="0.3">
      <c r="A62" s="801">
        <v>46161</v>
      </c>
      <c r="B62" s="62"/>
      <c r="C62" s="60"/>
      <c r="D62" s="110"/>
      <c r="E62" s="6"/>
      <c r="F62" s="108"/>
      <c r="G62" s="57">
        <v>5</v>
      </c>
      <c r="H62" s="59"/>
      <c r="I62" s="59"/>
      <c r="J62" s="59"/>
      <c r="K62" s="59"/>
      <c r="L62" s="59"/>
      <c r="M62" s="59"/>
      <c r="N62" s="59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799"/>
      <c r="AW62" s="799"/>
    </row>
    <row r="63" spans="1:49" x14ac:dyDescent="0.3">
      <c r="A63" s="801"/>
      <c r="B63" s="63"/>
      <c r="C63" s="60"/>
      <c r="D63" s="110"/>
      <c r="E63" s="6"/>
      <c r="F63" s="109"/>
      <c r="G63" s="57">
        <v>6</v>
      </c>
      <c r="H63" s="59"/>
      <c r="I63" s="59"/>
      <c r="J63" s="59"/>
      <c r="K63" s="59"/>
      <c r="L63" s="59"/>
      <c r="M63" s="59"/>
      <c r="N63" s="59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799"/>
      <c r="AW63" s="799"/>
    </row>
    <row r="64" spans="1:49" x14ac:dyDescent="0.3">
      <c r="A64" s="801"/>
      <c r="B64" s="63"/>
      <c r="C64" s="60"/>
      <c r="D64" s="110"/>
      <c r="E64" s="6"/>
      <c r="F64" s="109"/>
      <c r="G64" s="57">
        <v>7</v>
      </c>
      <c r="H64" s="59"/>
      <c r="I64" s="59"/>
      <c r="J64" s="59"/>
      <c r="K64" s="59"/>
      <c r="L64" s="59"/>
      <c r="M64" s="59"/>
      <c r="N64" s="59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799"/>
      <c r="AW64" s="799"/>
    </row>
    <row r="65" spans="1:49" x14ac:dyDescent="0.3">
      <c r="A65" s="801"/>
      <c r="B65" s="64"/>
      <c r="C65" s="60"/>
      <c r="D65" s="110"/>
      <c r="E65" s="6"/>
      <c r="F65" s="45"/>
      <c r="G65" s="57">
        <v>8</v>
      </c>
      <c r="H65" s="59"/>
      <c r="I65" s="59"/>
      <c r="J65" s="59"/>
      <c r="K65" s="59"/>
      <c r="L65" s="59"/>
      <c r="M65" s="59"/>
      <c r="N65" s="59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800"/>
      <c r="AW65" s="800"/>
    </row>
    <row r="66" spans="1:49" x14ac:dyDescent="0.3">
      <c r="A66" s="801">
        <v>46162</v>
      </c>
      <c r="B66" s="62"/>
      <c r="C66" s="60"/>
      <c r="D66" s="110"/>
      <c r="E66" s="6"/>
      <c r="F66" s="108"/>
      <c r="G66" s="57">
        <v>1</v>
      </c>
      <c r="H66" s="58"/>
      <c r="I66" s="58"/>
      <c r="J66" s="58"/>
      <c r="K66" s="58"/>
      <c r="L66" s="58"/>
      <c r="M66" s="58"/>
      <c r="N66" s="58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798"/>
      <c r="AW66" s="798"/>
    </row>
    <row r="67" spans="1:49" x14ac:dyDescent="0.3">
      <c r="A67" s="801"/>
      <c r="B67" s="63"/>
      <c r="C67" s="60"/>
      <c r="D67" s="110"/>
      <c r="E67" s="6"/>
      <c r="F67" s="109"/>
      <c r="G67" s="57">
        <v>2</v>
      </c>
      <c r="H67" s="58"/>
      <c r="I67" s="58"/>
      <c r="J67" s="58"/>
      <c r="K67" s="58"/>
      <c r="L67" s="58"/>
      <c r="M67" s="58"/>
      <c r="N67" s="58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799"/>
      <c r="AW67" s="799"/>
    </row>
    <row r="68" spans="1:49" x14ac:dyDescent="0.3">
      <c r="A68" s="801"/>
      <c r="B68" s="63"/>
      <c r="C68" s="60"/>
      <c r="D68" s="110"/>
      <c r="E68" s="6"/>
      <c r="F68" s="109"/>
      <c r="G68" s="57">
        <v>3</v>
      </c>
      <c r="H68" s="58"/>
      <c r="I68" s="58"/>
      <c r="J68" s="58"/>
      <c r="K68" s="58"/>
      <c r="L68" s="58"/>
      <c r="M68" s="58"/>
      <c r="N68" s="58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799"/>
      <c r="AW68" s="799"/>
    </row>
    <row r="69" spans="1:49" x14ac:dyDescent="0.3">
      <c r="A69" s="801"/>
      <c r="B69" s="64"/>
      <c r="C69" s="60"/>
      <c r="D69" s="110"/>
      <c r="E69" s="6"/>
      <c r="F69" s="45"/>
      <c r="G69" s="57">
        <v>4</v>
      </c>
      <c r="H69" s="59"/>
      <c r="I69" s="59"/>
      <c r="J69" s="59"/>
      <c r="K69" s="59"/>
      <c r="L69" s="59"/>
      <c r="M69" s="59"/>
      <c r="N69" s="59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799"/>
      <c r="AW69" s="799"/>
    </row>
    <row r="70" spans="1:49" x14ac:dyDescent="0.3">
      <c r="A70" s="801">
        <v>46163</v>
      </c>
      <c r="B70" s="62"/>
      <c r="C70" s="60"/>
      <c r="D70" s="110"/>
      <c r="E70" s="6"/>
      <c r="F70" s="108"/>
      <c r="G70" s="57">
        <v>5</v>
      </c>
      <c r="H70" s="59"/>
      <c r="I70" s="59"/>
      <c r="J70" s="59"/>
      <c r="K70" s="59"/>
      <c r="L70" s="59"/>
      <c r="M70" s="59"/>
      <c r="N70" s="59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799"/>
      <c r="AW70" s="799"/>
    </row>
    <row r="71" spans="1:49" x14ac:dyDescent="0.3">
      <c r="A71" s="801"/>
      <c r="B71" s="63"/>
      <c r="C71" s="60"/>
      <c r="D71" s="110"/>
      <c r="E71" s="6"/>
      <c r="F71" s="109"/>
      <c r="G71" s="57">
        <v>6</v>
      </c>
      <c r="H71" s="59"/>
      <c r="I71" s="59"/>
      <c r="J71" s="59"/>
      <c r="K71" s="59"/>
      <c r="L71" s="59"/>
      <c r="M71" s="59"/>
      <c r="N71" s="59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799"/>
      <c r="AW71" s="799"/>
    </row>
    <row r="72" spans="1:49" x14ac:dyDescent="0.3">
      <c r="A72" s="801"/>
      <c r="B72" s="63"/>
      <c r="C72" s="60"/>
      <c r="D72" s="110"/>
      <c r="E72" s="6"/>
      <c r="F72" s="109"/>
      <c r="G72" s="57">
        <v>7</v>
      </c>
      <c r="H72" s="59"/>
      <c r="I72" s="59"/>
      <c r="J72" s="59"/>
      <c r="K72" s="59"/>
      <c r="L72" s="59"/>
      <c r="M72" s="59"/>
      <c r="N72" s="59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799"/>
      <c r="AW72" s="799"/>
    </row>
    <row r="73" spans="1:49" x14ac:dyDescent="0.3">
      <c r="A73" s="801"/>
      <c r="B73" s="64"/>
      <c r="C73" s="60"/>
      <c r="D73" s="110"/>
      <c r="E73" s="6"/>
      <c r="F73" s="45"/>
      <c r="G73" s="57">
        <v>8</v>
      </c>
      <c r="H73" s="59"/>
      <c r="I73" s="59"/>
      <c r="J73" s="59"/>
      <c r="K73" s="59"/>
      <c r="L73" s="59"/>
      <c r="M73" s="59"/>
      <c r="N73" s="59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800"/>
      <c r="AW73" s="800"/>
    </row>
    <row r="74" spans="1:49" x14ac:dyDescent="0.3">
      <c r="A74" s="801">
        <v>46164</v>
      </c>
      <c r="B74" s="62"/>
      <c r="C74" s="60"/>
      <c r="D74" s="110"/>
      <c r="E74" s="6"/>
      <c r="F74" s="108"/>
      <c r="G74" s="57">
        <v>1</v>
      </c>
      <c r="H74" s="58"/>
      <c r="I74" s="58"/>
      <c r="J74" s="58"/>
      <c r="K74" s="58"/>
      <c r="L74" s="58"/>
      <c r="M74" s="58"/>
      <c r="N74" s="58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798"/>
      <c r="AW74" s="798"/>
    </row>
    <row r="75" spans="1:49" x14ac:dyDescent="0.3">
      <c r="A75" s="801"/>
      <c r="B75" s="63"/>
      <c r="C75" s="60"/>
      <c r="D75" s="110"/>
      <c r="E75" s="6"/>
      <c r="F75" s="109"/>
      <c r="G75" s="57">
        <v>2</v>
      </c>
      <c r="H75" s="58"/>
      <c r="I75" s="58"/>
      <c r="J75" s="58"/>
      <c r="K75" s="58"/>
      <c r="L75" s="58"/>
      <c r="M75" s="58"/>
      <c r="N75" s="58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799"/>
      <c r="AW75" s="799"/>
    </row>
    <row r="76" spans="1:49" x14ac:dyDescent="0.3">
      <c r="A76" s="801"/>
      <c r="B76" s="63"/>
      <c r="C76" s="60"/>
      <c r="D76" s="110"/>
      <c r="E76" s="6"/>
      <c r="F76" s="109"/>
      <c r="G76" s="57">
        <v>3</v>
      </c>
      <c r="H76" s="58"/>
      <c r="I76" s="58"/>
      <c r="J76" s="58"/>
      <c r="K76" s="58"/>
      <c r="L76" s="58"/>
      <c r="M76" s="58"/>
      <c r="N76" s="58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799"/>
      <c r="AW76" s="799"/>
    </row>
    <row r="77" spans="1:49" x14ac:dyDescent="0.3">
      <c r="A77" s="801"/>
      <c r="B77" s="64"/>
      <c r="C77" s="60"/>
      <c r="D77" s="110"/>
      <c r="E77" s="6"/>
      <c r="F77" s="45"/>
      <c r="G77" s="57">
        <v>4</v>
      </c>
      <c r="H77" s="59"/>
      <c r="I77" s="59"/>
      <c r="J77" s="59"/>
      <c r="K77" s="59"/>
      <c r="L77" s="59"/>
      <c r="M77" s="59"/>
      <c r="N77" s="59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799"/>
      <c r="AW77" s="799"/>
    </row>
    <row r="78" spans="1:49" x14ac:dyDescent="0.3">
      <c r="A78" s="801">
        <v>46165</v>
      </c>
      <c r="B78" s="62"/>
      <c r="C78" s="60"/>
      <c r="D78" s="110"/>
      <c r="E78" s="6"/>
      <c r="F78" s="108"/>
      <c r="G78" s="57">
        <v>5</v>
      </c>
      <c r="H78" s="59"/>
      <c r="I78" s="59"/>
      <c r="J78" s="59"/>
      <c r="K78" s="59"/>
      <c r="L78" s="59"/>
      <c r="M78" s="59"/>
      <c r="N78" s="59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799"/>
      <c r="AW78" s="799"/>
    </row>
    <row r="79" spans="1:49" x14ac:dyDescent="0.3">
      <c r="A79" s="801"/>
      <c r="B79" s="63"/>
      <c r="C79" s="60"/>
      <c r="D79" s="110"/>
      <c r="E79" s="6"/>
      <c r="F79" s="109"/>
      <c r="G79" s="57">
        <v>6</v>
      </c>
      <c r="H79" s="59"/>
      <c r="I79" s="59"/>
      <c r="J79" s="59"/>
      <c r="K79" s="59"/>
      <c r="L79" s="59"/>
      <c r="M79" s="59"/>
      <c r="N79" s="59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799"/>
      <c r="AW79" s="799"/>
    </row>
    <row r="80" spans="1:49" x14ac:dyDescent="0.3">
      <c r="A80" s="801"/>
      <c r="B80" s="63"/>
      <c r="C80" s="60"/>
      <c r="D80" s="110"/>
      <c r="E80" s="6"/>
      <c r="F80" s="109"/>
      <c r="G80" s="57">
        <v>7</v>
      </c>
      <c r="H80" s="59"/>
      <c r="I80" s="59"/>
      <c r="J80" s="59"/>
      <c r="K80" s="59"/>
      <c r="L80" s="59"/>
      <c r="M80" s="59"/>
      <c r="N80" s="59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799"/>
      <c r="AW80" s="799"/>
    </row>
    <row r="81" spans="1:49" x14ac:dyDescent="0.3">
      <c r="A81" s="801"/>
      <c r="B81" s="64"/>
      <c r="C81" s="60"/>
      <c r="D81" s="110"/>
      <c r="E81" s="6"/>
      <c r="F81" s="45"/>
      <c r="G81" s="57">
        <v>8</v>
      </c>
      <c r="H81" s="59"/>
      <c r="I81" s="59"/>
      <c r="J81" s="59"/>
      <c r="K81" s="59"/>
      <c r="L81" s="59"/>
      <c r="M81" s="59"/>
      <c r="N81" s="59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800"/>
      <c r="AW81" s="800"/>
    </row>
    <row r="82" spans="1:49" x14ac:dyDescent="0.3">
      <c r="A82" s="801">
        <v>46166</v>
      </c>
      <c r="B82" s="62"/>
      <c r="C82" s="60"/>
      <c r="D82" s="110"/>
      <c r="E82" s="6"/>
      <c r="F82" s="108"/>
      <c r="G82" s="57">
        <v>1</v>
      </c>
      <c r="H82" s="58"/>
      <c r="I82" s="58"/>
      <c r="J82" s="58"/>
      <c r="K82" s="58"/>
      <c r="L82" s="58"/>
      <c r="M82" s="58"/>
      <c r="N82" s="58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798"/>
      <c r="AW82" s="798"/>
    </row>
    <row r="83" spans="1:49" x14ac:dyDescent="0.3">
      <c r="A83" s="801"/>
      <c r="B83" s="63"/>
      <c r="C83" s="60"/>
      <c r="D83" s="110"/>
      <c r="E83" s="6"/>
      <c r="F83" s="109"/>
      <c r="G83" s="57">
        <v>2</v>
      </c>
      <c r="H83" s="58"/>
      <c r="I83" s="58"/>
      <c r="J83" s="58"/>
      <c r="K83" s="58"/>
      <c r="L83" s="58"/>
      <c r="M83" s="58"/>
      <c r="N83" s="58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799"/>
      <c r="AW83" s="799"/>
    </row>
    <row r="84" spans="1:49" x14ac:dyDescent="0.3">
      <c r="A84" s="801"/>
      <c r="B84" s="63"/>
      <c r="C84" s="60"/>
      <c r="D84" s="110"/>
      <c r="E84" s="6"/>
      <c r="F84" s="109"/>
      <c r="G84" s="57">
        <v>3</v>
      </c>
      <c r="H84" s="58"/>
      <c r="I84" s="58"/>
      <c r="J84" s="58"/>
      <c r="K84" s="58"/>
      <c r="L84" s="58"/>
      <c r="M84" s="58"/>
      <c r="N84" s="58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799"/>
      <c r="AW84" s="799"/>
    </row>
    <row r="85" spans="1:49" x14ac:dyDescent="0.3">
      <c r="A85" s="801"/>
      <c r="B85" s="64"/>
      <c r="C85" s="60"/>
      <c r="D85" s="110"/>
      <c r="E85" s="6"/>
      <c r="F85" s="45"/>
      <c r="G85" s="57">
        <v>4</v>
      </c>
      <c r="H85" s="59"/>
      <c r="I85" s="59"/>
      <c r="J85" s="59"/>
      <c r="K85" s="59"/>
      <c r="L85" s="59"/>
      <c r="M85" s="59"/>
      <c r="N85" s="59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799"/>
      <c r="AW85" s="799"/>
    </row>
    <row r="86" spans="1:49" x14ac:dyDescent="0.3">
      <c r="A86" s="801">
        <v>46167</v>
      </c>
      <c r="B86" s="62"/>
      <c r="C86" s="60"/>
      <c r="D86" s="110"/>
      <c r="E86" s="6"/>
      <c r="F86" s="108"/>
      <c r="G86" s="57">
        <v>5</v>
      </c>
      <c r="H86" s="59"/>
      <c r="I86" s="59"/>
      <c r="J86" s="59"/>
      <c r="K86" s="59"/>
      <c r="L86" s="59"/>
      <c r="M86" s="59"/>
      <c r="N86" s="59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799"/>
      <c r="AW86" s="799"/>
    </row>
    <row r="87" spans="1:49" x14ac:dyDescent="0.3">
      <c r="A87" s="801"/>
      <c r="B87" s="63"/>
      <c r="C87" s="60"/>
      <c r="D87" s="110"/>
      <c r="E87" s="6"/>
      <c r="F87" s="109"/>
      <c r="G87" s="57">
        <v>6</v>
      </c>
      <c r="H87" s="59"/>
      <c r="I87" s="59"/>
      <c r="J87" s="59"/>
      <c r="K87" s="59"/>
      <c r="L87" s="59"/>
      <c r="M87" s="59"/>
      <c r="N87" s="59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799"/>
      <c r="AW87" s="799"/>
    </row>
    <row r="88" spans="1:49" x14ac:dyDescent="0.3">
      <c r="A88" s="801"/>
      <c r="B88" s="63"/>
      <c r="C88" s="60"/>
      <c r="D88" s="110"/>
      <c r="E88" s="6"/>
      <c r="F88" s="109"/>
      <c r="G88" s="57">
        <v>7</v>
      </c>
      <c r="H88" s="59"/>
      <c r="I88" s="59"/>
      <c r="J88" s="59"/>
      <c r="K88" s="59"/>
      <c r="L88" s="59"/>
      <c r="M88" s="59"/>
      <c r="N88" s="59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799"/>
      <c r="AW88" s="799"/>
    </row>
    <row r="89" spans="1:49" x14ac:dyDescent="0.3">
      <c r="A89" s="801"/>
      <c r="B89" s="64"/>
      <c r="C89" s="60"/>
      <c r="D89" s="110"/>
      <c r="E89" s="6"/>
      <c r="F89" s="45"/>
      <c r="G89" s="57">
        <v>8</v>
      </c>
      <c r="H89" s="59"/>
      <c r="I89" s="59"/>
      <c r="J89" s="59"/>
      <c r="K89" s="59"/>
      <c r="L89" s="59"/>
      <c r="M89" s="59"/>
      <c r="N89" s="59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800"/>
      <c r="AW89" s="800"/>
    </row>
    <row r="90" spans="1:49" x14ac:dyDescent="0.3">
      <c r="A90" s="801">
        <v>46168</v>
      </c>
      <c r="B90" s="62"/>
      <c r="C90" s="60"/>
      <c r="D90" s="110"/>
      <c r="E90" s="6"/>
      <c r="F90" s="108"/>
      <c r="G90" s="57">
        <v>1</v>
      </c>
      <c r="H90" s="58"/>
      <c r="I90" s="58"/>
      <c r="J90" s="58"/>
      <c r="K90" s="58"/>
      <c r="L90" s="58"/>
      <c r="M90" s="58"/>
      <c r="N90" s="58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798"/>
      <c r="AW90" s="798"/>
    </row>
    <row r="91" spans="1:49" x14ac:dyDescent="0.3">
      <c r="A91" s="801"/>
      <c r="B91" s="63"/>
      <c r="C91" s="60"/>
      <c r="D91" s="110"/>
      <c r="E91" s="6"/>
      <c r="F91" s="109"/>
      <c r="G91" s="57">
        <v>2</v>
      </c>
      <c r="H91" s="58"/>
      <c r="I91" s="58"/>
      <c r="J91" s="58"/>
      <c r="K91" s="58"/>
      <c r="L91" s="58"/>
      <c r="M91" s="58"/>
      <c r="N91" s="58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799"/>
      <c r="AW91" s="799"/>
    </row>
    <row r="92" spans="1:49" x14ac:dyDescent="0.3">
      <c r="A92" s="801"/>
      <c r="B92" s="63"/>
      <c r="C92" s="60"/>
      <c r="D92" s="110"/>
      <c r="E92" s="6"/>
      <c r="F92" s="109"/>
      <c r="G92" s="57">
        <v>3</v>
      </c>
      <c r="H92" s="58"/>
      <c r="I92" s="58"/>
      <c r="J92" s="58"/>
      <c r="K92" s="58"/>
      <c r="L92" s="58"/>
      <c r="M92" s="58"/>
      <c r="N92" s="58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799"/>
      <c r="AW92" s="799"/>
    </row>
    <row r="93" spans="1:49" x14ac:dyDescent="0.3">
      <c r="A93" s="801"/>
      <c r="B93" s="64"/>
      <c r="C93" s="60"/>
      <c r="D93" s="110"/>
      <c r="E93" s="6"/>
      <c r="F93" s="45"/>
      <c r="G93" s="57">
        <v>4</v>
      </c>
      <c r="H93" s="59"/>
      <c r="I93" s="59"/>
      <c r="J93" s="59"/>
      <c r="K93" s="59"/>
      <c r="L93" s="59"/>
      <c r="M93" s="59"/>
      <c r="N93" s="59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799"/>
      <c r="AW93" s="799"/>
    </row>
    <row r="94" spans="1:49" x14ac:dyDescent="0.3">
      <c r="A94" s="801">
        <v>46169</v>
      </c>
      <c r="B94" s="62"/>
      <c r="C94" s="60"/>
      <c r="D94" s="110"/>
      <c r="E94" s="6"/>
      <c r="F94" s="108"/>
      <c r="G94" s="57">
        <v>5</v>
      </c>
      <c r="H94" s="59"/>
      <c r="I94" s="59"/>
      <c r="J94" s="59"/>
      <c r="K94" s="59"/>
      <c r="L94" s="59"/>
      <c r="M94" s="59"/>
      <c r="N94" s="59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799"/>
      <c r="AW94" s="799"/>
    </row>
    <row r="95" spans="1:49" x14ac:dyDescent="0.3">
      <c r="A95" s="801"/>
      <c r="B95" s="63"/>
      <c r="C95" s="60"/>
      <c r="D95" s="110"/>
      <c r="E95" s="6"/>
      <c r="F95" s="109"/>
      <c r="G95" s="57">
        <v>6</v>
      </c>
      <c r="H95" s="59"/>
      <c r="I95" s="59"/>
      <c r="J95" s="59"/>
      <c r="K95" s="59"/>
      <c r="L95" s="59"/>
      <c r="M95" s="59"/>
      <c r="N95" s="59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799"/>
      <c r="AW95" s="799"/>
    </row>
    <row r="96" spans="1:49" x14ac:dyDescent="0.3">
      <c r="A96" s="801"/>
      <c r="B96" s="63"/>
      <c r="C96" s="60"/>
      <c r="D96" s="110"/>
      <c r="E96" s="6"/>
      <c r="F96" s="109"/>
      <c r="G96" s="57">
        <v>7</v>
      </c>
      <c r="H96" s="59"/>
      <c r="I96" s="59"/>
      <c r="J96" s="59"/>
      <c r="K96" s="59"/>
      <c r="L96" s="59"/>
      <c r="M96" s="59"/>
      <c r="N96" s="59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799"/>
      <c r="AW96" s="799"/>
    </row>
    <row r="97" spans="1:49" x14ac:dyDescent="0.3">
      <c r="A97" s="801"/>
      <c r="B97" s="64"/>
      <c r="C97" s="60"/>
      <c r="D97" s="110"/>
      <c r="E97" s="6"/>
      <c r="F97" s="45"/>
      <c r="G97" s="57">
        <v>8</v>
      </c>
      <c r="H97" s="59"/>
      <c r="I97" s="59"/>
      <c r="J97" s="59"/>
      <c r="K97" s="59"/>
      <c r="L97" s="59"/>
      <c r="M97" s="59"/>
      <c r="N97" s="59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800"/>
      <c r="AW97" s="800"/>
    </row>
    <row r="98" spans="1:49" x14ac:dyDescent="0.3">
      <c r="A98" s="801">
        <v>46170</v>
      </c>
      <c r="B98" s="62"/>
      <c r="C98" s="60"/>
      <c r="D98" s="110"/>
      <c r="E98" s="6"/>
      <c r="F98" s="108"/>
      <c r="G98" s="57">
        <v>1</v>
      </c>
      <c r="H98" s="58"/>
      <c r="I98" s="58"/>
      <c r="J98" s="58"/>
      <c r="K98" s="58"/>
      <c r="L98" s="58"/>
      <c r="M98" s="58"/>
      <c r="N98" s="58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798"/>
      <c r="AW98" s="798"/>
    </row>
    <row r="99" spans="1:49" x14ac:dyDescent="0.3">
      <c r="A99" s="801"/>
      <c r="B99" s="63"/>
      <c r="C99" s="60"/>
      <c r="D99" s="110"/>
      <c r="E99" s="6"/>
      <c r="F99" s="109"/>
      <c r="G99" s="57">
        <v>2</v>
      </c>
      <c r="H99" s="58"/>
      <c r="I99" s="58"/>
      <c r="J99" s="58"/>
      <c r="K99" s="58"/>
      <c r="L99" s="58"/>
      <c r="M99" s="58"/>
      <c r="N99" s="58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799"/>
      <c r="AW99" s="799"/>
    </row>
    <row r="100" spans="1:49" x14ac:dyDescent="0.3">
      <c r="A100" s="801"/>
      <c r="B100" s="63"/>
      <c r="C100" s="60"/>
      <c r="D100" s="110"/>
      <c r="E100" s="6"/>
      <c r="F100" s="109"/>
      <c r="G100" s="57">
        <v>3</v>
      </c>
      <c r="H100" s="58"/>
      <c r="I100" s="58"/>
      <c r="J100" s="58"/>
      <c r="K100" s="58"/>
      <c r="L100" s="58"/>
      <c r="M100" s="58"/>
      <c r="N100" s="58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799"/>
      <c r="AW100" s="799"/>
    </row>
    <row r="101" spans="1:49" x14ac:dyDescent="0.3">
      <c r="A101" s="801"/>
      <c r="B101" s="64"/>
      <c r="C101" s="60"/>
      <c r="D101" s="110"/>
      <c r="E101" s="6"/>
      <c r="F101" s="45"/>
      <c r="G101" s="57">
        <v>4</v>
      </c>
      <c r="H101" s="59"/>
      <c r="I101" s="59"/>
      <c r="J101" s="59"/>
      <c r="K101" s="59"/>
      <c r="L101" s="59"/>
      <c r="M101" s="59"/>
      <c r="N101" s="59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799"/>
      <c r="AW101" s="799"/>
    </row>
    <row r="102" spans="1:49" x14ac:dyDescent="0.3">
      <c r="A102" s="801">
        <v>46171</v>
      </c>
      <c r="B102" s="62"/>
      <c r="C102" s="60"/>
      <c r="D102" s="110"/>
      <c r="E102" s="6"/>
      <c r="F102" s="108"/>
      <c r="G102" s="57">
        <v>5</v>
      </c>
      <c r="H102" s="59"/>
      <c r="I102" s="59"/>
      <c r="J102" s="59"/>
      <c r="K102" s="59"/>
      <c r="L102" s="59"/>
      <c r="M102" s="59"/>
      <c r="N102" s="59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799"/>
      <c r="AW102" s="799"/>
    </row>
    <row r="103" spans="1:49" x14ac:dyDescent="0.3">
      <c r="A103" s="801"/>
      <c r="B103" s="63"/>
      <c r="C103" s="60"/>
      <c r="D103" s="110"/>
      <c r="E103" s="6"/>
      <c r="F103" s="109"/>
      <c r="G103" s="57">
        <v>6</v>
      </c>
      <c r="H103" s="59"/>
      <c r="I103" s="59"/>
      <c r="J103" s="59"/>
      <c r="K103" s="59"/>
      <c r="L103" s="59"/>
      <c r="M103" s="59"/>
      <c r="N103" s="59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799"/>
      <c r="AW103" s="799"/>
    </row>
    <row r="104" spans="1:49" x14ac:dyDescent="0.3">
      <c r="A104" s="801"/>
      <c r="B104" s="63"/>
      <c r="C104" s="60"/>
      <c r="D104" s="110"/>
      <c r="E104" s="6"/>
      <c r="F104" s="109"/>
      <c r="G104" s="57">
        <v>7</v>
      </c>
      <c r="H104" s="59"/>
      <c r="I104" s="59"/>
      <c r="J104" s="59"/>
      <c r="K104" s="59"/>
      <c r="L104" s="59"/>
      <c r="M104" s="59"/>
      <c r="N104" s="59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799"/>
      <c r="AW104" s="799"/>
    </row>
    <row r="105" spans="1:49" x14ac:dyDescent="0.3">
      <c r="A105" s="801"/>
      <c r="B105" s="64"/>
      <c r="C105" s="60"/>
      <c r="D105" s="110"/>
      <c r="E105" s="6"/>
      <c r="F105" s="45"/>
      <c r="G105" s="57">
        <v>8</v>
      </c>
      <c r="H105" s="59"/>
      <c r="I105" s="59"/>
      <c r="J105" s="59"/>
      <c r="K105" s="59"/>
      <c r="L105" s="59"/>
      <c r="M105" s="59"/>
      <c r="N105" s="59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800"/>
      <c r="AW105" s="800"/>
    </row>
    <row r="106" spans="1:49" x14ac:dyDescent="0.3">
      <c r="A106" s="801">
        <v>46172</v>
      </c>
      <c r="B106" s="62"/>
      <c r="C106" s="60"/>
      <c r="D106" s="110"/>
      <c r="E106" s="6"/>
      <c r="F106" s="108"/>
      <c r="G106" s="57">
        <v>1</v>
      </c>
      <c r="H106" s="58"/>
      <c r="I106" s="58"/>
      <c r="J106" s="58"/>
      <c r="K106" s="58"/>
      <c r="L106" s="58"/>
      <c r="M106" s="58"/>
      <c r="N106" s="58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798"/>
      <c r="AW106" s="798"/>
    </row>
    <row r="107" spans="1:49" x14ac:dyDescent="0.3">
      <c r="A107" s="801"/>
      <c r="B107" s="63"/>
      <c r="C107" s="60"/>
      <c r="D107" s="110"/>
      <c r="E107" s="6"/>
      <c r="F107" s="109"/>
      <c r="G107" s="57">
        <v>2</v>
      </c>
      <c r="H107" s="58"/>
      <c r="I107" s="58"/>
      <c r="J107" s="58"/>
      <c r="K107" s="58"/>
      <c r="L107" s="58"/>
      <c r="M107" s="58"/>
      <c r="N107" s="58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799"/>
      <c r="AW107" s="799"/>
    </row>
    <row r="108" spans="1:49" x14ac:dyDescent="0.3">
      <c r="A108" s="801"/>
      <c r="B108" s="63"/>
      <c r="C108" s="60"/>
      <c r="D108" s="110"/>
      <c r="E108" s="6"/>
      <c r="F108" s="109"/>
      <c r="G108" s="57">
        <v>3</v>
      </c>
      <c r="H108" s="58"/>
      <c r="I108" s="58"/>
      <c r="J108" s="58"/>
      <c r="K108" s="58"/>
      <c r="L108" s="58"/>
      <c r="M108" s="58"/>
      <c r="N108" s="58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799"/>
      <c r="AW108" s="799"/>
    </row>
    <row r="109" spans="1:49" x14ac:dyDescent="0.3">
      <c r="A109" s="801"/>
      <c r="B109" s="64"/>
      <c r="C109" s="60"/>
      <c r="D109" s="110"/>
      <c r="E109" s="6"/>
      <c r="F109" s="45"/>
      <c r="G109" s="57">
        <v>4</v>
      </c>
      <c r="H109" s="59"/>
      <c r="I109" s="59"/>
      <c r="J109" s="59"/>
      <c r="K109" s="59"/>
      <c r="L109" s="59"/>
      <c r="M109" s="59"/>
      <c r="N109" s="59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799"/>
      <c r="AW109" s="799"/>
    </row>
    <row r="110" spans="1:49" x14ac:dyDescent="0.3">
      <c r="A110" s="801">
        <v>46173</v>
      </c>
      <c r="B110" s="62"/>
      <c r="C110" s="60"/>
      <c r="D110" s="110"/>
      <c r="E110" s="6"/>
      <c r="F110" s="108"/>
      <c r="G110" s="57">
        <v>5</v>
      </c>
      <c r="H110" s="59"/>
      <c r="I110" s="59"/>
      <c r="J110" s="59"/>
      <c r="K110" s="59"/>
      <c r="L110" s="59"/>
      <c r="M110" s="59"/>
      <c r="N110" s="59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799"/>
      <c r="AW110" s="799"/>
    </row>
    <row r="111" spans="1:49" x14ac:dyDescent="0.3">
      <c r="A111" s="801"/>
      <c r="B111" s="63"/>
      <c r="C111" s="60"/>
      <c r="D111" s="110"/>
      <c r="E111" s="6"/>
      <c r="F111" s="109"/>
      <c r="G111" s="57">
        <v>6</v>
      </c>
      <c r="H111" s="59"/>
      <c r="I111" s="59"/>
      <c r="J111" s="59"/>
      <c r="K111" s="59"/>
      <c r="L111" s="59"/>
      <c r="M111" s="59"/>
      <c r="N111" s="59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799"/>
      <c r="AW111" s="799"/>
    </row>
    <row r="112" spans="1:49" x14ac:dyDescent="0.3">
      <c r="A112" s="801"/>
      <c r="B112" s="63"/>
      <c r="C112" s="60"/>
      <c r="D112" s="110"/>
      <c r="E112" s="6"/>
      <c r="F112" s="109"/>
      <c r="G112" s="57">
        <v>7</v>
      </c>
      <c r="H112" s="59"/>
      <c r="I112" s="59"/>
      <c r="J112" s="59"/>
      <c r="K112" s="59"/>
      <c r="L112" s="59"/>
      <c r="M112" s="59"/>
      <c r="N112" s="59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799"/>
      <c r="AW112" s="799"/>
    </row>
    <row r="113" spans="1:49" x14ac:dyDescent="0.3">
      <c r="A113" s="801"/>
      <c r="B113" s="64"/>
      <c r="C113" s="60"/>
      <c r="D113" s="110"/>
      <c r="E113" s="6"/>
      <c r="F113" s="45"/>
      <c r="G113" s="57">
        <v>8</v>
      </c>
      <c r="H113" s="59"/>
      <c r="I113" s="59"/>
      <c r="J113" s="59"/>
      <c r="K113" s="59"/>
      <c r="L113" s="59"/>
      <c r="M113" s="59"/>
      <c r="N113" s="59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800"/>
      <c r="AW113" s="800"/>
    </row>
    <row r="114" spans="1:49" x14ac:dyDescent="0.3">
      <c r="A114" s="801">
        <v>46174</v>
      </c>
      <c r="B114" s="62"/>
      <c r="C114" s="60"/>
      <c r="D114" s="110"/>
      <c r="E114" s="6"/>
      <c r="F114" s="108"/>
      <c r="G114" s="57">
        <v>1</v>
      </c>
      <c r="H114" s="58"/>
      <c r="I114" s="58"/>
      <c r="J114" s="58"/>
      <c r="K114" s="58"/>
      <c r="L114" s="58"/>
      <c r="M114" s="58"/>
      <c r="N114" s="58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798"/>
      <c r="AW114" s="798"/>
    </row>
    <row r="115" spans="1:49" x14ac:dyDescent="0.3">
      <c r="A115" s="801"/>
      <c r="B115" s="63"/>
      <c r="C115" s="60"/>
      <c r="D115" s="110"/>
      <c r="E115" s="6"/>
      <c r="F115" s="109"/>
      <c r="G115" s="57">
        <v>2</v>
      </c>
      <c r="H115" s="58"/>
      <c r="I115" s="58"/>
      <c r="J115" s="58"/>
      <c r="K115" s="58"/>
      <c r="L115" s="58"/>
      <c r="M115" s="58"/>
      <c r="N115" s="58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799"/>
      <c r="AW115" s="799"/>
    </row>
    <row r="116" spans="1:49" x14ac:dyDescent="0.3">
      <c r="A116" s="801"/>
      <c r="B116" s="63"/>
      <c r="C116" s="60"/>
      <c r="D116" s="110"/>
      <c r="E116" s="6"/>
      <c r="F116" s="109"/>
      <c r="G116" s="57">
        <v>3</v>
      </c>
      <c r="H116" s="58"/>
      <c r="I116" s="58"/>
      <c r="J116" s="58"/>
      <c r="K116" s="58"/>
      <c r="L116" s="58"/>
      <c r="M116" s="58"/>
      <c r="N116" s="58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799"/>
      <c r="AW116" s="799"/>
    </row>
    <row r="117" spans="1:49" x14ac:dyDescent="0.3">
      <c r="A117" s="801"/>
      <c r="B117" s="64"/>
      <c r="C117" s="60"/>
      <c r="D117" s="110"/>
      <c r="E117" s="6"/>
      <c r="F117" s="45"/>
      <c r="G117" s="57">
        <v>4</v>
      </c>
      <c r="H117" s="59"/>
      <c r="I117" s="59"/>
      <c r="J117" s="59"/>
      <c r="K117" s="59"/>
      <c r="L117" s="59"/>
      <c r="M117" s="59"/>
      <c r="N117" s="59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799"/>
      <c r="AW117" s="799"/>
    </row>
    <row r="118" spans="1:49" x14ac:dyDescent="0.3">
      <c r="A118" s="801">
        <v>46175</v>
      </c>
      <c r="B118" s="62"/>
      <c r="C118" s="60"/>
      <c r="D118" s="786"/>
      <c r="E118" s="784"/>
      <c r="F118" s="108"/>
      <c r="G118" s="57">
        <v>5</v>
      </c>
      <c r="H118" s="59"/>
      <c r="I118" s="59"/>
      <c r="J118" s="59"/>
      <c r="K118" s="59"/>
      <c r="L118" s="59"/>
      <c r="M118" s="59"/>
      <c r="N118" s="59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799"/>
      <c r="AW118" s="799"/>
    </row>
    <row r="119" spans="1:49" x14ac:dyDescent="0.3">
      <c r="A119" s="801"/>
      <c r="B119" s="63"/>
      <c r="C119" s="60"/>
      <c r="D119" s="787"/>
      <c r="E119" s="785"/>
      <c r="F119" s="109"/>
      <c r="G119" s="57">
        <v>6</v>
      </c>
      <c r="H119" s="59"/>
      <c r="I119" s="59"/>
      <c r="J119" s="59"/>
      <c r="K119" s="59"/>
      <c r="L119" s="59"/>
      <c r="M119" s="59"/>
      <c r="N119" s="59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799"/>
      <c r="AW119" s="799"/>
    </row>
    <row r="120" spans="1:49" x14ac:dyDescent="0.3">
      <c r="A120" s="801"/>
      <c r="B120" s="63"/>
      <c r="C120" s="60"/>
      <c r="D120" s="787"/>
      <c r="E120" s="785"/>
      <c r="F120" s="109"/>
      <c r="G120" s="57">
        <v>7</v>
      </c>
      <c r="H120" s="59"/>
      <c r="I120" s="59"/>
      <c r="J120" s="59"/>
      <c r="K120" s="59"/>
      <c r="L120" s="59"/>
      <c r="M120" s="59"/>
      <c r="N120" s="59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799"/>
      <c r="AW120" s="799"/>
    </row>
    <row r="121" spans="1:49" x14ac:dyDescent="0.3">
      <c r="A121" s="801"/>
      <c r="B121" s="64"/>
      <c r="C121" s="60"/>
      <c r="D121" s="788"/>
      <c r="E121" s="753"/>
      <c r="F121" s="45"/>
      <c r="G121" s="57">
        <v>8</v>
      </c>
      <c r="H121" s="59"/>
      <c r="I121" s="59"/>
      <c r="J121" s="59"/>
      <c r="K121" s="59"/>
      <c r="L121" s="59"/>
      <c r="M121" s="59"/>
      <c r="N121" s="59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800"/>
      <c r="AW121" s="800"/>
    </row>
    <row r="122" spans="1:49" x14ac:dyDescent="0.3">
      <c r="A122" s="801">
        <v>46176</v>
      </c>
      <c r="B122" s="62"/>
      <c r="C122" s="60"/>
      <c r="D122" s="786"/>
      <c r="E122" s="784"/>
      <c r="F122" s="108"/>
      <c r="G122" s="57">
        <v>1</v>
      </c>
      <c r="H122" s="58"/>
      <c r="I122" s="58"/>
      <c r="J122" s="58"/>
      <c r="K122" s="58"/>
      <c r="L122" s="58"/>
      <c r="M122" s="58"/>
      <c r="N122" s="58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798"/>
      <c r="AW122" s="798"/>
    </row>
    <row r="123" spans="1:49" x14ac:dyDescent="0.3">
      <c r="A123" s="801"/>
      <c r="B123" s="63"/>
      <c r="C123" s="60"/>
      <c r="D123" s="787"/>
      <c r="E123" s="785"/>
      <c r="F123" s="109"/>
      <c r="G123" s="57">
        <v>2</v>
      </c>
      <c r="H123" s="58"/>
      <c r="I123" s="58"/>
      <c r="J123" s="58"/>
      <c r="K123" s="58"/>
      <c r="L123" s="58"/>
      <c r="M123" s="58"/>
      <c r="N123" s="58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799"/>
      <c r="AW123" s="799"/>
    </row>
    <row r="124" spans="1:49" x14ac:dyDescent="0.3">
      <c r="A124" s="801"/>
      <c r="B124" s="63"/>
      <c r="C124" s="60"/>
      <c r="D124" s="787"/>
      <c r="E124" s="785"/>
      <c r="F124" s="109"/>
      <c r="G124" s="57">
        <v>3</v>
      </c>
      <c r="H124" s="58"/>
      <c r="I124" s="58"/>
      <c r="J124" s="58"/>
      <c r="K124" s="58"/>
      <c r="L124" s="58"/>
      <c r="M124" s="58"/>
      <c r="N124" s="58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799"/>
      <c r="AW124" s="799"/>
    </row>
    <row r="125" spans="1:49" x14ac:dyDescent="0.3">
      <c r="A125" s="801"/>
      <c r="B125" s="64"/>
      <c r="C125" s="60"/>
      <c r="D125" s="788"/>
      <c r="E125" s="753"/>
      <c r="F125" s="45"/>
      <c r="G125" s="57">
        <v>4</v>
      </c>
      <c r="H125" s="59"/>
      <c r="I125" s="59"/>
      <c r="J125" s="59"/>
      <c r="K125" s="59"/>
      <c r="L125" s="59"/>
      <c r="M125" s="59"/>
      <c r="N125" s="59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799"/>
      <c r="AW125" s="799"/>
    </row>
    <row r="126" spans="1:49" x14ac:dyDescent="0.3">
      <c r="A126" s="801">
        <v>46177</v>
      </c>
      <c r="B126" s="62"/>
      <c r="C126" s="60"/>
      <c r="D126" s="786"/>
      <c r="E126" s="784"/>
      <c r="F126" s="108"/>
      <c r="G126" s="57">
        <v>5</v>
      </c>
      <c r="H126" s="59"/>
      <c r="I126" s="59"/>
      <c r="J126" s="59"/>
      <c r="K126" s="59"/>
      <c r="L126" s="59"/>
      <c r="M126" s="59"/>
      <c r="N126" s="59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799"/>
      <c r="AW126" s="799"/>
    </row>
    <row r="127" spans="1:49" x14ac:dyDescent="0.3">
      <c r="A127" s="801"/>
      <c r="B127" s="63"/>
      <c r="C127" s="60"/>
      <c r="D127" s="787"/>
      <c r="E127" s="785"/>
      <c r="F127" s="109"/>
      <c r="G127" s="57">
        <v>6</v>
      </c>
      <c r="H127" s="59"/>
      <c r="I127" s="59"/>
      <c r="J127" s="59"/>
      <c r="K127" s="59"/>
      <c r="L127" s="59"/>
      <c r="M127" s="59"/>
      <c r="N127" s="59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799"/>
      <c r="AW127" s="799"/>
    </row>
    <row r="128" spans="1:49" x14ac:dyDescent="0.3">
      <c r="A128" s="801"/>
      <c r="B128" s="63"/>
      <c r="C128" s="60"/>
      <c r="D128" s="787"/>
      <c r="E128" s="785"/>
      <c r="F128" s="109"/>
      <c r="G128" s="57">
        <v>7</v>
      </c>
      <c r="H128" s="59"/>
      <c r="I128" s="59"/>
      <c r="J128" s="59"/>
      <c r="K128" s="59"/>
      <c r="L128" s="59"/>
      <c r="M128" s="59"/>
      <c r="N128" s="59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799"/>
      <c r="AW128" s="799"/>
    </row>
    <row r="129" spans="1:49" x14ac:dyDescent="0.3">
      <c r="A129" s="801"/>
      <c r="B129" s="64"/>
      <c r="C129" s="60"/>
      <c r="D129" s="788"/>
      <c r="E129" s="753"/>
      <c r="F129" s="45"/>
      <c r="G129" s="57">
        <v>8</v>
      </c>
      <c r="H129" s="59"/>
      <c r="I129" s="59"/>
      <c r="J129" s="59"/>
      <c r="K129" s="59"/>
      <c r="L129" s="59"/>
      <c r="M129" s="59"/>
      <c r="N129" s="59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800"/>
      <c r="AW129" s="800"/>
    </row>
    <row r="130" spans="1:49" x14ac:dyDescent="0.3">
      <c r="A130" s="21"/>
      <c r="B130" s="21"/>
      <c r="C130" s="21"/>
      <c r="D130" s="801"/>
      <c r="E130" s="802"/>
      <c r="F130" s="111"/>
      <c r="G130" s="57">
        <v>1</v>
      </c>
      <c r="H130" s="58"/>
      <c r="I130" s="58"/>
      <c r="J130" s="58"/>
      <c r="K130" s="58"/>
      <c r="L130" s="58"/>
      <c r="M130" s="58"/>
      <c r="N130" s="58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798"/>
      <c r="AW130" s="798"/>
    </row>
    <row r="131" spans="1:49" x14ac:dyDescent="0.3">
      <c r="A131" s="21"/>
      <c r="B131" s="21"/>
      <c r="C131" s="21"/>
      <c r="D131" s="800"/>
      <c r="E131" s="799"/>
      <c r="F131" s="6"/>
      <c r="G131" s="57">
        <v>2</v>
      </c>
      <c r="H131" s="58"/>
      <c r="I131" s="58"/>
      <c r="J131" s="58"/>
      <c r="K131" s="58"/>
      <c r="L131" s="58"/>
      <c r="M131" s="58"/>
      <c r="N131" s="58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799"/>
      <c r="AW131" s="799"/>
    </row>
    <row r="132" spans="1:49" x14ac:dyDescent="0.3">
      <c r="A132" s="21"/>
      <c r="B132" s="21"/>
      <c r="C132" s="21"/>
      <c r="D132" s="800"/>
      <c r="E132" s="799"/>
      <c r="F132" s="6"/>
      <c r="G132" s="57">
        <v>3</v>
      </c>
      <c r="H132" s="58"/>
      <c r="I132" s="58"/>
      <c r="J132" s="58"/>
      <c r="K132" s="58"/>
      <c r="L132" s="58"/>
      <c r="M132" s="58"/>
      <c r="N132" s="58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799"/>
      <c r="AW132" s="799"/>
    </row>
    <row r="133" spans="1:49" x14ac:dyDescent="0.3">
      <c r="A133" s="21"/>
      <c r="B133" s="21"/>
      <c r="C133" s="21"/>
      <c r="D133" s="800"/>
      <c r="E133" s="799"/>
      <c r="F133" s="6"/>
      <c r="G133" s="57">
        <v>4</v>
      </c>
      <c r="H133" s="59"/>
      <c r="I133" s="59"/>
      <c r="J133" s="59"/>
      <c r="K133" s="59"/>
      <c r="L133" s="59"/>
      <c r="M133" s="59"/>
      <c r="N133" s="59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799"/>
      <c r="AW133" s="799"/>
    </row>
    <row r="134" spans="1:49" x14ac:dyDescent="0.3">
      <c r="A134" s="21"/>
      <c r="B134" s="21"/>
      <c r="C134" s="21"/>
      <c r="D134" s="800"/>
      <c r="E134" s="799"/>
      <c r="F134" s="6"/>
      <c r="G134" s="57">
        <v>5</v>
      </c>
      <c r="H134" s="59"/>
      <c r="I134" s="59"/>
      <c r="J134" s="59"/>
      <c r="K134" s="59"/>
      <c r="L134" s="59"/>
      <c r="M134" s="59"/>
      <c r="N134" s="59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799"/>
      <c r="AW134" s="799"/>
    </row>
    <row r="135" spans="1:49" x14ac:dyDescent="0.3">
      <c r="A135" s="21"/>
      <c r="B135" s="21"/>
      <c r="C135" s="21"/>
      <c r="D135" s="800"/>
      <c r="E135" s="799"/>
      <c r="F135" s="6"/>
      <c r="G135" s="57">
        <v>6</v>
      </c>
      <c r="H135" s="59"/>
      <c r="I135" s="59"/>
      <c r="J135" s="59"/>
      <c r="K135" s="59"/>
      <c r="L135" s="59"/>
      <c r="M135" s="59"/>
      <c r="N135" s="59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799"/>
      <c r="AW135" s="799"/>
    </row>
    <row r="136" spans="1:49" x14ac:dyDescent="0.3">
      <c r="A136" s="21"/>
      <c r="B136" s="21"/>
      <c r="C136" s="21"/>
      <c r="D136" s="800"/>
      <c r="E136" s="799"/>
      <c r="F136" s="6"/>
      <c r="G136" s="57">
        <v>7</v>
      </c>
      <c r="H136" s="59"/>
      <c r="I136" s="59"/>
      <c r="J136" s="59"/>
      <c r="K136" s="59"/>
      <c r="L136" s="59"/>
      <c r="M136" s="59"/>
      <c r="N136" s="59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799"/>
      <c r="AW136" s="799"/>
    </row>
    <row r="137" spans="1:49" x14ac:dyDescent="0.3">
      <c r="A137" s="21"/>
      <c r="B137" s="21"/>
      <c r="C137" s="21"/>
      <c r="D137" s="800"/>
      <c r="E137" s="800"/>
      <c r="F137" s="110"/>
      <c r="G137" s="57">
        <v>8</v>
      </c>
      <c r="H137" s="59"/>
      <c r="I137" s="59"/>
      <c r="J137" s="59"/>
      <c r="K137" s="59"/>
      <c r="L137" s="59"/>
      <c r="M137" s="59"/>
      <c r="N137" s="59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800"/>
      <c r="AW137" s="800"/>
    </row>
    <row r="138" spans="1:49" x14ac:dyDescent="0.3">
      <c r="A138" s="21"/>
      <c r="B138" s="21"/>
      <c r="C138" s="21"/>
      <c r="D138" s="801"/>
      <c r="E138" s="802"/>
      <c r="F138" s="111"/>
      <c r="G138" s="57">
        <v>1</v>
      </c>
      <c r="H138" s="58"/>
      <c r="I138" s="58"/>
      <c r="J138" s="58"/>
      <c r="K138" s="58"/>
      <c r="L138" s="58"/>
      <c r="M138" s="58"/>
      <c r="N138" s="58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798"/>
      <c r="AW138" s="798"/>
    </row>
    <row r="139" spans="1:49" x14ac:dyDescent="0.3">
      <c r="A139" s="21"/>
      <c r="B139" s="21"/>
      <c r="C139" s="21"/>
      <c r="D139" s="800"/>
      <c r="E139" s="799"/>
      <c r="F139" s="6"/>
      <c r="G139" s="57">
        <v>2</v>
      </c>
      <c r="H139" s="58"/>
      <c r="I139" s="58"/>
      <c r="J139" s="58"/>
      <c r="K139" s="58"/>
      <c r="L139" s="58"/>
      <c r="M139" s="58"/>
      <c r="N139" s="58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799"/>
      <c r="AW139" s="799"/>
    </row>
    <row r="140" spans="1:49" x14ac:dyDescent="0.3">
      <c r="A140" s="21"/>
      <c r="B140" s="21"/>
      <c r="C140" s="21"/>
      <c r="D140" s="800"/>
      <c r="E140" s="799"/>
      <c r="F140" s="6"/>
      <c r="G140" s="57">
        <v>3</v>
      </c>
      <c r="H140" s="58"/>
      <c r="I140" s="58"/>
      <c r="J140" s="58"/>
      <c r="K140" s="58"/>
      <c r="L140" s="58"/>
      <c r="M140" s="58"/>
      <c r="N140" s="58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799"/>
      <c r="AW140" s="799"/>
    </row>
    <row r="141" spans="1:49" x14ac:dyDescent="0.3">
      <c r="A141" s="21"/>
      <c r="B141" s="21"/>
      <c r="C141" s="21"/>
      <c r="D141" s="800"/>
      <c r="E141" s="799"/>
      <c r="F141" s="6"/>
      <c r="G141" s="57">
        <v>4</v>
      </c>
      <c r="H141" s="59"/>
      <c r="I141" s="59"/>
      <c r="J141" s="59"/>
      <c r="K141" s="59"/>
      <c r="L141" s="59"/>
      <c r="M141" s="59"/>
      <c r="N141" s="59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799"/>
      <c r="AW141" s="799"/>
    </row>
    <row r="142" spans="1:49" x14ac:dyDescent="0.3">
      <c r="A142" s="21"/>
      <c r="B142" s="21"/>
      <c r="C142" s="21"/>
      <c r="D142" s="800"/>
      <c r="E142" s="799"/>
      <c r="F142" s="6"/>
      <c r="G142" s="57">
        <v>5</v>
      </c>
      <c r="H142" s="59"/>
      <c r="I142" s="59"/>
      <c r="J142" s="59"/>
      <c r="K142" s="59"/>
      <c r="L142" s="59"/>
      <c r="M142" s="59"/>
      <c r="N142" s="59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799"/>
      <c r="AW142" s="799"/>
    </row>
    <row r="143" spans="1:49" x14ac:dyDescent="0.3">
      <c r="A143" s="21"/>
      <c r="B143" s="21"/>
      <c r="C143" s="21"/>
      <c r="D143" s="800"/>
      <c r="E143" s="799"/>
      <c r="F143" s="6"/>
      <c r="G143" s="57">
        <v>6</v>
      </c>
      <c r="H143" s="59"/>
      <c r="I143" s="59"/>
      <c r="J143" s="59"/>
      <c r="K143" s="59"/>
      <c r="L143" s="59"/>
      <c r="M143" s="59"/>
      <c r="N143" s="59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799"/>
      <c r="AW143" s="799"/>
    </row>
    <row r="144" spans="1:49" x14ac:dyDescent="0.3">
      <c r="A144" s="21"/>
      <c r="B144" s="21"/>
      <c r="C144" s="21"/>
      <c r="D144" s="800"/>
      <c r="E144" s="799"/>
      <c r="F144" s="6"/>
      <c r="G144" s="57">
        <v>7</v>
      </c>
      <c r="H144" s="59"/>
      <c r="I144" s="59"/>
      <c r="J144" s="59"/>
      <c r="K144" s="59"/>
      <c r="L144" s="59"/>
      <c r="M144" s="59"/>
      <c r="N144" s="59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799"/>
      <c r="AW144" s="799"/>
    </row>
    <row r="145" spans="1:49" x14ac:dyDescent="0.3">
      <c r="A145" s="21"/>
      <c r="B145" s="21"/>
      <c r="C145" s="21"/>
      <c r="D145" s="800"/>
      <c r="E145" s="800"/>
      <c r="F145" s="110"/>
      <c r="G145" s="57">
        <v>8</v>
      </c>
      <c r="H145" s="59"/>
      <c r="I145" s="59"/>
      <c r="J145" s="59"/>
      <c r="K145" s="59"/>
      <c r="L145" s="59"/>
      <c r="M145" s="59"/>
      <c r="N145" s="59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800"/>
      <c r="AW145" s="800"/>
    </row>
    <row r="146" spans="1:49" x14ac:dyDescent="0.3">
      <c r="A146" s="21"/>
      <c r="B146" s="21"/>
      <c r="C146" s="21"/>
      <c r="D146" s="801"/>
      <c r="E146" s="802"/>
      <c r="F146" s="111"/>
      <c r="G146" s="57">
        <v>1</v>
      </c>
      <c r="H146" s="58"/>
      <c r="I146" s="58"/>
      <c r="J146" s="58"/>
      <c r="K146" s="58"/>
      <c r="L146" s="58"/>
      <c r="M146" s="58"/>
      <c r="N146" s="58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798"/>
      <c r="AW146" s="798"/>
    </row>
    <row r="147" spans="1:49" x14ac:dyDescent="0.3">
      <c r="A147" s="21"/>
      <c r="B147" s="21"/>
      <c r="C147" s="21"/>
      <c r="D147" s="800"/>
      <c r="E147" s="799"/>
      <c r="F147" s="6"/>
      <c r="G147" s="57">
        <v>2</v>
      </c>
      <c r="H147" s="58"/>
      <c r="I147" s="58"/>
      <c r="J147" s="58"/>
      <c r="K147" s="58"/>
      <c r="L147" s="58"/>
      <c r="M147" s="58"/>
      <c r="N147" s="58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799"/>
      <c r="AW147" s="799"/>
    </row>
    <row r="148" spans="1:49" x14ac:dyDescent="0.3">
      <c r="A148" s="21"/>
      <c r="B148" s="21"/>
      <c r="C148" s="21"/>
      <c r="D148" s="800"/>
      <c r="E148" s="799"/>
      <c r="F148" s="6"/>
      <c r="G148" s="57">
        <v>3</v>
      </c>
      <c r="H148" s="58"/>
      <c r="I148" s="58"/>
      <c r="J148" s="58"/>
      <c r="K148" s="58"/>
      <c r="L148" s="58"/>
      <c r="M148" s="58"/>
      <c r="N148" s="58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799"/>
      <c r="AW148" s="799"/>
    </row>
    <row r="149" spans="1:49" x14ac:dyDescent="0.3">
      <c r="A149" s="21"/>
      <c r="B149" s="21"/>
      <c r="C149" s="21"/>
      <c r="D149" s="800"/>
      <c r="E149" s="799"/>
      <c r="F149" s="6"/>
      <c r="G149" s="57">
        <v>4</v>
      </c>
      <c r="H149" s="59"/>
      <c r="I149" s="59"/>
      <c r="J149" s="59"/>
      <c r="K149" s="59"/>
      <c r="L149" s="59"/>
      <c r="M149" s="59"/>
      <c r="N149" s="59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799"/>
      <c r="AW149" s="799"/>
    </row>
    <row r="150" spans="1:49" x14ac:dyDescent="0.3">
      <c r="A150" s="21"/>
      <c r="B150" s="21"/>
      <c r="C150" s="21"/>
      <c r="D150" s="800"/>
      <c r="E150" s="799"/>
      <c r="F150" s="6"/>
      <c r="G150" s="57">
        <v>5</v>
      </c>
      <c r="H150" s="59"/>
      <c r="I150" s="59"/>
      <c r="J150" s="59"/>
      <c r="K150" s="59"/>
      <c r="L150" s="59"/>
      <c r="M150" s="59"/>
      <c r="N150" s="59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799"/>
      <c r="AW150" s="799"/>
    </row>
    <row r="151" spans="1:49" x14ac:dyDescent="0.3">
      <c r="A151" s="21"/>
      <c r="B151" s="21"/>
      <c r="C151" s="21"/>
      <c r="D151" s="800"/>
      <c r="E151" s="799"/>
      <c r="F151" s="6"/>
      <c r="G151" s="57">
        <v>6</v>
      </c>
      <c r="H151" s="59"/>
      <c r="I151" s="59"/>
      <c r="J151" s="59"/>
      <c r="K151" s="59"/>
      <c r="L151" s="59"/>
      <c r="M151" s="59"/>
      <c r="N151" s="59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799"/>
      <c r="AW151" s="799"/>
    </row>
    <row r="152" spans="1:49" x14ac:dyDescent="0.3">
      <c r="A152" s="21"/>
      <c r="B152" s="21"/>
      <c r="C152" s="21"/>
      <c r="D152" s="800"/>
      <c r="E152" s="799"/>
      <c r="F152" s="6"/>
      <c r="G152" s="57">
        <v>7</v>
      </c>
      <c r="H152" s="59"/>
      <c r="I152" s="59"/>
      <c r="J152" s="59"/>
      <c r="K152" s="59"/>
      <c r="L152" s="59"/>
      <c r="M152" s="59"/>
      <c r="N152" s="59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799"/>
      <c r="AW152" s="799"/>
    </row>
    <row r="153" spans="1:49" x14ac:dyDescent="0.3">
      <c r="A153" s="21"/>
      <c r="B153" s="21"/>
      <c r="C153" s="21"/>
      <c r="D153" s="800"/>
      <c r="E153" s="800"/>
      <c r="F153" s="110"/>
      <c r="G153" s="57">
        <v>8</v>
      </c>
      <c r="H153" s="59"/>
      <c r="I153" s="59"/>
      <c r="J153" s="59"/>
      <c r="K153" s="59"/>
      <c r="L153" s="59"/>
      <c r="M153" s="59"/>
      <c r="N153" s="59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800"/>
      <c r="AW153" s="800"/>
    </row>
    <row r="154" spans="1:49" x14ac:dyDescent="0.3">
      <c r="A154" s="21"/>
      <c r="B154" s="21"/>
      <c r="C154" s="21"/>
      <c r="D154" s="801"/>
      <c r="E154" s="802"/>
      <c r="F154" s="111"/>
      <c r="G154" s="57">
        <v>1</v>
      </c>
      <c r="H154" s="58"/>
      <c r="I154" s="58"/>
      <c r="J154" s="58"/>
      <c r="K154" s="58"/>
      <c r="L154" s="58"/>
      <c r="M154" s="58"/>
      <c r="N154" s="58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798"/>
      <c r="AW154" s="798"/>
    </row>
    <row r="155" spans="1:49" x14ac:dyDescent="0.3">
      <c r="A155" s="21"/>
      <c r="B155" s="21"/>
      <c r="C155" s="21"/>
      <c r="D155" s="800"/>
      <c r="E155" s="799"/>
      <c r="F155" s="6"/>
      <c r="G155" s="57">
        <v>2</v>
      </c>
      <c r="H155" s="58"/>
      <c r="I155" s="58"/>
      <c r="J155" s="58"/>
      <c r="K155" s="58"/>
      <c r="L155" s="58"/>
      <c r="M155" s="58"/>
      <c r="N155" s="58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799"/>
      <c r="AW155" s="799"/>
    </row>
    <row r="156" spans="1:49" x14ac:dyDescent="0.3">
      <c r="A156" s="21"/>
      <c r="B156" s="21"/>
      <c r="C156" s="21"/>
      <c r="D156" s="800"/>
      <c r="E156" s="799"/>
      <c r="F156" s="6"/>
      <c r="G156" s="57">
        <v>3</v>
      </c>
      <c r="H156" s="58"/>
      <c r="I156" s="58"/>
      <c r="J156" s="58"/>
      <c r="K156" s="58"/>
      <c r="L156" s="58"/>
      <c r="M156" s="58"/>
      <c r="N156" s="58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799"/>
      <c r="AW156" s="799"/>
    </row>
    <row r="157" spans="1:49" x14ac:dyDescent="0.3">
      <c r="A157" s="21"/>
      <c r="B157" s="21"/>
      <c r="C157" s="21"/>
      <c r="D157" s="800"/>
      <c r="E157" s="799"/>
      <c r="F157" s="6"/>
      <c r="G157" s="57">
        <v>4</v>
      </c>
      <c r="H157" s="59"/>
      <c r="I157" s="59"/>
      <c r="J157" s="59"/>
      <c r="K157" s="59"/>
      <c r="L157" s="59"/>
      <c r="M157" s="59"/>
      <c r="N157" s="59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799"/>
      <c r="AW157" s="799"/>
    </row>
    <row r="158" spans="1:49" x14ac:dyDescent="0.3">
      <c r="A158" s="21"/>
      <c r="B158" s="21"/>
      <c r="C158" s="21"/>
      <c r="D158" s="800"/>
      <c r="E158" s="799"/>
      <c r="F158" s="6"/>
      <c r="G158" s="57">
        <v>5</v>
      </c>
      <c r="H158" s="59"/>
      <c r="I158" s="59"/>
      <c r="J158" s="59"/>
      <c r="K158" s="59"/>
      <c r="L158" s="59"/>
      <c r="M158" s="59"/>
      <c r="N158" s="59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799"/>
      <c r="AW158" s="799"/>
    </row>
    <row r="159" spans="1:49" x14ac:dyDescent="0.3">
      <c r="A159" s="21"/>
      <c r="B159" s="21"/>
      <c r="C159" s="21"/>
      <c r="D159" s="800"/>
      <c r="E159" s="799"/>
      <c r="F159" s="6"/>
      <c r="G159" s="57">
        <v>6</v>
      </c>
      <c r="H159" s="59"/>
      <c r="I159" s="59"/>
      <c r="J159" s="59"/>
      <c r="K159" s="59"/>
      <c r="L159" s="59"/>
      <c r="M159" s="59"/>
      <c r="N159" s="59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799"/>
      <c r="AW159" s="799"/>
    </row>
    <row r="160" spans="1:49" x14ac:dyDescent="0.3">
      <c r="A160" s="21"/>
      <c r="B160" s="21"/>
      <c r="C160" s="21"/>
      <c r="D160" s="800"/>
      <c r="E160" s="799"/>
      <c r="F160" s="6"/>
      <c r="G160" s="57">
        <v>7</v>
      </c>
      <c r="H160" s="59"/>
      <c r="I160" s="59"/>
      <c r="J160" s="59"/>
      <c r="K160" s="59"/>
      <c r="L160" s="59"/>
      <c r="M160" s="59"/>
      <c r="N160" s="59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799"/>
      <c r="AW160" s="799"/>
    </row>
    <row r="161" spans="1:49" x14ac:dyDescent="0.3">
      <c r="A161" s="21"/>
      <c r="B161" s="21"/>
      <c r="C161" s="21"/>
      <c r="D161" s="800"/>
      <c r="E161" s="800"/>
      <c r="F161" s="110"/>
      <c r="G161" s="57">
        <v>8</v>
      </c>
      <c r="H161" s="59"/>
      <c r="I161" s="59"/>
      <c r="J161" s="59"/>
      <c r="K161" s="59"/>
      <c r="L161" s="59"/>
      <c r="M161" s="59"/>
      <c r="N161" s="59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800"/>
      <c r="AW161" s="800"/>
    </row>
    <row r="162" spans="1:49" x14ac:dyDescent="0.3">
      <c r="A162" s="21"/>
      <c r="B162" s="21"/>
      <c r="C162" s="21"/>
      <c r="D162" s="801"/>
      <c r="E162" s="802"/>
      <c r="F162" s="111"/>
      <c r="G162" s="57">
        <v>1</v>
      </c>
      <c r="H162" s="58"/>
      <c r="I162" s="58"/>
      <c r="J162" s="58"/>
      <c r="K162" s="58"/>
      <c r="L162" s="58"/>
      <c r="M162" s="58"/>
      <c r="N162" s="58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798"/>
      <c r="AW162" s="798"/>
    </row>
    <row r="163" spans="1:49" x14ac:dyDescent="0.3">
      <c r="A163" s="21"/>
      <c r="B163" s="21"/>
      <c r="C163" s="21"/>
      <c r="D163" s="800"/>
      <c r="E163" s="799"/>
      <c r="F163" s="6"/>
      <c r="G163" s="57">
        <v>2</v>
      </c>
      <c r="H163" s="58"/>
      <c r="I163" s="58"/>
      <c r="J163" s="58"/>
      <c r="K163" s="58"/>
      <c r="L163" s="58"/>
      <c r="M163" s="58"/>
      <c r="N163" s="58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799"/>
      <c r="AW163" s="799"/>
    </row>
    <row r="164" spans="1:49" x14ac:dyDescent="0.3">
      <c r="A164" s="21"/>
      <c r="B164" s="21"/>
      <c r="C164" s="21"/>
      <c r="D164" s="800"/>
      <c r="E164" s="799"/>
      <c r="F164" s="6"/>
      <c r="G164" s="57">
        <v>3</v>
      </c>
      <c r="H164" s="58"/>
      <c r="I164" s="58"/>
      <c r="J164" s="58"/>
      <c r="K164" s="58"/>
      <c r="L164" s="58"/>
      <c r="M164" s="58"/>
      <c r="N164" s="58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799"/>
      <c r="AW164" s="799"/>
    </row>
    <row r="165" spans="1:49" x14ac:dyDescent="0.3">
      <c r="A165" s="21"/>
      <c r="B165" s="21"/>
      <c r="C165" s="21"/>
      <c r="D165" s="800"/>
      <c r="E165" s="799"/>
      <c r="F165" s="6"/>
      <c r="G165" s="57">
        <v>4</v>
      </c>
      <c r="H165" s="59"/>
      <c r="I165" s="59"/>
      <c r="J165" s="59"/>
      <c r="K165" s="59"/>
      <c r="L165" s="59"/>
      <c r="M165" s="59"/>
      <c r="N165" s="59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799"/>
      <c r="AW165" s="799"/>
    </row>
    <row r="166" spans="1:49" x14ac:dyDescent="0.3">
      <c r="A166" s="21"/>
      <c r="B166" s="21"/>
      <c r="C166" s="21"/>
      <c r="D166" s="800"/>
      <c r="E166" s="799"/>
      <c r="F166" s="6"/>
      <c r="G166" s="57">
        <v>5</v>
      </c>
      <c r="H166" s="59"/>
      <c r="I166" s="59"/>
      <c r="J166" s="59"/>
      <c r="K166" s="59"/>
      <c r="L166" s="59"/>
      <c r="M166" s="59"/>
      <c r="N166" s="59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799"/>
      <c r="AW166" s="799"/>
    </row>
    <row r="167" spans="1:49" x14ac:dyDescent="0.3">
      <c r="A167" s="21"/>
      <c r="B167" s="21"/>
      <c r="C167" s="21"/>
      <c r="D167" s="800"/>
      <c r="E167" s="799"/>
      <c r="F167" s="6"/>
      <c r="G167" s="57">
        <v>6</v>
      </c>
      <c r="H167" s="59"/>
      <c r="I167" s="59"/>
      <c r="J167" s="59"/>
      <c r="K167" s="59"/>
      <c r="L167" s="59"/>
      <c r="M167" s="59"/>
      <c r="N167" s="59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799"/>
      <c r="AW167" s="799"/>
    </row>
    <row r="168" spans="1:49" x14ac:dyDescent="0.3">
      <c r="A168" s="21"/>
      <c r="B168" s="21"/>
      <c r="C168" s="21"/>
      <c r="D168" s="800"/>
      <c r="E168" s="799"/>
      <c r="F168" s="6"/>
      <c r="G168" s="57">
        <v>7</v>
      </c>
      <c r="H168" s="59"/>
      <c r="I168" s="59"/>
      <c r="J168" s="59"/>
      <c r="K168" s="59"/>
      <c r="L168" s="59"/>
      <c r="M168" s="59"/>
      <c r="N168" s="59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799"/>
      <c r="AW168" s="799"/>
    </row>
    <row r="169" spans="1:49" x14ac:dyDescent="0.3">
      <c r="A169" s="21"/>
      <c r="B169" s="21"/>
      <c r="C169" s="21"/>
      <c r="D169" s="800"/>
      <c r="E169" s="800"/>
      <c r="F169" s="110"/>
      <c r="G169" s="57">
        <v>8</v>
      </c>
      <c r="H169" s="59"/>
      <c r="I169" s="59"/>
      <c r="J169" s="59"/>
      <c r="K169" s="59"/>
      <c r="L169" s="59"/>
      <c r="M169" s="59"/>
      <c r="N169" s="59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800"/>
      <c r="AW169" s="800"/>
    </row>
    <row r="170" spans="1:49" x14ac:dyDescent="0.3">
      <c r="A170" s="21"/>
      <c r="B170" s="21"/>
      <c r="C170" s="21"/>
      <c r="D170" s="801"/>
      <c r="E170" s="802"/>
      <c r="F170" s="111"/>
      <c r="G170" s="57">
        <v>1</v>
      </c>
      <c r="H170" s="58"/>
      <c r="I170" s="58"/>
      <c r="J170" s="58"/>
      <c r="K170" s="58"/>
      <c r="L170" s="58"/>
      <c r="M170" s="58"/>
      <c r="N170" s="58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798"/>
      <c r="AW170" s="798"/>
    </row>
    <row r="171" spans="1:49" x14ac:dyDescent="0.3">
      <c r="A171" s="21"/>
      <c r="B171" s="21"/>
      <c r="C171" s="21"/>
      <c r="D171" s="800"/>
      <c r="E171" s="799"/>
      <c r="F171" s="6"/>
      <c r="G171" s="57">
        <v>2</v>
      </c>
      <c r="H171" s="58"/>
      <c r="I171" s="58"/>
      <c r="J171" s="58"/>
      <c r="K171" s="58"/>
      <c r="L171" s="58"/>
      <c r="M171" s="58"/>
      <c r="N171" s="58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799"/>
      <c r="AW171" s="799"/>
    </row>
    <row r="172" spans="1:49" x14ac:dyDescent="0.3">
      <c r="A172" s="21"/>
      <c r="B172" s="21"/>
      <c r="C172" s="21"/>
      <c r="D172" s="800"/>
      <c r="E172" s="799"/>
      <c r="F172" s="6"/>
      <c r="G172" s="57">
        <v>3</v>
      </c>
      <c r="H172" s="58"/>
      <c r="I172" s="58"/>
      <c r="J172" s="58"/>
      <c r="K172" s="58"/>
      <c r="L172" s="58"/>
      <c r="M172" s="58"/>
      <c r="N172" s="58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799"/>
      <c r="AW172" s="799"/>
    </row>
    <row r="173" spans="1:49" x14ac:dyDescent="0.3">
      <c r="A173" s="21"/>
      <c r="B173" s="21"/>
      <c r="C173" s="21"/>
      <c r="D173" s="800"/>
      <c r="E173" s="799"/>
      <c r="F173" s="6"/>
      <c r="G173" s="57">
        <v>4</v>
      </c>
      <c r="H173" s="59"/>
      <c r="I173" s="59"/>
      <c r="J173" s="59"/>
      <c r="K173" s="59"/>
      <c r="L173" s="59"/>
      <c r="M173" s="59"/>
      <c r="N173" s="59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799"/>
      <c r="AW173" s="799"/>
    </row>
    <row r="174" spans="1:49" x14ac:dyDescent="0.3">
      <c r="A174" s="21"/>
      <c r="B174" s="21"/>
      <c r="C174" s="21"/>
      <c r="D174" s="800"/>
      <c r="E174" s="799"/>
      <c r="F174" s="6"/>
      <c r="G174" s="57">
        <v>5</v>
      </c>
      <c r="H174" s="59"/>
      <c r="I174" s="59"/>
      <c r="J174" s="59"/>
      <c r="K174" s="59"/>
      <c r="L174" s="59"/>
      <c r="M174" s="59"/>
      <c r="N174" s="59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799"/>
      <c r="AW174" s="799"/>
    </row>
    <row r="175" spans="1:49" x14ac:dyDescent="0.3">
      <c r="A175" s="21"/>
      <c r="B175" s="21"/>
      <c r="C175" s="21"/>
      <c r="D175" s="800"/>
      <c r="E175" s="799"/>
      <c r="F175" s="6"/>
      <c r="G175" s="57">
        <v>6</v>
      </c>
      <c r="H175" s="59"/>
      <c r="I175" s="59"/>
      <c r="J175" s="59"/>
      <c r="K175" s="59"/>
      <c r="L175" s="59"/>
      <c r="M175" s="59"/>
      <c r="N175" s="59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799"/>
      <c r="AW175" s="799"/>
    </row>
    <row r="176" spans="1:49" x14ac:dyDescent="0.3">
      <c r="A176" s="21"/>
      <c r="B176" s="21"/>
      <c r="C176" s="21"/>
      <c r="D176" s="800"/>
      <c r="E176" s="799"/>
      <c r="F176" s="6"/>
      <c r="G176" s="57">
        <v>7</v>
      </c>
      <c r="H176" s="59"/>
      <c r="I176" s="59"/>
      <c r="J176" s="59"/>
      <c r="K176" s="59"/>
      <c r="L176" s="59"/>
      <c r="M176" s="59"/>
      <c r="N176" s="59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799"/>
      <c r="AW176" s="799"/>
    </row>
    <row r="177" spans="1:49" x14ac:dyDescent="0.3">
      <c r="A177" s="21"/>
      <c r="B177" s="21"/>
      <c r="C177" s="21"/>
      <c r="D177" s="800"/>
      <c r="E177" s="800"/>
      <c r="F177" s="110"/>
      <c r="G177" s="57">
        <v>8</v>
      </c>
      <c r="H177" s="59"/>
      <c r="I177" s="59"/>
      <c r="J177" s="59"/>
      <c r="K177" s="59"/>
      <c r="L177" s="59"/>
      <c r="M177" s="59"/>
      <c r="N177" s="59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800"/>
      <c r="AW177" s="800"/>
    </row>
    <row r="178" spans="1:49" x14ac:dyDescent="0.3">
      <c r="A178" s="21"/>
      <c r="B178" s="21"/>
      <c r="C178" s="21"/>
      <c r="D178" s="801"/>
      <c r="E178" s="802"/>
      <c r="F178" s="111"/>
      <c r="G178" s="57">
        <v>1</v>
      </c>
      <c r="H178" s="58"/>
      <c r="I178" s="58"/>
      <c r="J178" s="58"/>
      <c r="K178" s="58"/>
      <c r="L178" s="58"/>
      <c r="M178" s="58"/>
      <c r="N178" s="58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798"/>
      <c r="AW178" s="798"/>
    </row>
    <row r="179" spans="1:49" x14ac:dyDescent="0.3">
      <c r="A179" s="21"/>
      <c r="B179" s="21"/>
      <c r="C179" s="21"/>
      <c r="D179" s="800"/>
      <c r="E179" s="799"/>
      <c r="F179" s="6"/>
      <c r="G179" s="57">
        <v>2</v>
      </c>
      <c r="H179" s="58"/>
      <c r="I179" s="58"/>
      <c r="J179" s="58"/>
      <c r="K179" s="58"/>
      <c r="L179" s="58"/>
      <c r="M179" s="58"/>
      <c r="N179" s="58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799"/>
      <c r="AW179" s="799"/>
    </row>
    <row r="180" spans="1:49" x14ac:dyDescent="0.3">
      <c r="A180" s="21"/>
      <c r="B180" s="21"/>
      <c r="C180" s="21"/>
      <c r="D180" s="800"/>
      <c r="E180" s="799"/>
      <c r="F180" s="6"/>
      <c r="G180" s="57">
        <v>3</v>
      </c>
      <c r="H180" s="58"/>
      <c r="I180" s="58"/>
      <c r="J180" s="58"/>
      <c r="K180" s="58"/>
      <c r="L180" s="58"/>
      <c r="M180" s="58"/>
      <c r="N180" s="58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799"/>
      <c r="AW180" s="799"/>
    </row>
    <row r="181" spans="1:49" x14ac:dyDescent="0.3">
      <c r="A181" s="21"/>
      <c r="B181" s="21"/>
      <c r="C181" s="21"/>
      <c r="D181" s="800"/>
      <c r="E181" s="799"/>
      <c r="F181" s="6"/>
      <c r="G181" s="57">
        <v>4</v>
      </c>
      <c r="H181" s="59"/>
      <c r="I181" s="59"/>
      <c r="J181" s="59"/>
      <c r="K181" s="59"/>
      <c r="L181" s="59"/>
      <c r="M181" s="59"/>
      <c r="N181" s="59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799"/>
      <c r="AW181" s="799"/>
    </row>
    <row r="182" spans="1:49" x14ac:dyDescent="0.3">
      <c r="A182" s="21"/>
      <c r="B182" s="21"/>
      <c r="C182" s="21"/>
      <c r="D182" s="800"/>
      <c r="E182" s="799"/>
      <c r="F182" s="6"/>
      <c r="G182" s="57">
        <v>5</v>
      </c>
      <c r="H182" s="59"/>
      <c r="I182" s="59"/>
      <c r="J182" s="59"/>
      <c r="K182" s="59"/>
      <c r="L182" s="59"/>
      <c r="M182" s="59"/>
      <c r="N182" s="59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799"/>
      <c r="AW182" s="799"/>
    </row>
    <row r="183" spans="1:49" x14ac:dyDescent="0.3">
      <c r="A183" s="21"/>
      <c r="B183" s="21"/>
      <c r="C183" s="21"/>
      <c r="D183" s="800"/>
      <c r="E183" s="799"/>
      <c r="F183" s="6"/>
      <c r="G183" s="57">
        <v>6</v>
      </c>
      <c r="H183" s="59"/>
      <c r="I183" s="59"/>
      <c r="J183" s="59"/>
      <c r="K183" s="59"/>
      <c r="L183" s="59"/>
      <c r="M183" s="59"/>
      <c r="N183" s="59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799"/>
      <c r="AW183" s="799"/>
    </row>
    <row r="184" spans="1:49" x14ac:dyDescent="0.3">
      <c r="A184" s="21"/>
      <c r="B184" s="21"/>
      <c r="C184" s="21"/>
      <c r="D184" s="800"/>
      <c r="E184" s="799"/>
      <c r="F184" s="6"/>
      <c r="G184" s="57">
        <v>7</v>
      </c>
      <c r="H184" s="59"/>
      <c r="I184" s="59"/>
      <c r="J184" s="59"/>
      <c r="K184" s="59"/>
      <c r="L184" s="59"/>
      <c r="M184" s="59"/>
      <c r="N184" s="59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799"/>
      <c r="AW184" s="799"/>
    </row>
    <row r="185" spans="1:49" x14ac:dyDescent="0.3">
      <c r="A185" s="21"/>
      <c r="B185" s="21"/>
      <c r="C185" s="21"/>
      <c r="D185" s="800"/>
      <c r="E185" s="800"/>
      <c r="F185" s="110"/>
      <c r="G185" s="57">
        <v>8</v>
      </c>
      <c r="H185" s="59"/>
      <c r="I185" s="59"/>
      <c r="J185" s="59"/>
      <c r="K185" s="59"/>
      <c r="L185" s="59"/>
      <c r="M185" s="59"/>
      <c r="N185" s="59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800"/>
      <c r="AW185" s="800"/>
    </row>
    <row r="186" spans="1:49" x14ac:dyDescent="0.3">
      <c r="A186" s="21"/>
      <c r="B186" s="21"/>
      <c r="C186" s="21"/>
      <c r="D186" s="801"/>
      <c r="E186" s="802"/>
      <c r="F186" s="111"/>
      <c r="G186" s="57">
        <v>1</v>
      </c>
      <c r="H186" s="58"/>
      <c r="I186" s="58"/>
      <c r="J186" s="58"/>
      <c r="K186" s="58"/>
      <c r="L186" s="58"/>
      <c r="M186" s="58"/>
      <c r="N186" s="58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798"/>
      <c r="AW186" s="798"/>
    </row>
    <row r="187" spans="1:49" x14ac:dyDescent="0.3">
      <c r="A187" s="21"/>
      <c r="B187" s="21"/>
      <c r="C187" s="21"/>
      <c r="D187" s="800"/>
      <c r="E187" s="799"/>
      <c r="F187" s="6"/>
      <c r="G187" s="57">
        <v>2</v>
      </c>
      <c r="H187" s="58"/>
      <c r="I187" s="58"/>
      <c r="J187" s="58"/>
      <c r="K187" s="58"/>
      <c r="L187" s="58"/>
      <c r="M187" s="58"/>
      <c r="N187" s="58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799"/>
      <c r="AW187" s="799"/>
    </row>
    <row r="188" spans="1:49" x14ac:dyDescent="0.3">
      <c r="A188" s="21"/>
      <c r="B188" s="21"/>
      <c r="C188" s="21"/>
      <c r="D188" s="800"/>
      <c r="E188" s="799"/>
      <c r="F188" s="6"/>
      <c r="G188" s="57">
        <v>3</v>
      </c>
      <c r="H188" s="58"/>
      <c r="I188" s="58"/>
      <c r="J188" s="58"/>
      <c r="K188" s="58"/>
      <c r="L188" s="58"/>
      <c r="M188" s="58"/>
      <c r="N188" s="58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799"/>
      <c r="AW188" s="799"/>
    </row>
    <row r="189" spans="1:49" x14ac:dyDescent="0.3">
      <c r="A189" s="21"/>
      <c r="B189" s="21"/>
      <c r="C189" s="21"/>
      <c r="D189" s="800"/>
      <c r="E189" s="799"/>
      <c r="F189" s="6"/>
      <c r="G189" s="57">
        <v>4</v>
      </c>
      <c r="H189" s="59"/>
      <c r="I189" s="59"/>
      <c r="J189" s="59"/>
      <c r="K189" s="59"/>
      <c r="L189" s="59"/>
      <c r="M189" s="59"/>
      <c r="N189" s="59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799"/>
      <c r="AW189" s="799"/>
    </row>
    <row r="190" spans="1:49" x14ac:dyDescent="0.3">
      <c r="A190" s="21"/>
      <c r="B190" s="21"/>
      <c r="C190" s="21"/>
      <c r="D190" s="800"/>
      <c r="E190" s="799"/>
      <c r="F190" s="6"/>
      <c r="G190" s="57">
        <v>5</v>
      </c>
      <c r="H190" s="59"/>
      <c r="I190" s="59"/>
      <c r="J190" s="59"/>
      <c r="K190" s="59"/>
      <c r="L190" s="59"/>
      <c r="M190" s="59"/>
      <c r="N190" s="59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799"/>
      <c r="AW190" s="799"/>
    </row>
    <row r="191" spans="1:49" x14ac:dyDescent="0.3">
      <c r="A191" s="21"/>
      <c r="B191" s="21"/>
      <c r="C191" s="21"/>
      <c r="D191" s="800"/>
      <c r="E191" s="799"/>
      <c r="F191" s="6"/>
      <c r="G191" s="57">
        <v>6</v>
      </c>
      <c r="H191" s="59"/>
      <c r="I191" s="59"/>
      <c r="J191" s="59"/>
      <c r="K191" s="59"/>
      <c r="L191" s="59"/>
      <c r="M191" s="59"/>
      <c r="N191" s="59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799"/>
      <c r="AW191" s="799"/>
    </row>
    <row r="192" spans="1:49" x14ac:dyDescent="0.3">
      <c r="A192" s="21"/>
      <c r="B192" s="21"/>
      <c r="C192" s="21"/>
      <c r="D192" s="800"/>
      <c r="E192" s="799"/>
      <c r="F192" s="6"/>
      <c r="G192" s="57">
        <v>7</v>
      </c>
      <c r="H192" s="59"/>
      <c r="I192" s="59"/>
      <c r="J192" s="59"/>
      <c r="K192" s="59"/>
      <c r="L192" s="59"/>
      <c r="M192" s="59"/>
      <c r="N192" s="59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799"/>
      <c r="AW192" s="799"/>
    </row>
    <row r="193" spans="1:49" x14ac:dyDescent="0.3">
      <c r="A193" s="21"/>
      <c r="B193" s="21"/>
      <c r="C193" s="21"/>
      <c r="D193" s="800"/>
      <c r="E193" s="800"/>
      <c r="F193" s="110"/>
      <c r="G193" s="57">
        <v>8</v>
      </c>
      <c r="H193" s="59"/>
      <c r="I193" s="59"/>
      <c r="J193" s="59"/>
      <c r="K193" s="59"/>
      <c r="L193" s="59"/>
      <c r="M193" s="59"/>
      <c r="N193" s="59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800"/>
      <c r="AW193" s="800"/>
    </row>
    <row r="194" spans="1:49" x14ac:dyDescent="0.3">
      <c r="A194" s="21"/>
      <c r="B194" s="21"/>
      <c r="C194" s="21"/>
      <c r="D194" s="801"/>
      <c r="E194" s="802"/>
      <c r="F194" s="111"/>
      <c r="G194" s="57">
        <v>1</v>
      </c>
      <c r="H194" s="58"/>
      <c r="I194" s="58"/>
      <c r="J194" s="58"/>
      <c r="K194" s="58"/>
      <c r="L194" s="58"/>
      <c r="M194" s="58"/>
      <c r="N194" s="58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798"/>
      <c r="AW194" s="798"/>
    </row>
    <row r="195" spans="1:49" x14ac:dyDescent="0.3">
      <c r="A195" s="21"/>
      <c r="B195" s="21"/>
      <c r="C195" s="21"/>
      <c r="D195" s="800"/>
      <c r="E195" s="799"/>
      <c r="F195" s="6"/>
      <c r="G195" s="57">
        <v>2</v>
      </c>
      <c r="H195" s="58"/>
      <c r="I195" s="58"/>
      <c r="J195" s="58"/>
      <c r="K195" s="58"/>
      <c r="L195" s="58"/>
      <c r="M195" s="58"/>
      <c r="N195" s="58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799"/>
      <c r="AW195" s="799"/>
    </row>
    <row r="196" spans="1:49" x14ac:dyDescent="0.3">
      <c r="A196" s="21"/>
      <c r="B196" s="21"/>
      <c r="C196" s="21"/>
      <c r="D196" s="800"/>
      <c r="E196" s="799"/>
      <c r="F196" s="6"/>
      <c r="G196" s="57">
        <v>3</v>
      </c>
      <c r="H196" s="58"/>
      <c r="I196" s="58"/>
      <c r="J196" s="58"/>
      <c r="K196" s="58"/>
      <c r="L196" s="58"/>
      <c r="M196" s="58"/>
      <c r="N196" s="58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799"/>
      <c r="AW196" s="799"/>
    </row>
    <row r="197" spans="1:49" x14ac:dyDescent="0.3">
      <c r="A197" s="21"/>
      <c r="B197" s="21"/>
      <c r="C197" s="21"/>
      <c r="D197" s="800"/>
      <c r="E197" s="799"/>
      <c r="F197" s="6"/>
      <c r="G197" s="57">
        <v>4</v>
      </c>
      <c r="H197" s="59"/>
      <c r="I197" s="59"/>
      <c r="J197" s="59"/>
      <c r="K197" s="59"/>
      <c r="L197" s="59"/>
      <c r="M197" s="59"/>
      <c r="N197" s="59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799"/>
      <c r="AW197" s="799"/>
    </row>
    <row r="198" spans="1:49" x14ac:dyDescent="0.3">
      <c r="A198" s="21"/>
      <c r="B198" s="21"/>
      <c r="C198" s="21"/>
      <c r="D198" s="800"/>
      <c r="E198" s="799"/>
      <c r="F198" s="6"/>
      <c r="G198" s="57">
        <v>5</v>
      </c>
      <c r="H198" s="59"/>
      <c r="I198" s="59"/>
      <c r="J198" s="59"/>
      <c r="K198" s="59"/>
      <c r="L198" s="59"/>
      <c r="M198" s="59"/>
      <c r="N198" s="59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799"/>
      <c r="AW198" s="799"/>
    </row>
    <row r="199" spans="1:49" x14ac:dyDescent="0.3">
      <c r="A199" s="21"/>
      <c r="B199" s="21"/>
      <c r="C199" s="21"/>
      <c r="D199" s="800"/>
      <c r="E199" s="799"/>
      <c r="F199" s="6"/>
      <c r="G199" s="57">
        <v>6</v>
      </c>
      <c r="H199" s="59"/>
      <c r="I199" s="59"/>
      <c r="J199" s="59"/>
      <c r="K199" s="59"/>
      <c r="L199" s="59"/>
      <c r="M199" s="59"/>
      <c r="N199" s="59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799"/>
      <c r="AW199" s="799"/>
    </row>
    <row r="200" spans="1:49" x14ac:dyDescent="0.3">
      <c r="A200" s="21"/>
      <c r="B200" s="21"/>
      <c r="C200" s="21"/>
      <c r="D200" s="800"/>
      <c r="E200" s="799"/>
      <c r="F200" s="6"/>
      <c r="G200" s="57">
        <v>7</v>
      </c>
      <c r="H200" s="59"/>
      <c r="I200" s="59"/>
      <c r="J200" s="59"/>
      <c r="K200" s="59"/>
      <c r="L200" s="59"/>
      <c r="M200" s="59"/>
      <c r="N200" s="59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799"/>
      <c r="AW200" s="799"/>
    </row>
    <row r="201" spans="1:49" x14ac:dyDescent="0.3">
      <c r="A201" s="21"/>
      <c r="B201" s="21"/>
      <c r="C201" s="21"/>
      <c r="D201" s="800"/>
      <c r="E201" s="800"/>
      <c r="F201" s="110"/>
      <c r="G201" s="57">
        <v>8</v>
      </c>
      <c r="H201" s="59"/>
      <c r="I201" s="59"/>
      <c r="J201" s="59"/>
      <c r="K201" s="59"/>
      <c r="L201" s="59"/>
      <c r="M201" s="59"/>
      <c r="N201" s="59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800"/>
      <c r="AW201" s="800"/>
    </row>
    <row r="202" spans="1:49" x14ac:dyDescent="0.3">
      <c r="A202" s="21"/>
      <c r="B202" s="21"/>
      <c r="C202" s="21"/>
      <c r="D202" s="801"/>
      <c r="E202" s="802"/>
      <c r="F202" s="111"/>
      <c r="G202" s="57">
        <v>1</v>
      </c>
      <c r="H202" s="58"/>
      <c r="I202" s="58"/>
      <c r="J202" s="58"/>
      <c r="K202" s="58"/>
      <c r="L202" s="58"/>
      <c r="M202" s="58"/>
      <c r="N202" s="58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798"/>
      <c r="AW202" s="798"/>
    </row>
    <row r="203" spans="1:49" x14ac:dyDescent="0.3">
      <c r="A203" s="21"/>
      <c r="B203" s="21"/>
      <c r="C203" s="21"/>
      <c r="D203" s="800"/>
      <c r="E203" s="799"/>
      <c r="F203" s="6"/>
      <c r="G203" s="57">
        <v>2</v>
      </c>
      <c r="H203" s="58"/>
      <c r="I203" s="58"/>
      <c r="J203" s="58"/>
      <c r="K203" s="58"/>
      <c r="L203" s="58"/>
      <c r="M203" s="58"/>
      <c r="N203" s="58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799"/>
      <c r="AW203" s="799"/>
    </row>
    <row r="204" spans="1:49" x14ac:dyDescent="0.3">
      <c r="A204" s="21"/>
      <c r="B204" s="21"/>
      <c r="C204" s="21"/>
      <c r="D204" s="800"/>
      <c r="E204" s="799"/>
      <c r="F204" s="6"/>
      <c r="G204" s="57">
        <v>3</v>
      </c>
      <c r="H204" s="58"/>
      <c r="I204" s="58"/>
      <c r="J204" s="58"/>
      <c r="K204" s="58"/>
      <c r="L204" s="58"/>
      <c r="M204" s="58"/>
      <c r="N204" s="58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799"/>
      <c r="AW204" s="799"/>
    </row>
    <row r="205" spans="1:49" x14ac:dyDescent="0.3">
      <c r="A205" s="21"/>
      <c r="B205" s="21"/>
      <c r="C205" s="21"/>
      <c r="D205" s="800"/>
      <c r="E205" s="799"/>
      <c r="F205" s="6"/>
      <c r="G205" s="57">
        <v>4</v>
      </c>
      <c r="H205" s="59"/>
      <c r="I205" s="59"/>
      <c r="J205" s="59"/>
      <c r="K205" s="59"/>
      <c r="L205" s="59"/>
      <c r="M205" s="59"/>
      <c r="N205" s="59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799"/>
      <c r="AW205" s="799"/>
    </row>
    <row r="206" spans="1:49" x14ac:dyDescent="0.3">
      <c r="A206" s="21"/>
      <c r="B206" s="21"/>
      <c r="C206" s="21"/>
      <c r="D206" s="800"/>
      <c r="E206" s="799"/>
      <c r="F206" s="6"/>
      <c r="G206" s="57">
        <v>5</v>
      </c>
      <c r="H206" s="59"/>
      <c r="I206" s="59"/>
      <c r="J206" s="59"/>
      <c r="K206" s="59"/>
      <c r="L206" s="59"/>
      <c r="M206" s="59"/>
      <c r="N206" s="59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799"/>
      <c r="AW206" s="799"/>
    </row>
    <row r="207" spans="1:49" x14ac:dyDescent="0.3">
      <c r="A207" s="21"/>
      <c r="B207" s="21"/>
      <c r="C207" s="21"/>
      <c r="D207" s="800"/>
      <c r="E207" s="799"/>
      <c r="F207" s="6"/>
      <c r="G207" s="57">
        <v>6</v>
      </c>
      <c r="H207" s="59"/>
      <c r="I207" s="59"/>
      <c r="J207" s="59"/>
      <c r="K207" s="59"/>
      <c r="L207" s="59"/>
      <c r="M207" s="59"/>
      <c r="N207" s="59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799"/>
      <c r="AW207" s="799"/>
    </row>
    <row r="208" spans="1:49" x14ac:dyDescent="0.3">
      <c r="A208" s="21"/>
      <c r="B208" s="21"/>
      <c r="C208" s="21"/>
      <c r="D208" s="800"/>
      <c r="E208" s="799"/>
      <c r="F208" s="6"/>
      <c r="G208" s="57">
        <v>7</v>
      </c>
      <c r="H208" s="59"/>
      <c r="I208" s="59"/>
      <c r="J208" s="59"/>
      <c r="K208" s="59"/>
      <c r="L208" s="59"/>
      <c r="M208" s="59"/>
      <c r="N208" s="59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799"/>
      <c r="AW208" s="799"/>
    </row>
    <row r="209" spans="1:49" x14ac:dyDescent="0.3">
      <c r="A209" s="21"/>
      <c r="B209" s="21"/>
      <c r="C209" s="21"/>
      <c r="D209" s="800"/>
      <c r="E209" s="800"/>
      <c r="F209" s="110"/>
      <c r="G209" s="57">
        <v>8</v>
      </c>
      <c r="H209" s="59"/>
      <c r="I209" s="59"/>
      <c r="J209" s="59"/>
      <c r="K209" s="59"/>
      <c r="L209" s="59"/>
      <c r="M209" s="59"/>
      <c r="N209" s="59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800"/>
      <c r="AW209" s="800"/>
    </row>
    <row r="210" spans="1:49" x14ac:dyDescent="0.3">
      <c r="A210" s="21"/>
      <c r="B210" s="21"/>
      <c r="C210" s="21"/>
      <c r="D210" s="801"/>
      <c r="E210" s="802"/>
      <c r="F210" s="111"/>
      <c r="G210" s="57">
        <v>1</v>
      </c>
      <c r="H210" s="58"/>
      <c r="I210" s="58"/>
      <c r="J210" s="58"/>
      <c r="K210" s="58"/>
      <c r="L210" s="58"/>
      <c r="M210" s="58"/>
      <c r="N210" s="58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798"/>
      <c r="AW210" s="798"/>
    </row>
    <row r="211" spans="1:49" x14ac:dyDescent="0.3">
      <c r="A211" s="21"/>
      <c r="B211" s="21"/>
      <c r="C211" s="21"/>
      <c r="D211" s="800"/>
      <c r="E211" s="799"/>
      <c r="F211" s="6"/>
      <c r="G211" s="57">
        <v>2</v>
      </c>
      <c r="H211" s="58"/>
      <c r="I211" s="58"/>
      <c r="J211" s="58"/>
      <c r="K211" s="58"/>
      <c r="L211" s="58"/>
      <c r="M211" s="58"/>
      <c r="N211" s="58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799"/>
      <c r="AW211" s="799"/>
    </row>
    <row r="212" spans="1:49" x14ac:dyDescent="0.3">
      <c r="A212" s="21"/>
      <c r="B212" s="21"/>
      <c r="C212" s="21"/>
      <c r="D212" s="800"/>
      <c r="E212" s="799"/>
      <c r="F212" s="6"/>
      <c r="G212" s="57">
        <v>3</v>
      </c>
      <c r="H212" s="58"/>
      <c r="I212" s="58"/>
      <c r="J212" s="58"/>
      <c r="K212" s="58"/>
      <c r="L212" s="58"/>
      <c r="M212" s="58"/>
      <c r="N212" s="58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799"/>
      <c r="AW212" s="799"/>
    </row>
    <row r="213" spans="1:49" x14ac:dyDescent="0.3">
      <c r="A213" s="21"/>
      <c r="B213" s="21"/>
      <c r="C213" s="21"/>
      <c r="D213" s="800"/>
      <c r="E213" s="799"/>
      <c r="F213" s="6"/>
      <c r="G213" s="57">
        <v>4</v>
      </c>
      <c r="H213" s="59"/>
      <c r="I213" s="59"/>
      <c r="J213" s="59"/>
      <c r="K213" s="59"/>
      <c r="L213" s="59"/>
      <c r="M213" s="59"/>
      <c r="N213" s="59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799"/>
      <c r="AW213" s="799"/>
    </row>
    <row r="214" spans="1:49" x14ac:dyDescent="0.3">
      <c r="A214" s="21"/>
      <c r="B214" s="21"/>
      <c r="C214" s="21"/>
      <c r="D214" s="800"/>
      <c r="E214" s="799"/>
      <c r="F214" s="6"/>
      <c r="G214" s="57">
        <v>5</v>
      </c>
      <c r="H214" s="59"/>
      <c r="I214" s="59"/>
      <c r="J214" s="59"/>
      <c r="K214" s="59"/>
      <c r="L214" s="59"/>
      <c r="M214" s="59"/>
      <c r="N214" s="59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799"/>
      <c r="AW214" s="799"/>
    </row>
    <row r="215" spans="1:49" x14ac:dyDescent="0.3">
      <c r="A215" s="21"/>
      <c r="B215" s="21"/>
      <c r="C215" s="21"/>
      <c r="D215" s="800"/>
      <c r="E215" s="799"/>
      <c r="F215" s="6"/>
      <c r="G215" s="57">
        <v>6</v>
      </c>
      <c r="H215" s="59"/>
      <c r="I215" s="59"/>
      <c r="J215" s="59"/>
      <c r="K215" s="59"/>
      <c r="L215" s="59"/>
      <c r="M215" s="59"/>
      <c r="N215" s="59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799"/>
      <c r="AW215" s="799"/>
    </row>
    <row r="216" spans="1:49" x14ac:dyDescent="0.3">
      <c r="A216" s="21"/>
      <c r="B216" s="21"/>
      <c r="C216" s="21"/>
      <c r="D216" s="800"/>
      <c r="E216" s="799"/>
      <c r="F216" s="6"/>
      <c r="G216" s="57">
        <v>7</v>
      </c>
      <c r="H216" s="59"/>
      <c r="I216" s="59"/>
      <c r="J216" s="59"/>
      <c r="K216" s="59"/>
      <c r="L216" s="59"/>
      <c r="M216" s="59"/>
      <c r="N216" s="59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799"/>
      <c r="AW216" s="799"/>
    </row>
    <row r="217" spans="1:49" x14ac:dyDescent="0.3">
      <c r="A217" s="21"/>
      <c r="B217" s="21"/>
      <c r="C217" s="21"/>
      <c r="D217" s="800"/>
      <c r="E217" s="800"/>
      <c r="F217" s="110"/>
      <c r="G217" s="57">
        <v>8</v>
      </c>
      <c r="H217" s="59"/>
      <c r="I217" s="59"/>
      <c r="J217" s="59"/>
      <c r="K217" s="59"/>
      <c r="L217" s="59"/>
      <c r="M217" s="59"/>
      <c r="N217" s="59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800"/>
      <c r="AW217" s="800"/>
    </row>
    <row r="218" spans="1:49" x14ac:dyDescent="0.3">
      <c r="A218" s="21"/>
      <c r="B218" s="21"/>
      <c r="C218" s="21"/>
      <c r="D218" s="801"/>
      <c r="E218" s="802"/>
      <c r="F218" s="111"/>
      <c r="G218" s="57">
        <v>1</v>
      </c>
      <c r="H218" s="58"/>
      <c r="I218" s="58"/>
      <c r="J218" s="58"/>
      <c r="K218" s="58"/>
      <c r="L218" s="58"/>
      <c r="M218" s="58"/>
      <c r="N218" s="58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798"/>
      <c r="AW218" s="798"/>
    </row>
    <row r="219" spans="1:49" x14ac:dyDescent="0.3">
      <c r="A219" s="21"/>
      <c r="B219" s="21"/>
      <c r="C219" s="21"/>
      <c r="D219" s="800"/>
      <c r="E219" s="799"/>
      <c r="F219" s="6"/>
      <c r="G219" s="57">
        <v>2</v>
      </c>
      <c r="H219" s="58"/>
      <c r="I219" s="58"/>
      <c r="J219" s="58"/>
      <c r="K219" s="58"/>
      <c r="L219" s="58"/>
      <c r="M219" s="58"/>
      <c r="N219" s="58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799"/>
      <c r="AW219" s="799"/>
    </row>
    <row r="220" spans="1:49" x14ac:dyDescent="0.3">
      <c r="A220" s="21"/>
      <c r="B220" s="21"/>
      <c r="C220" s="21"/>
      <c r="D220" s="800"/>
      <c r="E220" s="799"/>
      <c r="F220" s="6"/>
      <c r="G220" s="57">
        <v>3</v>
      </c>
      <c r="H220" s="58"/>
      <c r="I220" s="58"/>
      <c r="J220" s="58"/>
      <c r="K220" s="58"/>
      <c r="L220" s="58"/>
      <c r="M220" s="58"/>
      <c r="N220" s="58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799"/>
      <c r="AW220" s="799"/>
    </row>
    <row r="221" spans="1:49" x14ac:dyDescent="0.3">
      <c r="A221" s="21"/>
      <c r="B221" s="21"/>
      <c r="C221" s="21"/>
      <c r="D221" s="800"/>
      <c r="E221" s="799"/>
      <c r="F221" s="6"/>
      <c r="G221" s="57">
        <v>4</v>
      </c>
      <c r="H221" s="59"/>
      <c r="I221" s="59"/>
      <c r="J221" s="59"/>
      <c r="K221" s="59"/>
      <c r="L221" s="59"/>
      <c r="M221" s="59"/>
      <c r="N221" s="59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799"/>
      <c r="AW221" s="799"/>
    </row>
    <row r="222" spans="1:49" x14ac:dyDescent="0.3">
      <c r="A222" s="21"/>
      <c r="B222" s="21"/>
      <c r="C222" s="21"/>
      <c r="D222" s="800"/>
      <c r="E222" s="799"/>
      <c r="F222" s="6"/>
      <c r="G222" s="57">
        <v>5</v>
      </c>
      <c r="H222" s="59"/>
      <c r="I222" s="59"/>
      <c r="J222" s="59"/>
      <c r="K222" s="59"/>
      <c r="L222" s="59"/>
      <c r="M222" s="59"/>
      <c r="N222" s="59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799"/>
      <c r="AW222" s="799"/>
    </row>
    <row r="223" spans="1:49" x14ac:dyDescent="0.3">
      <c r="A223" s="21"/>
      <c r="B223" s="21"/>
      <c r="C223" s="21"/>
      <c r="D223" s="800"/>
      <c r="E223" s="799"/>
      <c r="F223" s="6"/>
      <c r="G223" s="57">
        <v>6</v>
      </c>
      <c r="H223" s="59"/>
      <c r="I223" s="59"/>
      <c r="J223" s="59"/>
      <c r="K223" s="59"/>
      <c r="L223" s="59"/>
      <c r="M223" s="59"/>
      <c r="N223" s="59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799"/>
      <c r="AW223" s="799"/>
    </row>
    <row r="224" spans="1:49" x14ac:dyDescent="0.3">
      <c r="A224" s="21"/>
      <c r="B224" s="21"/>
      <c r="C224" s="21"/>
      <c r="D224" s="800"/>
      <c r="E224" s="799"/>
      <c r="F224" s="6"/>
      <c r="G224" s="57">
        <v>7</v>
      </c>
      <c r="H224" s="59"/>
      <c r="I224" s="59"/>
      <c r="J224" s="59"/>
      <c r="K224" s="59"/>
      <c r="L224" s="59"/>
      <c r="M224" s="59"/>
      <c r="N224" s="59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799"/>
      <c r="AW224" s="799"/>
    </row>
    <row r="225" spans="1:49" x14ac:dyDescent="0.3">
      <c r="A225" s="21"/>
      <c r="B225" s="21"/>
      <c r="C225" s="21"/>
      <c r="D225" s="800"/>
      <c r="E225" s="800"/>
      <c r="F225" s="110"/>
      <c r="G225" s="57">
        <v>8</v>
      </c>
      <c r="H225" s="59"/>
      <c r="I225" s="59"/>
      <c r="J225" s="59"/>
      <c r="K225" s="59"/>
      <c r="L225" s="59"/>
      <c r="M225" s="59"/>
      <c r="N225" s="59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800"/>
      <c r="AW225" s="800"/>
    </row>
    <row r="226" spans="1:49" x14ac:dyDescent="0.3">
      <c r="A226" s="21"/>
      <c r="B226" s="21"/>
      <c r="C226" s="21"/>
      <c r="D226" s="801"/>
      <c r="E226" s="802"/>
      <c r="F226" s="111"/>
      <c r="G226" s="57">
        <v>1</v>
      </c>
      <c r="H226" s="58"/>
      <c r="I226" s="58"/>
      <c r="J226" s="58"/>
      <c r="K226" s="58"/>
      <c r="L226" s="58"/>
      <c r="M226" s="58"/>
      <c r="N226" s="58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798"/>
      <c r="AW226" s="798"/>
    </row>
    <row r="227" spans="1:49" x14ac:dyDescent="0.3">
      <c r="A227" s="21"/>
      <c r="B227" s="21"/>
      <c r="C227" s="21"/>
      <c r="D227" s="800"/>
      <c r="E227" s="799"/>
      <c r="F227" s="6"/>
      <c r="G227" s="57">
        <v>2</v>
      </c>
      <c r="H227" s="58"/>
      <c r="I227" s="58"/>
      <c r="J227" s="58"/>
      <c r="K227" s="58"/>
      <c r="L227" s="58"/>
      <c r="M227" s="58"/>
      <c r="N227" s="58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799"/>
      <c r="AW227" s="799"/>
    </row>
    <row r="228" spans="1:49" x14ac:dyDescent="0.3">
      <c r="A228" s="21"/>
      <c r="B228" s="21"/>
      <c r="C228" s="21"/>
      <c r="D228" s="800"/>
      <c r="E228" s="799"/>
      <c r="F228" s="6"/>
      <c r="G228" s="57">
        <v>3</v>
      </c>
      <c r="H228" s="58"/>
      <c r="I228" s="58"/>
      <c r="J228" s="58"/>
      <c r="K228" s="58"/>
      <c r="L228" s="58"/>
      <c r="M228" s="58"/>
      <c r="N228" s="58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799"/>
      <c r="AW228" s="799"/>
    </row>
    <row r="229" spans="1:49" x14ac:dyDescent="0.3">
      <c r="A229" s="21"/>
      <c r="B229" s="21"/>
      <c r="C229" s="21"/>
      <c r="D229" s="800"/>
      <c r="E229" s="799"/>
      <c r="F229" s="6"/>
      <c r="G229" s="57">
        <v>4</v>
      </c>
      <c r="H229" s="59"/>
      <c r="I229" s="59"/>
      <c r="J229" s="59"/>
      <c r="K229" s="59"/>
      <c r="L229" s="59"/>
      <c r="M229" s="59"/>
      <c r="N229" s="59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799"/>
      <c r="AW229" s="799"/>
    </row>
    <row r="230" spans="1:49" x14ac:dyDescent="0.3">
      <c r="A230" s="21"/>
      <c r="B230" s="21"/>
      <c r="C230" s="21"/>
      <c r="D230" s="800"/>
      <c r="E230" s="799"/>
      <c r="F230" s="6"/>
      <c r="G230" s="57">
        <v>5</v>
      </c>
      <c r="H230" s="59"/>
      <c r="I230" s="59"/>
      <c r="J230" s="59"/>
      <c r="K230" s="59"/>
      <c r="L230" s="59"/>
      <c r="M230" s="59"/>
      <c r="N230" s="59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799"/>
      <c r="AW230" s="799"/>
    </row>
    <row r="231" spans="1:49" x14ac:dyDescent="0.3">
      <c r="A231" s="21"/>
      <c r="B231" s="21"/>
      <c r="C231" s="21"/>
      <c r="D231" s="800"/>
      <c r="E231" s="799"/>
      <c r="F231" s="6"/>
      <c r="G231" s="57">
        <v>6</v>
      </c>
      <c r="H231" s="59"/>
      <c r="I231" s="59"/>
      <c r="J231" s="59"/>
      <c r="K231" s="59"/>
      <c r="L231" s="59"/>
      <c r="M231" s="59"/>
      <c r="N231" s="59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799"/>
      <c r="AW231" s="799"/>
    </row>
    <row r="232" spans="1:49" x14ac:dyDescent="0.3">
      <c r="A232" s="21"/>
      <c r="B232" s="21"/>
      <c r="C232" s="21"/>
      <c r="D232" s="800"/>
      <c r="E232" s="799"/>
      <c r="F232" s="6"/>
      <c r="G232" s="57">
        <v>7</v>
      </c>
      <c r="H232" s="59"/>
      <c r="I232" s="59"/>
      <c r="J232" s="59"/>
      <c r="K232" s="59"/>
      <c r="L232" s="59"/>
      <c r="M232" s="59"/>
      <c r="N232" s="59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799"/>
      <c r="AW232" s="799"/>
    </row>
    <row r="233" spans="1:49" x14ac:dyDescent="0.3">
      <c r="A233" s="21"/>
      <c r="B233" s="21"/>
      <c r="C233" s="21"/>
      <c r="D233" s="800"/>
      <c r="E233" s="800"/>
      <c r="F233" s="110"/>
      <c r="G233" s="57">
        <v>8</v>
      </c>
      <c r="H233" s="59"/>
      <c r="I233" s="59"/>
      <c r="J233" s="59"/>
      <c r="K233" s="59"/>
      <c r="L233" s="59"/>
      <c r="M233" s="59"/>
      <c r="N233" s="59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800"/>
      <c r="AW233" s="800"/>
    </row>
    <row r="234" spans="1:49" x14ac:dyDescent="0.3">
      <c r="A234" s="21"/>
      <c r="B234" s="21"/>
      <c r="C234" s="21"/>
      <c r="D234" s="801"/>
      <c r="E234" s="802"/>
      <c r="F234" s="111"/>
      <c r="G234" s="57">
        <v>1</v>
      </c>
      <c r="H234" s="58"/>
      <c r="I234" s="58"/>
      <c r="J234" s="58"/>
      <c r="K234" s="58"/>
      <c r="L234" s="58"/>
      <c r="M234" s="58"/>
      <c r="N234" s="58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798"/>
      <c r="AW234" s="798"/>
    </row>
    <row r="235" spans="1:49" x14ac:dyDescent="0.3">
      <c r="A235" s="21"/>
      <c r="B235" s="21"/>
      <c r="C235" s="21"/>
      <c r="D235" s="800"/>
      <c r="E235" s="799"/>
      <c r="F235" s="6"/>
      <c r="G235" s="57">
        <v>2</v>
      </c>
      <c r="H235" s="58"/>
      <c r="I235" s="58"/>
      <c r="J235" s="58"/>
      <c r="K235" s="58"/>
      <c r="L235" s="58"/>
      <c r="M235" s="58"/>
      <c r="N235" s="58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799"/>
      <c r="AW235" s="799"/>
    </row>
    <row r="236" spans="1:49" x14ac:dyDescent="0.3">
      <c r="A236" s="21"/>
      <c r="B236" s="21"/>
      <c r="C236" s="21"/>
      <c r="D236" s="800"/>
      <c r="E236" s="799"/>
      <c r="F236" s="6"/>
      <c r="G236" s="57">
        <v>3</v>
      </c>
      <c r="H236" s="58"/>
      <c r="I236" s="58"/>
      <c r="J236" s="58"/>
      <c r="K236" s="58"/>
      <c r="L236" s="58"/>
      <c r="M236" s="58"/>
      <c r="N236" s="58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799"/>
      <c r="AW236" s="799"/>
    </row>
    <row r="237" spans="1:49" x14ac:dyDescent="0.3">
      <c r="A237" s="21"/>
      <c r="B237" s="21"/>
      <c r="C237" s="21"/>
      <c r="D237" s="800"/>
      <c r="E237" s="799"/>
      <c r="F237" s="6"/>
      <c r="G237" s="57">
        <v>4</v>
      </c>
      <c r="H237" s="59"/>
      <c r="I237" s="59"/>
      <c r="J237" s="59"/>
      <c r="K237" s="59"/>
      <c r="L237" s="59"/>
      <c r="M237" s="59"/>
      <c r="N237" s="59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799"/>
      <c r="AW237" s="799"/>
    </row>
    <row r="238" spans="1:49" x14ac:dyDescent="0.3">
      <c r="A238" s="21"/>
      <c r="B238" s="21"/>
      <c r="C238" s="21"/>
      <c r="D238" s="800"/>
      <c r="E238" s="799"/>
      <c r="F238" s="6"/>
      <c r="G238" s="57">
        <v>5</v>
      </c>
      <c r="H238" s="59"/>
      <c r="I238" s="59"/>
      <c r="J238" s="59"/>
      <c r="K238" s="59"/>
      <c r="L238" s="59"/>
      <c r="M238" s="59"/>
      <c r="N238" s="59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799"/>
      <c r="AW238" s="799"/>
    </row>
    <row r="239" spans="1:49" x14ac:dyDescent="0.3">
      <c r="A239" s="21"/>
      <c r="B239" s="21"/>
      <c r="C239" s="21"/>
      <c r="D239" s="800"/>
      <c r="E239" s="799"/>
      <c r="F239" s="6"/>
      <c r="G239" s="57">
        <v>6</v>
      </c>
      <c r="H239" s="59"/>
      <c r="I239" s="59"/>
      <c r="J239" s="59"/>
      <c r="K239" s="59"/>
      <c r="L239" s="59"/>
      <c r="M239" s="59"/>
      <c r="N239" s="59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799"/>
      <c r="AW239" s="799"/>
    </row>
    <row r="240" spans="1:49" x14ac:dyDescent="0.3">
      <c r="A240" s="21"/>
      <c r="B240" s="21"/>
      <c r="C240" s="21"/>
      <c r="D240" s="800"/>
      <c r="E240" s="799"/>
      <c r="F240" s="6"/>
      <c r="G240" s="57">
        <v>7</v>
      </c>
      <c r="H240" s="59"/>
      <c r="I240" s="59"/>
      <c r="J240" s="59"/>
      <c r="K240" s="59"/>
      <c r="L240" s="59"/>
      <c r="M240" s="59"/>
      <c r="N240" s="59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799"/>
      <c r="AW240" s="799"/>
    </row>
    <row r="241" spans="1:49" x14ac:dyDescent="0.3">
      <c r="A241" s="21"/>
      <c r="B241" s="21"/>
      <c r="C241" s="21"/>
      <c r="D241" s="800"/>
      <c r="E241" s="800"/>
      <c r="F241" s="110"/>
      <c r="G241" s="57">
        <v>8</v>
      </c>
      <c r="H241" s="59"/>
      <c r="I241" s="59"/>
      <c r="J241" s="59"/>
      <c r="K241" s="59"/>
      <c r="L241" s="59"/>
      <c r="M241" s="59"/>
      <c r="N241" s="59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800"/>
      <c r="AW241" s="800"/>
    </row>
    <row r="242" spans="1:49" x14ac:dyDescent="0.3">
      <c r="A242" s="21"/>
      <c r="B242" s="21"/>
      <c r="C242" s="21"/>
      <c r="D242" s="801"/>
      <c r="E242" s="802"/>
      <c r="F242" s="111"/>
      <c r="G242" s="57">
        <v>1</v>
      </c>
      <c r="H242" s="58"/>
      <c r="I242" s="58"/>
      <c r="J242" s="58"/>
      <c r="K242" s="58"/>
      <c r="L242" s="58"/>
      <c r="M242" s="58"/>
      <c r="N242" s="58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798"/>
      <c r="AW242" s="798"/>
    </row>
    <row r="243" spans="1:49" x14ac:dyDescent="0.3">
      <c r="A243" s="21"/>
      <c r="B243" s="21"/>
      <c r="C243" s="21"/>
      <c r="D243" s="800"/>
      <c r="E243" s="799"/>
      <c r="F243" s="6"/>
      <c r="G243" s="57">
        <v>2</v>
      </c>
      <c r="H243" s="58"/>
      <c r="I243" s="58"/>
      <c r="J243" s="58"/>
      <c r="K243" s="58"/>
      <c r="L243" s="58"/>
      <c r="M243" s="58"/>
      <c r="N243" s="58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799"/>
      <c r="AW243" s="799"/>
    </row>
    <row r="244" spans="1:49" x14ac:dyDescent="0.3">
      <c r="A244" s="21"/>
      <c r="B244" s="21"/>
      <c r="C244" s="21"/>
      <c r="D244" s="800"/>
      <c r="E244" s="799"/>
      <c r="F244" s="6"/>
      <c r="G244" s="57">
        <v>3</v>
      </c>
      <c r="H244" s="58"/>
      <c r="I244" s="58"/>
      <c r="J244" s="58"/>
      <c r="K244" s="58"/>
      <c r="L244" s="58"/>
      <c r="M244" s="58"/>
      <c r="N244" s="58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799"/>
      <c r="AW244" s="799"/>
    </row>
    <row r="245" spans="1:49" x14ac:dyDescent="0.3">
      <c r="A245" s="21"/>
      <c r="B245" s="21"/>
      <c r="C245" s="21"/>
      <c r="D245" s="800"/>
      <c r="E245" s="799"/>
      <c r="F245" s="6"/>
      <c r="G245" s="57">
        <v>4</v>
      </c>
      <c r="H245" s="59"/>
      <c r="I245" s="59"/>
      <c r="J245" s="59"/>
      <c r="K245" s="59"/>
      <c r="L245" s="59"/>
      <c r="M245" s="59"/>
      <c r="N245" s="59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799"/>
      <c r="AW245" s="799"/>
    </row>
    <row r="246" spans="1:49" x14ac:dyDescent="0.3">
      <c r="A246" s="21"/>
      <c r="B246" s="21"/>
      <c r="C246" s="21"/>
      <c r="D246" s="800"/>
      <c r="E246" s="799"/>
      <c r="F246" s="6"/>
      <c r="G246" s="57">
        <v>5</v>
      </c>
      <c r="H246" s="59"/>
      <c r="I246" s="59"/>
      <c r="J246" s="59"/>
      <c r="K246" s="59"/>
      <c r="L246" s="59"/>
      <c r="M246" s="59"/>
      <c r="N246" s="59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799"/>
      <c r="AW246" s="799"/>
    </row>
    <row r="247" spans="1:49" x14ac:dyDescent="0.3">
      <c r="A247" s="21"/>
      <c r="B247" s="21"/>
      <c r="C247" s="21"/>
      <c r="D247" s="800"/>
      <c r="E247" s="799"/>
      <c r="F247" s="6"/>
      <c r="G247" s="57">
        <v>6</v>
      </c>
      <c r="H247" s="59"/>
      <c r="I247" s="59"/>
      <c r="J247" s="59"/>
      <c r="K247" s="59"/>
      <c r="L247" s="59"/>
      <c r="M247" s="59"/>
      <c r="N247" s="59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799"/>
      <c r="AW247" s="799"/>
    </row>
    <row r="248" spans="1:49" x14ac:dyDescent="0.3">
      <c r="A248" s="21"/>
      <c r="B248" s="21"/>
      <c r="C248" s="21"/>
      <c r="D248" s="800"/>
      <c r="E248" s="799"/>
      <c r="F248" s="6"/>
      <c r="G248" s="57">
        <v>7</v>
      </c>
      <c r="H248" s="59"/>
      <c r="I248" s="59"/>
      <c r="J248" s="59"/>
      <c r="K248" s="59"/>
      <c r="L248" s="59"/>
      <c r="M248" s="59"/>
      <c r="N248" s="59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799"/>
      <c r="AW248" s="799"/>
    </row>
    <row r="249" spans="1:49" x14ac:dyDescent="0.3">
      <c r="A249" s="21"/>
      <c r="B249" s="21"/>
      <c r="C249" s="21"/>
      <c r="D249" s="800"/>
      <c r="E249" s="800"/>
      <c r="F249" s="110"/>
      <c r="G249" s="57">
        <v>8</v>
      </c>
      <c r="H249" s="59"/>
      <c r="I249" s="59"/>
      <c r="J249" s="59"/>
      <c r="K249" s="59"/>
      <c r="L249" s="59"/>
      <c r="M249" s="59"/>
      <c r="N249" s="59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800"/>
      <c r="AW249" s="800"/>
    </row>
    <row r="250" spans="1:49" x14ac:dyDescent="0.3">
      <c r="A250" s="21"/>
      <c r="B250" s="21"/>
      <c r="C250" s="21"/>
      <c r="D250" s="801"/>
      <c r="E250" s="802"/>
      <c r="F250" s="111"/>
      <c r="G250" s="57">
        <v>1</v>
      </c>
      <c r="H250" s="58"/>
      <c r="I250" s="58"/>
      <c r="J250" s="58"/>
      <c r="K250" s="58"/>
      <c r="L250" s="58"/>
      <c r="M250" s="58"/>
      <c r="N250" s="58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798"/>
      <c r="AW250" s="798"/>
    </row>
    <row r="251" spans="1:49" x14ac:dyDescent="0.3">
      <c r="A251" s="21"/>
      <c r="B251" s="21"/>
      <c r="C251" s="21"/>
      <c r="D251" s="800"/>
      <c r="E251" s="799"/>
      <c r="F251" s="6"/>
      <c r="G251" s="57">
        <v>2</v>
      </c>
      <c r="H251" s="58"/>
      <c r="I251" s="58"/>
      <c r="J251" s="58"/>
      <c r="K251" s="58"/>
      <c r="L251" s="58"/>
      <c r="M251" s="58"/>
      <c r="N251" s="58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799"/>
      <c r="AW251" s="799"/>
    </row>
    <row r="252" spans="1:49" x14ac:dyDescent="0.3">
      <c r="A252" s="21"/>
      <c r="B252" s="21"/>
      <c r="C252" s="21"/>
      <c r="D252" s="800"/>
      <c r="E252" s="799"/>
      <c r="F252" s="6"/>
      <c r="G252" s="57">
        <v>3</v>
      </c>
      <c r="H252" s="58"/>
      <c r="I252" s="58"/>
      <c r="J252" s="58"/>
      <c r="K252" s="58"/>
      <c r="L252" s="58"/>
      <c r="M252" s="58"/>
      <c r="N252" s="58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799"/>
      <c r="AW252" s="799"/>
    </row>
    <row r="253" spans="1:49" x14ac:dyDescent="0.3">
      <c r="A253" s="21"/>
      <c r="B253" s="21"/>
      <c r="C253" s="21"/>
      <c r="D253" s="800"/>
      <c r="E253" s="799"/>
      <c r="F253" s="6"/>
      <c r="G253" s="57">
        <v>4</v>
      </c>
      <c r="H253" s="59"/>
      <c r="I253" s="59"/>
      <c r="J253" s="59"/>
      <c r="K253" s="59"/>
      <c r="L253" s="59"/>
      <c r="M253" s="59"/>
      <c r="N253" s="59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799"/>
      <c r="AW253" s="799"/>
    </row>
    <row r="254" spans="1:49" x14ac:dyDescent="0.3">
      <c r="A254" s="21"/>
      <c r="B254" s="21"/>
      <c r="C254" s="21"/>
      <c r="D254" s="800"/>
      <c r="E254" s="799"/>
      <c r="F254" s="6"/>
      <c r="G254" s="57">
        <v>5</v>
      </c>
      <c r="H254" s="59"/>
      <c r="I254" s="59"/>
      <c r="J254" s="59"/>
      <c r="K254" s="59"/>
      <c r="L254" s="59"/>
      <c r="M254" s="59"/>
      <c r="N254" s="59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799"/>
      <c r="AW254" s="799"/>
    </row>
    <row r="255" spans="1:49" x14ac:dyDescent="0.3">
      <c r="A255" s="21"/>
      <c r="B255" s="21"/>
      <c r="C255" s="21"/>
      <c r="D255" s="800"/>
      <c r="E255" s="799"/>
      <c r="F255" s="6"/>
      <c r="G255" s="57">
        <v>6</v>
      </c>
      <c r="H255" s="59"/>
      <c r="I255" s="59"/>
      <c r="J255" s="59"/>
      <c r="K255" s="59"/>
      <c r="L255" s="59"/>
      <c r="M255" s="59"/>
      <c r="N255" s="59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799"/>
      <c r="AW255" s="799"/>
    </row>
    <row r="256" spans="1:49" x14ac:dyDescent="0.3">
      <c r="A256" s="21"/>
      <c r="B256" s="21"/>
      <c r="C256" s="21"/>
      <c r="D256" s="800"/>
      <c r="E256" s="799"/>
      <c r="F256" s="6"/>
      <c r="G256" s="57">
        <v>7</v>
      </c>
      <c r="H256" s="59"/>
      <c r="I256" s="59"/>
      <c r="J256" s="59"/>
      <c r="K256" s="59"/>
      <c r="L256" s="59"/>
      <c r="M256" s="59"/>
      <c r="N256" s="59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799"/>
      <c r="AW256" s="799"/>
    </row>
    <row r="257" spans="1:49" x14ac:dyDescent="0.3">
      <c r="A257" s="21"/>
      <c r="B257" s="21"/>
      <c r="C257" s="21"/>
      <c r="D257" s="800"/>
      <c r="E257" s="800"/>
      <c r="F257" s="110"/>
      <c r="G257" s="57">
        <v>8</v>
      </c>
      <c r="H257" s="59"/>
      <c r="I257" s="59"/>
      <c r="J257" s="59"/>
      <c r="K257" s="59"/>
      <c r="L257" s="59"/>
      <c r="M257" s="59"/>
      <c r="N257" s="59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800"/>
      <c r="AW257" s="800"/>
    </row>
    <row r="258" spans="1:49" x14ac:dyDescent="0.3">
      <c r="A258" s="21"/>
      <c r="B258" s="21"/>
      <c r="C258" s="21"/>
      <c r="D258" s="801"/>
      <c r="E258" s="802"/>
      <c r="F258" s="111"/>
      <c r="G258" s="57">
        <v>1</v>
      </c>
      <c r="H258" s="58"/>
      <c r="I258" s="58"/>
      <c r="J258" s="58"/>
      <c r="K258" s="58"/>
      <c r="L258" s="58"/>
      <c r="M258" s="58"/>
      <c r="N258" s="58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798"/>
      <c r="AW258" s="798"/>
    </row>
    <row r="259" spans="1:49" x14ac:dyDescent="0.3">
      <c r="A259" s="21"/>
      <c r="B259" s="21"/>
      <c r="C259" s="21"/>
      <c r="D259" s="800"/>
      <c r="E259" s="799"/>
      <c r="F259" s="6"/>
      <c r="G259" s="57">
        <v>2</v>
      </c>
      <c r="H259" s="58"/>
      <c r="I259" s="58"/>
      <c r="J259" s="58"/>
      <c r="K259" s="58"/>
      <c r="L259" s="58"/>
      <c r="M259" s="58"/>
      <c r="N259" s="58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799"/>
      <c r="AW259" s="799"/>
    </row>
    <row r="260" spans="1:49" x14ac:dyDescent="0.3">
      <c r="A260" s="21"/>
      <c r="B260" s="21"/>
      <c r="C260" s="21"/>
      <c r="D260" s="800"/>
      <c r="E260" s="799"/>
      <c r="F260" s="6"/>
      <c r="G260" s="57">
        <v>3</v>
      </c>
      <c r="H260" s="58"/>
      <c r="I260" s="58"/>
      <c r="J260" s="58"/>
      <c r="K260" s="58"/>
      <c r="L260" s="58"/>
      <c r="M260" s="58"/>
      <c r="N260" s="58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799"/>
      <c r="AW260" s="799"/>
    </row>
    <row r="261" spans="1:49" x14ac:dyDescent="0.3">
      <c r="A261" s="21"/>
      <c r="B261" s="21"/>
      <c r="C261" s="21"/>
      <c r="D261" s="800"/>
      <c r="E261" s="799"/>
      <c r="F261" s="6"/>
      <c r="G261" s="57">
        <v>4</v>
      </c>
      <c r="H261" s="59"/>
      <c r="I261" s="59"/>
      <c r="J261" s="59"/>
      <c r="K261" s="59"/>
      <c r="L261" s="59"/>
      <c r="M261" s="59"/>
      <c r="N261" s="59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799"/>
      <c r="AW261" s="799"/>
    </row>
    <row r="262" spans="1:49" x14ac:dyDescent="0.3">
      <c r="A262" s="21"/>
      <c r="B262" s="21"/>
      <c r="C262" s="21"/>
      <c r="D262" s="800"/>
      <c r="E262" s="799"/>
      <c r="F262" s="6"/>
      <c r="G262" s="57">
        <v>5</v>
      </c>
      <c r="H262" s="59"/>
      <c r="I262" s="59"/>
      <c r="J262" s="59"/>
      <c r="K262" s="59"/>
      <c r="L262" s="59"/>
      <c r="M262" s="59"/>
      <c r="N262" s="59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799"/>
      <c r="AW262" s="799"/>
    </row>
    <row r="263" spans="1:49" x14ac:dyDescent="0.3">
      <c r="A263" s="21"/>
      <c r="B263" s="21"/>
      <c r="C263" s="21"/>
      <c r="D263" s="800"/>
      <c r="E263" s="799"/>
      <c r="F263" s="6"/>
      <c r="G263" s="57">
        <v>6</v>
      </c>
      <c r="H263" s="59"/>
      <c r="I263" s="59"/>
      <c r="J263" s="59"/>
      <c r="K263" s="59"/>
      <c r="L263" s="59"/>
      <c r="M263" s="59"/>
      <c r="N263" s="59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799"/>
      <c r="AW263" s="799"/>
    </row>
    <row r="264" spans="1:49" x14ac:dyDescent="0.3">
      <c r="A264" s="21"/>
      <c r="B264" s="21"/>
      <c r="C264" s="21"/>
      <c r="D264" s="800"/>
      <c r="E264" s="799"/>
      <c r="F264" s="6"/>
      <c r="G264" s="57">
        <v>7</v>
      </c>
      <c r="H264" s="59"/>
      <c r="I264" s="59"/>
      <c r="J264" s="59"/>
      <c r="K264" s="59"/>
      <c r="L264" s="59"/>
      <c r="M264" s="59"/>
      <c r="N264" s="59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799"/>
      <c r="AW264" s="799"/>
    </row>
    <row r="265" spans="1:49" x14ac:dyDescent="0.3">
      <c r="A265" s="21"/>
      <c r="B265" s="21"/>
      <c r="C265" s="21"/>
      <c r="D265" s="800"/>
      <c r="E265" s="800"/>
      <c r="F265" s="110"/>
      <c r="G265" s="57">
        <v>8</v>
      </c>
      <c r="H265" s="59"/>
      <c r="I265" s="59"/>
      <c r="J265" s="59"/>
      <c r="K265" s="59"/>
      <c r="L265" s="59"/>
      <c r="M265" s="59"/>
      <c r="N265" s="59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800"/>
      <c r="AW265" s="800"/>
    </row>
    <row r="266" spans="1:49" x14ac:dyDescent="0.3">
      <c r="A266" s="21"/>
      <c r="B266" s="21"/>
      <c r="C266" s="21"/>
      <c r="D266" s="801"/>
      <c r="E266" s="802"/>
      <c r="F266" s="111"/>
      <c r="G266" s="57">
        <v>1</v>
      </c>
      <c r="H266" s="58"/>
      <c r="I266" s="58"/>
      <c r="J266" s="58"/>
      <c r="K266" s="58"/>
      <c r="L266" s="58"/>
      <c r="M266" s="58"/>
      <c r="N266" s="58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798"/>
      <c r="AW266" s="798"/>
    </row>
    <row r="267" spans="1:49" x14ac:dyDescent="0.3">
      <c r="A267" s="21"/>
      <c r="B267" s="21"/>
      <c r="C267" s="21"/>
      <c r="D267" s="800"/>
      <c r="E267" s="799"/>
      <c r="F267" s="6"/>
      <c r="G267" s="57">
        <v>2</v>
      </c>
      <c r="H267" s="58"/>
      <c r="I267" s="58"/>
      <c r="J267" s="58"/>
      <c r="K267" s="58"/>
      <c r="L267" s="58"/>
      <c r="M267" s="58"/>
      <c r="N267" s="58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799"/>
      <c r="AW267" s="799"/>
    </row>
    <row r="268" spans="1:49" x14ac:dyDescent="0.3">
      <c r="A268" s="21"/>
      <c r="B268" s="21"/>
      <c r="C268" s="21"/>
      <c r="D268" s="800"/>
      <c r="E268" s="799"/>
      <c r="F268" s="6"/>
      <c r="G268" s="57">
        <v>3</v>
      </c>
      <c r="H268" s="58"/>
      <c r="I268" s="58"/>
      <c r="J268" s="58"/>
      <c r="K268" s="58"/>
      <c r="L268" s="58"/>
      <c r="M268" s="58"/>
      <c r="N268" s="58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799"/>
      <c r="AW268" s="799"/>
    </row>
    <row r="269" spans="1:49" x14ac:dyDescent="0.3">
      <c r="A269" s="21"/>
      <c r="B269" s="21"/>
      <c r="C269" s="21"/>
      <c r="D269" s="800"/>
      <c r="E269" s="799"/>
      <c r="F269" s="6"/>
      <c r="G269" s="57">
        <v>4</v>
      </c>
      <c r="H269" s="59"/>
      <c r="I269" s="59"/>
      <c r="J269" s="59"/>
      <c r="K269" s="59"/>
      <c r="L269" s="59"/>
      <c r="M269" s="59"/>
      <c r="N269" s="59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799"/>
      <c r="AW269" s="799"/>
    </row>
    <row r="270" spans="1:49" x14ac:dyDescent="0.3">
      <c r="A270" s="21"/>
      <c r="B270" s="21"/>
      <c r="C270" s="21"/>
      <c r="D270" s="800"/>
      <c r="E270" s="799"/>
      <c r="F270" s="6"/>
      <c r="G270" s="57">
        <v>5</v>
      </c>
      <c r="H270" s="59"/>
      <c r="I270" s="59"/>
      <c r="J270" s="59"/>
      <c r="K270" s="59"/>
      <c r="L270" s="59"/>
      <c r="M270" s="59"/>
      <c r="N270" s="59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799"/>
      <c r="AW270" s="799"/>
    </row>
    <row r="271" spans="1:49" x14ac:dyDescent="0.3">
      <c r="A271" s="21"/>
      <c r="B271" s="21"/>
      <c r="C271" s="21"/>
      <c r="D271" s="800"/>
      <c r="E271" s="799"/>
      <c r="F271" s="6"/>
      <c r="G271" s="57">
        <v>6</v>
      </c>
      <c r="H271" s="59"/>
      <c r="I271" s="59"/>
      <c r="J271" s="59"/>
      <c r="K271" s="59"/>
      <c r="L271" s="59"/>
      <c r="M271" s="59"/>
      <c r="N271" s="59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799"/>
      <c r="AW271" s="799"/>
    </row>
    <row r="272" spans="1:49" x14ac:dyDescent="0.3">
      <c r="A272" s="21"/>
      <c r="B272" s="21"/>
      <c r="C272" s="21"/>
      <c r="D272" s="800"/>
      <c r="E272" s="799"/>
      <c r="F272" s="6"/>
      <c r="G272" s="57">
        <v>7</v>
      </c>
      <c r="H272" s="59"/>
      <c r="I272" s="59"/>
      <c r="J272" s="59"/>
      <c r="K272" s="59"/>
      <c r="L272" s="59"/>
      <c r="M272" s="59"/>
      <c r="N272" s="59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799"/>
      <c r="AW272" s="799"/>
    </row>
    <row r="273" spans="1:49" x14ac:dyDescent="0.3">
      <c r="A273" s="21"/>
      <c r="B273" s="21"/>
      <c r="C273" s="21"/>
      <c r="D273" s="800"/>
      <c r="E273" s="800"/>
      <c r="F273" s="110"/>
      <c r="G273" s="57">
        <v>8</v>
      </c>
      <c r="H273" s="59"/>
      <c r="I273" s="59"/>
      <c r="J273" s="59"/>
      <c r="K273" s="59"/>
      <c r="L273" s="59"/>
      <c r="M273" s="59"/>
      <c r="N273" s="59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800"/>
      <c r="AW273" s="800"/>
    </row>
    <row r="274" spans="1:49" x14ac:dyDescent="0.3">
      <c r="A274" s="21"/>
      <c r="B274" s="21"/>
      <c r="C274" s="21"/>
      <c r="D274" s="801"/>
      <c r="E274" s="802"/>
      <c r="F274" s="111"/>
      <c r="G274" s="57">
        <v>1</v>
      </c>
      <c r="H274" s="58"/>
      <c r="I274" s="58"/>
      <c r="J274" s="58"/>
      <c r="K274" s="58"/>
      <c r="L274" s="58"/>
      <c r="M274" s="58"/>
      <c r="N274" s="58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798"/>
      <c r="AW274" s="798"/>
    </row>
    <row r="275" spans="1:49" x14ac:dyDescent="0.3">
      <c r="A275" s="21"/>
      <c r="B275" s="21"/>
      <c r="C275" s="21"/>
      <c r="D275" s="800"/>
      <c r="E275" s="799"/>
      <c r="F275" s="6"/>
      <c r="G275" s="57">
        <v>2</v>
      </c>
      <c r="H275" s="58"/>
      <c r="I275" s="58"/>
      <c r="J275" s="58"/>
      <c r="K275" s="58"/>
      <c r="L275" s="58"/>
      <c r="M275" s="58"/>
      <c r="N275" s="58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799"/>
      <c r="AW275" s="799"/>
    </row>
    <row r="276" spans="1:49" x14ac:dyDescent="0.3">
      <c r="A276" s="21"/>
      <c r="B276" s="21"/>
      <c r="C276" s="21"/>
      <c r="D276" s="800"/>
      <c r="E276" s="799"/>
      <c r="F276" s="6"/>
      <c r="G276" s="57">
        <v>3</v>
      </c>
      <c r="H276" s="58"/>
      <c r="I276" s="58"/>
      <c r="J276" s="58"/>
      <c r="K276" s="58"/>
      <c r="L276" s="58"/>
      <c r="M276" s="58"/>
      <c r="N276" s="58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799"/>
      <c r="AW276" s="799"/>
    </row>
    <row r="277" spans="1:49" x14ac:dyDescent="0.3">
      <c r="A277" s="21"/>
      <c r="B277" s="21"/>
      <c r="C277" s="21"/>
      <c r="D277" s="800"/>
      <c r="E277" s="799"/>
      <c r="F277" s="6"/>
      <c r="G277" s="57">
        <v>4</v>
      </c>
      <c r="H277" s="59"/>
      <c r="I277" s="59"/>
      <c r="J277" s="59"/>
      <c r="K277" s="59"/>
      <c r="L277" s="59"/>
      <c r="M277" s="59"/>
      <c r="N277" s="59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799"/>
      <c r="AW277" s="799"/>
    </row>
    <row r="278" spans="1:49" x14ac:dyDescent="0.3">
      <c r="A278" s="21"/>
      <c r="B278" s="21"/>
      <c r="C278" s="21"/>
      <c r="D278" s="800"/>
      <c r="E278" s="799"/>
      <c r="F278" s="6"/>
      <c r="G278" s="57">
        <v>5</v>
      </c>
      <c r="H278" s="59"/>
      <c r="I278" s="59"/>
      <c r="J278" s="59"/>
      <c r="K278" s="59"/>
      <c r="L278" s="59"/>
      <c r="M278" s="59"/>
      <c r="N278" s="59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799"/>
      <c r="AW278" s="799"/>
    </row>
    <row r="279" spans="1:49" x14ac:dyDescent="0.3">
      <c r="A279" s="21"/>
      <c r="B279" s="21"/>
      <c r="C279" s="21"/>
      <c r="D279" s="800"/>
      <c r="E279" s="799"/>
      <c r="F279" s="6"/>
      <c r="G279" s="57">
        <v>6</v>
      </c>
      <c r="H279" s="59"/>
      <c r="I279" s="59"/>
      <c r="J279" s="59"/>
      <c r="K279" s="59"/>
      <c r="L279" s="59"/>
      <c r="M279" s="59"/>
      <c r="N279" s="59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799"/>
      <c r="AW279" s="799"/>
    </row>
    <row r="280" spans="1:49" x14ac:dyDescent="0.3">
      <c r="A280" s="21"/>
      <c r="B280" s="21"/>
      <c r="C280" s="21"/>
      <c r="D280" s="800"/>
      <c r="E280" s="799"/>
      <c r="F280" s="6"/>
      <c r="G280" s="57">
        <v>7</v>
      </c>
      <c r="H280" s="59"/>
      <c r="I280" s="59"/>
      <c r="J280" s="59"/>
      <c r="K280" s="59"/>
      <c r="L280" s="59"/>
      <c r="M280" s="59"/>
      <c r="N280" s="59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799"/>
      <c r="AW280" s="799"/>
    </row>
    <row r="281" spans="1:49" x14ac:dyDescent="0.3">
      <c r="A281" s="21"/>
      <c r="B281" s="21"/>
      <c r="C281" s="21"/>
      <c r="D281" s="800"/>
      <c r="E281" s="800"/>
      <c r="F281" s="110"/>
      <c r="G281" s="57">
        <v>8</v>
      </c>
      <c r="H281" s="59"/>
      <c r="I281" s="59"/>
      <c r="J281" s="59"/>
      <c r="K281" s="59"/>
      <c r="L281" s="59"/>
      <c r="M281" s="59"/>
      <c r="N281" s="59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800"/>
      <c r="AW281" s="800"/>
    </row>
    <row r="282" spans="1:49" x14ac:dyDescent="0.3">
      <c r="A282" s="21"/>
      <c r="B282" s="21"/>
      <c r="C282" s="21"/>
      <c r="D282" s="801"/>
      <c r="E282" s="802"/>
      <c r="F282" s="111"/>
      <c r="G282" s="57">
        <v>1</v>
      </c>
      <c r="H282" s="58"/>
      <c r="I282" s="58"/>
      <c r="J282" s="58"/>
      <c r="K282" s="58"/>
      <c r="L282" s="58"/>
      <c r="M282" s="58"/>
      <c r="N282" s="58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798"/>
      <c r="AW282" s="798"/>
    </row>
    <row r="283" spans="1:49" x14ac:dyDescent="0.3">
      <c r="A283" s="21"/>
      <c r="B283" s="21"/>
      <c r="C283" s="21"/>
      <c r="D283" s="800"/>
      <c r="E283" s="799"/>
      <c r="F283" s="6"/>
      <c r="G283" s="57">
        <v>2</v>
      </c>
      <c r="H283" s="58"/>
      <c r="I283" s="58"/>
      <c r="J283" s="58"/>
      <c r="K283" s="58"/>
      <c r="L283" s="58"/>
      <c r="M283" s="58"/>
      <c r="N283" s="58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799"/>
      <c r="AW283" s="799"/>
    </row>
    <row r="284" spans="1:49" x14ac:dyDescent="0.3">
      <c r="A284" s="21"/>
      <c r="B284" s="21"/>
      <c r="C284" s="21"/>
      <c r="D284" s="800"/>
      <c r="E284" s="799"/>
      <c r="F284" s="6"/>
      <c r="G284" s="57">
        <v>3</v>
      </c>
      <c r="H284" s="58"/>
      <c r="I284" s="58"/>
      <c r="J284" s="58"/>
      <c r="K284" s="58"/>
      <c r="L284" s="58"/>
      <c r="M284" s="58"/>
      <c r="N284" s="58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799"/>
      <c r="AW284" s="799"/>
    </row>
    <row r="285" spans="1:49" x14ac:dyDescent="0.3">
      <c r="A285" s="21"/>
      <c r="B285" s="21"/>
      <c r="C285" s="21"/>
      <c r="D285" s="800"/>
      <c r="E285" s="799"/>
      <c r="F285" s="6"/>
      <c r="G285" s="57">
        <v>4</v>
      </c>
      <c r="H285" s="59"/>
      <c r="I285" s="59"/>
      <c r="J285" s="59"/>
      <c r="K285" s="59"/>
      <c r="L285" s="59"/>
      <c r="M285" s="59"/>
      <c r="N285" s="59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799"/>
      <c r="AW285" s="799"/>
    </row>
    <row r="286" spans="1:49" x14ac:dyDescent="0.3">
      <c r="A286" s="21"/>
      <c r="B286" s="21"/>
      <c r="C286" s="21"/>
      <c r="D286" s="800"/>
      <c r="E286" s="799"/>
      <c r="F286" s="6"/>
      <c r="G286" s="57">
        <v>5</v>
      </c>
      <c r="H286" s="59"/>
      <c r="I286" s="59"/>
      <c r="J286" s="59"/>
      <c r="K286" s="59"/>
      <c r="L286" s="59"/>
      <c r="M286" s="59"/>
      <c r="N286" s="59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799"/>
      <c r="AW286" s="799"/>
    </row>
    <row r="287" spans="1:49" x14ac:dyDescent="0.3">
      <c r="A287" s="21"/>
      <c r="B287" s="21"/>
      <c r="C287" s="21"/>
      <c r="D287" s="800"/>
      <c r="E287" s="799"/>
      <c r="F287" s="6"/>
      <c r="G287" s="57">
        <v>6</v>
      </c>
      <c r="H287" s="59"/>
      <c r="I287" s="59"/>
      <c r="J287" s="59"/>
      <c r="K287" s="59"/>
      <c r="L287" s="59"/>
      <c r="M287" s="59"/>
      <c r="N287" s="59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799"/>
      <c r="AW287" s="799"/>
    </row>
    <row r="288" spans="1:49" x14ac:dyDescent="0.3">
      <c r="A288" s="21"/>
      <c r="B288" s="21"/>
      <c r="C288" s="21"/>
      <c r="D288" s="800"/>
      <c r="E288" s="799"/>
      <c r="F288" s="6"/>
      <c r="G288" s="57">
        <v>7</v>
      </c>
      <c r="H288" s="59"/>
      <c r="I288" s="59"/>
      <c r="J288" s="59"/>
      <c r="K288" s="59"/>
      <c r="L288" s="59"/>
      <c r="M288" s="59"/>
      <c r="N288" s="59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799"/>
      <c r="AW288" s="799"/>
    </row>
    <row r="289" spans="1:49" x14ac:dyDescent="0.3">
      <c r="A289" s="21"/>
      <c r="B289" s="21"/>
      <c r="C289" s="21"/>
      <c r="D289" s="800"/>
      <c r="E289" s="800"/>
      <c r="F289" s="110"/>
      <c r="G289" s="57">
        <v>8</v>
      </c>
      <c r="H289" s="59"/>
      <c r="I289" s="59"/>
      <c r="J289" s="59"/>
      <c r="K289" s="59"/>
      <c r="L289" s="59"/>
      <c r="M289" s="59"/>
      <c r="N289" s="59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800"/>
      <c r="AW289" s="800"/>
    </row>
  </sheetData>
  <mergeCells count="183"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</mergeCells>
  <phoneticPr fontId="5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H34"/>
  <sheetViews>
    <sheetView tabSelected="1" zoomScale="62" workbookViewId="0">
      <selection activeCell="L42" sqref="L42"/>
    </sheetView>
  </sheetViews>
  <sheetFormatPr defaultColWidth="8.77734375" defaultRowHeight="14.4" x14ac:dyDescent="0.3"/>
  <cols>
    <col min="1" max="1" width="8.77734375" style="1"/>
    <col min="2" max="2" width="8.77734375" style="15"/>
    <col min="3" max="3" width="19.21875" style="1" customWidth="1"/>
    <col min="4" max="4" width="13" style="1" customWidth="1"/>
    <col min="5" max="5" width="8.77734375" style="1"/>
    <col min="6" max="6" width="28.21875" style="1" bestFit="1" customWidth="1"/>
    <col min="7" max="16384" width="8.77734375" style="1"/>
  </cols>
  <sheetData>
    <row r="1" spans="2:8" x14ac:dyDescent="0.3">
      <c r="F1" s="826" t="s">
        <v>72</v>
      </c>
      <c r="G1" s="826"/>
      <c r="H1" s="826"/>
    </row>
    <row r="3" spans="2:8" x14ac:dyDescent="0.3">
      <c r="B3" s="83" t="s">
        <v>71</v>
      </c>
      <c r="C3" s="83" t="s">
        <v>1</v>
      </c>
      <c r="D3" s="83" t="s">
        <v>2</v>
      </c>
      <c r="E3" s="83" t="s">
        <v>27</v>
      </c>
      <c r="F3" s="83" t="s">
        <v>70</v>
      </c>
    </row>
    <row r="4" spans="2:8" x14ac:dyDescent="0.3">
      <c r="B4" s="16">
        <v>1</v>
      </c>
      <c r="C4" s="84">
        <v>45870</v>
      </c>
      <c r="D4" s="6"/>
      <c r="E4" s="6"/>
      <c r="F4" s="6"/>
    </row>
    <row r="5" spans="2:8" x14ac:dyDescent="0.3">
      <c r="B5" s="16">
        <v>2</v>
      </c>
      <c r="C5" s="84">
        <v>45871</v>
      </c>
      <c r="D5" s="6"/>
      <c r="E5" s="6"/>
      <c r="F5" s="6"/>
    </row>
    <row r="6" spans="2:8" x14ac:dyDescent="0.3">
      <c r="B6" s="16">
        <v>3</v>
      </c>
      <c r="C6" s="84">
        <v>45872</v>
      </c>
      <c r="D6" s="6"/>
      <c r="E6" s="6"/>
      <c r="F6" s="6"/>
    </row>
    <row r="7" spans="2:8" x14ac:dyDescent="0.3">
      <c r="B7" s="16">
        <v>4</v>
      </c>
      <c r="C7" s="84">
        <v>45873</v>
      </c>
      <c r="D7" s="6"/>
      <c r="E7" s="6"/>
      <c r="F7" s="6"/>
    </row>
    <row r="8" spans="2:8" x14ac:dyDescent="0.3">
      <c r="B8" s="16">
        <v>5</v>
      </c>
      <c r="C8" s="84">
        <v>45874</v>
      </c>
      <c r="D8" s="6"/>
      <c r="E8" s="6"/>
      <c r="F8" s="6"/>
    </row>
    <row r="9" spans="2:8" x14ac:dyDescent="0.3">
      <c r="B9" s="16">
        <v>6</v>
      </c>
      <c r="C9" s="84">
        <v>45875</v>
      </c>
      <c r="D9" s="6"/>
      <c r="E9" s="6"/>
      <c r="F9" s="6"/>
    </row>
    <row r="10" spans="2:8" x14ac:dyDescent="0.3">
      <c r="B10" s="16">
        <v>7</v>
      </c>
      <c r="C10" s="84">
        <v>45876</v>
      </c>
      <c r="D10" s="6"/>
      <c r="E10" s="6"/>
      <c r="F10" s="6"/>
    </row>
    <row r="11" spans="2:8" x14ac:dyDescent="0.3">
      <c r="B11" s="16">
        <v>8</v>
      </c>
      <c r="C11" s="84">
        <v>45877</v>
      </c>
      <c r="D11" s="6"/>
      <c r="E11" s="6"/>
      <c r="F11" s="6"/>
    </row>
    <row r="12" spans="2:8" x14ac:dyDescent="0.3">
      <c r="B12" s="16">
        <v>9</v>
      </c>
      <c r="C12" s="84">
        <v>45878</v>
      </c>
      <c r="D12" s="6"/>
      <c r="E12" s="6"/>
      <c r="F12" s="6"/>
    </row>
    <row r="13" spans="2:8" x14ac:dyDescent="0.3">
      <c r="B13" s="16">
        <v>10</v>
      </c>
      <c r="C13" s="84">
        <v>45879</v>
      </c>
      <c r="D13" s="6"/>
      <c r="E13" s="6"/>
      <c r="F13" s="6"/>
    </row>
    <row r="14" spans="2:8" x14ac:dyDescent="0.3">
      <c r="B14" s="16">
        <v>11</v>
      </c>
      <c r="C14" s="84">
        <v>45880</v>
      </c>
      <c r="D14" s="6"/>
      <c r="E14" s="6"/>
      <c r="F14" s="6"/>
    </row>
    <row r="15" spans="2:8" x14ac:dyDescent="0.3">
      <c r="B15" s="16">
        <v>12</v>
      </c>
      <c r="C15" s="84">
        <v>45881</v>
      </c>
      <c r="D15" s="6"/>
      <c r="E15" s="6"/>
      <c r="F15" s="6"/>
    </row>
    <row r="16" spans="2:8" x14ac:dyDescent="0.3">
      <c r="B16" s="16">
        <v>13</v>
      </c>
      <c r="C16" s="84">
        <v>45882</v>
      </c>
      <c r="D16" s="6"/>
      <c r="E16" s="6"/>
      <c r="F16" s="6"/>
    </row>
    <row r="17" spans="2:6" x14ac:dyDescent="0.3">
      <c r="B17" s="16">
        <v>14</v>
      </c>
      <c r="C17" s="84">
        <v>45883</v>
      </c>
      <c r="D17" s="6"/>
      <c r="E17" s="6"/>
      <c r="F17" s="6"/>
    </row>
    <row r="18" spans="2:6" x14ac:dyDescent="0.3">
      <c r="B18" s="16">
        <v>15</v>
      </c>
      <c r="C18" s="84">
        <v>45884</v>
      </c>
      <c r="D18" s="6"/>
      <c r="E18" s="6"/>
      <c r="F18" s="6"/>
    </row>
    <row r="19" spans="2:6" x14ac:dyDescent="0.3">
      <c r="B19" s="16">
        <v>16</v>
      </c>
      <c r="C19" s="84">
        <v>45885</v>
      </c>
      <c r="D19" s="6"/>
      <c r="E19" s="6"/>
      <c r="F19" s="6"/>
    </row>
    <row r="20" spans="2:6" x14ac:dyDescent="0.3">
      <c r="B20" s="16">
        <v>17</v>
      </c>
      <c r="C20" s="84">
        <v>45886</v>
      </c>
      <c r="D20" s="6"/>
      <c r="E20" s="6"/>
      <c r="F20" s="6"/>
    </row>
    <row r="21" spans="2:6" x14ac:dyDescent="0.3">
      <c r="B21" s="16">
        <v>18</v>
      </c>
      <c r="C21" s="84">
        <v>45887</v>
      </c>
      <c r="D21" s="6"/>
      <c r="E21" s="6"/>
      <c r="F21" s="6"/>
    </row>
    <row r="22" spans="2:6" x14ac:dyDescent="0.3">
      <c r="B22" s="16">
        <v>19</v>
      </c>
      <c r="C22" s="84">
        <v>45888</v>
      </c>
      <c r="D22" s="6"/>
      <c r="E22" s="6"/>
      <c r="F22" s="6"/>
    </row>
    <row r="23" spans="2:6" x14ac:dyDescent="0.3">
      <c r="B23" s="16">
        <v>20</v>
      </c>
      <c r="C23" s="84">
        <v>45889</v>
      </c>
      <c r="D23" s="6"/>
      <c r="E23" s="6"/>
      <c r="F23" s="6"/>
    </row>
    <row r="24" spans="2:6" x14ac:dyDescent="0.3">
      <c r="B24" s="16">
        <v>21</v>
      </c>
      <c r="C24" s="84">
        <v>45890</v>
      </c>
      <c r="D24" s="6"/>
      <c r="E24" s="6"/>
      <c r="F24" s="6"/>
    </row>
    <row r="25" spans="2:6" x14ac:dyDescent="0.3">
      <c r="B25" s="16">
        <v>22</v>
      </c>
      <c r="C25" s="84">
        <v>45891</v>
      </c>
      <c r="D25" s="6"/>
      <c r="E25" s="6"/>
      <c r="F25" s="6"/>
    </row>
    <row r="26" spans="2:6" x14ac:dyDescent="0.3">
      <c r="B26" s="16">
        <v>23</v>
      </c>
      <c r="C26" s="84">
        <v>45892</v>
      </c>
      <c r="D26" s="6"/>
      <c r="E26" s="6"/>
      <c r="F26" s="6"/>
    </row>
    <row r="27" spans="2:6" x14ac:dyDescent="0.3">
      <c r="B27" s="16">
        <v>24</v>
      </c>
      <c r="C27" s="84">
        <v>45893</v>
      </c>
      <c r="D27" s="6"/>
      <c r="E27" s="6"/>
      <c r="F27" s="6"/>
    </row>
    <row r="28" spans="2:6" x14ac:dyDescent="0.3">
      <c r="B28" s="16">
        <v>25</v>
      </c>
      <c r="C28" s="84">
        <v>45894</v>
      </c>
      <c r="D28" s="6"/>
      <c r="E28" s="6"/>
      <c r="F28" s="6"/>
    </row>
    <row r="29" spans="2:6" x14ac:dyDescent="0.3">
      <c r="B29" s="16">
        <v>26</v>
      </c>
      <c r="C29" s="84">
        <v>45895</v>
      </c>
      <c r="D29" s="6"/>
      <c r="E29" s="6"/>
      <c r="F29" s="6"/>
    </row>
    <row r="30" spans="2:6" x14ac:dyDescent="0.3">
      <c r="B30" s="16">
        <v>27</v>
      </c>
      <c r="C30" s="84">
        <v>45896</v>
      </c>
      <c r="D30" s="6"/>
      <c r="E30" s="6"/>
      <c r="F30" s="6"/>
    </row>
    <row r="31" spans="2:6" x14ac:dyDescent="0.3">
      <c r="B31" s="16">
        <v>28</v>
      </c>
      <c r="C31" s="84">
        <v>45897</v>
      </c>
      <c r="D31" s="6"/>
      <c r="E31" s="6"/>
      <c r="F31" s="6"/>
    </row>
    <row r="32" spans="2:6" x14ac:dyDescent="0.3">
      <c r="B32" s="16">
        <v>29</v>
      </c>
      <c r="C32" s="84">
        <v>45898</v>
      </c>
      <c r="D32" s="6"/>
      <c r="E32" s="6"/>
      <c r="F32" s="6"/>
    </row>
    <row r="33" spans="2:6" x14ac:dyDescent="0.3">
      <c r="B33" s="16">
        <v>30</v>
      </c>
      <c r="C33" s="84">
        <v>45899</v>
      </c>
      <c r="D33" s="6"/>
      <c r="E33" s="6"/>
      <c r="F33" s="6"/>
    </row>
    <row r="34" spans="2:6" x14ac:dyDescent="0.3">
      <c r="B34" s="16">
        <v>31</v>
      </c>
      <c r="C34" s="84">
        <v>45900</v>
      </c>
      <c r="D34" s="6"/>
      <c r="E34" s="6"/>
      <c r="F34" s="6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Daily Summary </vt:lpstr>
      <vt:lpstr>AAS lab Crushing Daily </vt:lpstr>
      <vt:lpstr>Reagent Consumption</vt:lpstr>
      <vt:lpstr>Crushing</vt:lpstr>
      <vt:lpstr>Rom File Inventory</vt:lpstr>
      <vt:lpstr>Au Cal Leaching Tank</vt:lpstr>
      <vt:lpstr>LT Ball Mill</vt:lpstr>
      <vt:lpstr>Milling and Leach Feed</vt:lpstr>
      <vt:lpstr>Crushing Down Time Hours</vt:lpstr>
      <vt:lpstr>Milling Down Time Hours</vt:lpstr>
      <vt:lpstr>LT Floculation</vt:lpstr>
      <vt:lpstr>Filter Press Down Time Hours </vt:lpstr>
      <vt:lpstr>Leach Time Process&amp;Down Time</vt:lpstr>
      <vt:lpstr>Leaching</vt:lpstr>
      <vt:lpstr>Fuel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GanyuChan</cp:lastModifiedBy>
  <dcterms:created xsi:type="dcterms:W3CDTF">2025-08-02T01:05:13Z</dcterms:created>
  <dcterms:modified xsi:type="dcterms:W3CDTF">2026-09-08T14:09:27Z</dcterms:modified>
</cp:coreProperties>
</file>