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BE7D59D5-73BF-4FCE-B6A7-9113DF401BF2}" xr6:coauthVersionLast="47" xr6:coauthVersionMax="47" xr10:uidLastSave="{00000000-0000-0000-0000-000000000000}"/>
  <bookViews>
    <workbookView xWindow="-108" yWindow="-108" windowWidth="23256" windowHeight="12456" firstSheet="3" activeTab="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4" i="1" l="1"/>
  <c r="K104" i="1" s="1"/>
  <c r="M104" i="1" s="1"/>
  <c r="I105" i="1"/>
  <c r="K105" i="1" s="1"/>
  <c r="M105" i="1" s="1"/>
  <c r="U64" i="21"/>
  <c r="Y21" i="13" s="1"/>
  <c r="V64" i="21"/>
  <c r="Z21" i="13" s="1"/>
  <c r="T64" i="21"/>
  <c r="X21" i="13" s="1"/>
  <c r="I34" i="12"/>
  <c r="J33" i="12"/>
  <c r="J32" i="12"/>
  <c r="H35" i="12"/>
  <c r="J31" i="12"/>
  <c r="J35" i="12" s="1"/>
  <c r="C20" i="13"/>
  <c r="C21" i="13"/>
  <c r="L21" i="13"/>
  <c r="U63" i="21"/>
  <c r="V63" i="21"/>
  <c r="T63" i="21"/>
  <c r="U61" i="21"/>
  <c r="V61" i="21"/>
  <c r="T61" i="21"/>
  <c r="H16" i="15"/>
  <c r="AG20" i="13" s="1"/>
  <c r="I16" i="15"/>
  <c r="AH20" i="13" s="1"/>
  <c r="G16" i="15"/>
  <c r="AF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R66" i="21"/>
  <c r="P66" i="21" s="1"/>
  <c r="AA51" i="21"/>
  <c r="N42" i="20"/>
  <c r="P42" i="20" s="1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L104" i="1" l="1"/>
  <c r="L105" i="1"/>
  <c r="M37" i="12"/>
  <c r="M61" i="21"/>
  <c r="W61" i="21" s="1"/>
  <c r="M62" i="21"/>
  <c r="H61" i="21"/>
  <c r="H62" i="21"/>
  <c r="I62" i="21" s="1"/>
  <c r="H63" i="21"/>
  <c r="P56" i="21"/>
  <c r="Q6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N104" i="1" l="1"/>
  <c r="O61" i="2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06" i="1"/>
  <c r="G14" i="15"/>
  <c r="H14" i="15"/>
  <c r="I14" i="15"/>
  <c r="AH18" i="13" s="1"/>
  <c r="BD21" i="13"/>
  <c r="BE21" i="13"/>
  <c r="BF21" i="13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06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/>
  <c r="M92" i="1" s="1"/>
  <c r="L92" i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K97" i="1"/>
  <c r="M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K47" i="1"/>
  <c r="M47" i="1" s="1"/>
  <c r="I48" i="1"/>
  <c r="L48" i="1" s="1"/>
  <c r="I49" i="1"/>
  <c r="K49" i="1" s="1"/>
  <c r="M49" i="1" s="1"/>
  <c r="I50" i="1"/>
  <c r="K50" i="1" s="1"/>
  <c r="M50" i="1" s="1"/>
  <c r="L50" i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K59" i="1"/>
  <c r="M59" i="1" s="1"/>
  <c r="I28" i="1"/>
  <c r="K28" i="1" s="1"/>
  <c r="M28" i="1" s="1"/>
  <c r="I29" i="1"/>
  <c r="K29" i="1" s="1"/>
  <c r="M29" i="1" s="1"/>
  <c r="I30" i="1"/>
  <c r="L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L51" i="1" l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N72" i="1" s="1"/>
  <c r="L101" i="1"/>
  <c r="N100" i="1" s="1"/>
  <c r="K87" i="1"/>
  <c r="M87" i="1" s="1"/>
  <c r="K71" i="1"/>
  <c r="M71" i="1" s="1"/>
  <c r="L93" i="1"/>
  <c r="N92" i="1" s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0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N44" i="1" l="1"/>
  <c r="N24" i="1"/>
  <c r="N54" i="1"/>
  <c r="N68" i="1"/>
  <c r="M65" i="21"/>
  <c r="S61" i="21" s="1"/>
  <c r="N98" i="1"/>
  <c r="F155" i="12"/>
  <c r="N90" i="1"/>
  <c r="N88" i="1"/>
  <c r="C47" i="7" s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W71" i="21"/>
  <c r="X32" i="2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06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V94" i="13"/>
  <c r="W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L18" i="1" l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O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AC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M106" i="1" l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AP12" i="13"/>
  <c r="BM10" i="13"/>
  <c r="O63" i="21"/>
  <c r="D21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Y35" i="2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T70" i="2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N106" i="1"/>
  <c r="G35" i="7"/>
  <c r="H35" i="7" s="1"/>
  <c r="G11" i="7"/>
  <c r="H11" i="7" s="1"/>
  <c r="G22" i="7"/>
  <c r="H22" i="7" s="1"/>
  <c r="E22" i="7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06" i="1"/>
  <c r="C26" i="7"/>
  <c r="C29" i="7"/>
  <c r="G14" i="7"/>
  <c r="H14" i="7" s="1"/>
  <c r="E14" i="7"/>
  <c r="L106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E20" i="7" l="1"/>
  <c r="C57" i="7"/>
  <c r="X67" i="7" s="1"/>
  <c r="E17" i="7"/>
  <c r="G17" i="7"/>
  <c r="H17" i="7" s="1"/>
  <c r="G10" i="7"/>
  <c r="H10" i="7" s="1"/>
  <c r="N107" i="1"/>
  <c r="J36" i="12" s="1"/>
  <c r="E7" i="7"/>
  <c r="E57" i="7" s="1"/>
  <c r="X68" i="7" s="1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W37" i="21"/>
  <c r="AB37" i="21" s="1"/>
  <c r="X37" i="21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Q100" i="21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C16" i="13" s="1"/>
  <c r="X36" i="21"/>
  <c r="W36" i="21"/>
  <c r="AB36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N23" i="4" l="1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AB16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C11" i="2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AA16" i="13"/>
  <c r="C60" i="13"/>
  <c r="N44" i="21"/>
  <c r="BA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X59" i="21" l="1"/>
  <c r="Y58" i="21"/>
  <c r="AC20" i="13" s="1"/>
  <c r="AN20" i="13" s="1"/>
  <c r="W59" i="21"/>
  <c r="AA20" i="13" s="1"/>
  <c r="S56" i="21"/>
  <c r="N57" i="21"/>
  <c r="N102" i="4"/>
  <c r="X58" i="21"/>
  <c r="AB20" i="13" s="1"/>
  <c r="AV20" i="13"/>
  <c r="BF20" i="13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AE16" i="13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BB20" i="13" s="1"/>
  <c r="AD16" i="13"/>
  <c r="N30" i="21"/>
  <c r="W100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H54" i="21" l="1"/>
  <c r="I54" i="21" s="1"/>
  <c r="N52" i="21"/>
  <c r="O54" i="21"/>
  <c r="S48" i="21"/>
  <c r="S100" i="21" s="1"/>
  <c r="Y54" i="21"/>
  <c r="W54" i="21"/>
  <c r="X54" i="21"/>
  <c r="X53" i="21"/>
  <c r="AB19" i="13" s="1"/>
  <c r="Y53" i="21"/>
  <c r="W53" i="21"/>
  <c r="O53" i="21"/>
  <c r="M100" i="21"/>
  <c r="BB18" i="13"/>
  <c r="AE17" i="13"/>
  <c r="AD17" i="13"/>
  <c r="AD18" i="13"/>
  <c r="AE18" i="13"/>
  <c r="AC19" i="13" l="1"/>
  <c r="AN19" i="13" s="1"/>
  <c r="AA19" i="13"/>
  <c r="O100" i="21"/>
  <c r="AA60" i="13"/>
  <c r="AA62" i="13"/>
  <c r="AE19" i="13"/>
  <c r="AD19" i="13"/>
  <c r="AB62" i="13"/>
  <c r="AB60" i="13"/>
  <c r="AC62" i="13" l="1"/>
  <c r="AC60" i="13"/>
  <c r="AN60" i="13"/>
  <c r="BF19" i="13"/>
  <c r="BB19" i="13" s="1"/>
  <c r="AV19" i="13"/>
  <c r="AV60" i="13" s="1"/>
  <c r="BF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<sst xmlns="http://schemas.openxmlformats.org/spreadsheetml/2006/main" count="2493" uniqueCount="770">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</sst>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</numFmts>
  <fonts count="11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164" fontId="80" fillId="0" borderId="0" applyFont="0" applyFill="0" applyBorder="0" applyAlignment="0" applyProtection="0"/>
  </cellStyleXfs>
  <cellXfs count="158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0" fillId="2" borderId="12" xfId="0" applyFont="1" applyFill="1" applyBorder="1"/>
    <xf numFmtId="0" fontId="0" fillId="2" borderId="12" xfId="0" applyFill="1" applyBorder="1"/>
    <xf numFmtId="0" fontId="8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1" fillId="3" borderId="12" xfId="0" applyFont="1" applyFill="1" applyBorder="1"/>
    <xf numFmtId="0" fontId="0" fillId="3" borderId="12" xfId="0" applyFill="1" applyBorder="1"/>
    <xf numFmtId="0" fontId="81" fillId="3" borderId="31" xfId="0" applyFont="1" applyFill="1" applyBorder="1" applyAlignment="1">
      <alignment horizontal="center"/>
    </xf>
    <xf numFmtId="0" fontId="8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2" fillId="5" borderId="0" xfId="0" applyFont="1" applyFill="1"/>
    <xf numFmtId="0" fontId="8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4" fillId="2" borderId="0" xfId="3" applyNumberFormat="1" applyFont="1" applyFill="1"/>
    <xf numFmtId="170" fontId="8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5" fillId="5" borderId="0" xfId="2" applyNumberFormat="1" applyFont="1" applyFill="1"/>
    <xf numFmtId="172" fontId="8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6" fillId="6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9" borderId="12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0" fontId="88" fillId="11" borderId="12" xfId="0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8" fillId="12" borderId="12" xfId="0" applyNumberFormat="1" applyFont="1" applyFill="1" applyBorder="1" applyAlignment="1">
      <alignment horizontal="center" vertical="center"/>
    </xf>
    <xf numFmtId="0" fontId="88" fillId="13" borderId="12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/>
    </xf>
    <xf numFmtId="20" fontId="80" fillId="2" borderId="28" xfId="0" applyNumberFormat="1" applyFont="1" applyFill="1" applyBorder="1" applyAlignment="1">
      <alignment horizontal="center" vertical="center"/>
    </xf>
    <xf numFmtId="1" fontId="8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0" fillId="2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right"/>
    </xf>
    <xf numFmtId="1" fontId="81" fillId="3" borderId="20" xfId="0" applyNumberFormat="1" applyFont="1" applyFill="1" applyBorder="1" applyAlignment="1">
      <alignment horizontal="right"/>
    </xf>
    <xf numFmtId="9" fontId="8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6" fillId="0" borderId="0" xfId="0" applyFont="1"/>
    <xf numFmtId="1" fontId="86" fillId="0" borderId="0" xfId="0" applyNumberFormat="1" applyFont="1" applyAlignment="1">
      <alignment horizontal="center"/>
    </xf>
    <xf numFmtId="0" fontId="86" fillId="0" borderId="0" xfId="0" applyFont="1" applyAlignment="1">
      <alignment horizontal="center"/>
    </xf>
    <xf numFmtId="0" fontId="9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6" fillId="0" borderId="38" xfId="0" applyFont="1" applyBorder="1"/>
    <xf numFmtId="1" fontId="86" fillId="0" borderId="38" xfId="0" applyNumberFormat="1" applyFont="1" applyBorder="1" applyAlignment="1">
      <alignment horizontal="center"/>
    </xf>
    <xf numFmtId="0" fontId="86" fillId="0" borderId="38" xfId="0" applyFont="1" applyBorder="1" applyAlignment="1">
      <alignment horizontal="center"/>
    </xf>
    <xf numFmtId="43" fontId="86" fillId="0" borderId="38" xfId="1" applyFont="1" applyBorder="1" applyAlignment="1">
      <alignment horizontal="center"/>
    </xf>
    <xf numFmtId="0" fontId="86" fillId="0" borderId="39" xfId="0" applyFont="1" applyBorder="1"/>
    <xf numFmtId="0" fontId="88" fillId="0" borderId="0" xfId="0" applyFont="1" applyAlignment="1">
      <alignment wrapText="1"/>
    </xf>
    <xf numFmtId="0" fontId="88" fillId="3" borderId="45" xfId="0" applyFont="1" applyFill="1" applyBorder="1" applyAlignment="1">
      <alignment horizontal="center" vertical="center" wrapText="1"/>
    </xf>
    <xf numFmtId="0" fontId="86" fillId="0" borderId="47" xfId="0" applyFont="1" applyBorder="1"/>
    <xf numFmtId="173" fontId="86" fillId="0" borderId="48" xfId="0" applyNumberFormat="1" applyFont="1" applyBorder="1" applyAlignment="1">
      <alignment horizontal="center"/>
    </xf>
    <xf numFmtId="1" fontId="86" fillId="0" borderId="48" xfId="0" applyNumberFormat="1" applyFont="1" applyBorder="1" applyAlignment="1">
      <alignment horizontal="center"/>
    </xf>
    <xf numFmtId="174" fontId="86" fillId="0" borderId="48" xfId="0" applyNumberFormat="1" applyFont="1" applyBorder="1" applyAlignment="1">
      <alignment horizontal="center"/>
    </xf>
    <xf numFmtId="0" fontId="86" fillId="0" borderId="48" xfId="0" applyFont="1" applyBorder="1"/>
    <xf numFmtId="9" fontId="86" fillId="0" borderId="48" xfId="0" applyNumberFormat="1" applyFont="1" applyBorder="1" applyAlignment="1">
      <alignment horizontal="center"/>
    </xf>
    <xf numFmtId="0" fontId="86" fillId="0" borderId="48" xfId="0" applyFont="1" applyBorder="1" applyAlignment="1">
      <alignment horizontal="center"/>
    </xf>
    <xf numFmtId="9" fontId="86" fillId="0" borderId="49" xfId="0" applyNumberFormat="1" applyFont="1" applyBorder="1" applyAlignment="1">
      <alignment horizontal="center"/>
    </xf>
    <xf numFmtId="0" fontId="8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81" fillId="10" borderId="20" xfId="0" applyFont="1" applyFill="1" applyBorder="1"/>
    <xf numFmtId="0" fontId="81" fillId="10" borderId="28" xfId="0" applyFont="1" applyFill="1" applyBorder="1"/>
    <xf numFmtId="14" fontId="8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1" fillId="16" borderId="12" xfId="0" applyFont="1" applyFill="1" applyBorder="1" applyAlignment="1">
      <alignment horizontal="center"/>
    </xf>
    <xf numFmtId="0" fontId="81" fillId="10" borderId="7" xfId="0" applyFont="1" applyFill="1" applyBorder="1" applyAlignment="1">
      <alignment horizontal="center"/>
    </xf>
    <xf numFmtId="9" fontId="86" fillId="0" borderId="12" xfId="0" applyNumberFormat="1" applyFont="1" applyBorder="1" applyAlignment="1">
      <alignment horizontal="center"/>
    </xf>
    <xf numFmtId="0" fontId="81" fillId="17" borderId="12" xfId="0" applyFont="1" applyFill="1" applyBorder="1" applyAlignment="1">
      <alignment horizontal="center"/>
    </xf>
    <xf numFmtId="0" fontId="8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1" fillId="3" borderId="0" xfId="0" applyFont="1" applyFill="1" applyAlignment="1">
      <alignment horizontal="center"/>
    </xf>
    <xf numFmtId="0" fontId="8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6" fillId="18" borderId="12" xfId="0" applyNumberFormat="1" applyFont="1" applyFill="1" applyBorder="1" applyAlignment="1">
      <alignment horizontal="center"/>
    </xf>
    <xf numFmtId="2" fontId="9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1" fillId="3" borderId="20" xfId="0" applyNumberFormat="1" applyFont="1" applyFill="1" applyBorder="1" applyAlignment="1">
      <alignment horizontal="right"/>
    </xf>
    <xf numFmtId="0" fontId="96" fillId="18" borderId="7" xfId="0" applyFont="1" applyFill="1" applyBorder="1"/>
    <xf numFmtId="0" fontId="96" fillId="18" borderId="29" xfId="0" applyFont="1" applyFill="1" applyBorder="1"/>
    <xf numFmtId="174" fontId="96" fillId="18" borderId="29" xfId="0" applyNumberFormat="1" applyFont="1" applyFill="1" applyBorder="1" applyAlignment="1">
      <alignment horizontal="center"/>
    </xf>
    <xf numFmtId="0" fontId="97" fillId="2" borderId="0" xfId="0" applyFont="1" applyFill="1"/>
    <xf numFmtId="176" fontId="86" fillId="0" borderId="48" xfId="0" applyNumberFormat="1" applyFont="1" applyBorder="1" applyAlignment="1">
      <alignment horizontal="center"/>
    </xf>
    <xf numFmtId="0" fontId="80" fillId="2" borderId="7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1" fillId="2" borderId="0" xfId="0" applyFont="1" applyFill="1" applyAlignment="1">
      <alignment horizontal="center"/>
    </xf>
    <xf numFmtId="0" fontId="8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8" fillId="2" borderId="28" xfId="0" applyFon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/>
    </xf>
    <xf numFmtId="0" fontId="81" fillId="20" borderId="12" xfId="0" applyFont="1" applyFill="1" applyBorder="1"/>
    <xf numFmtId="9" fontId="86" fillId="0" borderId="0" xfId="2" applyFont="1" applyAlignment="1">
      <alignment horizontal="center"/>
    </xf>
    <xf numFmtId="0" fontId="81" fillId="0" borderId="12" xfId="0" applyFont="1" applyBorder="1"/>
    <xf numFmtId="176" fontId="0" fillId="0" borderId="12" xfId="0" applyNumberFormat="1" applyBorder="1"/>
    <xf numFmtId="1" fontId="99" fillId="2" borderId="12" xfId="0" applyNumberFormat="1" applyFont="1" applyFill="1" applyBorder="1"/>
    <xf numFmtId="9" fontId="99" fillId="2" borderId="12" xfId="0" applyNumberFormat="1" applyFont="1" applyFill="1" applyBorder="1"/>
    <xf numFmtId="0" fontId="91" fillId="2" borderId="12" xfId="0" applyFont="1" applyFill="1" applyBorder="1"/>
    <xf numFmtId="1" fontId="88" fillId="3" borderId="45" xfId="0" applyNumberFormat="1" applyFont="1" applyFill="1" applyBorder="1" applyAlignment="1">
      <alignment horizontal="center" vertical="center" wrapText="1"/>
    </xf>
    <xf numFmtId="43" fontId="88" fillId="3" borderId="45" xfId="1" applyFont="1" applyFill="1" applyBorder="1" applyAlignment="1">
      <alignment horizontal="center" vertical="center" wrapText="1"/>
    </xf>
    <xf numFmtId="0" fontId="8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7" fillId="2" borderId="28" xfId="0" applyFont="1" applyFill="1" applyBorder="1" applyAlignment="1">
      <alignment vertical="center"/>
    </xf>
    <xf numFmtId="20" fontId="7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20" fontId="74" fillId="2" borderId="28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9" fontId="86" fillId="8" borderId="12" xfId="0" applyNumberFormat="1" applyFont="1" applyFill="1" applyBorder="1" applyAlignment="1">
      <alignment horizontal="center" vertical="center"/>
    </xf>
    <xf numFmtId="1" fontId="8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14" fontId="8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6" fillId="2" borderId="20" xfId="0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vertical="center"/>
    </xf>
    <xf numFmtId="0" fontId="87" fillId="2" borderId="28" xfId="0" applyFont="1" applyFill="1" applyBorder="1"/>
    <xf numFmtId="0" fontId="86" fillId="2" borderId="28" xfId="0" applyFont="1" applyFill="1" applyBorder="1" applyAlignment="1">
      <alignment horizontal="center" vertical="center"/>
    </xf>
    <xf numFmtId="14" fontId="86" fillId="7" borderId="10" xfId="0" applyNumberFormat="1" applyFont="1" applyFill="1" applyBorder="1" applyAlignment="1">
      <alignment vertical="center"/>
    </xf>
    <xf numFmtId="14" fontId="86" fillId="7" borderId="10" xfId="0" applyNumberFormat="1" applyFont="1" applyFill="1" applyBorder="1" applyAlignment="1">
      <alignment horizontal="center" vertical="center"/>
    </xf>
    <xf numFmtId="14" fontId="86" fillId="2" borderId="10" xfId="0" applyNumberFormat="1" applyFont="1" applyFill="1" applyBorder="1" applyAlignment="1">
      <alignment vertical="center"/>
    </xf>
    <xf numFmtId="14" fontId="86" fillId="2" borderId="10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1" fontId="86" fillId="8" borderId="10" xfId="0" applyNumberFormat="1" applyFont="1" applyFill="1" applyBorder="1" applyAlignment="1">
      <alignment horizontal="center" vertical="center"/>
    </xf>
    <xf numFmtId="0" fontId="86" fillId="8" borderId="10" xfId="0" applyFont="1" applyFill="1" applyBorder="1" applyAlignment="1">
      <alignment horizontal="center" vertical="center"/>
    </xf>
    <xf numFmtId="14" fontId="86" fillId="7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horizontal="center" vertical="center"/>
    </xf>
    <xf numFmtId="0" fontId="8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6" fillId="9" borderId="28" xfId="0" applyFont="1" applyFill="1" applyBorder="1" applyAlignment="1">
      <alignment horizontal="center" vertical="center"/>
    </xf>
    <xf numFmtId="0" fontId="87" fillId="2" borderId="10" xfId="0" applyFont="1" applyFill="1" applyBorder="1"/>
    <xf numFmtId="0" fontId="87" fillId="2" borderId="17" xfId="0" applyFont="1" applyFill="1" applyBorder="1"/>
    <xf numFmtId="0" fontId="0" fillId="2" borderId="17" xfId="0" applyFill="1" applyBorder="1"/>
    <xf numFmtId="0" fontId="86" fillId="9" borderId="17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9" fontId="86" fillId="2" borderId="12" xfId="0" applyNumberFormat="1" applyFont="1" applyFill="1" applyBorder="1" applyAlignment="1">
      <alignment horizontal="center" vertical="center"/>
    </xf>
    <xf numFmtId="1" fontId="86" fillId="8" borderId="28" xfId="0" applyNumberFormat="1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6" fillId="0" borderId="47" xfId="0" applyNumberFormat="1" applyFont="1" applyBorder="1" applyAlignment="1">
      <alignment horizontal="center"/>
    </xf>
    <xf numFmtId="1" fontId="86" fillId="0" borderId="12" xfId="0" applyNumberFormat="1" applyFont="1" applyBorder="1" applyAlignment="1">
      <alignment horizontal="center"/>
    </xf>
    <xf numFmtId="174" fontId="86" fillId="0" borderId="12" xfId="0" applyNumberFormat="1" applyFont="1" applyBorder="1" applyAlignment="1">
      <alignment horizontal="center"/>
    </xf>
    <xf numFmtId="0" fontId="8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6" fillId="2" borderId="12" xfId="0" applyFont="1" applyFill="1" applyBorder="1" applyAlignment="1">
      <alignment vertical="top" wrapText="1"/>
    </xf>
    <xf numFmtId="0" fontId="8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1" fillId="18" borderId="30" xfId="0" applyFont="1" applyFill="1" applyBorder="1" applyAlignment="1">
      <alignment horizontal="center" vertical="center"/>
    </xf>
    <xf numFmtId="0" fontId="8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43" fontId="8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4" fillId="2" borderId="12" xfId="0" applyNumberFormat="1" applyFont="1" applyFill="1" applyBorder="1" applyAlignment="1">
      <alignment horizontal="center" vertical="center"/>
    </xf>
    <xf numFmtId="0" fontId="81" fillId="18" borderId="30" xfId="0" applyFont="1" applyFill="1" applyBorder="1" applyAlignment="1">
      <alignment horizontal="center"/>
    </xf>
    <xf numFmtId="0" fontId="81" fillId="18" borderId="32" xfId="0" applyFont="1" applyFill="1" applyBorder="1" applyAlignment="1">
      <alignment horizontal="center"/>
    </xf>
    <xf numFmtId="0" fontId="8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1" fillId="4" borderId="12" xfId="0" applyFont="1" applyFill="1" applyBorder="1"/>
    <xf numFmtId="0" fontId="81" fillId="18" borderId="12" xfId="0" applyFont="1" applyFill="1" applyBorder="1"/>
    <xf numFmtId="0" fontId="81" fillId="18" borderId="12" xfId="0" applyFont="1" applyFill="1" applyBorder="1" applyAlignment="1">
      <alignment horizontal="left"/>
    </xf>
    <xf numFmtId="0" fontId="62" fillId="2" borderId="12" xfId="0" applyFont="1" applyFill="1" applyBorder="1"/>
    <xf numFmtId="0" fontId="80" fillId="3" borderId="0" xfId="0" applyFont="1" applyFill="1" applyAlignment="1">
      <alignment horizontal="center"/>
    </xf>
    <xf numFmtId="0" fontId="80" fillId="3" borderId="19" xfId="0" applyFont="1" applyFill="1" applyBorder="1" applyAlignment="1">
      <alignment horizontal="center"/>
    </xf>
    <xf numFmtId="0" fontId="8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96" fillId="3" borderId="21" xfId="1" applyNumberFormat="1" applyFont="1" applyFill="1" applyBorder="1" applyAlignment="1">
      <alignment horizontal="center" vertical="center"/>
    </xf>
    <xf numFmtId="166" fontId="96" fillId="3" borderId="21" xfId="0" applyNumberFormat="1" applyFont="1" applyFill="1" applyBorder="1" applyAlignment="1">
      <alignment horizontal="center" vertical="center"/>
    </xf>
    <xf numFmtId="9" fontId="96" fillId="3" borderId="21" xfId="2" applyFont="1" applyFill="1" applyBorder="1" applyAlignment="1">
      <alignment horizontal="center" vertical="center"/>
    </xf>
    <xf numFmtId="9" fontId="96" fillId="3" borderId="22" xfId="2" applyFont="1" applyFill="1" applyBorder="1" applyAlignment="1">
      <alignment horizontal="center" vertical="center" wrapText="1"/>
    </xf>
    <xf numFmtId="14" fontId="101" fillId="2" borderId="9" xfId="0" applyNumberFormat="1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vertical="center"/>
    </xf>
    <xf numFmtId="165" fontId="101" fillId="2" borderId="10" xfId="1" applyNumberFormat="1" applyFont="1" applyFill="1" applyBorder="1" applyAlignment="1">
      <alignment horizontal="center" vertical="center"/>
    </xf>
    <xf numFmtId="166" fontId="101" fillId="2" borderId="10" xfId="0" applyNumberFormat="1" applyFont="1" applyFill="1" applyBorder="1" applyAlignment="1">
      <alignment horizontal="center" vertical="center"/>
    </xf>
    <xf numFmtId="9" fontId="101" fillId="2" borderId="10" xfId="2" applyFont="1" applyFill="1" applyBorder="1" applyAlignment="1">
      <alignment horizontal="center" vertical="center"/>
    </xf>
    <xf numFmtId="167" fontId="101" fillId="2" borderId="11" xfId="1" applyNumberFormat="1" applyFont="1" applyFill="1" applyBorder="1" applyAlignment="1">
      <alignment horizontal="center" vertical="center"/>
    </xf>
    <xf numFmtId="0" fontId="101" fillId="2" borderId="11" xfId="0" applyFont="1" applyFill="1" applyBorder="1" applyAlignment="1">
      <alignment horizontal="center" vertical="center"/>
    </xf>
    <xf numFmtId="1" fontId="101" fillId="2" borderId="11" xfId="0" applyNumberFormat="1" applyFont="1" applyFill="1" applyBorder="1" applyAlignment="1">
      <alignment horizontal="center" vertical="center"/>
    </xf>
    <xf numFmtId="165" fontId="101" fillId="2" borderId="10" xfId="0" applyNumberFormat="1" applyFont="1" applyFill="1" applyBorder="1" applyAlignment="1">
      <alignment horizontal="center" vertical="center"/>
    </xf>
    <xf numFmtId="0" fontId="101" fillId="2" borderId="12" xfId="0" applyFont="1" applyFill="1" applyBorder="1"/>
    <xf numFmtId="14" fontId="101" fillId="2" borderId="14" xfId="0" applyNumberFormat="1" applyFont="1" applyFill="1" applyBorder="1" applyAlignment="1">
      <alignment horizontal="center" vertical="center"/>
    </xf>
    <xf numFmtId="0" fontId="101" fillId="2" borderId="15" xfId="0" applyFont="1" applyFill="1" applyBorder="1" applyAlignment="1">
      <alignment vertical="center"/>
    </xf>
    <xf numFmtId="165" fontId="101" fillId="2" borderId="15" xfId="1" applyNumberFormat="1" applyFont="1" applyFill="1" applyBorder="1" applyAlignment="1">
      <alignment horizontal="center" vertical="center"/>
    </xf>
    <xf numFmtId="166" fontId="101" fillId="2" borderId="15" xfId="0" applyNumberFormat="1" applyFont="1" applyFill="1" applyBorder="1" applyAlignment="1">
      <alignment horizontal="center" vertical="center"/>
    </xf>
    <xf numFmtId="9" fontId="101" fillId="2" borderId="15" xfId="2" applyFont="1" applyFill="1" applyBorder="1" applyAlignment="1">
      <alignment horizontal="center" vertical="center"/>
    </xf>
    <xf numFmtId="165" fontId="101" fillId="2" borderId="17" xfId="1" applyNumberFormat="1" applyFont="1" applyFill="1" applyBorder="1" applyAlignment="1">
      <alignment horizontal="center" vertical="center"/>
    </xf>
    <xf numFmtId="167" fontId="101" fillId="2" borderId="16" xfId="1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/>
    <xf numFmtId="168" fontId="101" fillId="2" borderId="12" xfId="0" applyNumberFormat="1" applyFont="1" applyFill="1" applyBorder="1"/>
    <xf numFmtId="165" fontId="101" fillId="2" borderId="15" xfId="0" applyNumberFormat="1" applyFont="1" applyFill="1" applyBorder="1" applyAlignment="1">
      <alignment horizontal="center" vertical="center"/>
    </xf>
    <xf numFmtId="165" fontId="101" fillId="2" borderId="17" xfId="0" applyNumberFormat="1" applyFont="1" applyFill="1" applyBorder="1" applyAlignment="1">
      <alignment horizontal="center" vertical="center"/>
    </xf>
    <xf numFmtId="167" fontId="101" fillId="2" borderId="12" xfId="0" applyNumberFormat="1" applyFont="1" applyFill="1" applyBorder="1"/>
    <xf numFmtId="0" fontId="101" fillId="2" borderId="17" xfId="0" applyFont="1" applyFill="1" applyBorder="1" applyAlignment="1">
      <alignment vertical="center"/>
    </xf>
    <xf numFmtId="1" fontId="101" fillId="2" borderId="16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vertical="center"/>
    </xf>
    <xf numFmtId="165" fontId="101" fillId="2" borderId="20" xfId="1" applyNumberFormat="1" applyFont="1" applyFill="1" applyBorder="1" applyAlignment="1">
      <alignment horizontal="center" vertical="center"/>
    </xf>
    <xf numFmtId="166" fontId="101" fillId="2" borderId="21" xfId="0" applyNumberFormat="1" applyFont="1" applyFill="1" applyBorder="1" applyAlignment="1">
      <alignment horizontal="center" vertical="center"/>
    </xf>
    <xf numFmtId="9" fontId="101" fillId="2" borderId="21" xfId="2" applyFont="1" applyFill="1" applyBorder="1" applyAlignment="1">
      <alignment horizontal="center" vertical="center"/>
    </xf>
    <xf numFmtId="167" fontId="101" fillId="2" borderId="22" xfId="1" applyNumberFormat="1" applyFont="1" applyFill="1" applyBorder="1" applyAlignment="1">
      <alignment horizontal="center" vertical="center"/>
    </xf>
    <xf numFmtId="1" fontId="101" fillId="2" borderId="22" xfId="0" applyNumberFormat="1" applyFont="1" applyFill="1" applyBorder="1" applyAlignment="1">
      <alignment horizontal="center" vertical="center"/>
    </xf>
    <xf numFmtId="165" fontId="101" fillId="2" borderId="21" xfId="0" applyNumberFormat="1" applyFont="1" applyFill="1" applyBorder="1" applyAlignment="1">
      <alignment horizontal="center" vertical="center"/>
    </xf>
    <xf numFmtId="165" fontId="101" fillId="2" borderId="20" xfId="0" applyNumberFormat="1" applyFont="1" applyFill="1" applyBorder="1" applyAlignment="1">
      <alignment horizontal="center" vertical="center"/>
    </xf>
    <xf numFmtId="165" fontId="101" fillId="2" borderId="23" xfId="0" applyNumberFormat="1" applyFont="1" applyFill="1" applyBorder="1" applyAlignment="1">
      <alignment horizontal="center" vertical="center"/>
    </xf>
    <xf numFmtId="165" fontId="101" fillId="2" borderId="25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0" fontId="101" fillId="2" borderId="27" xfId="0" applyFont="1" applyFill="1" applyBorder="1" applyAlignment="1">
      <alignment vertical="center"/>
    </xf>
    <xf numFmtId="165" fontId="101" fillId="2" borderId="27" xfId="1" applyNumberFormat="1" applyFont="1" applyFill="1" applyBorder="1" applyAlignment="1">
      <alignment horizontal="center" vertical="center"/>
    </xf>
    <xf numFmtId="166" fontId="101" fillId="2" borderId="27" xfId="0" applyNumberFormat="1" applyFont="1" applyFill="1" applyBorder="1" applyAlignment="1">
      <alignment horizontal="center" vertical="center"/>
    </xf>
    <xf numFmtId="9" fontId="101" fillId="2" borderId="27" xfId="2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vertical="center"/>
    </xf>
    <xf numFmtId="165" fontId="101" fillId="2" borderId="17" xfId="0" applyNumberFormat="1" applyFont="1" applyFill="1" applyBorder="1" applyAlignment="1">
      <alignment vertical="center"/>
    </xf>
    <xf numFmtId="175" fontId="101" fillId="2" borderId="27" xfId="2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1" xfId="0" applyFont="1" applyFill="1" applyBorder="1" applyAlignment="1">
      <alignment vertical="center"/>
    </xf>
    <xf numFmtId="165" fontId="96" fillId="4" borderId="21" xfId="1" applyNumberFormat="1" applyFont="1" applyFill="1" applyBorder="1" applyAlignment="1">
      <alignment horizontal="center" vertical="center"/>
    </xf>
    <xf numFmtId="166" fontId="96" fillId="4" borderId="21" xfId="0" applyNumberFormat="1" applyFont="1" applyFill="1" applyBorder="1" applyAlignment="1">
      <alignment horizontal="center" vertical="center"/>
    </xf>
    <xf numFmtId="9" fontId="96" fillId="4" borderId="21" xfId="2" applyFont="1" applyFill="1" applyBorder="1" applyAlignment="1">
      <alignment horizontal="center" vertical="center"/>
    </xf>
    <xf numFmtId="167" fontId="96" fillId="4" borderId="22" xfId="1" applyNumberFormat="1" applyFont="1" applyFill="1" applyBorder="1" applyAlignment="1">
      <alignment horizontal="center" vertical="center"/>
    </xf>
    <xf numFmtId="0" fontId="96" fillId="4" borderId="22" xfId="0" applyFont="1" applyFill="1" applyBorder="1" applyAlignment="1">
      <alignment horizontal="center" vertical="center"/>
    </xf>
    <xf numFmtId="1" fontId="96" fillId="4" borderId="22" xfId="0" applyNumberFormat="1" applyFont="1" applyFill="1" applyBorder="1" applyAlignment="1">
      <alignment horizontal="center" vertical="center"/>
    </xf>
    <xf numFmtId="165" fontId="96" fillId="4" borderId="21" xfId="0" applyNumberFormat="1" applyFont="1" applyFill="1" applyBorder="1" applyAlignment="1">
      <alignment horizontal="center" vertical="center"/>
    </xf>
    <xf numFmtId="0" fontId="96" fillId="4" borderId="17" xfId="0" applyFont="1" applyFill="1" applyBorder="1"/>
    <xf numFmtId="165" fontId="96" fillId="4" borderId="17" xfId="1" applyNumberFormat="1" applyFont="1" applyFill="1" applyBorder="1" applyAlignment="1">
      <alignment horizontal="center" vertical="center"/>
    </xf>
    <xf numFmtId="9" fontId="96" fillId="4" borderId="17" xfId="2" applyFont="1" applyFill="1" applyBorder="1" applyAlignment="1">
      <alignment horizontal="center" vertical="center"/>
    </xf>
    <xf numFmtId="1" fontId="96" fillId="4" borderId="17" xfId="0" applyNumberFormat="1" applyFont="1" applyFill="1" applyBorder="1" applyAlignment="1">
      <alignment horizontal="center"/>
    </xf>
    <xf numFmtId="165" fontId="9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6" fillId="4" borderId="6" xfId="0" applyNumberFormat="1" applyFont="1" applyFill="1" applyBorder="1" applyAlignment="1">
      <alignment horizontal="center" vertical="center"/>
    </xf>
    <xf numFmtId="165" fontId="96" fillId="4" borderId="54" xfId="0" applyNumberFormat="1" applyFont="1" applyFill="1" applyBorder="1" applyAlignment="1">
      <alignment vertical="center"/>
    </xf>
    <xf numFmtId="0" fontId="96" fillId="3" borderId="22" xfId="0" applyFont="1" applyFill="1" applyBorder="1" applyAlignment="1">
      <alignment horizontal="center" vertical="center" wrapText="1"/>
    </xf>
    <xf numFmtId="0" fontId="96" fillId="3" borderId="21" xfId="0" applyFont="1" applyFill="1" applyBorder="1" applyAlignment="1">
      <alignment horizontal="center" vertical="center"/>
    </xf>
    <xf numFmtId="0" fontId="96" fillId="3" borderId="21" xfId="0" applyFont="1" applyFill="1" applyBorder="1" applyAlignment="1">
      <alignment horizontal="center" vertical="center" wrapText="1"/>
    </xf>
    <xf numFmtId="0" fontId="96" fillId="20" borderId="28" xfId="0" applyFont="1" applyFill="1" applyBorder="1" applyAlignment="1">
      <alignment horizontal="center" vertical="center"/>
    </xf>
    <xf numFmtId="14" fontId="101" fillId="17" borderId="9" xfId="0" applyNumberFormat="1" applyFont="1" applyFill="1" applyBorder="1" applyAlignment="1">
      <alignment horizontal="center" vertical="center"/>
    </xf>
    <xf numFmtId="0" fontId="101" fillId="17" borderId="10" xfId="0" applyFont="1" applyFill="1" applyBorder="1" applyAlignment="1">
      <alignment vertical="center"/>
    </xf>
    <xf numFmtId="165" fontId="101" fillId="17" borderId="10" xfId="1" applyNumberFormat="1" applyFont="1" applyFill="1" applyBorder="1" applyAlignment="1">
      <alignment horizontal="center" vertical="center"/>
    </xf>
    <xf numFmtId="166" fontId="101" fillId="17" borderId="10" xfId="0" applyNumberFormat="1" applyFont="1" applyFill="1" applyBorder="1" applyAlignment="1">
      <alignment horizontal="center" vertical="center"/>
    </xf>
    <xf numFmtId="9" fontId="101" fillId="17" borderId="10" xfId="2" applyFont="1" applyFill="1" applyBorder="1" applyAlignment="1">
      <alignment horizontal="center" vertical="center"/>
    </xf>
    <xf numFmtId="167" fontId="101" fillId="17" borderId="11" xfId="1" applyNumberFormat="1" applyFont="1" applyFill="1" applyBorder="1" applyAlignment="1">
      <alignment horizontal="center" vertical="center"/>
    </xf>
    <xf numFmtId="1" fontId="101" fillId="17" borderId="11" xfId="0" applyNumberFormat="1" applyFont="1" applyFill="1" applyBorder="1" applyAlignment="1">
      <alignment horizontal="center" vertical="center"/>
    </xf>
    <xf numFmtId="165" fontId="101" fillId="17" borderId="10" xfId="0" applyNumberFormat="1" applyFont="1" applyFill="1" applyBorder="1" applyAlignment="1">
      <alignment horizontal="center" vertical="center"/>
    </xf>
    <xf numFmtId="0" fontId="101" fillId="17" borderId="12" xfId="0" applyFont="1" applyFill="1" applyBorder="1"/>
    <xf numFmtId="14" fontId="101" fillId="17" borderId="14" xfId="0" applyNumberFormat="1" applyFont="1" applyFill="1" applyBorder="1" applyAlignment="1">
      <alignment horizontal="center" vertical="center"/>
    </xf>
    <xf numFmtId="0" fontId="101" fillId="17" borderId="15" xfId="0" applyFont="1" applyFill="1" applyBorder="1" applyAlignment="1">
      <alignment vertical="center"/>
    </xf>
    <xf numFmtId="165" fontId="101" fillId="17" borderId="17" xfId="1" applyNumberFormat="1" applyFont="1" applyFill="1" applyBorder="1" applyAlignment="1">
      <alignment horizontal="center" vertical="center"/>
    </xf>
    <xf numFmtId="9" fontId="101" fillId="17" borderId="15" xfId="2" applyFont="1" applyFill="1" applyBorder="1" applyAlignment="1">
      <alignment horizontal="center" vertical="center"/>
    </xf>
    <xf numFmtId="167" fontId="101" fillId="17" borderId="16" xfId="1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65" fontId="101" fillId="17" borderId="12" xfId="0" applyNumberFormat="1" applyFont="1" applyFill="1" applyBorder="1"/>
    <xf numFmtId="165" fontId="101" fillId="17" borderId="17" xfId="0" applyNumberFormat="1" applyFont="1" applyFill="1" applyBorder="1" applyAlignment="1">
      <alignment horizontal="center" vertical="center"/>
    </xf>
    <xf numFmtId="0" fontId="101" fillId="17" borderId="17" xfId="0" applyFont="1" applyFill="1" applyBorder="1" applyAlignment="1">
      <alignment vertical="center"/>
    </xf>
    <xf numFmtId="1" fontId="10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left" vertical="center"/>
    </xf>
    <xf numFmtId="0" fontId="101" fillId="2" borderId="12" xfId="0" applyFont="1" applyFill="1" applyBorder="1" applyAlignment="1">
      <alignment wrapText="1"/>
    </xf>
    <xf numFmtId="0" fontId="5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1" fillId="4" borderId="12" xfId="0" applyFont="1" applyFill="1" applyBorder="1" applyAlignment="1">
      <alignment horizontal="center" wrapText="1"/>
    </xf>
    <xf numFmtId="166" fontId="102" fillId="17" borderId="10" xfId="0" applyNumberFormat="1" applyFont="1" applyFill="1" applyBorder="1" applyAlignment="1">
      <alignment horizontal="center" vertical="center"/>
    </xf>
    <xf numFmtId="166" fontId="102" fillId="2" borderId="21" xfId="0" applyNumberFormat="1" applyFont="1" applyFill="1" applyBorder="1" applyAlignment="1">
      <alignment horizontal="center" vertical="center"/>
    </xf>
    <xf numFmtId="166" fontId="102" fillId="17" borderId="15" xfId="0" applyNumberFormat="1" applyFont="1" applyFill="1" applyBorder="1" applyAlignment="1">
      <alignment horizontal="center" vertical="center"/>
    </xf>
    <xf numFmtId="166" fontId="102" fillId="2" borderId="15" xfId="0" applyNumberFormat="1" applyFont="1" applyFill="1" applyBorder="1" applyAlignment="1">
      <alignment horizontal="center" vertical="center"/>
    </xf>
    <xf numFmtId="166" fontId="102" fillId="2" borderId="10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6" fillId="18" borderId="12" xfId="0" applyFont="1" applyFill="1" applyBorder="1" applyAlignment="1">
      <alignment horizontal="center"/>
    </xf>
    <xf numFmtId="0" fontId="8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1" fillId="18" borderId="12" xfId="0" applyNumberFormat="1" applyFont="1" applyFill="1" applyBorder="1" applyAlignment="1">
      <alignment horizontal="center" wrapText="1"/>
    </xf>
    <xf numFmtId="14" fontId="55" fillId="2" borderId="12" xfId="0" applyNumberFormat="1" applyFont="1" applyFill="1" applyBorder="1"/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173" fontId="86" fillId="0" borderId="47" xfId="0" applyNumberFormat="1" applyFont="1" applyBorder="1" applyAlignment="1">
      <alignment horizontal="center"/>
    </xf>
    <xf numFmtId="1" fontId="86" fillId="0" borderId="20" xfId="0" applyNumberFormat="1" applyFont="1" applyBorder="1" applyAlignment="1">
      <alignment horizontal="center"/>
    </xf>
    <xf numFmtId="0" fontId="86" fillId="0" borderId="20" xfId="0" applyFont="1" applyBorder="1"/>
    <xf numFmtId="9" fontId="86" fillId="0" borderId="20" xfId="0" applyNumberFormat="1" applyFont="1" applyBorder="1" applyAlignment="1">
      <alignment horizontal="center"/>
    </xf>
    <xf numFmtId="0" fontId="86" fillId="0" borderId="20" xfId="0" applyFont="1" applyBorder="1" applyAlignment="1">
      <alignment horizontal="center"/>
    </xf>
    <xf numFmtId="173" fontId="86" fillId="14" borderId="12" xfId="0" applyNumberFormat="1" applyFont="1" applyFill="1" applyBorder="1" applyAlignment="1">
      <alignment horizontal="center"/>
    </xf>
    <xf numFmtId="43" fontId="86" fillId="14" borderId="12" xfId="1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/>
    </xf>
    <xf numFmtId="0" fontId="86" fillId="14" borderId="12" xfId="0" applyFont="1" applyFill="1" applyBorder="1"/>
    <xf numFmtId="1" fontId="86" fillId="21" borderId="12" xfId="0" applyNumberFormat="1" applyFont="1" applyFill="1" applyBorder="1" applyAlignment="1">
      <alignment horizontal="center"/>
    </xf>
    <xf numFmtId="2" fontId="86" fillId="21" borderId="12" xfId="0" applyNumberFormat="1" applyFont="1" applyFill="1" applyBorder="1" applyAlignment="1">
      <alignment horizontal="center"/>
    </xf>
    <xf numFmtId="176" fontId="86" fillId="21" borderId="12" xfId="0" applyNumberFormat="1" applyFont="1" applyFill="1" applyBorder="1" applyAlignment="1">
      <alignment horizontal="center"/>
    </xf>
    <xf numFmtId="9" fontId="86" fillId="21" borderId="12" xfId="0" applyNumberFormat="1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 wrapText="1"/>
    </xf>
    <xf numFmtId="43" fontId="86" fillId="21" borderId="12" xfId="1" applyFont="1" applyFill="1" applyBorder="1" applyAlignment="1">
      <alignment horizontal="center"/>
    </xf>
    <xf numFmtId="1" fontId="86" fillId="14" borderId="48" xfId="0" applyNumberFormat="1" applyFont="1" applyFill="1" applyBorder="1" applyAlignment="1">
      <alignment horizontal="center"/>
    </xf>
    <xf numFmtId="0" fontId="8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84" fillId="16" borderId="0" xfId="0" applyFont="1" applyFill="1"/>
    <xf numFmtId="0" fontId="0" fillId="16" borderId="0" xfId="0" applyFill="1"/>
    <xf numFmtId="180" fontId="84" fillId="16" borderId="0" xfId="3" applyNumberFormat="1" applyFont="1" applyFill="1"/>
    <xf numFmtId="0" fontId="81" fillId="0" borderId="0" xfId="0" applyFont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1" fillId="4" borderId="12" xfId="0" applyNumberFormat="1" applyFont="1" applyFill="1" applyBorder="1" applyAlignment="1">
      <alignment horizontal="center"/>
    </xf>
    <xf numFmtId="0" fontId="8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7" fillId="2" borderId="7" xfId="0" applyFont="1" applyFill="1" applyBorder="1" applyAlignment="1">
      <alignment vertic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0" fillId="2" borderId="13" xfId="0" applyNumberFormat="1" applyFont="1" applyFill="1" applyBorder="1" applyAlignment="1">
      <alignment vertical="center"/>
    </xf>
    <xf numFmtId="14" fontId="80" fillId="2" borderId="14" xfId="0" applyNumberFormat="1" applyFont="1" applyFill="1" applyBorder="1" applyAlignment="1">
      <alignment vertical="center"/>
    </xf>
    <xf numFmtId="1" fontId="9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14" fontId="41" fillId="2" borderId="20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0" fillId="2" borderId="12" xfId="0" applyNumberFormat="1" applyFont="1" applyFill="1" applyBorder="1" applyAlignment="1">
      <alignment horizontal="center" vertical="center"/>
    </xf>
    <xf numFmtId="1" fontId="80" fillId="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20" fontId="80" fillId="23" borderId="12" xfId="0" applyNumberFormat="1" applyFont="1" applyFill="1" applyBorder="1" applyAlignment="1">
      <alignment horizontal="center" vertical="center"/>
    </xf>
    <xf numFmtId="1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14" fontId="51" fillId="22" borderId="10" xfId="0" applyNumberFormat="1" applyFont="1" applyFill="1" applyBorder="1" applyAlignment="1">
      <alignment horizontal="center" vertical="center"/>
    </xf>
    <xf numFmtId="14" fontId="51" fillId="22" borderId="17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1" fillId="23" borderId="17" xfId="0" applyNumberFormat="1" applyFont="1" applyFill="1" applyBorder="1" applyAlignment="1">
      <alignment horizontal="center" vertical="center"/>
    </xf>
    <xf numFmtId="14" fontId="80" fillId="23" borderId="17" xfId="0" applyNumberFormat="1" applyFont="1" applyFill="1" applyBorder="1" applyAlignment="1">
      <alignment horizontal="center" vertical="center"/>
    </xf>
    <xf numFmtId="14" fontId="5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4" fillId="22" borderId="28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1" fillId="2" borderId="0" xfId="0" applyFont="1" applyFill="1"/>
    <xf numFmtId="0" fontId="81" fillId="22" borderId="10" xfId="0" applyFont="1" applyFill="1" applyBorder="1" applyAlignment="1">
      <alignment horizontal="center"/>
    </xf>
    <xf numFmtId="0" fontId="81" fillId="22" borderId="17" xfId="0" applyFont="1" applyFill="1" applyBorder="1" applyAlignment="1">
      <alignment horizontal="center"/>
    </xf>
    <xf numFmtId="0" fontId="81" fillId="23" borderId="10" xfId="0" applyFont="1" applyFill="1" applyBorder="1" applyAlignment="1">
      <alignment horizontal="center"/>
    </xf>
    <xf numFmtId="0" fontId="81" fillId="23" borderId="17" xfId="0" applyFont="1" applyFill="1" applyBorder="1" applyAlignment="1">
      <alignment horizontal="center"/>
    </xf>
    <xf numFmtId="0" fontId="81" fillId="23" borderId="28" xfId="0" applyFont="1" applyFill="1" applyBorder="1" applyAlignment="1">
      <alignment horizontal="center"/>
    </xf>
    <xf numFmtId="0" fontId="81" fillId="23" borderId="20" xfId="0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/>
    </xf>
    <xf numFmtId="0" fontId="81" fillId="22" borderId="28" xfId="0" applyFont="1" applyFill="1" applyBorder="1" applyAlignment="1">
      <alignment horizontal="center"/>
    </xf>
    <xf numFmtId="0" fontId="81" fillId="23" borderId="12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/>
    </xf>
    <xf numFmtId="0" fontId="81" fillId="2" borderId="10" xfId="0" applyFont="1" applyFill="1" applyBorder="1" applyAlignment="1">
      <alignment horizontal="center"/>
    </xf>
    <xf numFmtId="14" fontId="48" fillId="22" borderId="12" xfId="0" applyNumberFormat="1" applyFont="1" applyFill="1" applyBorder="1" applyAlignment="1">
      <alignment horizontal="center" vertical="center" wrapText="1"/>
    </xf>
    <xf numFmtId="14" fontId="4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1" fillId="2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top" wrapText="1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left" vertical="center" wrapText="1"/>
    </xf>
    <xf numFmtId="20" fontId="74" fillId="23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0" fontId="77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8" fillId="2" borderId="20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" fontId="80" fillId="23" borderId="28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center" vertical="center"/>
    </xf>
    <xf numFmtId="20" fontId="80" fillId="23" borderId="20" xfId="0" applyNumberFormat="1" applyFont="1" applyFill="1" applyBorder="1" applyAlignment="1">
      <alignment horizontal="center" vertical="center"/>
    </xf>
    <xf numFmtId="0" fontId="66" fillId="23" borderId="28" xfId="0" applyFont="1" applyFill="1" applyBorder="1" applyAlignment="1">
      <alignment horizontal="center" vertical="center"/>
    </xf>
    <xf numFmtId="20" fontId="80" fillId="23" borderId="28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center" vertical="center"/>
    </xf>
    <xf numFmtId="20" fontId="80" fillId="23" borderId="70" xfId="0" applyNumberFormat="1" applyFont="1" applyFill="1" applyBorder="1" applyAlignment="1">
      <alignment horizontal="center" vertical="center"/>
    </xf>
    <xf numFmtId="1" fontId="80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left" vertical="center" wrapText="1"/>
    </xf>
    <xf numFmtId="1" fontId="80" fillId="22" borderId="7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left"/>
    </xf>
    <xf numFmtId="0" fontId="38" fillId="22" borderId="68" xfId="0" applyFont="1" applyFill="1" applyBorder="1" applyAlignment="1">
      <alignment horizontal="left" vertical="center" wrapText="1"/>
    </xf>
    <xf numFmtId="1" fontId="8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7" fillId="22" borderId="12" xfId="0" applyNumberFormat="1" applyFont="1" applyFill="1" applyBorder="1" applyAlignment="1">
      <alignment horizontal="left" vertical="center" wrapText="1"/>
    </xf>
    <xf numFmtId="0" fontId="36" fillId="23" borderId="68" xfId="0" applyFont="1" applyFill="1" applyBorder="1" applyAlignment="1">
      <alignment horizontal="left" vertical="center" wrapText="1"/>
    </xf>
    <xf numFmtId="0" fontId="36" fillId="23" borderId="28" xfId="0" applyFont="1" applyFill="1" applyBorder="1" applyAlignment="1">
      <alignment horizontal="left" vertical="center" wrapText="1"/>
    </xf>
    <xf numFmtId="0" fontId="86" fillId="24" borderId="47" xfId="0" applyFont="1" applyFill="1" applyBorder="1"/>
    <xf numFmtId="173" fontId="86" fillId="24" borderId="48" xfId="0" applyNumberFormat="1" applyFont="1" applyFill="1" applyBorder="1" applyAlignment="1">
      <alignment horizontal="center"/>
    </xf>
    <xf numFmtId="1" fontId="86" fillId="24" borderId="48" xfId="0" applyNumberFormat="1" applyFont="1" applyFill="1" applyBorder="1" applyAlignment="1">
      <alignment horizontal="center"/>
    </xf>
    <xf numFmtId="174" fontId="86" fillId="24" borderId="48" xfId="0" applyNumberFormat="1" applyFont="1" applyFill="1" applyBorder="1" applyAlignment="1">
      <alignment horizontal="center"/>
    </xf>
    <xf numFmtId="176" fontId="86" fillId="24" borderId="48" xfId="0" applyNumberFormat="1" applyFont="1" applyFill="1" applyBorder="1" applyAlignment="1">
      <alignment horizontal="center"/>
    </xf>
    <xf numFmtId="9" fontId="86" fillId="24" borderId="48" xfId="0" applyNumberFormat="1" applyFont="1" applyFill="1" applyBorder="1" applyAlignment="1">
      <alignment horizontal="center"/>
    </xf>
    <xf numFmtId="9" fontId="86" fillId="24" borderId="49" xfId="0" applyNumberFormat="1" applyFont="1" applyFill="1" applyBorder="1" applyAlignment="1">
      <alignment horizontal="center"/>
    </xf>
    <xf numFmtId="9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/>
    <xf numFmtId="0" fontId="86" fillId="24" borderId="48" xfId="0" applyFont="1" applyFill="1" applyBorder="1"/>
    <xf numFmtId="0" fontId="86" fillId="24" borderId="48" xfId="0" applyFont="1" applyFill="1" applyBorder="1" applyAlignment="1">
      <alignment horizontal="center"/>
    </xf>
    <xf numFmtId="0" fontId="86" fillId="24" borderId="0" xfId="0" applyFont="1" applyFill="1"/>
    <xf numFmtId="0" fontId="0" fillId="24" borderId="0" xfId="0" applyFill="1"/>
    <xf numFmtId="0" fontId="86" fillId="24" borderId="47" xfId="0" applyFont="1" applyFill="1" applyBorder="1" applyAlignment="1">
      <alignment horizontal="center"/>
    </xf>
    <xf numFmtId="0" fontId="86" fillId="24" borderId="50" xfId="0" applyFont="1" applyFill="1" applyBorder="1" applyAlignment="1">
      <alignment horizontal="center"/>
    </xf>
    <xf numFmtId="1" fontId="86" fillId="24" borderId="50" xfId="0" applyNumberFormat="1" applyFont="1" applyFill="1" applyBorder="1" applyAlignment="1">
      <alignment horizontal="center"/>
    </xf>
    <xf numFmtId="176" fontId="8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6" fillId="24" borderId="49" xfId="0" applyFont="1" applyFill="1" applyBorder="1"/>
    <xf numFmtId="0" fontId="86" fillId="24" borderId="49" xfId="0" applyFont="1" applyFill="1" applyBorder="1" applyAlignment="1">
      <alignment horizontal="center"/>
    </xf>
    <xf numFmtId="9" fontId="86" fillId="24" borderId="47" xfId="0" applyNumberFormat="1" applyFont="1" applyFill="1" applyBorder="1" applyAlignment="1">
      <alignment horizontal="center"/>
    </xf>
    <xf numFmtId="2" fontId="86" fillId="24" borderId="48" xfId="0" applyNumberFormat="1" applyFont="1" applyFill="1" applyBorder="1" applyAlignment="1">
      <alignment horizontal="center"/>
    </xf>
    <xf numFmtId="1" fontId="86" fillId="24" borderId="47" xfId="0" applyNumberFormat="1" applyFont="1" applyFill="1" applyBorder="1" applyAlignment="1">
      <alignment horizontal="center"/>
    </xf>
    <xf numFmtId="1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4" fillId="2" borderId="17" xfId="0" applyNumberFormat="1" applyFont="1" applyFill="1" applyBorder="1" applyAlignment="1">
      <alignment horizontal="center" vertical="center"/>
    </xf>
    <xf numFmtId="0" fontId="81" fillId="17" borderId="0" xfId="0" applyFont="1" applyFill="1" applyAlignment="1">
      <alignment horizontal="center" vertical="center"/>
    </xf>
    <xf numFmtId="14" fontId="39" fillId="22" borderId="20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8" fillId="23" borderId="28" xfId="0" applyNumberFormat="1" applyFont="1" applyFill="1" applyBorder="1" applyAlignment="1">
      <alignment horizontal="left" vertical="center" wrapText="1"/>
    </xf>
    <xf numFmtId="0" fontId="81" fillId="23" borderId="21" xfId="0" applyFont="1" applyFill="1" applyBorder="1" applyAlignment="1">
      <alignment horizontal="center"/>
    </xf>
    <xf numFmtId="14" fontId="38" fillId="23" borderId="10" xfId="0" applyNumberFormat="1" applyFont="1" applyFill="1" applyBorder="1" applyAlignment="1">
      <alignment horizontal="center" vertical="center"/>
    </xf>
    <xf numFmtId="14" fontId="38" fillId="23" borderId="17" xfId="0" applyNumberFormat="1" applyFont="1" applyFill="1" applyBorder="1" applyAlignment="1">
      <alignment horizontal="left" vertical="center" wrapText="1"/>
    </xf>
    <xf numFmtId="14" fontId="3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2" fillId="17" borderId="28" xfId="0" applyNumberFormat="1" applyFont="1" applyFill="1" applyBorder="1" applyAlignment="1">
      <alignment horizontal="left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4" fillId="5" borderId="18" xfId="0" applyFont="1" applyFill="1" applyBorder="1"/>
    <xf numFmtId="0" fontId="84" fillId="5" borderId="67" xfId="0" applyFont="1" applyFill="1" applyBorder="1"/>
    <xf numFmtId="170" fontId="84" fillId="5" borderId="0" xfId="3" applyNumberFormat="1" applyFont="1" applyFill="1" applyBorder="1"/>
    <xf numFmtId="0" fontId="84" fillId="5" borderId="13" xfId="0" applyFont="1" applyFill="1" applyBorder="1"/>
    <xf numFmtId="0" fontId="84" fillId="5" borderId="51" xfId="0" applyFont="1" applyFill="1" applyBorder="1"/>
    <xf numFmtId="0" fontId="84" fillId="5" borderId="26" xfId="0" applyFont="1" applyFill="1" applyBorder="1"/>
    <xf numFmtId="181" fontId="0" fillId="2" borderId="0" xfId="0" applyNumberFormat="1" applyFill="1"/>
    <xf numFmtId="0" fontId="85" fillId="5" borderId="0" xfId="0" applyFont="1" applyFill="1"/>
    <xf numFmtId="169" fontId="84" fillId="5" borderId="0" xfId="3" applyNumberFormat="1" applyFont="1" applyFill="1" applyBorder="1"/>
    <xf numFmtId="10" fontId="8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3" fillId="2" borderId="0" xfId="0" applyFont="1" applyFill="1"/>
    <xf numFmtId="180" fontId="84" fillId="0" borderId="72" xfId="3" applyNumberFormat="1" applyFont="1" applyFill="1" applyBorder="1"/>
    <xf numFmtId="0" fontId="81" fillId="3" borderId="71" xfId="0" applyFont="1" applyFill="1" applyBorder="1"/>
    <xf numFmtId="178" fontId="0" fillId="2" borderId="72" xfId="0" applyNumberFormat="1" applyFill="1" applyBorder="1"/>
    <xf numFmtId="0" fontId="84" fillId="23" borderId="18" xfId="0" applyFont="1" applyFill="1" applyBorder="1"/>
    <xf numFmtId="0" fontId="84" fillId="23" borderId="0" xfId="0" applyFont="1" applyFill="1"/>
    <xf numFmtId="171" fontId="84" fillId="23" borderId="0" xfId="0" applyNumberFormat="1" applyFont="1" applyFill="1"/>
    <xf numFmtId="0" fontId="84" fillId="23" borderId="67" xfId="0" applyFont="1" applyFill="1" applyBorder="1"/>
    <xf numFmtId="172" fontId="84" fillId="23" borderId="0" xfId="0" applyNumberFormat="1" applyFont="1" applyFill="1"/>
    <xf numFmtId="1" fontId="8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left" vertical="center"/>
    </xf>
    <xf numFmtId="14" fontId="80" fillId="23" borderId="74" xfId="0" applyNumberFormat="1" applyFont="1" applyFill="1" applyBorder="1" applyAlignment="1">
      <alignment horizontal="center" vertical="center"/>
    </xf>
    <xf numFmtId="20" fontId="80" fillId="23" borderId="74" xfId="0" applyNumberFormat="1" applyFont="1" applyFill="1" applyBorder="1" applyAlignment="1">
      <alignment horizontal="center" vertical="center"/>
    </xf>
    <xf numFmtId="1" fontId="80" fillId="23" borderId="74" xfId="0" applyNumberFormat="1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left" vertical="center" wrapText="1"/>
    </xf>
    <xf numFmtId="0" fontId="65" fillId="23" borderId="76" xfId="0" applyFont="1" applyFill="1" applyBorder="1" applyAlignment="1">
      <alignment horizontal="center" vertical="center"/>
    </xf>
    <xf numFmtId="20" fontId="80" fillId="23" borderId="76" xfId="0" applyNumberFormat="1" applyFont="1" applyFill="1" applyBorder="1" applyAlignment="1">
      <alignment horizontal="center" vertical="center"/>
    </xf>
    <xf numFmtId="1" fontId="80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left" vertical="center"/>
    </xf>
    <xf numFmtId="20" fontId="80" fillId="22" borderId="28" xfId="0" applyNumberFormat="1" applyFont="1" applyFill="1" applyBorder="1" applyAlignment="1">
      <alignment horizontal="center" vertical="center"/>
    </xf>
    <xf numFmtId="1" fontId="80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1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left" vertical="center" wrapText="1"/>
    </xf>
    <xf numFmtId="14" fontId="34" fillId="23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0" fontId="31" fillId="23" borderId="20" xfId="0" applyFont="1" applyFill="1" applyBorder="1" applyAlignment="1">
      <alignment horizontal="center" vertical="center"/>
    </xf>
    <xf numFmtId="0" fontId="31" fillId="23" borderId="74" xfId="0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/>
    </xf>
    <xf numFmtId="1" fontId="81" fillId="22" borderId="27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/>
    </xf>
    <xf numFmtId="176" fontId="81" fillId="22" borderId="23" xfId="0" applyNumberFormat="1" applyFont="1" applyFill="1" applyBorder="1" applyAlignment="1">
      <alignment horizontal="center" vertical="center"/>
    </xf>
    <xf numFmtId="176" fontId="81" fillId="22" borderId="11" xfId="0" applyNumberFormat="1" applyFont="1" applyFill="1" applyBorder="1" applyAlignment="1">
      <alignment horizontal="center" vertical="center"/>
    </xf>
    <xf numFmtId="176" fontId="81" fillId="22" borderId="25" xfId="0" applyNumberFormat="1" applyFont="1" applyFill="1" applyBorder="1" applyAlignment="1">
      <alignment horizontal="center" vertical="center"/>
    </xf>
    <xf numFmtId="176" fontId="81" fillId="22" borderId="54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1" fillId="23" borderId="10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1" fillId="2" borderId="7" xfId="0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9" fillId="2" borderId="28" xfId="0" applyNumberFormat="1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3" fillId="23" borderId="76" xfId="0" applyNumberFormat="1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 wrapText="1"/>
    </xf>
    <xf numFmtId="1" fontId="81" fillId="23" borderId="74" xfId="0" applyNumberFormat="1" applyFont="1" applyFill="1" applyBorder="1" applyAlignment="1">
      <alignment horizontal="center"/>
    </xf>
    <xf numFmtId="1" fontId="8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14" fontId="2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1" fillId="23" borderId="7" xfId="0" applyFont="1" applyFill="1" applyBorder="1" applyAlignment="1">
      <alignment horizontal="center"/>
    </xf>
    <xf numFmtId="14" fontId="81" fillId="23" borderId="12" xfId="0" applyNumberFormat="1" applyFont="1" applyFill="1" applyBorder="1" applyAlignment="1">
      <alignment horizontal="center" vertical="center"/>
    </xf>
    <xf numFmtId="176" fontId="81" fillId="23" borderId="25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166" fontId="80" fillId="23" borderId="12" xfId="0" applyNumberFormat="1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0" fontId="25" fillId="22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38" fillId="23" borderId="12" xfId="0" applyNumberFormat="1" applyFont="1" applyFill="1" applyBorder="1" applyAlignment="1">
      <alignment horizontal="center" vertical="center" wrapText="1"/>
    </xf>
    <xf numFmtId="14" fontId="37" fillId="22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104" fillId="2" borderId="1" xfId="0" applyFont="1" applyFill="1" applyBorder="1"/>
    <xf numFmtId="0" fontId="104" fillId="2" borderId="2" xfId="0" applyFont="1" applyFill="1" applyBorder="1"/>
    <xf numFmtId="0" fontId="104" fillId="2" borderId="3" xfId="0" applyFont="1" applyFill="1" applyBorder="1"/>
    <xf numFmtId="0" fontId="104" fillId="2" borderId="0" xfId="0" applyFont="1" applyFill="1"/>
    <xf numFmtId="0" fontId="105" fillId="2" borderId="18" xfId="0" applyFont="1" applyFill="1" applyBorder="1" applyAlignment="1">
      <alignment horizontal="center"/>
    </xf>
    <xf numFmtId="0" fontId="106" fillId="2" borderId="18" xfId="0" applyFont="1" applyFill="1" applyBorder="1"/>
    <xf numFmtId="0" fontId="105" fillId="2" borderId="1" xfId="0" applyFont="1" applyFill="1" applyBorder="1"/>
    <xf numFmtId="0" fontId="105" fillId="2" borderId="2" xfId="0" applyFont="1" applyFill="1" applyBorder="1"/>
    <xf numFmtId="0" fontId="105" fillId="2" borderId="3" xfId="0" applyFont="1" applyFill="1" applyBorder="1"/>
    <xf numFmtId="0" fontId="105" fillId="2" borderId="0" xfId="0" applyFont="1" applyFill="1"/>
    <xf numFmtId="0" fontId="104" fillId="2" borderId="18" xfId="0" applyFont="1" applyFill="1" applyBorder="1"/>
    <xf numFmtId="0" fontId="104" fillId="2" borderId="67" xfId="0" applyFont="1" applyFill="1" applyBorder="1"/>
    <xf numFmtId="0" fontId="105" fillId="4" borderId="12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4" fillId="2" borderId="12" xfId="0" applyFont="1" applyFill="1" applyBorder="1"/>
    <xf numFmtId="0" fontId="104" fillId="2" borderId="13" xfId="0" applyFont="1" applyFill="1" applyBorder="1"/>
    <xf numFmtId="0" fontId="104" fillId="2" borderId="51" xfId="0" applyFont="1" applyFill="1" applyBorder="1"/>
    <xf numFmtId="0" fontId="104" fillId="2" borderId="26" xfId="0" applyFont="1" applyFill="1" applyBorder="1"/>
    <xf numFmtId="14" fontId="106" fillId="2" borderId="12" xfId="0" applyNumberFormat="1" applyFont="1" applyFill="1" applyBorder="1" applyAlignment="1">
      <alignment horizontal="center"/>
    </xf>
    <xf numFmtId="14" fontId="104" fillId="2" borderId="12" xfId="0" applyNumberFormat="1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6" fillId="18" borderId="29" xfId="0" applyFont="1" applyFill="1" applyBorder="1" applyAlignment="1">
      <alignment vertical="center"/>
    </xf>
    <xf numFmtId="0" fontId="9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 vertical="center"/>
    </xf>
    <xf numFmtId="9" fontId="8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1" fillId="3" borderId="12" xfId="0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center" vertical="center"/>
    </xf>
    <xf numFmtId="20" fontId="77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 wrapText="1"/>
    </xf>
    <xf numFmtId="14" fontId="81" fillId="22" borderId="28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74" xfId="0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 vertical="center"/>
    </xf>
    <xf numFmtId="0" fontId="81" fillId="22" borderId="10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3" borderId="10" xfId="0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horizontal="center" vertical="center"/>
    </xf>
    <xf numFmtId="0" fontId="81" fillId="3" borderId="78" xfId="0" applyFont="1" applyFill="1" applyBorder="1" applyAlignment="1">
      <alignment horizontal="center" vertical="center" wrapText="1"/>
    </xf>
    <xf numFmtId="0" fontId="81" fillId="23" borderId="81" xfId="0" applyFont="1" applyFill="1" applyBorder="1" applyAlignment="1">
      <alignment horizontal="center" vertical="center"/>
    </xf>
    <xf numFmtId="0" fontId="81" fillId="23" borderId="83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1" fillId="23" borderId="12" xfId="0" applyFont="1" applyFill="1" applyBorder="1" applyAlignment="1">
      <alignment horizontal="left" vertical="center" wrapText="1"/>
    </xf>
    <xf numFmtId="166" fontId="80" fillId="17" borderId="12" xfId="0" applyNumberFormat="1" applyFont="1" applyFill="1" applyBorder="1" applyAlignment="1">
      <alignment horizontal="center" vertical="center"/>
    </xf>
    <xf numFmtId="1" fontId="8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0" fontId="8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7" fillId="2" borderId="72" xfId="0" applyFont="1" applyFill="1" applyBorder="1" applyAlignment="1">
      <alignment wrapText="1"/>
    </xf>
    <xf numFmtId="1" fontId="108" fillId="2" borderId="71" xfId="0" applyNumberFormat="1" applyFont="1" applyFill="1" applyBorder="1" applyAlignment="1">
      <alignment horizontal="center" vertical="center"/>
    </xf>
    <xf numFmtId="1" fontId="109" fillId="2" borderId="71" xfId="0" applyNumberFormat="1" applyFont="1" applyFill="1" applyBorder="1" applyAlignment="1">
      <alignment horizontal="center" vertical="center"/>
    </xf>
    <xf numFmtId="9" fontId="11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1" fillId="18" borderId="60" xfId="0" applyFont="1" applyFill="1" applyBorder="1" applyAlignment="1">
      <alignment horizontal="center"/>
    </xf>
    <xf numFmtId="0" fontId="8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1" fillId="19" borderId="12" xfId="0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0" fontId="8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1" fillId="4" borderId="12" xfId="0" applyNumberFormat="1" applyFont="1" applyFill="1" applyBorder="1" applyAlignment="1">
      <alignment horizontal="center"/>
    </xf>
    <xf numFmtId="14" fontId="2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1" fillId="18" borderId="12" xfId="0" applyNumberFormat="1" applyFont="1" applyFill="1" applyBorder="1" applyAlignment="1">
      <alignment horizontal="center"/>
    </xf>
    <xf numFmtId="14" fontId="101" fillId="2" borderId="4" xfId="0" applyNumberFormat="1" applyFont="1" applyFill="1" applyBorder="1" applyAlignment="1">
      <alignment horizontal="center" vertical="center"/>
    </xf>
    <xf numFmtId="14" fontId="1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0" fillId="19" borderId="12" xfId="0" applyFont="1" applyFill="1" applyBorder="1" applyAlignment="1">
      <alignment horizontal="center" vertical="center"/>
    </xf>
    <xf numFmtId="166" fontId="80" fillId="19" borderId="12" xfId="0" applyNumberFormat="1" applyFont="1" applyFill="1" applyBorder="1" applyAlignment="1">
      <alignment horizontal="center" vertical="center"/>
    </xf>
    <xf numFmtId="1" fontId="80" fillId="19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6" fillId="24" borderId="12" xfId="0" applyNumberFormat="1" applyFont="1" applyFill="1" applyBorder="1" applyAlignment="1">
      <alignment horizontal="center"/>
    </xf>
    <xf numFmtId="1" fontId="101" fillId="2" borderId="15" xfId="0" applyNumberFormat="1" applyFont="1" applyFill="1" applyBorder="1" applyAlignment="1">
      <alignment horizontal="center" vertical="center"/>
    </xf>
    <xf numFmtId="1" fontId="101" fillId="2" borderId="25" xfId="0" applyNumberFormat="1" applyFont="1" applyFill="1" applyBorder="1" applyAlignment="1">
      <alignment horizontal="center" vertical="center"/>
    </xf>
    <xf numFmtId="0" fontId="101" fillId="2" borderId="5" xfId="0" applyFont="1" applyFill="1" applyBorder="1" applyAlignment="1">
      <alignment vertical="center"/>
    </xf>
    <xf numFmtId="165" fontId="101" fillId="2" borderId="5" xfId="1" applyNumberFormat="1" applyFont="1" applyFill="1" applyBorder="1" applyAlignment="1">
      <alignment horizontal="center" vertical="center"/>
    </xf>
    <xf numFmtId="166" fontId="101" fillId="2" borderId="5" xfId="0" applyNumberFormat="1" applyFont="1" applyFill="1" applyBorder="1" applyAlignment="1">
      <alignment horizontal="center" vertical="center"/>
    </xf>
    <xf numFmtId="9" fontId="101" fillId="2" borderId="5" xfId="2" applyFont="1" applyFill="1" applyBorder="1" applyAlignment="1">
      <alignment horizontal="center" vertical="center"/>
    </xf>
    <xf numFmtId="167" fontId="101" fillId="2" borderId="6" xfId="1" applyNumberFormat="1" applyFont="1" applyFill="1" applyBorder="1" applyAlignment="1">
      <alignment horizontal="center" vertical="center"/>
    </xf>
    <xf numFmtId="0" fontId="101" fillId="2" borderId="6" xfId="0" applyFont="1" applyFill="1" applyBorder="1" applyAlignment="1">
      <alignment horizontal="center" vertical="center"/>
    </xf>
    <xf numFmtId="1" fontId="101" fillId="2" borderId="6" xfId="0" applyNumberFormat="1" applyFont="1" applyFill="1" applyBorder="1" applyAlignment="1">
      <alignment horizontal="center" vertical="center"/>
    </xf>
    <xf numFmtId="1" fontId="101" fillId="2" borderId="5" xfId="0" applyNumberFormat="1" applyFont="1" applyFill="1" applyBorder="1" applyAlignment="1">
      <alignment horizontal="center" vertical="center"/>
    </xf>
    <xf numFmtId="1" fontId="101" fillId="2" borderId="59" xfId="0" applyNumberFormat="1" applyFont="1" applyFill="1" applyBorder="1" applyAlignment="1">
      <alignment horizontal="center" vertical="center"/>
    </xf>
    <xf numFmtId="167" fontId="101" fillId="2" borderId="32" xfId="1" applyNumberFormat="1" applyFont="1" applyFill="1" applyBorder="1" applyAlignment="1">
      <alignment horizontal="center" vertical="center"/>
    </xf>
    <xf numFmtId="0" fontId="101" fillId="2" borderId="32" xfId="0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65" fontId="101" fillId="2" borderId="12" xfId="1" applyNumberFormat="1" applyFont="1" applyFill="1" applyBorder="1" applyAlignment="1">
      <alignment horizontal="center" vertical="center"/>
    </xf>
    <xf numFmtId="166" fontId="101" fillId="2" borderId="12" xfId="0" applyNumberFormat="1" applyFont="1" applyFill="1" applyBorder="1" applyAlignment="1">
      <alignment horizontal="center" vertical="center"/>
    </xf>
    <xf numFmtId="9" fontId="101" fillId="2" borderId="12" xfId="2" applyFont="1" applyFill="1" applyBorder="1" applyAlignment="1">
      <alignment horizontal="center" vertical="center"/>
    </xf>
    <xf numFmtId="167" fontId="101" fillId="2" borderId="12" xfId="1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0" fontId="8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7" fillId="19" borderId="12" xfId="0" applyNumberFormat="1" applyFont="1" applyFill="1" applyBorder="1" applyAlignment="1">
      <alignment horizontal="center" vertical="center" wrapText="1"/>
    </xf>
    <xf numFmtId="173" fontId="86" fillId="0" borderId="0" xfId="0" applyNumberFormat="1" applyFont="1" applyAlignment="1">
      <alignment horizontal="center"/>
    </xf>
    <xf numFmtId="173" fontId="86" fillId="0" borderId="49" xfId="0" applyNumberFormat="1" applyFont="1" applyBorder="1" applyAlignment="1">
      <alignment horizontal="center"/>
    </xf>
    <xf numFmtId="174" fontId="86" fillId="0" borderId="47" xfId="0" applyNumberFormat="1" applyFont="1" applyBorder="1" applyAlignment="1">
      <alignment horizontal="center"/>
    </xf>
    <xf numFmtId="176" fontId="86" fillId="0" borderId="47" xfId="0" applyNumberFormat="1" applyFont="1" applyBorder="1" applyAlignment="1">
      <alignment horizontal="center"/>
    </xf>
    <xf numFmtId="1" fontId="86" fillId="21" borderId="28" xfId="0" applyNumberFormat="1" applyFont="1" applyFill="1" applyBorder="1" applyAlignment="1">
      <alignment horizontal="center"/>
    </xf>
    <xf numFmtId="2" fontId="86" fillId="21" borderId="28" xfId="0" applyNumberFormat="1" applyFont="1" applyFill="1" applyBorder="1" applyAlignment="1">
      <alignment horizontal="center"/>
    </xf>
    <xf numFmtId="176" fontId="86" fillId="21" borderId="28" xfId="0" applyNumberFormat="1" applyFont="1" applyFill="1" applyBorder="1" applyAlignment="1">
      <alignment horizontal="center"/>
    </xf>
    <xf numFmtId="9" fontId="86" fillId="21" borderId="28" xfId="0" applyNumberFormat="1" applyFont="1" applyFill="1" applyBorder="1" applyAlignment="1">
      <alignment horizontal="center"/>
    </xf>
    <xf numFmtId="0" fontId="86" fillId="21" borderId="28" xfId="0" applyFont="1" applyFill="1" applyBorder="1" applyAlignment="1">
      <alignment horizontal="center"/>
    </xf>
    <xf numFmtId="176" fontId="86" fillId="0" borderId="12" xfId="0" applyNumberFormat="1" applyFont="1" applyBorder="1" applyAlignment="1">
      <alignment horizontal="center"/>
    </xf>
    <xf numFmtId="9" fontId="86" fillId="22" borderId="48" xfId="2" applyFont="1" applyFill="1" applyBorder="1" applyAlignment="1">
      <alignment horizontal="center" vertical="center"/>
    </xf>
    <xf numFmtId="0" fontId="86" fillId="0" borderId="49" xfId="0" applyFont="1" applyBorder="1"/>
    <xf numFmtId="0" fontId="86" fillId="24" borderId="7" xfId="0" applyFont="1" applyFill="1" applyBorder="1"/>
    <xf numFmtId="0" fontId="86" fillId="0" borderId="7" xfId="0" applyFont="1" applyBorder="1"/>
    <xf numFmtId="0" fontId="86" fillId="0" borderId="30" xfId="0" applyFont="1" applyBorder="1"/>
    <xf numFmtId="0" fontId="86" fillId="24" borderId="8" xfId="0" applyFont="1" applyFill="1" applyBorder="1" applyAlignment="1">
      <alignment horizontal="center"/>
    </xf>
    <xf numFmtId="0" fontId="86" fillId="0" borderId="8" xfId="0" applyFont="1" applyBorder="1" applyAlignment="1">
      <alignment horizontal="center"/>
    </xf>
    <xf numFmtId="0" fontId="86" fillId="0" borderId="31" xfId="0" applyFont="1" applyBorder="1" applyAlignment="1">
      <alignment horizontal="center"/>
    </xf>
    <xf numFmtId="14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6" fillId="4" borderId="28" xfId="0" applyNumberFormat="1" applyFont="1" applyFill="1" applyBorder="1" applyAlignment="1">
      <alignment horizontal="center" vertical="center"/>
    </xf>
    <xf numFmtId="0" fontId="101" fillId="2" borderId="22" xfId="0" applyFont="1" applyFill="1" applyBorder="1" applyAlignment="1">
      <alignment horizontal="center" vertical="center"/>
    </xf>
    <xf numFmtId="1" fontId="101" fillId="2" borderId="21" xfId="0" applyNumberFormat="1" applyFont="1" applyFill="1" applyBorder="1" applyAlignment="1">
      <alignment horizontal="center" vertical="center"/>
    </xf>
    <xf numFmtId="1" fontId="101" fillId="2" borderId="61" xfId="0" applyNumberFormat="1" applyFont="1" applyFill="1" applyBorder="1" applyAlignment="1">
      <alignment horizontal="center" vertical="center"/>
    </xf>
    <xf numFmtId="1" fontId="101" fillId="2" borderId="32" xfId="0" applyNumberFormat="1" applyFont="1" applyFill="1" applyBorder="1" applyAlignment="1">
      <alignment horizontal="center" vertical="center"/>
    </xf>
    <xf numFmtId="165" fontId="101" fillId="2" borderId="28" xfId="0" applyNumberFormat="1" applyFont="1" applyFill="1" applyBorder="1" applyAlignment="1">
      <alignment horizontal="center" vertical="center"/>
    </xf>
    <xf numFmtId="165" fontId="101" fillId="2" borderId="66" xfId="0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14" fontId="55" fillId="18" borderId="12" xfId="0" applyNumberFormat="1" applyFont="1" applyFill="1" applyBorder="1"/>
    <xf numFmtId="0" fontId="14" fillId="17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174" fontId="104" fillId="2" borderId="12" xfId="0" applyNumberFormat="1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8" fillId="19" borderId="12" xfId="0" applyFont="1" applyFill="1" applyBorder="1" applyAlignment="1">
      <alignment horizontal="center" vertical="center"/>
    </xf>
    <xf numFmtId="166" fontId="8" fillId="19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176" fontId="0" fillId="0" borderId="0" xfId="0" applyNumberFormat="1"/>
    <xf numFmtId="14" fontId="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1" fillId="18" borderId="20" xfId="1" applyFont="1" applyFill="1" applyBorder="1" applyAlignment="1">
      <alignment horizontal="center"/>
    </xf>
    <xf numFmtId="43" fontId="8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1" fillId="19" borderId="12" xfId="0" applyFont="1" applyFill="1" applyBorder="1"/>
    <xf numFmtId="1" fontId="8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14" fontId="4" fillId="17" borderId="12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/>
    </xf>
    <xf numFmtId="0" fontId="91" fillId="16" borderId="36" xfId="0" applyFont="1" applyFill="1" applyBorder="1" applyAlignment="1">
      <alignment horizontal="center"/>
    </xf>
    <xf numFmtId="0" fontId="91" fillId="16" borderId="55" xfId="0" applyFont="1" applyFill="1" applyBorder="1" applyAlignment="1">
      <alignment horizontal="center"/>
    </xf>
    <xf numFmtId="0" fontId="91" fillId="16" borderId="56" xfId="0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1" fillId="4" borderId="18" xfId="0" applyFont="1" applyFill="1" applyBorder="1" applyAlignment="1">
      <alignment horizontal="center"/>
    </xf>
    <xf numFmtId="0" fontId="81" fillId="4" borderId="0" xfId="0" applyFont="1" applyFill="1" applyAlignment="1">
      <alignment horizontal="center"/>
    </xf>
    <xf numFmtId="0" fontId="81" fillId="4" borderId="67" xfId="0" applyFont="1" applyFill="1" applyBorder="1" applyAlignment="1">
      <alignment horizontal="center"/>
    </xf>
    <xf numFmtId="0" fontId="96" fillId="4" borderId="0" xfId="0" applyFon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8" fillId="3" borderId="41" xfId="0" applyFont="1" applyFill="1" applyBorder="1" applyAlignment="1">
      <alignment horizontal="center" vertical="center" wrapText="1"/>
    </xf>
    <xf numFmtId="0" fontId="87" fillId="3" borderId="42" xfId="0" applyFont="1" applyFill="1" applyBorder="1" applyAlignment="1">
      <alignment vertical="center"/>
    </xf>
    <xf numFmtId="0" fontId="87" fillId="3" borderId="43" xfId="0" applyFont="1" applyFill="1" applyBorder="1" applyAlignment="1">
      <alignment vertical="center"/>
    </xf>
    <xf numFmtId="0" fontId="93" fillId="15" borderId="51" xfId="0" applyFont="1" applyFill="1" applyBorder="1" applyAlignment="1">
      <alignment horizontal="center"/>
    </xf>
    <xf numFmtId="0" fontId="94" fillId="15" borderId="0" xfId="0" applyFont="1" applyFill="1" applyAlignment="1">
      <alignment horizontal="center"/>
    </xf>
    <xf numFmtId="0" fontId="98" fillId="3" borderId="42" xfId="0" applyFont="1" applyFill="1" applyBorder="1" applyAlignment="1">
      <alignment horizontal="center" vertical="center"/>
    </xf>
    <xf numFmtId="0" fontId="98" fillId="3" borderId="43" xfId="0" applyFont="1" applyFill="1" applyBorder="1" applyAlignment="1">
      <alignment horizontal="center" vertical="center"/>
    </xf>
    <xf numFmtId="0" fontId="88" fillId="3" borderId="42" xfId="0" applyFont="1" applyFill="1" applyBorder="1" applyAlignment="1">
      <alignment horizontal="center" vertical="center" wrapText="1"/>
    </xf>
    <xf numFmtId="0" fontId="88" fillId="3" borderId="43" xfId="0" applyFont="1" applyFill="1" applyBorder="1" applyAlignment="1">
      <alignment horizontal="center" vertical="center" wrapText="1"/>
    </xf>
    <xf numFmtId="0" fontId="88" fillId="3" borderId="40" xfId="0" applyFont="1" applyFill="1" applyBorder="1" applyAlignment="1">
      <alignment horizontal="center" vertical="center" wrapText="1"/>
    </xf>
    <xf numFmtId="0" fontId="87" fillId="3" borderId="44" xfId="0" applyFont="1" applyFill="1" applyBorder="1" applyAlignment="1">
      <alignment vertical="center"/>
    </xf>
    <xf numFmtId="1" fontId="88" fillId="3" borderId="41" xfId="0" applyNumberFormat="1" applyFont="1" applyFill="1" applyBorder="1" applyAlignment="1">
      <alignment horizontal="center" vertical="center" wrapText="1"/>
    </xf>
    <xf numFmtId="1" fontId="88" fillId="3" borderId="40" xfId="0" applyNumberFormat="1" applyFont="1" applyFill="1" applyBorder="1" applyAlignment="1">
      <alignment horizontal="center" vertical="center" wrapText="1"/>
    </xf>
    <xf numFmtId="0" fontId="87" fillId="3" borderId="46" xfId="0" applyFont="1" applyFill="1" applyBorder="1" applyAlignment="1">
      <alignment vertical="center"/>
    </xf>
    <xf numFmtId="1" fontId="88" fillId="3" borderId="44" xfId="0" applyNumberFormat="1" applyFont="1" applyFill="1" applyBorder="1" applyAlignment="1">
      <alignment horizontal="center" vertical="center" wrapText="1"/>
    </xf>
    <xf numFmtId="177" fontId="81" fillId="4" borderId="12" xfId="0" applyNumberFormat="1" applyFont="1" applyFill="1" applyBorder="1" applyAlignment="1">
      <alignment horizontal="center"/>
    </xf>
    <xf numFmtId="0" fontId="81" fillId="19" borderId="57" xfId="0" applyFont="1" applyFill="1" applyBorder="1" applyAlignment="1">
      <alignment horizontal="center"/>
    </xf>
    <xf numFmtId="0" fontId="81" fillId="19" borderId="10" xfId="0" applyFont="1" applyFill="1" applyBorder="1" applyAlignment="1">
      <alignment horizontal="center"/>
    </xf>
    <xf numFmtId="177" fontId="81" fillId="19" borderId="10" xfId="0" applyNumberFormat="1" applyFont="1" applyFill="1" applyBorder="1" applyAlignment="1">
      <alignment horizontal="center"/>
    </xf>
    <xf numFmtId="0" fontId="81" fillId="19" borderId="23" xfId="0" applyFont="1" applyFill="1" applyBorder="1" applyAlignment="1">
      <alignment horizontal="center"/>
    </xf>
    <xf numFmtId="0" fontId="96" fillId="18" borderId="0" xfId="0" applyFont="1" applyFill="1" applyAlignment="1">
      <alignment horizontal="center"/>
    </xf>
    <xf numFmtId="0" fontId="81" fillId="18" borderId="12" xfId="0" applyFont="1" applyFill="1" applyBorder="1" applyAlignment="1">
      <alignment horizontal="center"/>
    </xf>
    <xf numFmtId="0" fontId="81" fillId="3" borderId="7" xfId="0" applyFont="1" applyFill="1" applyBorder="1" applyAlignment="1">
      <alignment horizontal="center"/>
    </xf>
    <xf numFmtId="0" fontId="81" fillId="3" borderId="8" xfId="0" applyFont="1" applyFill="1" applyBorder="1" applyAlignment="1">
      <alignment horizontal="center"/>
    </xf>
    <xf numFmtId="0" fontId="81" fillId="3" borderId="29" xfId="0" applyFont="1" applyFill="1" applyBorder="1" applyAlignment="1">
      <alignment horizontal="center"/>
    </xf>
    <xf numFmtId="0" fontId="81" fillId="3" borderId="0" xfId="0" applyFont="1" applyFill="1" applyAlignment="1">
      <alignment horizontal="center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165" fontId="101" fillId="2" borderId="63" xfId="0" applyNumberFormat="1" applyFont="1" applyFill="1" applyBorder="1" applyAlignment="1">
      <alignment horizontal="center" vertical="center"/>
    </xf>
    <xf numFmtId="165" fontId="101" fillId="2" borderId="86" xfId="0" applyNumberFormat="1" applyFont="1" applyFill="1" applyBorder="1" applyAlignment="1">
      <alignment horizontal="center" vertical="center"/>
    </xf>
    <xf numFmtId="165" fontId="101" fillId="2" borderId="65" xfId="0" applyNumberFormat="1" applyFont="1" applyFill="1" applyBorder="1" applyAlignment="1">
      <alignment horizontal="center" vertical="center"/>
    </xf>
    <xf numFmtId="165" fontId="101" fillId="2" borderId="6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165" fontId="101" fillId="2" borderId="5" xfId="0" applyNumberFormat="1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horizontal="center" vertic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165" fontId="101" fillId="2" borderId="0" xfId="0" applyNumberFormat="1" applyFont="1" applyFill="1" applyAlignment="1">
      <alignment horizontal="center" vertical="center"/>
    </xf>
    <xf numFmtId="0" fontId="101" fillId="2" borderId="53" xfId="0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165" fontId="101" fillId="17" borderId="5" xfId="0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0" fontId="96" fillId="3" borderId="18" xfId="0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0" fontId="111" fillId="3" borderId="36" xfId="0" applyFont="1" applyFill="1" applyBorder="1" applyAlignment="1">
      <alignment horizontal="center"/>
    </xf>
    <xf numFmtId="0" fontId="111" fillId="3" borderId="55" xfId="0" applyFont="1" applyFill="1" applyBorder="1" applyAlignment="1">
      <alignment horizontal="center"/>
    </xf>
    <xf numFmtId="0" fontId="111" fillId="3" borderId="56" xfId="0" applyFont="1" applyFill="1" applyBorder="1" applyAlignment="1">
      <alignment horizontal="center"/>
    </xf>
    <xf numFmtId="165" fontId="101" fillId="2" borderId="21" xfId="0" applyNumberFormat="1" applyFont="1" applyFill="1" applyBorder="1" applyAlignment="1">
      <alignment horizontal="center" vertical="center"/>
    </xf>
    <xf numFmtId="14" fontId="96" fillId="4" borderId="18" xfId="0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4" xfId="0" applyFont="1" applyFill="1" applyBorder="1" applyAlignment="1">
      <alignment horizontal="center"/>
    </xf>
    <xf numFmtId="0" fontId="96" fillId="4" borderId="17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left" wrapText="1"/>
    </xf>
    <xf numFmtId="0" fontId="101" fillId="2" borderId="28" xfId="0" applyFont="1" applyFill="1" applyBorder="1" applyAlignment="1">
      <alignment horizontal="left" wrapText="1"/>
    </xf>
    <xf numFmtId="0" fontId="91" fillId="20" borderId="7" xfId="0" applyFont="1" applyFill="1" applyBorder="1" applyAlignment="1">
      <alignment horizontal="center"/>
    </xf>
    <xf numFmtId="0" fontId="91" fillId="20" borderId="8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14" fontId="78" fillId="2" borderId="32" xfId="0" applyNumberFormat="1" applyFont="1" applyFill="1" applyBorder="1" applyAlignment="1">
      <alignment horizontal="center" vertical="center"/>
    </xf>
    <xf numFmtId="14" fontId="80" fillId="2" borderId="33" xfId="0" applyNumberFormat="1" applyFon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/>
    </xf>
    <xf numFmtId="0" fontId="81" fillId="3" borderId="34" xfId="0" applyFont="1" applyFill="1" applyBorder="1" applyAlignment="1">
      <alignment horizontal="center"/>
    </xf>
    <xf numFmtId="0" fontId="81" fillId="3" borderId="31" xfId="0" applyFont="1" applyFill="1" applyBorder="1" applyAlignment="1">
      <alignment horizontal="center"/>
    </xf>
    <xf numFmtId="0" fontId="80" fillId="3" borderId="36" xfId="0" applyFont="1" applyFill="1" applyBorder="1" applyAlignment="1">
      <alignment horizontal="center"/>
    </xf>
    <xf numFmtId="0" fontId="80" fillId="3" borderId="37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81" fillId="18" borderId="0" xfId="0" applyFont="1" applyFill="1" applyAlignment="1">
      <alignment horizontal="center"/>
    </xf>
    <xf numFmtId="0" fontId="103" fillId="23" borderId="20" xfId="0" applyFont="1" applyFill="1" applyBorder="1" applyAlignment="1">
      <alignment horizontal="center" vertical="center"/>
    </xf>
    <xf numFmtId="0" fontId="103" fillId="23" borderId="21" xfId="0" applyFont="1" applyFill="1" applyBorder="1" applyAlignment="1">
      <alignment horizontal="center" vertical="center"/>
    </xf>
    <xf numFmtId="0" fontId="103" fillId="23" borderId="28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9" fontId="81" fillId="17" borderId="12" xfId="2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9" fontId="81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0" fontId="103" fillId="22" borderId="80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3" fillId="22" borderId="28" xfId="0" applyNumberFormat="1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0" fontId="103" fillId="23" borderId="34" xfId="0" applyFont="1" applyFill="1" applyBorder="1" applyAlignment="1">
      <alignment horizontal="center" vertical="center"/>
    </xf>
    <xf numFmtId="0" fontId="103" fillId="23" borderId="0" xfId="0" applyFont="1" applyFill="1" applyAlignment="1">
      <alignment horizontal="center" vertical="center"/>
    </xf>
    <xf numFmtId="0" fontId="103" fillId="23" borderId="77" xfId="0" applyFont="1" applyFill="1" applyBorder="1" applyAlignment="1">
      <alignment horizontal="center" vertical="center"/>
    </xf>
    <xf numFmtId="0" fontId="103" fillId="23" borderId="30" xfId="0" applyFont="1" applyFill="1" applyBorder="1" applyAlignment="1">
      <alignment horizontal="center" vertical="center"/>
    </xf>
    <xf numFmtId="0" fontId="103" fillId="23" borderId="22" xfId="0" applyFont="1" applyFill="1" applyBorder="1" applyAlignment="1">
      <alignment horizontal="center" vertical="center"/>
    </xf>
    <xf numFmtId="0" fontId="103" fillId="23" borderId="32" xfId="0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63" fillId="23" borderId="69" xfId="0" applyNumberFormat="1" applyFont="1" applyFill="1" applyBorder="1" applyAlignment="1">
      <alignment horizontal="center" vertical="center"/>
    </xf>
    <xf numFmtId="14" fontId="80" fillId="23" borderId="70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80" fillId="23" borderId="76" xfId="0" applyNumberFormat="1" applyFont="1" applyFill="1" applyBorder="1" applyAlignment="1">
      <alignment horizontal="center" vertical="center"/>
    </xf>
    <xf numFmtId="0" fontId="81" fillId="3" borderId="2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 vertical="center"/>
    </xf>
    <xf numFmtId="0" fontId="103" fillId="22" borderId="30" xfId="0" applyFont="1" applyFill="1" applyBorder="1" applyAlignment="1">
      <alignment horizontal="center" vertical="center"/>
    </xf>
    <xf numFmtId="0" fontId="103" fillId="22" borderId="22" xfId="0" applyFont="1" applyFill="1" applyBorder="1" applyAlignment="1">
      <alignment horizontal="center" vertical="center"/>
    </xf>
    <xf numFmtId="0" fontId="103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0" fontId="96" fillId="19" borderId="21" xfId="0" applyFont="1" applyFill="1" applyBorder="1" applyAlignment="1">
      <alignment horizontal="center" vertical="center"/>
    </xf>
    <xf numFmtId="0" fontId="96" fillId="19" borderId="28" xfId="0" applyFont="1" applyFill="1" applyBorder="1" applyAlignment="1">
      <alignment horizontal="center" vertical="center"/>
    </xf>
    <xf numFmtId="0" fontId="103" fillId="19" borderId="20" xfId="0" applyFont="1" applyFill="1" applyBorder="1" applyAlignment="1">
      <alignment horizontal="center" vertical="center"/>
    </xf>
    <xf numFmtId="0" fontId="103" fillId="19" borderId="21" xfId="0" applyFont="1" applyFill="1" applyBorder="1" applyAlignment="1">
      <alignment horizontal="center" vertical="center"/>
    </xf>
    <xf numFmtId="0" fontId="103" fillId="19" borderId="28" xfId="0" applyFont="1" applyFill="1" applyBorder="1" applyAlignment="1">
      <alignment horizontal="center" vertical="center"/>
    </xf>
    <xf numFmtId="0" fontId="103" fillId="23" borderId="20" xfId="0" applyFont="1" applyFill="1" applyBorder="1" applyAlignment="1">
      <alignment horizontal="center" vertical="center" wrapText="1"/>
    </xf>
    <xf numFmtId="0" fontId="103" fillId="23" borderId="21" xfId="0" applyFont="1" applyFill="1" applyBorder="1" applyAlignment="1">
      <alignment horizontal="center" vertical="center" wrapText="1"/>
    </xf>
    <xf numFmtId="0" fontId="103" fillId="23" borderId="28" xfId="0" applyFont="1" applyFill="1" applyBorder="1" applyAlignment="1">
      <alignment horizontal="center" vertical="center" wrapText="1"/>
    </xf>
    <xf numFmtId="0" fontId="85" fillId="17" borderId="20" xfId="0" applyFont="1" applyFill="1" applyBorder="1" applyAlignment="1">
      <alignment horizontal="center" vertical="center"/>
    </xf>
    <xf numFmtId="0" fontId="85" fillId="17" borderId="21" xfId="0" applyFon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7" xfId="0" applyFont="1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0" fontId="81" fillId="18" borderId="8" xfId="0" applyFont="1" applyFill="1" applyBorder="1" applyAlignment="1">
      <alignment horizontal="center"/>
    </xf>
    <xf numFmtId="0" fontId="96" fillId="22" borderId="20" xfId="0" applyFont="1" applyFill="1" applyBorder="1" applyAlignment="1">
      <alignment horizontal="center" vertical="center"/>
    </xf>
    <xf numFmtId="0" fontId="96" fillId="22" borderId="21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21" xfId="0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1" fillId="18" borderId="57" xfId="0" applyFont="1" applyFill="1" applyBorder="1" applyAlignment="1">
      <alignment horizontal="center"/>
    </xf>
    <xf numFmtId="0" fontId="81" fillId="18" borderId="10" xfId="0" applyFont="1" applyFill="1" applyBorder="1" applyAlignment="1">
      <alignment horizontal="center"/>
    </xf>
    <xf numFmtId="0" fontId="8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1" fillId="17" borderId="67" xfId="0" applyFont="1" applyFill="1" applyBorder="1" applyAlignment="1">
      <alignment horizontal="center" vertical="center"/>
    </xf>
    <xf numFmtId="0" fontId="96" fillId="19" borderId="67" xfId="0" applyFon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" xfId="0" applyNumberFormat="1" applyFont="1" applyFill="1" applyBorder="1" applyAlignment="1">
      <alignment horizontal="center" vertical="center"/>
    </xf>
    <xf numFmtId="14" fontId="80" fillId="17" borderId="4" xfId="0" applyNumberFormat="1" applyFont="1" applyFill="1" applyBorder="1" applyAlignment="1">
      <alignment horizontal="center" vertical="center"/>
    </xf>
    <xf numFmtId="14" fontId="80" fillId="17" borderId="13" xfId="0" applyNumberFormat="1" applyFont="1" applyFill="1" applyBorder="1" applyAlignment="1">
      <alignment horizontal="center" vertical="center"/>
    </xf>
    <xf numFmtId="14" fontId="80" fillId="17" borderId="14" xfId="0" applyNumberFormat="1" applyFont="1" applyFill="1" applyBorder="1" applyAlignment="1">
      <alignment horizontal="center" vertical="center"/>
    </xf>
    <xf numFmtId="0" fontId="96" fillId="17" borderId="67" xfId="0" applyFont="1" applyFill="1" applyBorder="1" applyAlignment="1">
      <alignment horizontal="center" vertical="center"/>
    </xf>
    <xf numFmtId="0" fontId="81" fillId="19" borderId="67" xfId="0" applyFont="1" applyFill="1" applyBorder="1" applyAlignment="1">
      <alignment horizontal="center" vertical="center"/>
    </xf>
    <xf numFmtId="0" fontId="81" fillId="23" borderId="67" xfId="0" applyFont="1" applyFill="1" applyBorder="1" applyAlignment="1">
      <alignment horizontal="center" vertical="center"/>
    </xf>
    <xf numFmtId="0" fontId="81" fillId="22" borderId="67" xfId="0" applyFont="1" applyFill="1" applyBorder="1" applyAlignment="1">
      <alignment horizontal="center" vertical="center"/>
    </xf>
    <xf numFmtId="14" fontId="49" fillId="23" borderId="74" xfId="0" applyNumberFormat="1" applyFont="1" applyFill="1" applyBorder="1" applyAlignment="1">
      <alignment horizontal="center" vertical="center" wrapText="1"/>
    </xf>
    <xf numFmtId="14" fontId="80" fillId="23" borderId="76" xfId="0" applyNumberFormat="1" applyFont="1" applyFill="1" applyBorder="1" applyAlignment="1">
      <alignment horizontal="center" vertical="center" wrapText="1"/>
    </xf>
    <xf numFmtId="0" fontId="81" fillId="23" borderId="12" xfId="0" applyFont="1" applyFill="1" applyBorder="1" applyAlignment="1">
      <alignment horizontal="center" vertical="center"/>
    </xf>
    <xf numFmtId="0" fontId="81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 vertical="center"/>
    </xf>
    <xf numFmtId="14" fontId="8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1" fontId="81" fillId="23" borderId="21" xfId="0" applyNumberFormat="1" applyFont="1" applyFill="1" applyBorder="1" applyAlignment="1">
      <alignment horizontal="center" vertical="center"/>
    </xf>
    <xf numFmtId="1" fontId="81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4" fontId="80" fillId="19" borderId="1" xfId="0" applyNumberFormat="1" applyFont="1" applyFill="1" applyBorder="1" applyAlignment="1">
      <alignment horizontal="center" vertical="center"/>
    </xf>
    <xf numFmtId="14" fontId="80" fillId="19" borderId="4" xfId="0" applyNumberFormat="1" applyFont="1" applyFill="1" applyBorder="1" applyAlignment="1">
      <alignment horizontal="center" vertical="center"/>
    </xf>
    <xf numFmtId="14" fontId="80" fillId="19" borderId="13" xfId="0" applyNumberFormat="1" applyFont="1" applyFill="1" applyBorder="1" applyAlignment="1">
      <alignment horizontal="center" vertical="center"/>
    </xf>
    <xf numFmtId="14" fontId="80" fillId="19" borderId="14" xfId="0" applyNumberFormat="1" applyFont="1" applyFill="1" applyBorder="1" applyAlignment="1">
      <alignment horizontal="center" vertical="center"/>
    </xf>
    <xf numFmtId="14" fontId="80" fillId="23" borderId="1" xfId="0" applyNumberFormat="1" applyFont="1" applyFill="1" applyBorder="1" applyAlignment="1">
      <alignment horizontal="center" vertical="center"/>
    </xf>
    <xf numFmtId="14" fontId="80" fillId="23" borderId="4" xfId="0" applyNumberFormat="1" applyFont="1" applyFill="1" applyBorder="1" applyAlignment="1">
      <alignment horizontal="center" vertical="center"/>
    </xf>
    <xf numFmtId="14" fontId="80" fillId="23" borderId="13" xfId="0" applyNumberFormat="1" applyFont="1" applyFill="1" applyBorder="1" applyAlignment="1">
      <alignment horizontal="center" vertical="center"/>
    </xf>
    <xf numFmtId="14" fontId="80" fillId="23" borderId="14" xfId="0" applyNumberFormat="1" applyFont="1" applyFill="1" applyBorder="1" applyAlignment="1">
      <alignment horizontal="center" vertical="center"/>
    </xf>
    <xf numFmtId="14" fontId="80" fillId="22" borderId="1" xfId="0" applyNumberFormat="1" applyFont="1" applyFill="1" applyBorder="1" applyAlignment="1">
      <alignment horizontal="center" vertical="center"/>
    </xf>
    <xf numFmtId="14" fontId="80" fillId="22" borderId="4" xfId="0" applyNumberFormat="1" applyFont="1" applyFill="1" applyBorder="1" applyAlignment="1">
      <alignment horizontal="center" vertical="center"/>
    </xf>
    <xf numFmtId="14" fontId="80" fillId="22" borderId="13" xfId="0" applyNumberFormat="1" applyFont="1" applyFill="1" applyBorder="1" applyAlignment="1">
      <alignment horizontal="center" vertical="center"/>
    </xf>
    <xf numFmtId="14" fontId="80" fillId="22" borderId="14" xfId="0" applyNumberFormat="1" applyFont="1" applyFill="1" applyBorder="1" applyAlignment="1">
      <alignment horizontal="center" vertical="center"/>
    </xf>
    <xf numFmtId="14" fontId="80" fillId="2" borderId="84" xfId="0" applyNumberFormat="1" applyFont="1" applyFill="1" applyBorder="1" applyAlignment="1">
      <alignment horizontal="center" vertical="center"/>
    </xf>
    <xf numFmtId="14" fontId="80" fillId="2" borderId="31" xfId="0" applyNumberFormat="1" applyFont="1" applyFill="1" applyBorder="1" applyAlignment="1">
      <alignment horizontal="center" vertical="center"/>
    </xf>
    <xf numFmtId="14" fontId="80" fillId="22" borderId="84" xfId="0" applyNumberFormat="1" applyFont="1" applyFill="1" applyBorder="1" applyAlignment="1">
      <alignment horizontal="center" vertical="center"/>
    </xf>
    <xf numFmtId="14" fontId="8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2" fillId="25" borderId="36" xfId="0" applyFont="1" applyFill="1" applyBorder="1" applyAlignment="1">
      <alignment horizontal="center" vertical="center" wrapText="1"/>
    </xf>
    <xf numFmtId="0" fontId="82" fillId="25" borderId="55" xfId="0" applyFont="1" applyFill="1" applyBorder="1" applyAlignment="1">
      <alignment horizontal="center" vertical="center" wrapText="1"/>
    </xf>
    <xf numFmtId="0" fontId="82" fillId="25" borderId="56" xfId="0" applyFont="1" applyFill="1" applyBorder="1" applyAlignment="1">
      <alignment horizontal="center" vertical="center" wrapText="1"/>
    </xf>
    <xf numFmtId="14" fontId="80" fillId="2" borderId="1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80" fillId="2" borderId="13" xfId="0" applyNumberFormat="1" applyFont="1" applyFill="1" applyBorder="1" applyAlignment="1">
      <alignment horizontal="center" vertical="center"/>
    </xf>
    <xf numFmtId="14" fontId="80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80" fillId="2" borderId="18" xfId="0" applyNumberFormat="1" applyFont="1" applyFill="1" applyBorder="1" applyAlignment="1">
      <alignment horizontal="center" vertical="center"/>
    </xf>
    <xf numFmtId="14" fontId="80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4" fontId="80" fillId="2" borderId="32" xfId="0" applyNumberFormat="1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wrapText="1"/>
    </xf>
    <xf numFmtId="0" fontId="81" fillId="18" borderId="28" xfId="0" applyFont="1" applyFill="1" applyBorder="1" applyAlignment="1">
      <alignment horizontal="center" wrapText="1"/>
    </xf>
    <xf numFmtId="0" fontId="100" fillId="4" borderId="36" xfId="0" applyFont="1" applyFill="1" applyBorder="1" applyAlignment="1">
      <alignment horizontal="center"/>
    </xf>
    <xf numFmtId="0" fontId="100" fillId="4" borderId="55" xfId="0" applyFont="1" applyFill="1" applyBorder="1" applyAlignment="1">
      <alignment horizontal="center"/>
    </xf>
    <xf numFmtId="0" fontId="100" fillId="4" borderId="56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 wrapText="1"/>
    </xf>
    <xf numFmtId="17" fontId="100" fillId="4" borderId="36" xfId="0" applyNumberFormat="1" applyFont="1" applyFill="1" applyBorder="1" applyAlignment="1">
      <alignment horizontal="center"/>
    </xf>
    <xf numFmtId="17" fontId="100" fillId="4" borderId="55" xfId="0" applyNumberFormat="1" applyFont="1" applyFill="1" applyBorder="1" applyAlignment="1">
      <alignment horizontal="center"/>
    </xf>
    <xf numFmtId="17" fontId="100" fillId="4" borderId="56" xfId="0" applyNumberFormat="1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 wrapText="1"/>
    </xf>
    <xf numFmtId="0" fontId="81" fillId="18" borderId="28" xfId="0" applyFont="1" applyFill="1" applyBorder="1" applyAlignment="1">
      <alignment horizontal="center" vertical="center" wrapText="1"/>
    </xf>
    <xf numFmtId="0" fontId="81" fillId="18" borderId="30" xfId="0" applyFont="1" applyFill="1" applyBorder="1" applyAlignment="1">
      <alignment horizontal="center" vertical="center"/>
    </xf>
    <xf numFmtId="0" fontId="81" fillId="18" borderId="34" xfId="0" applyFont="1" applyFill="1" applyBorder="1" applyAlignment="1">
      <alignment horizontal="center" vertical="center"/>
    </xf>
    <xf numFmtId="0" fontId="81" fillId="18" borderId="31" xfId="0" applyFont="1" applyFill="1" applyBorder="1" applyAlignment="1">
      <alignment horizontal="center" vertical="center"/>
    </xf>
    <xf numFmtId="0" fontId="81" fillId="18" borderId="32" xfId="0" applyFont="1" applyFill="1" applyBorder="1" applyAlignment="1">
      <alignment horizontal="center" vertical="center"/>
    </xf>
    <xf numFmtId="0" fontId="81" fillId="18" borderId="53" xfId="0" applyFont="1" applyFill="1" applyBorder="1" applyAlignment="1">
      <alignment horizontal="center" vertical="center"/>
    </xf>
    <xf numFmtId="0" fontId="81" fillId="18" borderId="33" xfId="0" applyFont="1" applyFill="1" applyBorder="1" applyAlignment="1">
      <alignment horizontal="center" vertical="center"/>
    </xf>
    <xf numFmtId="43" fontId="81" fillId="18" borderId="20" xfId="1" applyFont="1" applyFill="1" applyBorder="1" applyAlignment="1">
      <alignment horizontal="center" vertical="center"/>
    </xf>
    <xf numFmtId="43" fontId="81" fillId="18" borderId="21" xfId="1" applyFont="1" applyFill="1" applyBorder="1" applyAlignment="1">
      <alignment horizontal="center" vertical="center"/>
    </xf>
    <xf numFmtId="43" fontId="81" fillId="18" borderId="28" xfId="1" applyFont="1" applyFill="1" applyBorder="1" applyAlignment="1">
      <alignment horizontal="center" vertical="center"/>
    </xf>
    <xf numFmtId="0" fontId="81" fillId="19" borderId="7" xfId="0" applyFont="1" applyFill="1" applyBorder="1" applyAlignment="1">
      <alignment horizontal="center"/>
    </xf>
    <xf numFmtId="0" fontId="81" fillId="19" borderId="29" xfId="0" applyFont="1" applyFill="1" applyBorder="1" applyAlignment="1">
      <alignment horizontal="center"/>
    </xf>
    <xf numFmtId="0" fontId="81" fillId="19" borderId="8" xfId="0" applyFont="1" applyFill="1" applyBorder="1" applyAlignment="1">
      <alignment horizontal="center"/>
    </xf>
    <xf numFmtId="178" fontId="81" fillId="18" borderId="7" xfId="0" applyNumberFormat="1" applyFont="1" applyFill="1" applyBorder="1" applyAlignment="1">
      <alignment horizontal="center"/>
    </xf>
    <xf numFmtId="178" fontId="81" fillId="18" borderId="29" xfId="0" applyNumberFormat="1" applyFont="1" applyFill="1" applyBorder="1" applyAlignment="1">
      <alignment horizontal="center"/>
    </xf>
    <xf numFmtId="178" fontId="81" fillId="18" borderId="8" xfId="0" applyNumberFormat="1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 vertical="center"/>
    </xf>
    <xf numFmtId="0" fontId="95" fillId="4" borderId="2" xfId="0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95" fillId="4" borderId="13" xfId="0" applyFont="1" applyFill="1" applyBorder="1" applyAlignment="1">
      <alignment horizontal="center" vertical="center"/>
    </xf>
    <xf numFmtId="0" fontId="95" fillId="4" borderId="51" xfId="0" applyFont="1" applyFill="1" applyBorder="1" applyAlignment="1">
      <alignment horizontal="center" vertical="center"/>
    </xf>
    <xf numFmtId="0" fontId="95" fillId="4" borderId="26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0" fontId="86" fillId="8" borderId="21" xfId="0" applyFont="1" applyFill="1" applyBorder="1" applyAlignment="1">
      <alignment horizontal="center" vertical="center"/>
    </xf>
    <xf numFmtId="0" fontId="8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7" fillId="2" borderId="20" xfId="0" applyFont="1" applyFill="1" applyBorder="1" applyAlignment="1">
      <alignment horizontal="center"/>
    </xf>
    <xf numFmtId="0" fontId="87" fillId="2" borderId="21" xfId="0" applyFont="1" applyFill="1" applyBorder="1" applyAlignment="1">
      <alignment horizontal="center"/>
    </xf>
    <xf numFmtId="0" fontId="87" fillId="2" borderId="28" xfId="0" applyFont="1" applyFill="1" applyBorder="1" applyAlignment="1">
      <alignment horizontal="center"/>
    </xf>
    <xf numFmtId="0" fontId="86" fillId="2" borderId="59" xfId="0" applyFont="1" applyFill="1" applyBorder="1" applyAlignment="1">
      <alignment horizontal="center" vertical="top" wrapText="1"/>
    </xf>
    <xf numFmtId="0" fontId="86" fillId="2" borderId="61" xfId="0" applyFont="1" applyFill="1" applyBorder="1" applyAlignment="1">
      <alignment horizontal="center" vertical="top" wrapText="1"/>
    </xf>
    <xf numFmtId="0" fontId="86" fillId="2" borderId="62" xfId="0" applyFont="1" applyFill="1" applyBorder="1" applyAlignment="1">
      <alignment horizontal="center" vertical="top" wrapText="1"/>
    </xf>
    <xf numFmtId="0" fontId="86" fillId="2" borderId="63" xfId="0" applyFont="1" applyFill="1" applyBorder="1" applyAlignment="1">
      <alignment horizontal="center" vertical="top" wrapText="1"/>
    </xf>
    <xf numFmtId="0" fontId="86" fillId="2" borderId="64" xfId="0" applyFont="1" applyFill="1" applyBorder="1" applyAlignment="1">
      <alignment horizontal="center" vertical="top" wrapText="1"/>
    </xf>
    <xf numFmtId="0" fontId="8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7" fillId="2" borderId="12" xfId="0" applyFont="1" applyFill="1" applyBorder="1"/>
    <xf numFmtId="14" fontId="86" fillId="7" borderId="12" xfId="0" applyNumberFormat="1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14" fontId="86" fillId="7" borderId="57" xfId="0" applyNumberFormat="1" applyFont="1" applyFill="1" applyBorder="1" applyAlignment="1">
      <alignment horizontal="center" vertical="center"/>
    </xf>
    <xf numFmtId="14" fontId="86" fillId="7" borderId="60" xfId="0" applyNumberFormat="1" applyFont="1" applyFill="1" applyBorder="1" applyAlignment="1">
      <alignment horizontal="center" vertical="center"/>
    </xf>
    <xf numFmtId="14" fontId="86" fillId="7" borderId="24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7" fillId="2" borderId="20" xfId="0" applyFont="1" applyFill="1" applyBorder="1" applyAlignment="1">
      <alignment horizontal="center" vertical="center"/>
    </xf>
    <xf numFmtId="0" fontId="87" fillId="2" borderId="21" xfId="0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 vertical="center"/>
    </xf>
    <xf numFmtId="0" fontId="88" fillId="11" borderId="7" xfId="0" applyFont="1" applyFill="1" applyBorder="1" applyAlignment="1">
      <alignment horizontal="center" vertical="center"/>
    </xf>
    <xf numFmtId="0" fontId="88" fillId="11" borderId="29" xfId="0" applyFont="1" applyFill="1" applyBorder="1" applyAlignment="1">
      <alignment horizontal="center" vertical="center"/>
    </xf>
    <xf numFmtId="0" fontId="88" fillId="11" borderId="8" xfId="0" applyFont="1" applyFill="1" applyBorder="1" applyAlignment="1">
      <alignment horizontal="center" vertical="center"/>
    </xf>
    <xf numFmtId="20" fontId="88" fillId="11" borderId="7" xfId="0" applyNumberFormat="1" applyFont="1" applyFill="1" applyBorder="1" applyAlignment="1">
      <alignment horizontal="center" vertical="center"/>
    </xf>
    <xf numFmtId="20" fontId="88" fillId="11" borderId="29" xfId="0" applyNumberFormat="1" applyFont="1" applyFill="1" applyBorder="1" applyAlignment="1">
      <alignment horizontal="center" vertical="center"/>
    </xf>
    <xf numFmtId="20" fontId="88" fillId="11" borderId="8" xfId="0" applyNumberFormat="1" applyFont="1" applyFill="1" applyBorder="1" applyAlignment="1">
      <alignment horizontal="center" vertical="center"/>
    </xf>
    <xf numFmtId="20" fontId="90" fillId="10" borderId="7" xfId="0" applyNumberFormat="1" applyFont="1" applyFill="1" applyBorder="1" applyAlignment="1">
      <alignment horizontal="center"/>
    </xf>
    <xf numFmtId="20" fontId="90" fillId="10" borderId="29" xfId="0" applyNumberFormat="1" applyFont="1" applyFill="1" applyBorder="1" applyAlignment="1">
      <alignment horizontal="center"/>
    </xf>
    <xf numFmtId="20" fontId="90" fillId="10" borderId="8" xfId="0" applyNumberFormat="1" applyFont="1" applyFill="1" applyBorder="1" applyAlignment="1">
      <alignment horizontal="center"/>
    </xf>
    <xf numFmtId="14" fontId="8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5" xfId="0" applyNumberFormat="1" applyFont="1" applyFill="1" applyBorder="1" applyAlignment="1">
      <alignment horizontal="center" vertical="center" wrapText="1"/>
    </xf>
    <xf numFmtId="14" fontId="8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80" fillId="23" borderId="18" xfId="0" applyNumberFormat="1" applyFont="1" applyFill="1" applyBorder="1" applyAlignment="1">
      <alignment horizontal="center" vertical="center"/>
    </xf>
    <xf numFmtId="14" fontId="8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0" fillId="23" borderId="36" xfId="0" applyNumberFormat="1" applyFont="1" applyFill="1" applyBorder="1" applyAlignment="1">
      <alignment horizontal="center" vertical="center"/>
    </xf>
    <xf numFmtId="14" fontId="80" fillId="23" borderId="37" xfId="0" applyNumberFormat="1" applyFont="1" applyFill="1" applyBorder="1" applyAlignment="1">
      <alignment horizontal="center" vertical="center"/>
    </xf>
    <xf numFmtId="14" fontId="80" fillId="0" borderId="30" xfId="0" applyNumberFormat="1" applyFont="1" applyBorder="1" applyAlignment="1">
      <alignment horizontal="center" vertical="center"/>
    </xf>
    <xf numFmtId="14" fontId="8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80" fillId="2" borderId="0" xfId="0" applyFont="1" applyFill="1" applyBorder="1" applyAlignment="1">
      <alignment vertical="center"/>
    </xf>
    <xf numFmtId="0" fontId="96" fillId="4" borderId="12" xfId="0" applyFont="1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5625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1.408255530058409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6.2589134669262622E-2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92" t="s">
        <v>337</v>
      </c>
      <c r="D3" s="1192"/>
      <c r="E3" s="1192"/>
      <c r="F3" s="1192"/>
      <c r="G3" s="1192"/>
      <c r="H3" s="1192"/>
      <c r="L3" s="1192" t="s">
        <v>337</v>
      </c>
      <c r="M3" s="1192"/>
      <c r="N3" s="1192"/>
      <c r="O3" s="1192"/>
      <c r="P3" s="1192"/>
      <c r="Q3" s="1192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01" t="s">
        <v>124</v>
      </c>
      <c r="I1" s="1201"/>
      <c r="J1" s="1201"/>
      <c r="K1" s="1201"/>
      <c r="L1" s="1201"/>
      <c r="M1" s="1201"/>
      <c r="N1" s="1201"/>
      <c r="O1" s="1201"/>
      <c r="P1" s="1201"/>
      <c r="Q1" s="1201"/>
      <c r="R1" s="1201"/>
      <c r="S1" s="1201"/>
      <c r="T1" s="1201"/>
      <c r="U1" s="1201"/>
      <c r="V1" s="1201"/>
      <c r="W1" s="1201"/>
      <c r="X1" s="1201"/>
      <c r="Y1" s="1201"/>
      <c r="Z1" s="1201"/>
      <c r="AA1" s="1201"/>
      <c r="AB1" s="1201"/>
      <c r="AC1" s="1201"/>
      <c r="AD1" s="1201"/>
      <c r="AE1" s="1201"/>
      <c r="AF1" s="1201"/>
      <c r="AG1" s="1201"/>
      <c r="AH1" s="1201"/>
      <c r="AI1" s="1201"/>
      <c r="AJ1" s="1201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02" t="s">
        <v>125</v>
      </c>
      <c r="I2" s="1202"/>
      <c r="J2" s="1202"/>
      <c r="K2" s="1202"/>
      <c r="L2" s="1202"/>
      <c r="M2" s="1202"/>
      <c r="N2" s="1202"/>
      <c r="O2" s="1202"/>
      <c r="P2" s="1202"/>
      <c r="Q2" s="1202"/>
      <c r="R2" s="1202"/>
      <c r="S2" s="1202"/>
      <c r="T2" s="1202"/>
      <c r="U2" s="1202"/>
      <c r="V2" s="1202"/>
      <c r="W2" s="1202"/>
      <c r="X2" s="1202"/>
      <c r="Y2" s="1202"/>
      <c r="Z2" s="1202"/>
      <c r="AA2" s="1202"/>
      <c r="AB2" s="1202"/>
      <c r="AC2" s="1202"/>
      <c r="AD2" s="1202"/>
      <c r="AE2" s="1202"/>
      <c r="AF2" s="1202"/>
      <c r="AG2" s="1202"/>
      <c r="AH2" s="1202"/>
      <c r="AI2" s="1202"/>
      <c r="AJ2" s="1202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07" t="s">
        <v>72</v>
      </c>
      <c r="C5" s="1209" t="s">
        <v>73</v>
      </c>
      <c r="D5" s="1199"/>
      <c r="E5" s="1199"/>
      <c r="F5" s="1199"/>
      <c r="G5" s="1199"/>
      <c r="H5" s="1200"/>
      <c r="I5" s="1210" t="s">
        <v>431</v>
      </c>
      <c r="J5" s="1210" t="s">
        <v>320</v>
      </c>
      <c r="K5" s="1198" t="s">
        <v>74</v>
      </c>
      <c r="L5" s="1199"/>
      <c r="M5" s="1199"/>
      <c r="N5" s="1207" t="s">
        <v>75</v>
      </c>
      <c r="O5" s="1203" t="s">
        <v>177</v>
      </c>
      <c r="P5" s="1203"/>
      <c r="Q5" s="1203"/>
      <c r="R5" s="1203"/>
      <c r="S5" s="1203"/>
      <c r="T5" s="1203"/>
      <c r="U5" s="1203"/>
      <c r="V5" s="1203"/>
      <c r="W5" s="1203"/>
      <c r="X5" s="1203"/>
      <c r="Y5" s="1204"/>
      <c r="Z5" s="1198" t="s">
        <v>76</v>
      </c>
      <c r="AA5" s="1205"/>
      <c r="AB5" s="1205"/>
      <c r="AC5" s="1205"/>
      <c r="AD5" s="1205"/>
      <c r="AE5" s="1205"/>
      <c r="AF5" s="1205"/>
      <c r="AG5" s="1206"/>
      <c r="AH5" s="1198" t="s">
        <v>77</v>
      </c>
      <c r="AI5" s="1200"/>
      <c r="AJ5" s="1198" t="s">
        <v>78</v>
      </c>
      <c r="AK5" s="1199"/>
      <c r="AL5" s="1199"/>
      <c r="AM5" s="1199"/>
      <c r="AN5" s="1199"/>
      <c r="AO5" s="1200"/>
      <c r="AP5" s="1198" t="s">
        <v>79</v>
      </c>
      <c r="AQ5" s="1200"/>
      <c r="AR5" s="74"/>
      <c r="AS5" s="84" t="s">
        <v>80</v>
      </c>
    </row>
    <row r="6" spans="1:45" ht="29.4" thickBot="1" x14ac:dyDescent="0.35">
      <c r="A6" s="83"/>
      <c r="B6" s="1208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08"/>
      <c r="J6" s="1212"/>
      <c r="K6" s="85" t="s">
        <v>86</v>
      </c>
      <c r="L6" s="85" t="s">
        <v>87</v>
      </c>
      <c r="M6" s="85" t="s">
        <v>126</v>
      </c>
      <c r="N6" s="1211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5" customFormat="1" ht="14.4" x14ac:dyDescent="0.3">
      <c r="A7" s="643"/>
      <c r="B7" s="644">
        <v>46174</v>
      </c>
      <c r="C7" s="645">
        <f>Crushing!N6</f>
        <v>0</v>
      </c>
      <c r="D7" s="645">
        <f>C7</f>
        <v>0</v>
      </c>
      <c r="E7" s="645" t="str">
        <f>IFERROR(C7/I7,"")</f>
        <v/>
      </c>
      <c r="F7" s="653"/>
      <c r="G7" s="646">
        <f>C7*F7</f>
        <v>0</v>
      </c>
      <c r="H7" s="647">
        <f>G7/1000</f>
        <v>0</v>
      </c>
      <c r="I7" s="645"/>
      <c r="J7" s="645">
        <v>0</v>
      </c>
      <c r="K7" s="648"/>
      <c r="L7" s="648">
        <v>0</v>
      </c>
      <c r="M7" s="648">
        <v>1</v>
      </c>
      <c r="N7" s="648">
        <f>IF(L7=100%,I7/24*100%,L7)</f>
        <v>0</v>
      </c>
      <c r="O7" s="656"/>
      <c r="P7" s="656"/>
      <c r="Q7" s="653"/>
      <c r="R7" s="653"/>
      <c r="S7" s="653"/>
      <c r="T7" s="653">
        <f>(O7*R7)-(S7*O7)</f>
        <v>0</v>
      </c>
      <c r="U7" s="1052" t="str">
        <f>IFERROR((R7-S7)/R7,"")</f>
        <v/>
      </c>
      <c r="V7" s="652"/>
      <c r="W7" s="652"/>
      <c r="X7" s="652"/>
      <c r="Y7" s="652"/>
      <c r="Z7" s="653">
        <f>'Reagent Consumption'!O7</f>
        <v>0</v>
      </c>
      <c r="AA7" s="645">
        <f>'Fuel Consumption'!D4</f>
        <v>320</v>
      </c>
      <c r="AB7" s="653">
        <f>'Reagent Consumption'!Q7</f>
        <v>0</v>
      </c>
      <c r="AC7" s="653">
        <f>'Reagent Consumption'!P7</f>
        <v>0</v>
      </c>
      <c r="AD7" s="653">
        <f>'Reagent Consumption'!R7</f>
        <v>0</v>
      </c>
      <c r="AE7" s="653">
        <f>'Reagent Consumption'!S7</f>
        <v>0</v>
      </c>
      <c r="AF7" s="653">
        <f>'Reagent Consumption'!T7</f>
        <v>0</v>
      </c>
      <c r="AG7" s="653">
        <f>'Fuel Consumption'!D4</f>
        <v>320</v>
      </c>
      <c r="AH7" s="653"/>
      <c r="AI7" s="653"/>
      <c r="AJ7" s="653"/>
      <c r="AK7" s="653"/>
      <c r="AL7" s="653"/>
      <c r="AM7" s="653"/>
      <c r="AN7" s="653"/>
      <c r="AO7" s="653"/>
      <c r="AP7" s="653"/>
      <c r="AQ7" s="652"/>
      <c r="AR7" s="654"/>
      <c r="AS7" s="654" t="s">
        <v>110</v>
      </c>
    </row>
    <row r="8" spans="1:45" s="655" customFormat="1" ht="14.4" x14ac:dyDescent="0.3">
      <c r="A8" s="643"/>
      <c r="B8" s="644">
        <v>46175</v>
      </c>
      <c r="C8" s="645">
        <f>Crushing!N8</f>
        <v>93.652200000000008</v>
      </c>
      <c r="D8" s="645">
        <f t="shared" ref="D8:D13" si="0">D7+C8</f>
        <v>93.652200000000008</v>
      </c>
      <c r="E8" s="645">
        <f t="shared" ref="E8:E11" si="1">C8/I8</f>
        <v>8.4881148036253791</v>
      </c>
      <c r="F8" s="653">
        <v>1.45</v>
      </c>
      <c r="G8" s="645">
        <f>C8*F8</f>
        <v>135.79569000000001</v>
      </c>
      <c r="H8" s="647">
        <f>G8/1000</f>
        <v>0.13579569</v>
      </c>
      <c r="I8" s="645">
        <f>'Crushing Down Time Hours'!L7</f>
        <v>11.033333333333333</v>
      </c>
      <c r="J8" s="645">
        <v>0</v>
      </c>
      <c r="K8" s="648"/>
      <c r="L8" s="648">
        <f t="shared" ref="L8:L23" si="2">J8/24</f>
        <v>0</v>
      </c>
      <c r="M8" s="648">
        <v>1</v>
      </c>
      <c r="N8" s="648">
        <f>IF(L8=100%,I8/24*100%,L8)</f>
        <v>0</v>
      </c>
      <c r="O8" s="651"/>
      <c r="P8" s="651"/>
      <c r="Q8" s="652"/>
      <c r="R8" s="652"/>
      <c r="S8" s="652"/>
      <c r="T8" s="653">
        <f t="shared" ref="T8:T37" si="3">(P8*R8)-(S8*P8)</f>
        <v>0</v>
      </c>
      <c r="U8" s="1052" t="str">
        <f t="shared" ref="U8:U55" si="4">IFERROR((R8-S8)/R8,"")</f>
        <v/>
      </c>
      <c r="V8" s="652"/>
      <c r="W8" s="652"/>
      <c r="X8" s="652"/>
      <c r="Y8" s="652"/>
      <c r="Z8" s="653">
        <f>'Reagent Consumption'!O8</f>
        <v>0</v>
      </c>
      <c r="AA8" s="645">
        <f>'Fuel Consumption'!D5</f>
        <v>320</v>
      </c>
      <c r="AB8" s="653">
        <f>'Reagent Consumption'!Q8</f>
        <v>0</v>
      </c>
      <c r="AC8" s="653">
        <f>'Reagent Consumption'!P8</f>
        <v>0</v>
      </c>
      <c r="AD8" s="653">
        <f>'Reagent Consumption'!R8</f>
        <v>0</v>
      </c>
      <c r="AE8" s="653">
        <f>'Reagent Consumption'!S8</f>
        <v>0</v>
      </c>
      <c r="AF8" s="653">
        <f>'Reagent Consumption'!T8</f>
        <v>0</v>
      </c>
      <c r="AG8" s="653">
        <f>'Fuel Consumption'!D5</f>
        <v>320</v>
      </c>
      <c r="AH8" s="653"/>
      <c r="AI8" s="653"/>
      <c r="AJ8" s="653"/>
      <c r="AK8" s="653"/>
      <c r="AL8" s="653"/>
      <c r="AM8" s="653"/>
      <c r="AN8" s="653"/>
      <c r="AO8" s="653"/>
      <c r="AP8" s="653"/>
      <c r="AQ8" s="652"/>
      <c r="AR8" s="654"/>
      <c r="AS8" s="654" t="s">
        <v>111</v>
      </c>
    </row>
    <row r="9" spans="1:45" s="655" customFormat="1" ht="14.4" x14ac:dyDescent="0.3">
      <c r="A9" s="643"/>
      <c r="B9" s="644">
        <v>46176</v>
      </c>
      <c r="C9" s="645">
        <f>Crushing!N10</f>
        <v>21.254400000000004</v>
      </c>
      <c r="D9" s="645">
        <f t="shared" si="0"/>
        <v>114.90660000000001</v>
      </c>
      <c r="E9" s="645">
        <f t="shared" si="1"/>
        <v>1.9263806646525683</v>
      </c>
      <c r="F9" s="657">
        <v>1.45</v>
      </c>
      <c r="G9" s="658">
        <f t="shared" ref="G9:G16" si="5">F9*C9</f>
        <v>30.818880000000004</v>
      </c>
      <c r="H9" s="659">
        <f t="shared" ref="H9:H17" si="6">G9/1000</f>
        <v>3.0818880000000003E-2</v>
      </c>
      <c r="I9" s="645">
        <f>'Crushing Down Time Hours'!L8</f>
        <v>11.033333333333333</v>
      </c>
      <c r="J9" s="645">
        <v>0</v>
      </c>
      <c r="K9" s="648"/>
      <c r="L9" s="648">
        <f t="shared" si="2"/>
        <v>0</v>
      </c>
      <c r="M9" s="648">
        <v>1</v>
      </c>
      <c r="N9" s="648">
        <f>IF(L9=100%,(I9/24),L9)</f>
        <v>0</v>
      </c>
      <c r="O9" s="651"/>
      <c r="P9" s="651"/>
      <c r="Q9" s="652"/>
      <c r="R9" s="652"/>
      <c r="S9" s="652"/>
      <c r="T9" s="653">
        <f t="shared" si="3"/>
        <v>0</v>
      </c>
      <c r="U9" s="1052" t="str">
        <f t="shared" si="4"/>
        <v/>
      </c>
      <c r="V9" s="652"/>
      <c r="W9" s="652"/>
      <c r="X9" s="652"/>
      <c r="Y9" s="652"/>
      <c r="Z9" s="653">
        <f>'Reagent Consumption'!O9</f>
        <v>0</v>
      </c>
      <c r="AA9" s="645">
        <f>'Fuel Consumption'!D6</f>
        <v>388</v>
      </c>
      <c r="AB9" s="653">
        <f>'Reagent Consumption'!Q9</f>
        <v>0</v>
      </c>
      <c r="AC9" s="653">
        <f>'Reagent Consumption'!P9</f>
        <v>0</v>
      </c>
      <c r="AD9" s="653">
        <f>'Reagent Consumption'!R9</f>
        <v>0</v>
      </c>
      <c r="AE9" s="653">
        <f>'Reagent Consumption'!S9</f>
        <v>0</v>
      </c>
      <c r="AF9" s="653">
        <f>'Reagent Consumption'!T9</f>
        <v>0</v>
      </c>
      <c r="AG9" s="653">
        <f>'Fuel Consumption'!D6</f>
        <v>388</v>
      </c>
      <c r="AH9" s="653"/>
      <c r="AI9" s="653"/>
      <c r="AJ9" s="653"/>
      <c r="AK9" s="653"/>
      <c r="AL9" s="653"/>
      <c r="AM9" s="653"/>
      <c r="AN9" s="653"/>
      <c r="AO9" s="653"/>
      <c r="AP9" s="653"/>
      <c r="AQ9" s="652"/>
      <c r="AR9" s="654"/>
      <c r="AS9" s="654" t="s">
        <v>112</v>
      </c>
    </row>
    <row r="10" spans="1:45" s="655" customFormat="1" ht="14.4" x14ac:dyDescent="0.3">
      <c r="A10" s="643"/>
      <c r="B10" s="644">
        <v>46177</v>
      </c>
      <c r="C10" s="645">
        <f>Crushing!N12</f>
        <v>189.58859999999999</v>
      </c>
      <c r="D10" s="645">
        <f t="shared" si="0"/>
        <v>304.49520000000001</v>
      </c>
      <c r="E10" s="645">
        <f t="shared" si="1"/>
        <v>20.097731448763245</v>
      </c>
      <c r="F10" s="653">
        <v>1.45</v>
      </c>
      <c r="G10" s="658">
        <f t="shared" si="5"/>
        <v>274.90346999999997</v>
      </c>
      <c r="H10" s="659">
        <f t="shared" si="6"/>
        <v>0.27490346999999998</v>
      </c>
      <c r="I10" s="645">
        <f>'Crushing Down Time Hours'!L9</f>
        <v>9.4333333333333353</v>
      </c>
      <c r="J10" s="645">
        <v>0</v>
      </c>
      <c r="K10" s="648"/>
      <c r="L10" s="648">
        <f t="shared" si="2"/>
        <v>0</v>
      </c>
      <c r="M10" s="648">
        <v>1</v>
      </c>
      <c r="N10" s="648">
        <f t="shared" ref="N10:N23" si="7">IF(L10=100%,I10/24*100%,L10)</f>
        <v>0</v>
      </c>
      <c r="O10" s="660"/>
      <c r="P10" s="651"/>
      <c r="Q10" s="652"/>
      <c r="R10" s="643"/>
      <c r="S10" s="652"/>
      <c r="T10" s="653">
        <f t="shared" si="3"/>
        <v>0</v>
      </c>
      <c r="U10" s="1052" t="str">
        <f t="shared" si="4"/>
        <v/>
      </c>
      <c r="V10" s="652"/>
      <c r="W10" s="652"/>
      <c r="X10" s="652"/>
      <c r="Y10" s="652"/>
      <c r="Z10" s="653">
        <f>'Reagent Consumption'!O10</f>
        <v>150</v>
      </c>
      <c r="AA10" s="645">
        <f>'Fuel Consumption'!D7</f>
        <v>425</v>
      </c>
      <c r="AB10" s="653">
        <f>'Reagent Consumption'!Q10</f>
        <v>0</v>
      </c>
      <c r="AC10" s="653">
        <f>'Reagent Consumption'!P10</f>
        <v>250</v>
      </c>
      <c r="AD10" s="653">
        <f>'Reagent Consumption'!R10</f>
        <v>0</v>
      </c>
      <c r="AE10" s="653">
        <f>'Reagent Consumption'!S10</f>
        <v>0</v>
      </c>
      <c r="AF10" s="653">
        <f>'Reagent Consumption'!T10</f>
        <v>0</v>
      </c>
      <c r="AG10" s="653">
        <f>'Fuel Consumption'!D7</f>
        <v>425</v>
      </c>
      <c r="AH10" s="653"/>
      <c r="AI10" s="653"/>
      <c r="AJ10" s="653"/>
      <c r="AK10" s="653"/>
      <c r="AL10" s="653"/>
      <c r="AM10" s="653"/>
      <c r="AN10" s="653"/>
      <c r="AO10" s="653"/>
      <c r="AP10" s="653"/>
      <c r="AQ10" s="652"/>
      <c r="AR10" s="654"/>
      <c r="AS10" s="654" t="s">
        <v>113</v>
      </c>
    </row>
    <row r="11" spans="1:45" s="655" customFormat="1" ht="14.4" x14ac:dyDescent="0.3">
      <c r="A11" s="643"/>
      <c r="B11" s="644">
        <v>46252</v>
      </c>
      <c r="C11" s="645">
        <f>Crushing!N14</f>
        <v>45.503039999999991</v>
      </c>
      <c r="D11" s="645">
        <f t="shared" si="0"/>
        <v>349.99824000000001</v>
      </c>
      <c r="E11" s="645">
        <f t="shared" si="1"/>
        <v>22.37854426229508</v>
      </c>
      <c r="F11" s="653">
        <v>0.77</v>
      </c>
      <c r="G11" s="658">
        <f t="shared" si="5"/>
        <v>35.037340799999996</v>
      </c>
      <c r="H11" s="659">
        <f t="shared" si="6"/>
        <v>3.5037340799999997E-2</v>
      </c>
      <c r="I11" s="645">
        <f>'Crushing Down Time Hours'!L6</f>
        <v>2.0333333333333332</v>
      </c>
      <c r="J11" s="645">
        <v>0</v>
      </c>
      <c r="K11" s="648">
        <f>'Crushing Down Time Hours'!M6</f>
        <v>0.16944444444444443</v>
      </c>
      <c r="L11" s="648">
        <f t="shared" si="2"/>
        <v>0</v>
      </c>
      <c r="M11" s="648">
        <v>1</v>
      </c>
      <c r="N11" s="648">
        <f t="shared" si="7"/>
        <v>0</v>
      </c>
      <c r="O11" s="652"/>
      <c r="P11" s="652"/>
      <c r="Q11" s="661"/>
      <c r="R11" s="660"/>
      <c r="S11" s="652"/>
      <c r="T11" s="653">
        <f t="shared" si="3"/>
        <v>0</v>
      </c>
      <c r="U11" s="1052" t="str">
        <f t="shared" si="4"/>
        <v/>
      </c>
      <c r="V11" s="652"/>
      <c r="W11" s="652"/>
      <c r="X11" s="652"/>
      <c r="Y11" s="652"/>
      <c r="Z11" s="653">
        <f>'Reagent Consumption'!O11</f>
        <v>225</v>
      </c>
      <c r="AA11" s="645">
        <f>'Fuel Consumption'!D8</f>
        <v>452</v>
      </c>
      <c r="AB11" s="653">
        <f>'Reagent Consumption'!Q11</f>
        <v>1000</v>
      </c>
      <c r="AC11" s="653">
        <f>'Reagent Consumption'!P11</f>
        <v>1250</v>
      </c>
      <c r="AD11" s="653">
        <f>'Reagent Consumption'!R11</f>
        <v>0</v>
      </c>
      <c r="AE11" s="653">
        <f>'Reagent Consumption'!S11</f>
        <v>0</v>
      </c>
      <c r="AF11" s="653">
        <f>'Reagent Consumption'!T11</f>
        <v>25</v>
      </c>
      <c r="AG11" s="653">
        <f>'Fuel Consumption'!D8</f>
        <v>452</v>
      </c>
      <c r="AH11" s="653"/>
      <c r="AI11" s="653"/>
      <c r="AJ11" s="653"/>
      <c r="AK11" s="653"/>
      <c r="AL11" s="653"/>
      <c r="AM11" s="653"/>
      <c r="AN11" s="653"/>
      <c r="AO11" s="653"/>
      <c r="AP11" s="653"/>
      <c r="AQ11" s="652"/>
      <c r="AR11" s="654"/>
      <c r="AS11" s="654" t="s">
        <v>114</v>
      </c>
    </row>
    <row r="12" spans="1:45" s="655" customFormat="1" ht="14.4" x14ac:dyDescent="0.3">
      <c r="A12" s="643"/>
      <c r="B12" s="644">
        <v>46253</v>
      </c>
      <c r="C12" s="645">
        <f>Crushing!N16</f>
        <v>339.80495999999999</v>
      </c>
      <c r="D12" s="645">
        <f t="shared" si="0"/>
        <v>689.80320000000006</v>
      </c>
      <c r="E12" s="645">
        <f>C12/I12</f>
        <v>30.79803262839879</v>
      </c>
      <c r="F12" s="662">
        <v>1.0209999999999999</v>
      </c>
      <c r="G12" s="658">
        <f>F12*C12</f>
        <v>346.94086415999999</v>
      </c>
      <c r="H12" s="659">
        <f t="shared" si="6"/>
        <v>0.34694086415999997</v>
      </c>
      <c r="I12" s="645">
        <f>'Crushing Down Time Hours'!L7</f>
        <v>11.033333333333333</v>
      </c>
      <c r="J12" s="645">
        <v>0</v>
      </c>
      <c r="K12" s="648">
        <f>'Crushing Down Time Hours'!M7</f>
        <v>0.9194444444444444</v>
      </c>
      <c r="L12" s="648">
        <f t="shared" si="2"/>
        <v>0</v>
      </c>
      <c r="M12" s="648">
        <v>1</v>
      </c>
      <c r="N12" s="648">
        <f t="shared" si="7"/>
        <v>0</v>
      </c>
      <c r="O12" s="652"/>
      <c r="P12" s="652"/>
      <c r="Q12" s="661"/>
      <c r="R12" s="660"/>
      <c r="S12" s="652"/>
      <c r="T12" s="653">
        <f t="shared" si="3"/>
        <v>0</v>
      </c>
      <c r="U12" s="1052" t="str">
        <f t="shared" si="4"/>
        <v/>
      </c>
      <c r="V12" s="652"/>
      <c r="W12" s="652"/>
      <c r="X12" s="652"/>
      <c r="Y12" s="652"/>
      <c r="Z12" s="653">
        <f>'Reagent Consumption'!O13</f>
        <v>275</v>
      </c>
      <c r="AA12" s="645">
        <f>'Fuel Consumption'!D9</f>
        <v>397</v>
      </c>
      <c r="AB12" s="653">
        <f>'Reagent Consumption'!Q13</f>
        <v>1000</v>
      </c>
      <c r="AC12" s="653">
        <f>'Reagent Consumption'!P13</f>
        <v>500</v>
      </c>
      <c r="AD12" s="653">
        <f>'Reagent Consumption'!R13</f>
        <v>0</v>
      </c>
      <c r="AE12" s="653">
        <f>'Reagent Consumption'!S13</f>
        <v>0</v>
      </c>
      <c r="AF12" s="653">
        <f>'Reagent Consumption'!T13</f>
        <v>25</v>
      </c>
      <c r="AG12" s="653">
        <f>'Fuel Consumption'!D9</f>
        <v>397</v>
      </c>
      <c r="AH12" s="653"/>
      <c r="AI12" s="653"/>
      <c r="AJ12" s="653"/>
      <c r="AK12" s="653"/>
      <c r="AL12" s="653"/>
      <c r="AM12" s="653"/>
      <c r="AN12" s="653"/>
      <c r="AO12" s="653"/>
      <c r="AP12" s="653"/>
      <c r="AQ12" s="652"/>
      <c r="AR12" s="654"/>
      <c r="AS12" s="654" t="s">
        <v>115</v>
      </c>
    </row>
    <row r="13" spans="1:45" s="655" customFormat="1" ht="14.4" x14ac:dyDescent="0.3">
      <c r="A13" s="643"/>
      <c r="B13" s="644">
        <v>46254</v>
      </c>
      <c r="C13" s="645">
        <f>Crushing!N18</f>
        <v>404.57339999999999</v>
      </c>
      <c r="D13" s="645">
        <f t="shared" si="0"/>
        <v>1094.3766000000001</v>
      </c>
      <c r="E13" s="646">
        <f t="shared" ref="E13:E23" si="8">C13/I13</f>
        <v>40.390023294509149</v>
      </c>
      <c r="F13" s="653">
        <v>0.60399999999999998</v>
      </c>
      <c r="G13" s="645">
        <f>F13*C13</f>
        <v>244.3623336</v>
      </c>
      <c r="H13" s="647">
        <f t="shared" si="6"/>
        <v>0.24436233360000001</v>
      </c>
      <c r="I13" s="645">
        <f>'Crushing Down Time Hours'!L12</f>
        <v>10.016666666666667</v>
      </c>
      <c r="J13" s="645">
        <v>0</v>
      </c>
      <c r="K13" s="648">
        <f>'Crushing Down Time Hours'!M8</f>
        <v>0.9194444444444444</v>
      </c>
      <c r="L13" s="648">
        <f t="shared" si="2"/>
        <v>0</v>
      </c>
      <c r="M13" s="648">
        <v>1</v>
      </c>
      <c r="N13" s="648">
        <f t="shared" si="7"/>
        <v>0</v>
      </c>
      <c r="O13" s="652"/>
      <c r="P13" s="652"/>
      <c r="Q13" s="661"/>
      <c r="R13" s="660"/>
      <c r="S13" s="652"/>
      <c r="T13" s="653">
        <f t="shared" si="3"/>
        <v>0</v>
      </c>
      <c r="U13" s="1052" t="str">
        <f t="shared" si="4"/>
        <v/>
      </c>
      <c r="V13" s="652" t="s">
        <v>116</v>
      </c>
      <c r="W13" s="652"/>
      <c r="X13" s="652"/>
      <c r="Y13" s="652"/>
      <c r="Z13" s="653">
        <f>'Reagent Consumption'!O15</f>
        <v>100</v>
      </c>
      <c r="AA13" s="645">
        <f>'Fuel Consumption'!D10</f>
        <v>283</v>
      </c>
      <c r="AB13" s="653">
        <f>'Reagent Consumption'!Q15</f>
        <v>0</v>
      </c>
      <c r="AC13" s="653">
        <f>'Reagent Consumption'!P15</f>
        <v>250</v>
      </c>
      <c r="AD13" s="653">
        <f>'Reagent Consumption'!R15</f>
        <v>0</v>
      </c>
      <c r="AE13" s="653">
        <f>'Reagent Consumption'!S15</f>
        <v>0</v>
      </c>
      <c r="AF13" s="653">
        <f>'Reagent Consumption'!T15</f>
        <v>0</v>
      </c>
      <c r="AG13" s="653">
        <f>'Fuel Consumption'!D10</f>
        <v>283</v>
      </c>
      <c r="AH13" s="653"/>
      <c r="AI13" s="653"/>
      <c r="AJ13" s="653"/>
      <c r="AK13" s="653"/>
      <c r="AL13" s="653"/>
      <c r="AM13" s="653"/>
      <c r="AN13" s="653"/>
      <c r="AO13" s="653"/>
      <c r="AP13" s="653"/>
      <c r="AQ13" s="652"/>
      <c r="AR13" s="654"/>
      <c r="AS13" s="654" t="s">
        <v>117</v>
      </c>
    </row>
    <row r="14" spans="1:45" s="655" customFormat="1" ht="14.4" x14ac:dyDescent="0.3">
      <c r="A14" s="643"/>
      <c r="B14" s="644">
        <v>46255</v>
      </c>
      <c r="C14" s="645">
        <f>Crushing!N20</f>
        <v>344.52539999999993</v>
      </c>
      <c r="D14" s="645">
        <f>D13+C14</f>
        <v>1438.902</v>
      </c>
      <c r="E14" s="646">
        <f t="shared" si="8"/>
        <v>36.522127208480548</v>
      </c>
      <c r="F14" s="653">
        <v>0.442</v>
      </c>
      <c r="G14" s="645">
        <f>F14*C14</f>
        <v>152.28022679999998</v>
      </c>
      <c r="H14" s="647">
        <f t="shared" si="6"/>
        <v>0.15228022679999997</v>
      </c>
      <c r="I14" s="645">
        <f>'Crushing Down Time Hours'!L9</f>
        <v>9.4333333333333353</v>
      </c>
      <c r="J14" s="645">
        <v>0</v>
      </c>
      <c r="K14" s="648">
        <f>'Crushing Down Time Hours'!M9</f>
        <v>0.78611111111111132</v>
      </c>
      <c r="L14" s="648">
        <f t="shared" si="2"/>
        <v>0</v>
      </c>
      <c r="M14" s="648">
        <v>1</v>
      </c>
      <c r="N14" s="648">
        <f t="shared" si="7"/>
        <v>0</v>
      </c>
      <c r="O14" s="652"/>
      <c r="P14" s="652"/>
      <c r="Q14" s="661"/>
      <c r="R14" s="651"/>
      <c r="S14" s="652"/>
      <c r="T14" s="653">
        <f t="shared" si="3"/>
        <v>0</v>
      </c>
      <c r="U14" s="1052" t="str">
        <f t="shared" si="4"/>
        <v/>
      </c>
      <c r="V14" s="652"/>
      <c r="W14" s="652"/>
      <c r="X14" s="652"/>
      <c r="Y14" s="652"/>
      <c r="Z14" s="653">
        <f>'Reagent Consumption'!O16</f>
        <v>0</v>
      </c>
      <c r="AA14" s="645">
        <f>'Fuel Consumption'!D11</f>
        <v>347</v>
      </c>
      <c r="AB14" s="653">
        <f>'Reagent Consumption'!Q16</f>
        <v>0</v>
      </c>
      <c r="AC14" s="653">
        <f>'Reagent Consumption'!P16</f>
        <v>0</v>
      </c>
      <c r="AD14" s="653">
        <f>'Reagent Consumption'!R16</f>
        <v>0</v>
      </c>
      <c r="AE14" s="653">
        <f>'Reagent Consumption'!S16</f>
        <v>0</v>
      </c>
      <c r="AF14" s="653">
        <f>'Reagent Consumption'!T16</f>
        <v>25</v>
      </c>
      <c r="AG14" s="653">
        <f>'Fuel Consumption'!D11</f>
        <v>347</v>
      </c>
      <c r="AH14" s="653"/>
      <c r="AI14" s="653"/>
      <c r="AJ14" s="653"/>
      <c r="AK14" s="653"/>
      <c r="AL14" s="653"/>
      <c r="AM14" s="653"/>
      <c r="AN14" s="653"/>
      <c r="AO14" s="653"/>
      <c r="AP14" s="653"/>
      <c r="AQ14" s="652"/>
      <c r="AR14" s="654"/>
      <c r="AS14" s="654" t="s">
        <v>118</v>
      </c>
    </row>
    <row r="15" spans="1:45" s="655" customFormat="1" ht="14.4" x14ac:dyDescent="0.3">
      <c r="A15" s="643"/>
      <c r="B15" s="644">
        <v>46256</v>
      </c>
      <c r="C15" s="645">
        <f>Crushing!N22</f>
        <v>236.43899999999999</v>
      </c>
      <c r="D15" s="645">
        <f t="shared" ref="D15:D36" si="9">D14+C15</f>
        <v>1675.3410000000001</v>
      </c>
      <c r="E15" s="646">
        <f t="shared" si="8"/>
        <v>26.222439926062844</v>
      </c>
      <c r="F15" s="647">
        <f>AVERAGE('Rom File Inventory'!T87:T95)</f>
        <v>0.96788888888888869</v>
      </c>
      <c r="G15" s="645">
        <f t="shared" si="5"/>
        <v>228.84668099999993</v>
      </c>
      <c r="H15" s="647">
        <f t="shared" si="6"/>
        <v>0.22884668099999994</v>
      </c>
      <c r="I15" s="645">
        <f>'Crushing Down Time Hours'!L10</f>
        <v>9.0166666666666675</v>
      </c>
      <c r="J15" s="645">
        <v>0</v>
      </c>
      <c r="K15" s="648">
        <f>'Crushing Down Time Hours'!M10</f>
        <v>0.75138888888888899</v>
      </c>
      <c r="L15" s="648">
        <f t="shared" si="2"/>
        <v>0</v>
      </c>
      <c r="M15" s="648">
        <v>1</v>
      </c>
      <c r="N15" s="663">
        <f t="shared" si="7"/>
        <v>0</v>
      </c>
      <c r="O15" s="643"/>
      <c r="P15" s="643"/>
      <c r="Q15" s="652"/>
      <c r="R15" s="652"/>
      <c r="S15" s="652"/>
      <c r="T15" s="653">
        <f t="shared" si="3"/>
        <v>0</v>
      </c>
      <c r="U15" s="1052" t="str">
        <f t="shared" si="4"/>
        <v/>
      </c>
      <c r="V15" s="652"/>
      <c r="W15" s="652"/>
      <c r="X15" s="652"/>
      <c r="Y15" s="652"/>
      <c r="Z15" s="653">
        <f>'Reagent Consumption'!O17</f>
        <v>100</v>
      </c>
      <c r="AA15" s="645">
        <f>'Fuel Consumption'!D12</f>
        <v>346</v>
      </c>
      <c r="AB15" s="653">
        <f>'Reagent Consumption'!Q17</f>
        <v>0</v>
      </c>
      <c r="AC15" s="653">
        <f>'Reagent Consumption'!P17</f>
        <v>0</v>
      </c>
      <c r="AD15" s="653">
        <f>'Reagent Consumption'!R17</f>
        <v>0</v>
      </c>
      <c r="AE15" s="653">
        <f>'Reagent Consumption'!S17</f>
        <v>0</v>
      </c>
      <c r="AF15" s="653">
        <f>'Reagent Consumption'!T17</f>
        <v>0</v>
      </c>
      <c r="AG15" s="653">
        <f>'Fuel Consumption'!D12</f>
        <v>346</v>
      </c>
      <c r="AH15" s="653"/>
      <c r="AI15" s="653"/>
      <c r="AJ15" s="653"/>
      <c r="AK15" s="653"/>
      <c r="AL15" s="653"/>
      <c r="AM15" s="653"/>
      <c r="AN15" s="653"/>
      <c r="AO15" s="653"/>
      <c r="AP15" s="653"/>
      <c r="AQ15" s="652"/>
      <c r="AR15" s="654"/>
      <c r="AS15" s="654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52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500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5" customFormat="1" ht="14.4" x14ac:dyDescent="0.3">
      <c r="A17" s="643"/>
      <c r="B17" s="644">
        <v>46258</v>
      </c>
      <c r="C17" s="645">
        <f>Crushing!N26</f>
        <v>194.40539999999999</v>
      </c>
      <c r="D17" s="645">
        <f>D16+C17</f>
        <v>1869.7464</v>
      </c>
      <c r="E17" s="646">
        <f>C17/I17</f>
        <v>19.408193011647253</v>
      </c>
      <c r="F17" s="664">
        <f>AVERAGE('Rom File Inventory'!T96:T104)</f>
        <v>0.67088888888888887</v>
      </c>
      <c r="G17" s="645">
        <f>F17*C17</f>
        <v>130.42442279999997</v>
      </c>
      <c r="H17" s="647">
        <f t="shared" si="6"/>
        <v>0.13042442279999997</v>
      </c>
      <c r="I17" s="645">
        <f>'Crushing Down Time Hours'!L12</f>
        <v>10.016666666666667</v>
      </c>
      <c r="J17" s="645">
        <v>0</v>
      </c>
      <c r="K17" s="648">
        <f>'Crushing Down Time Hours'!M12</f>
        <v>0.83472222222222225</v>
      </c>
      <c r="L17" s="648">
        <f t="shared" si="2"/>
        <v>0</v>
      </c>
      <c r="M17" s="649">
        <v>1</v>
      </c>
      <c r="N17" s="650">
        <f t="shared" si="7"/>
        <v>0</v>
      </c>
      <c r="O17" s="651"/>
      <c r="P17" s="651"/>
      <c r="Q17" s="652"/>
      <c r="R17" s="652"/>
      <c r="S17" s="652"/>
      <c r="T17" s="653">
        <f t="shared" si="3"/>
        <v>0</v>
      </c>
      <c r="U17" s="1052" t="str">
        <f t="shared" si="4"/>
        <v/>
      </c>
      <c r="V17" s="652"/>
      <c r="W17" s="652"/>
      <c r="X17" s="652"/>
      <c r="Y17" s="652"/>
      <c r="Z17" s="653">
        <f>'Reagent Consumption'!O19</f>
        <v>300</v>
      </c>
      <c r="AA17" s="645">
        <f>'Fuel Consumption'!D14</f>
        <v>304</v>
      </c>
      <c r="AB17" s="653">
        <f>'Reagent Consumption'!Q19</f>
        <v>0</v>
      </c>
      <c r="AC17" s="653">
        <f>'Reagent Consumption'!P19</f>
        <v>750</v>
      </c>
      <c r="AD17" s="653">
        <f>'Reagent Consumption'!R19</f>
        <v>0</v>
      </c>
      <c r="AE17" s="653">
        <f>'Reagent Consumption'!S19</f>
        <v>0</v>
      </c>
      <c r="AF17" s="653">
        <f>'Reagent Consumption'!T19</f>
        <v>0</v>
      </c>
      <c r="AG17" s="653">
        <f>'Fuel Consumption'!D14</f>
        <v>304</v>
      </c>
      <c r="AH17" s="653"/>
      <c r="AI17" s="653"/>
      <c r="AJ17" s="653"/>
      <c r="AK17" s="653"/>
      <c r="AL17" s="653"/>
      <c r="AM17" s="653"/>
      <c r="AN17" s="653"/>
      <c r="AO17" s="653"/>
      <c r="AP17" s="653"/>
      <c r="AQ17" s="652"/>
      <c r="AR17" s="654"/>
      <c r="AS17" s="654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52" t="str">
        <f t="shared" si="4"/>
        <v/>
      </c>
      <c r="V18" s="90"/>
      <c r="W18" s="90"/>
      <c r="X18" s="90"/>
      <c r="Y18" s="90"/>
      <c r="Z18" s="92">
        <f>'Reagent Consumption'!O21</f>
        <v>175</v>
      </c>
      <c r="AA18" s="88">
        <f>'Fuel Consumption'!D15</f>
        <v>510</v>
      </c>
      <c r="AB18" s="92">
        <f>'Reagent Consumption'!Q21</f>
        <v>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52" t="str">
        <f t="shared" si="4"/>
        <v/>
      </c>
      <c r="V19" s="90"/>
      <c r="W19" s="90"/>
      <c r="X19" s="90"/>
      <c r="Y19" s="90"/>
      <c r="Z19" s="92">
        <f>'Reagent Consumption'!O22</f>
        <v>175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5" customFormat="1" ht="14.4" x14ac:dyDescent="0.3">
      <c r="A20" s="643"/>
      <c r="B20" s="644">
        <v>46261</v>
      </c>
      <c r="C20" s="645">
        <f>Crushing!N32</f>
        <v>149.93651999999997</v>
      </c>
      <c r="D20" s="645">
        <f t="shared" si="9"/>
        <v>2019.68292</v>
      </c>
      <c r="E20" s="646">
        <f t="shared" si="8"/>
        <v>28.46895949367088</v>
      </c>
      <c r="F20" s="647">
        <f>AVERAGE('Rom File Inventory'!T105:T111)</f>
        <v>0.5545714285714286</v>
      </c>
      <c r="G20" s="645">
        <f t="shared" si="10"/>
        <v>83.150510091428558</v>
      </c>
      <c r="H20" s="647">
        <f t="shared" si="11"/>
        <v>8.3150510091428556E-2</v>
      </c>
      <c r="I20" s="645">
        <f>'Crushing Down Time Hours'!L15</f>
        <v>5.2666666666666666</v>
      </c>
      <c r="J20" s="645">
        <v>0</v>
      </c>
      <c r="K20" s="648">
        <f>'Crushing Down Time Hours'!M15</f>
        <v>0.43888888888888888</v>
      </c>
      <c r="L20" s="648">
        <f t="shared" si="2"/>
        <v>0</v>
      </c>
      <c r="M20" s="93">
        <v>1</v>
      </c>
      <c r="N20" s="650">
        <f t="shared" si="7"/>
        <v>0</v>
      </c>
      <c r="O20" s="651"/>
      <c r="P20" s="660"/>
      <c r="Q20" s="652"/>
      <c r="R20" s="652"/>
      <c r="S20" s="652"/>
      <c r="T20" s="653">
        <f t="shared" si="3"/>
        <v>0</v>
      </c>
      <c r="U20" s="1052" t="str">
        <f t="shared" si="4"/>
        <v/>
      </c>
      <c r="V20" s="652"/>
      <c r="W20" s="652"/>
      <c r="X20" s="652"/>
      <c r="Y20" s="652"/>
      <c r="Z20" s="653">
        <f>'Reagent Consumption'!O24</f>
        <v>300</v>
      </c>
      <c r="AA20" s="645">
        <f>'Fuel Consumption'!D17</f>
        <v>300</v>
      </c>
      <c r="AB20" s="653">
        <f>'Reagent Consumption'!Q24</f>
        <v>500</v>
      </c>
      <c r="AC20" s="653">
        <f>'Reagent Consumption'!P24</f>
        <v>0</v>
      </c>
      <c r="AD20" s="653">
        <f>'Reagent Consumption'!R24</f>
        <v>0</v>
      </c>
      <c r="AE20" s="653">
        <f>'Reagent Consumption'!S24</f>
        <v>0</v>
      </c>
      <c r="AF20" s="653">
        <f>'Reagent Consumption'!T24</f>
        <v>0</v>
      </c>
      <c r="AG20" s="653">
        <f>'Fuel Consumption'!D17</f>
        <v>300</v>
      </c>
      <c r="AH20" s="653"/>
      <c r="AI20" s="653"/>
      <c r="AJ20" s="653"/>
      <c r="AK20" s="653"/>
      <c r="AL20" s="653"/>
      <c r="AM20" s="653"/>
      <c r="AN20" s="653"/>
      <c r="AO20" s="653"/>
      <c r="AP20" s="653"/>
      <c r="AQ20" s="652"/>
      <c r="AR20" s="654"/>
      <c r="AS20" s="654"/>
    </row>
    <row r="21" spans="1:45" s="655" customFormat="1" ht="14.4" x14ac:dyDescent="0.3">
      <c r="A21" s="643"/>
      <c r="B21" s="644">
        <v>46262</v>
      </c>
      <c r="C21" s="645">
        <f>Crushing!N34</f>
        <v>201.31800000000001</v>
      </c>
      <c r="D21" s="645">
        <f t="shared" si="9"/>
        <v>2221.00092</v>
      </c>
      <c r="E21" s="646">
        <f>C21/I21</f>
        <v>25.112432432432431</v>
      </c>
      <c r="F21" s="647">
        <f>AVERAGE('Rom File Inventory'!T112:T120)</f>
        <v>1.1255555555555554</v>
      </c>
      <c r="G21" s="645">
        <f t="shared" si="10"/>
        <v>226.59459333333331</v>
      </c>
      <c r="H21" s="647">
        <f t="shared" si="11"/>
        <v>0.22659459333333332</v>
      </c>
      <c r="I21" s="645">
        <f>'Crushing Down Time Hours'!L16</f>
        <v>8.0166666666666675</v>
      </c>
      <c r="J21" s="645">
        <v>0</v>
      </c>
      <c r="K21" s="648">
        <f>'Crushing Down Time Hours'!M16</f>
        <v>0.66805555555555562</v>
      </c>
      <c r="L21" s="648">
        <f t="shared" si="2"/>
        <v>0</v>
      </c>
      <c r="M21" s="93">
        <v>1</v>
      </c>
      <c r="N21" s="650">
        <f t="shared" si="7"/>
        <v>0</v>
      </c>
      <c r="O21" s="651"/>
      <c r="P21" s="651"/>
      <c r="Q21" s="652"/>
      <c r="R21" s="652"/>
      <c r="S21" s="652"/>
      <c r="T21" s="653">
        <f t="shared" si="3"/>
        <v>0</v>
      </c>
      <c r="U21" s="1052" t="str">
        <f t="shared" si="4"/>
        <v/>
      </c>
      <c r="V21" s="652"/>
      <c r="W21" s="652"/>
      <c r="X21" s="652"/>
      <c r="Y21" s="652"/>
      <c r="Z21" s="653">
        <f>'Reagent Consumption'!O26</f>
        <v>200</v>
      </c>
      <c r="AA21" s="645">
        <f>'Fuel Consumption'!D18</f>
        <v>1798</v>
      </c>
      <c r="AB21" s="653">
        <f>'Reagent Consumption'!Q26</f>
        <v>500</v>
      </c>
      <c r="AC21" s="653">
        <f>'Reagent Consumption'!P26</f>
        <v>0</v>
      </c>
      <c r="AD21" s="653">
        <f>'Reagent Consumption'!R26</f>
        <v>0</v>
      </c>
      <c r="AE21" s="653">
        <f>'Reagent Consumption'!S26</f>
        <v>0</v>
      </c>
      <c r="AF21" s="653">
        <f>'Reagent Consumption'!T26</f>
        <v>50</v>
      </c>
      <c r="AG21" s="653">
        <f>'Fuel Consumption'!D18</f>
        <v>1798</v>
      </c>
      <c r="AH21" s="653"/>
      <c r="AI21" s="653"/>
      <c r="AJ21" s="653"/>
      <c r="AK21" s="653"/>
      <c r="AL21" s="653"/>
      <c r="AM21" s="653"/>
      <c r="AN21" s="653"/>
      <c r="AO21" s="653"/>
      <c r="AP21" s="653"/>
      <c r="AQ21" s="652"/>
      <c r="AR21" s="654"/>
      <c r="AS21" s="654"/>
    </row>
    <row r="22" spans="1:45" s="655" customFormat="1" ht="14.4" x14ac:dyDescent="0.3">
      <c r="A22" s="643"/>
      <c r="B22" s="644">
        <v>46263</v>
      </c>
      <c r="C22" s="645">
        <f>Crushing!N36</f>
        <v>288.52199999999999</v>
      </c>
      <c r="D22" s="645">
        <f t="shared" si="9"/>
        <v>2509.5229199999999</v>
      </c>
      <c r="E22" s="646">
        <f t="shared" si="8"/>
        <v>28.80419301164725</v>
      </c>
      <c r="F22" s="653">
        <f>AVERAGE('Rom File Inventory'!T121:T131)</f>
        <v>0.60627272727272719</v>
      </c>
      <c r="G22" s="645">
        <f t="shared" si="10"/>
        <v>174.92301981818179</v>
      </c>
      <c r="H22" s="647">
        <f t="shared" si="11"/>
        <v>0.17492301981818179</v>
      </c>
      <c r="I22" s="645">
        <f>'Crushing Down Time Hours'!L17</f>
        <v>10.016666666666667</v>
      </c>
      <c r="J22" s="645">
        <v>0</v>
      </c>
      <c r="K22" s="648">
        <f>'Crushing Down Time Hours'!M17</f>
        <v>0.83472222222222225</v>
      </c>
      <c r="L22" s="648">
        <f t="shared" si="2"/>
        <v>0</v>
      </c>
      <c r="M22" s="93">
        <v>1</v>
      </c>
      <c r="N22" s="650">
        <f t="shared" si="7"/>
        <v>0</v>
      </c>
      <c r="O22" s="651"/>
      <c r="P22" s="651"/>
      <c r="Q22" s="652"/>
      <c r="R22" s="652"/>
      <c r="S22" s="652"/>
      <c r="T22" s="653">
        <f t="shared" si="3"/>
        <v>0</v>
      </c>
      <c r="U22" s="1052" t="str">
        <f t="shared" si="4"/>
        <v/>
      </c>
      <c r="V22" s="652"/>
      <c r="W22" s="652"/>
      <c r="X22" s="652"/>
      <c r="Y22" s="652"/>
      <c r="Z22" s="653">
        <f>'Reagent Consumption'!O27</f>
        <v>100</v>
      </c>
      <c r="AA22" s="645">
        <f>'Fuel Consumption'!D19</f>
        <v>1841</v>
      </c>
      <c r="AB22" s="653">
        <f>'Reagent Consumption'!Q27</f>
        <v>0</v>
      </c>
      <c r="AC22" s="653">
        <f>'Reagent Consumption'!P27</f>
        <v>0</v>
      </c>
      <c r="AD22" s="653">
        <f>'Reagent Consumption'!R27</f>
        <v>0</v>
      </c>
      <c r="AE22" s="653">
        <f>'Reagent Consumption'!S27</f>
        <v>0</v>
      </c>
      <c r="AF22" s="653">
        <f>'Reagent Consumption'!T27</f>
        <v>0</v>
      </c>
      <c r="AG22" s="653">
        <f>'Fuel Consumption'!D19</f>
        <v>1841</v>
      </c>
      <c r="AH22" s="653"/>
      <c r="AI22" s="653"/>
      <c r="AJ22" s="653"/>
      <c r="AK22" s="653"/>
      <c r="AL22" s="653"/>
      <c r="AM22" s="653"/>
      <c r="AN22" s="653"/>
      <c r="AO22" s="653"/>
      <c r="AP22" s="653"/>
      <c r="AQ22" s="652"/>
      <c r="AR22" s="654"/>
      <c r="AS22" s="654"/>
    </row>
    <row r="23" spans="1:45" s="655" customFormat="1" ht="14.4" x14ac:dyDescent="0.3">
      <c r="A23" s="643"/>
      <c r="B23" s="644">
        <v>46264</v>
      </c>
      <c r="C23" s="645">
        <f>Crushing!N38</f>
        <v>64.583999999999989</v>
      </c>
      <c r="D23" s="645">
        <f t="shared" si="9"/>
        <v>2574.1069199999997</v>
      </c>
      <c r="E23" s="646">
        <f t="shared" si="8"/>
        <v>31.762622950819669</v>
      </c>
      <c r="F23" s="653">
        <f>AVERAGE('Rom File Inventory'!T132:T135)</f>
        <v>0.35349999999999998</v>
      </c>
      <c r="G23" s="645">
        <f t="shared" si="10"/>
        <v>22.830443999999996</v>
      </c>
      <c r="H23" s="647">
        <f t="shared" si="11"/>
        <v>2.2830443999999995E-2</v>
      </c>
      <c r="I23" s="645">
        <f>'Crushing Down Time Hours'!L18</f>
        <v>2.0333333333333332</v>
      </c>
      <c r="J23" s="645">
        <v>0</v>
      </c>
      <c r="K23" s="648">
        <f>'Crushing Down Time Hours'!M18</f>
        <v>0.16944444444444443</v>
      </c>
      <c r="L23" s="648">
        <f t="shared" si="2"/>
        <v>0</v>
      </c>
      <c r="M23" s="93">
        <v>1</v>
      </c>
      <c r="N23" s="648">
        <f t="shared" si="7"/>
        <v>0</v>
      </c>
      <c r="O23" s="652"/>
      <c r="P23" s="652"/>
      <c r="Q23" s="652"/>
      <c r="R23" s="652"/>
      <c r="S23" s="652"/>
      <c r="T23" s="653">
        <f t="shared" si="3"/>
        <v>0</v>
      </c>
      <c r="U23" s="1052" t="str">
        <f t="shared" si="4"/>
        <v/>
      </c>
      <c r="V23" s="652"/>
      <c r="W23" s="652"/>
      <c r="X23" s="652"/>
      <c r="Y23" s="652"/>
      <c r="Z23" s="653">
        <f>'Reagent Consumption'!O28</f>
        <v>225</v>
      </c>
      <c r="AA23" s="645">
        <f>'Fuel Consumption'!D20</f>
        <v>2492</v>
      </c>
      <c r="AB23" s="653">
        <f>'Reagent Consumption'!Q28</f>
        <v>0</v>
      </c>
      <c r="AC23" s="653">
        <f>'Reagent Consumption'!P28</f>
        <v>0</v>
      </c>
      <c r="AD23" s="653">
        <f>'Reagent Consumption'!R28</f>
        <v>0</v>
      </c>
      <c r="AE23" s="653">
        <f>'Reagent Consumption'!S28</f>
        <v>0</v>
      </c>
      <c r="AF23" s="653">
        <f>'Reagent Consumption'!T28</f>
        <v>25</v>
      </c>
      <c r="AG23" s="653">
        <f>'Fuel Consumption'!D20</f>
        <v>2492</v>
      </c>
      <c r="AH23" s="653"/>
      <c r="AI23" s="653"/>
      <c r="AJ23" s="653"/>
      <c r="AK23" s="653"/>
      <c r="AL23" s="653"/>
      <c r="AM23" s="653"/>
      <c r="AN23" s="653"/>
      <c r="AO23" s="653"/>
      <c r="AP23" s="653"/>
      <c r="AQ23" s="652"/>
      <c r="AR23" s="654"/>
      <c r="AS23" s="654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52" t="str">
        <f t="shared" si="4"/>
        <v/>
      </c>
      <c r="V24" s="90"/>
      <c r="W24" s="90"/>
      <c r="X24" s="90"/>
      <c r="Y24" s="90"/>
      <c r="Z24" s="92">
        <f>'Reagent Consumption'!O29</f>
        <v>125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52" t="str">
        <f t="shared" si="4"/>
        <v/>
      </c>
      <c r="V25" s="90"/>
      <c r="W25" s="90"/>
      <c r="X25" s="90"/>
      <c r="Y25" s="90"/>
      <c r="Z25" s="92">
        <f>'Reagent Consumption'!O30</f>
        <v>375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25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52" t="str">
        <f t="shared" si="4"/>
        <v/>
      </c>
      <c r="V26" s="90"/>
      <c r="W26" s="90"/>
      <c r="X26" s="90"/>
      <c r="Y26" s="90"/>
      <c r="Z26" s="92">
        <f>'Reagent Consumption'!O31</f>
        <v>200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52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52" t="str">
        <f t="shared" si="4"/>
        <v/>
      </c>
      <c r="V28" s="90"/>
      <c r="W28" s="90"/>
      <c r="X28" s="90"/>
      <c r="Y28" s="90"/>
      <c r="Z28" s="92">
        <f>'Reagent Consumption'!O33</f>
        <v>275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325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25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52" t="str">
        <f t="shared" si="4"/>
        <v/>
      </c>
      <c r="V29" s="90"/>
      <c r="W29" s="90"/>
      <c r="X29" s="90"/>
      <c r="Y29" s="90"/>
      <c r="Z29" s="92">
        <f>'Reagent Consumption'!O38</f>
        <v>0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0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52" t="str">
        <f t="shared" si="4"/>
        <v/>
      </c>
      <c r="V30" s="90"/>
      <c r="W30" s="90"/>
      <c r="X30" s="90"/>
      <c r="Y30" s="90"/>
      <c r="Z30" s="92">
        <f>'Reagent Consumption'!O39</f>
        <v>0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52" t="str">
        <f t="shared" si="4"/>
        <v/>
      </c>
      <c r="V31" s="90"/>
      <c r="W31" s="90"/>
      <c r="X31" s="90"/>
      <c r="Y31" s="90"/>
      <c r="Z31" s="92">
        <f>'Reagent Consumption'!O41</f>
        <v>175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52" t="str">
        <f t="shared" si="4"/>
        <v/>
      </c>
      <c r="V32" s="90"/>
      <c r="W32" s="90"/>
      <c r="X32" s="90"/>
      <c r="Y32" s="90"/>
      <c r="Z32" s="92">
        <f>'Reagent Consumption'!O43</f>
        <v>250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0</v>
      </c>
      <c r="AE32" s="92">
        <f>'Reagent Consumption'!S43</f>
        <v>0</v>
      </c>
      <c r="AF32" s="92">
        <f>'Reagent Consumption'!T43</f>
        <v>50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52" t="str">
        <f t="shared" si="4"/>
        <v/>
      </c>
      <c r="V33" s="90"/>
      <c r="W33" s="90"/>
      <c r="X33" s="90"/>
      <c r="Y33" s="90"/>
      <c r="Z33" s="132">
        <f>'Reagent Consumption'!O45</f>
        <v>125</v>
      </c>
      <c r="AA33" s="211">
        <f>'Fuel Consumption'!D30</f>
        <v>1278</v>
      </c>
      <c r="AB33" s="132">
        <f>'Reagent Consumption'!Q45</f>
        <v>0</v>
      </c>
      <c r="AC33" s="132">
        <f>'Reagent Consumption'!P45</f>
        <v>0</v>
      </c>
      <c r="AD33" s="132">
        <f>'Reagent Consumption'!R45</f>
        <v>0</v>
      </c>
      <c r="AE33" s="132">
        <f>'Reagent Consumption'!S45</f>
        <v>0</v>
      </c>
      <c r="AF33" s="132">
        <f>'Reagent Consumption'!T45</f>
        <v>0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5" customFormat="1" ht="14.4" x14ac:dyDescent="0.3">
      <c r="A34" s="643"/>
      <c r="B34" s="644">
        <v>46275</v>
      </c>
      <c r="C34" s="645">
        <f>Crushing!N60</f>
        <v>86.346000000000004</v>
      </c>
      <c r="D34" s="645">
        <f t="shared" si="9"/>
        <v>2660.4529199999997</v>
      </c>
      <c r="E34" s="89" t="str">
        <f t="shared" si="12"/>
        <v/>
      </c>
      <c r="F34" s="652"/>
      <c r="G34" s="645">
        <f t="shared" si="10"/>
        <v>0</v>
      </c>
      <c r="H34" s="647">
        <f t="shared" si="11"/>
        <v>0</v>
      </c>
      <c r="I34" s="645">
        <f>'Crushing Down Time Hours'!L29</f>
        <v>0</v>
      </c>
      <c r="J34" s="645">
        <f>'Milling Down Time Hours'!Q16</f>
        <v>12.983333333333333</v>
      </c>
      <c r="K34" s="648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2"/>
      <c r="P34" s="652"/>
      <c r="Q34" s="652"/>
      <c r="R34" s="652"/>
      <c r="S34" s="652"/>
      <c r="T34" s="653">
        <f t="shared" si="3"/>
        <v>0</v>
      </c>
      <c r="U34" s="1052" t="str">
        <f t="shared" si="4"/>
        <v/>
      </c>
      <c r="V34" s="652"/>
      <c r="W34" s="652"/>
      <c r="X34" s="652"/>
      <c r="Y34" s="661"/>
      <c r="Z34" s="667">
        <f>'Reagent Consumption'!O47</f>
        <v>675</v>
      </c>
      <c r="AA34" s="666">
        <f>'Fuel Consumption'!D31</f>
        <v>1099</v>
      </c>
      <c r="AB34" s="667">
        <f>'Reagent Consumption'!Q47</f>
        <v>0</v>
      </c>
      <c r="AC34" s="667">
        <f>'Reagent Consumption'!P47</f>
        <v>325</v>
      </c>
      <c r="AD34" s="667">
        <f>'Reagent Consumption'!R47</f>
        <v>0</v>
      </c>
      <c r="AE34" s="667">
        <f>'Reagent Consumption'!S47</f>
        <v>0</v>
      </c>
      <c r="AF34" s="667">
        <f>'Reagent Consumption'!T47</f>
        <v>0</v>
      </c>
      <c r="AG34" s="667">
        <f>'Fuel Consumption'!D31</f>
        <v>1099</v>
      </c>
      <c r="AH34" s="667"/>
      <c r="AI34" s="667"/>
      <c r="AJ34" s="667"/>
      <c r="AK34" s="667"/>
      <c r="AL34" s="667"/>
      <c r="AM34" s="667"/>
      <c r="AN34" s="667"/>
      <c r="AO34" s="667"/>
      <c r="AP34" s="653"/>
      <c r="AQ34" s="652"/>
      <c r="AR34" s="654"/>
      <c r="AS34" s="654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52" t="str">
        <f t="shared" si="4"/>
        <v/>
      </c>
      <c r="V35" s="90"/>
      <c r="W35" s="90"/>
      <c r="X35" s="90"/>
      <c r="Y35" s="1053"/>
      <c r="Z35" s="214">
        <f>'Reagent Consumption'!O49</f>
        <v>175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5" customFormat="1" ht="14.4" x14ac:dyDescent="0.3">
      <c r="A36" s="643"/>
      <c r="B36" s="644">
        <v>46277</v>
      </c>
      <c r="C36" s="645">
        <f>Crushing!N64</f>
        <v>394.524</v>
      </c>
      <c r="D36" s="665">
        <f t="shared" si="9"/>
        <v>3054.9769199999996</v>
      </c>
      <c r="E36" s="89" t="str">
        <f t="shared" si="12"/>
        <v/>
      </c>
      <c r="F36" s="936">
        <f>AVERAGE('Rom File Inventory'!$T$136:$T$147)</f>
        <v>0.52608333333333335</v>
      </c>
      <c r="G36" s="645">
        <f t="shared" si="10"/>
        <v>207.55250100000001</v>
      </c>
      <c r="H36" s="647">
        <f t="shared" si="11"/>
        <v>0.207552501</v>
      </c>
      <c r="I36" s="645">
        <f>'Crushing Down Time Hours'!L31</f>
        <v>0</v>
      </c>
      <c r="J36" s="645">
        <f>'Milling Down Time Hours'!Q19</f>
        <v>10</v>
      </c>
      <c r="K36" s="648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3"/>
      <c r="P36" s="643"/>
      <c r="Q36" s="643"/>
      <c r="R36" s="643"/>
      <c r="S36" s="643"/>
      <c r="T36" s="656">
        <f t="shared" si="3"/>
        <v>0</v>
      </c>
      <c r="U36" s="1052" t="str">
        <f t="shared" si="4"/>
        <v/>
      </c>
      <c r="V36" s="643"/>
      <c r="W36" s="643"/>
      <c r="X36" s="643"/>
      <c r="Y36" s="654"/>
      <c r="Z36" s="667">
        <f>'Reagent Consumption'!O51</f>
        <v>0</v>
      </c>
      <c r="AA36" s="666">
        <f>'Fuel Consumption'!D33</f>
        <v>1588</v>
      </c>
      <c r="AB36" s="667">
        <f>'Reagent Consumption'!Q51</f>
        <v>0</v>
      </c>
      <c r="AC36" s="667">
        <f>'Reagent Consumption'!P51</f>
        <v>0</v>
      </c>
      <c r="AD36" s="667">
        <f>'Reagent Consumption'!R51</f>
        <v>0</v>
      </c>
      <c r="AE36" s="667">
        <f>'Reagent Consumption'!S51</f>
        <v>0</v>
      </c>
      <c r="AF36" s="667">
        <f>'Reagent Consumption'!T51</f>
        <v>0</v>
      </c>
      <c r="AG36" s="667">
        <f>'Fuel Consumption'!D33</f>
        <v>1588</v>
      </c>
      <c r="AH36" s="667"/>
      <c r="AI36" s="667"/>
      <c r="AJ36" s="667"/>
      <c r="AK36" s="667"/>
      <c r="AL36" s="667"/>
      <c r="AM36" s="667"/>
      <c r="AN36" s="667"/>
      <c r="AO36" s="667"/>
      <c r="AP36" s="656"/>
      <c r="AQ36" s="643"/>
      <c r="AR36" s="654"/>
      <c r="AS36" s="654"/>
    </row>
    <row r="37" spans="1:45" s="655" customFormat="1" ht="14.4" x14ac:dyDescent="0.3">
      <c r="A37" s="654"/>
      <c r="B37" s="644">
        <v>46278</v>
      </c>
      <c r="C37" s="645">
        <f>Crushing!N66</f>
        <v>315.19799999999998</v>
      </c>
      <c r="D37" s="666">
        <f>D36+C37</f>
        <v>3370.1749199999995</v>
      </c>
      <c r="E37" s="89" t="str">
        <f t="shared" si="12"/>
        <v/>
      </c>
      <c r="F37" s="1005">
        <f>AVERAGE('Rom File Inventory'!T142:T155)</f>
        <v>0.62457142857142867</v>
      </c>
      <c r="G37" s="645">
        <f t="shared" si="10"/>
        <v>196.86366514285717</v>
      </c>
      <c r="H37" s="647">
        <f t="shared" si="11"/>
        <v>0.19686366514285716</v>
      </c>
      <c r="I37" s="645">
        <f>'Crushing Down Time Hours'!L32</f>
        <v>0</v>
      </c>
      <c r="J37" s="645">
        <f>'Milling Down Time Hours'!Q20</f>
        <v>24</v>
      </c>
      <c r="K37" s="648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1"/>
      <c r="P37" s="651"/>
      <c r="Q37" s="651"/>
      <c r="R37" s="651"/>
      <c r="S37" s="651"/>
      <c r="T37" s="667">
        <f t="shared" si="3"/>
        <v>0</v>
      </c>
      <c r="U37" s="1052" t="str">
        <f t="shared" si="4"/>
        <v/>
      </c>
      <c r="V37" s="651"/>
      <c r="W37" s="651"/>
      <c r="X37" s="651"/>
      <c r="Y37" s="1054"/>
      <c r="Z37" s="667">
        <f>'Reagent Consumption'!O52</f>
        <v>150</v>
      </c>
      <c r="AA37" s="666">
        <f>'Fuel Consumption'!D34</f>
        <v>2109</v>
      </c>
      <c r="AB37" s="667">
        <f>'Reagent Consumption'!Q52</f>
        <v>0</v>
      </c>
      <c r="AC37" s="667">
        <f>'Reagent Consumption'!P52</f>
        <v>0</v>
      </c>
      <c r="AD37" s="667">
        <f>'Reagent Consumption'!R52</f>
        <v>0</v>
      </c>
      <c r="AE37" s="667">
        <f>'Reagent Consumption'!S52</f>
        <v>0</v>
      </c>
      <c r="AF37" s="667">
        <f>'Reagent Consumption'!T52</f>
        <v>0</v>
      </c>
      <c r="AG37" s="667">
        <f>'Fuel Consumption'!D34</f>
        <v>2109</v>
      </c>
      <c r="AH37" s="667"/>
      <c r="AI37" s="667"/>
      <c r="AJ37" s="667"/>
      <c r="AK37" s="667"/>
      <c r="AL37" s="667"/>
      <c r="AM37" s="667"/>
      <c r="AN37" s="667"/>
      <c r="AO37" s="667"/>
      <c r="AP37" s="1057"/>
      <c r="AQ37" s="651"/>
      <c r="AR37" s="654"/>
      <c r="AS37" s="654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52" t="str">
        <f t="shared" si="4"/>
        <v/>
      </c>
      <c r="V38" s="94"/>
      <c r="W38" s="94"/>
      <c r="X38" s="94"/>
      <c r="Y38" s="1055"/>
      <c r="Z38" s="214">
        <f>'Reagent Consumption'!O54</f>
        <v>175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8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52" t="str">
        <f t="shared" si="4"/>
        <v/>
      </c>
      <c r="V39" s="94"/>
      <c r="W39" s="94"/>
      <c r="X39" s="94"/>
      <c r="Y39" s="1055"/>
      <c r="Z39" s="214">
        <f>'Reagent Consumption'!O56</f>
        <v>175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8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52" t="str">
        <f t="shared" si="4"/>
        <v/>
      </c>
      <c r="V40" s="94"/>
      <c r="W40" s="94"/>
      <c r="X40" s="94"/>
      <c r="Y40" s="1055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8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52" t="str">
        <f t="shared" si="4"/>
        <v/>
      </c>
      <c r="V41" s="94"/>
      <c r="W41" s="94"/>
      <c r="X41" s="94"/>
      <c r="Y41" s="1055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8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51">
        <f>F43</f>
        <v>0.58594117647058819</v>
      </c>
      <c r="G42" s="88">
        <f t="shared" si="10"/>
        <v>141.4977628235294</v>
      </c>
      <c r="H42" s="129">
        <f t="shared" si="11"/>
        <v>0.14149776282352941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52" t="str">
        <f t="shared" si="4"/>
        <v/>
      </c>
      <c r="V42" s="94"/>
      <c r="W42" s="94"/>
      <c r="X42" s="94"/>
      <c r="Y42" s="1055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8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51">
        <f>AVERAGE('Rom File Inventory'!T150:T166)</f>
        <v>0.58594117647058819</v>
      </c>
      <c r="G43" s="88">
        <f t="shared" si="10"/>
        <v>207.29696474117645</v>
      </c>
      <c r="H43" s="129">
        <f t="shared" si="11"/>
        <v>0.20729696474117645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52" t="str">
        <f t="shared" si="4"/>
        <v/>
      </c>
      <c r="V43" s="94"/>
      <c r="W43" s="94"/>
      <c r="X43" s="94"/>
      <c r="Y43" s="1055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8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51">
        <f>IFERROR(AVERAGE('Rom File Inventory'!T167:T179),"")</f>
        <v>0.86646153846153839</v>
      </c>
      <c r="G44" s="88">
        <f>IFERROR(F44*C44,"")</f>
        <v>183.97491199999999</v>
      </c>
      <c r="H44" s="129">
        <f>IFERROR(G44/1000,"")</f>
        <v>0.18397491199999999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52" t="str">
        <f t="shared" si="4"/>
        <v/>
      </c>
      <c r="V44" s="94"/>
      <c r="W44" s="94"/>
      <c r="X44" s="94"/>
      <c r="Y44" s="1055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8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51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52" t="str">
        <f t="shared" si="4"/>
        <v/>
      </c>
      <c r="V45" s="94"/>
      <c r="W45" s="94"/>
      <c r="X45" s="94"/>
      <c r="Y45" s="1055"/>
      <c r="Z45" s="214">
        <f>'Reagent Consumption'!O62</f>
        <v>0</v>
      </c>
      <c r="AA45" s="212">
        <f>'Fuel Consumption'!D42</f>
        <v>0</v>
      </c>
      <c r="AB45" s="214">
        <f>'Reagent Consumption'!Q62</f>
        <v>0</v>
      </c>
      <c r="AC45" s="214">
        <f>'Reagent Consumption'!P62</f>
        <v>0</v>
      </c>
      <c r="AD45" s="214">
        <f>'Reagent Consumption'!R62</f>
        <v>0</v>
      </c>
      <c r="AE45" s="214">
        <f>'Reagent Consumption'!S62</f>
        <v>0</v>
      </c>
      <c r="AF45" s="214">
        <f>'Reagent Consumption'!T62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8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51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52" t="str">
        <f t="shared" si="4"/>
        <v/>
      </c>
      <c r="V46" s="94"/>
      <c r="W46" s="94"/>
      <c r="X46" s="94"/>
      <c r="Y46" s="1055"/>
      <c r="Z46" s="214">
        <f>'Reagent Consumption'!O63</f>
        <v>0</v>
      </c>
      <c r="AA46" s="212">
        <f>'Fuel Consumption'!D43</f>
        <v>0</v>
      </c>
      <c r="AB46" s="214">
        <f>'Reagent Consumption'!Q63</f>
        <v>0</v>
      </c>
      <c r="AC46" s="214">
        <f>'Reagent Consumption'!P63</f>
        <v>0</v>
      </c>
      <c r="AD46" s="214">
        <f>'Reagent Consumption'!R63</f>
        <v>0</v>
      </c>
      <c r="AE46" s="214">
        <f>'Reagent Consumption'!S63</f>
        <v>0</v>
      </c>
      <c r="AF46" s="214">
        <f>'Reagent Consumption'!T63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8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51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52" t="str">
        <f t="shared" si="4"/>
        <v/>
      </c>
      <c r="V47" s="94"/>
      <c r="W47" s="94"/>
      <c r="X47" s="94"/>
      <c r="Y47" s="1055"/>
      <c r="Z47" s="214">
        <f>'Reagent Consumption'!O64</f>
        <v>0</v>
      </c>
      <c r="AA47" s="212">
        <f>'Fuel Consumption'!D44</f>
        <v>0</v>
      </c>
      <c r="AB47" s="214">
        <f>'Reagent Consumption'!Q64</f>
        <v>0</v>
      </c>
      <c r="AC47" s="214">
        <f>'Reagent Consumption'!P64</f>
        <v>0</v>
      </c>
      <c r="AD47" s="214">
        <f>'Reagent Consumption'!R64</f>
        <v>0</v>
      </c>
      <c r="AE47" s="214">
        <f>'Reagent Consumption'!S64</f>
        <v>0</v>
      </c>
      <c r="AF47" s="214">
        <f>'Reagent Consumption'!T64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8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51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52" t="str">
        <f t="shared" si="4"/>
        <v/>
      </c>
      <c r="V48" s="94"/>
      <c r="W48" s="94"/>
      <c r="X48" s="94"/>
      <c r="Y48" s="1055"/>
      <c r="Z48" s="214">
        <f>'Reagent Consumption'!O65</f>
        <v>0</v>
      </c>
      <c r="AA48" s="212">
        <f>'Fuel Consumption'!D45</f>
        <v>0</v>
      </c>
      <c r="AB48" s="214">
        <f>'Reagent Consumption'!Q65</f>
        <v>0</v>
      </c>
      <c r="AC48" s="214">
        <f>'Reagent Consumption'!P65</f>
        <v>0</v>
      </c>
      <c r="AD48" s="214">
        <f>'Reagent Consumption'!R65</f>
        <v>0</v>
      </c>
      <c r="AE48" s="214">
        <f>'Reagent Consumption'!S65</f>
        <v>0</v>
      </c>
      <c r="AF48" s="214">
        <f>'Reagent Consumption'!T65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8"/>
      <c r="AQ48" s="94"/>
      <c r="AR48" s="74"/>
      <c r="AS48" s="74"/>
    </row>
    <row r="49" spans="1:45" ht="14.4" x14ac:dyDescent="0.3">
      <c r="A49" s="74"/>
      <c r="B49" s="401">
        <v>46290</v>
      </c>
      <c r="C49" s="211"/>
      <c r="D49" s="402">
        <f t="shared" si="14"/>
        <v>5182.1435200000005</v>
      </c>
      <c r="E49" s="1044">
        <f t="shared" si="12"/>
        <v>0</v>
      </c>
      <c r="F49" s="403"/>
      <c r="G49" s="211">
        <f t="shared" si="10"/>
        <v>0</v>
      </c>
      <c r="H49" s="1045">
        <f t="shared" si="11"/>
        <v>0</v>
      </c>
      <c r="I49" s="211">
        <f>'Crushing Down Time Hours'!L44</f>
        <v>0.61064814814814816</v>
      </c>
      <c r="J49" s="402"/>
      <c r="K49" s="404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3"/>
      <c r="P49" s="403"/>
      <c r="Q49" s="403"/>
      <c r="R49" s="403"/>
      <c r="S49" s="403"/>
      <c r="T49" s="405"/>
      <c r="U49" s="1052" t="str">
        <f t="shared" si="4"/>
        <v/>
      </c>
      <c r="V49" s="403"/>
      <c r="W49" s="403"/>
      <c r="X49" s="403"/>
      <c r="Y49" s="1056"/>
      <c r="Z49" s="214">
        <f>'Reagent Consumption'!O66</f>
        <v>0</v>
      </c>
      <c r="AA49" s="212">
        <f>'Fuel Consumption'!D46</f>
        <v>0</v>
      </c>
      <c r="AB49" s="214">
        <f>'Reagent Consumption'!Q66</f>
        <v>0</v>
      </c>
      <c r="AC49" s="214">
        <f>'Reagent Consumption'!P66</f>
        <v>0</v>
      </c>
      <c r="AD49" s="214">
        <f>'Reagent Consumption'!R66</f>
        <v>0</v>
      </c>
      <c r="AE49" s="214">
        <f>'Reagent Consumption'!S66</f>
        <v>0</v>
      </c>
      <c r="AF49" s="214">
        <f>'Reagent Consumption'!T66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9"/>
      <c r="AQ49" s="403"/>
      <c r="AR49" s="74"/>
      <c r="AS49" s="74"/>
    </row>
    <row r="50" spans="1:45" ht="14.4" x14ac:dyDescent="0.3">
      <c r="A50" s="74"/>
      <c r="B50" s="1043">
        <v>46291</v>
      </c>
      <c r="C50" s="212"/>
      <c r="D50" s="402">
        <f>D49+C50</f>
        <v>5182.1435200000005</v>
      </c>
      <c r="E50" s="213"/>
      <c r="F50" s="94"/>
      <c r="G50" s="212"/>
      <c r="H50" s="1051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3"/>
      <c r="R50" s="403"/>
      <c r="S50" s="403"/>
      <c r="T50" s="405"/>
      <c r="U50" s="1052" t="str">
        <f t="shared" si="4"/>
        <v/>
      </c>
      <c r="V50" s="403"/>
      <c r="W50" s="403"/>
      <c r="X50" s="403"/>
      <c r="Y50" s="403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5"/>
      <c r="AQ50" s="403"/>
      <c r="AR50" s="74"/>
      <c r="AS50" s="74"/>
    </row>
    <row r="51" spans="1:45" ht="14.4" x14ac:dyDescent="0.3">
      <c r="A51" s="74"/>
      <c r="B51" s="1043">
        <v>46292</v>
      </c>
      <c r="C51" s="212"/>
      <c r="D51" s="402">
        <f t="shared" si="14"/>
        <v>5182.1435200000005</v>
      </c>
      <c r="E51" s="213"/>
      <c r="F51" s="94"/>
      <c r="G51" s="212"/>
      <c r="H51" s="1051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3"/>
      <c r="R51" s="403"/>
      <c r="S51" s="403"/>
      <c r="T51" s="405"/>
      <c r="U51" s="1052" t="str">
        <f t="shared" si="4"/>
        <v/>
      </c>
      <c r="V51" s="403"/>
      <c r="W51" s="403"/>
      <c r="X51" s="403"/>
      <c r="Y51" s="403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5"/>
      <c r="AQ51" s="403"/>
      <c r="AR51" s="74"/>
      <c r="AS51" s="74"/>
    </row>
    <row r="52" spans="1:45" ht="14.4" x14ac:dyDescent="0.3">
      <c r="A52" s="74"/>
      <c r="B52" s="1042">
        <v>46293</v>
      </c>
      <c r="C52" s="212"/>
      <c r="D52" s="402">
        <f t="shared" si="14"/>
        <v>5182.1435200000005</v>
      </c>
      <c r="E52" s="213"/>
      <c r="F52" s="94"/>
      <c r="G52" s="212"/>
      <c r="H52" s="1051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3"/>
      <c r="R52" s="403"/>
      <c r="S52" s="403"/>
      <c r="T52" s="405"/>
      <c r="U52" s="1052" t="str">
        <f t="shared" si="4"/>
        <v/>
      </c>
      <c r="V52" s="403"/>
      <c r="W52" s="403"/>
      <c r="X52" s="403"/>
      <c r="Y52" s="403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5"/>
      <c r="AQ52" s="403"/>
      <c r="AR52" s="74"/>
      <c r="AS52" s="74"/>
    </row>
    <row r="53" spans="1:45" ht="14.4" x14ac:dyDescent="0.3">
      <c r="A53" s="74"/>
      <c r="B53" s="1043">
        <v>46294</v>
      </c>
      <c r="C53" s="212"/>
      <c r="D53" s="402">
        <f t="shared" si="14"/>
        <v>5182.1435200000005</v>
      </c>
      <c r="E53" s="213"/>
      <c r="F53" s="94"/>
      <c r="G53" s="212"/>
      <c r="H53" s="1051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3"/>
      <c r="R53" s="403"/>
      <c r="S53" s="403"/>
      <c r="T53" s="405"/>
      <c r="U53" s="1052" t="str">
        <f t="shared" si="4"/>
        <v/>
      </c>
      <c r="V53" s="403"/>
      <c r="W53" s="403"/>
      <c r="X53" s="403"/>
      <c r="Y53" s="403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5"/>
      <c r="AQ53" s="403"/>
      <c r="AR53" s="74"/>
      <c r="AS53" s="74"/>
    </row>
    <row r="54" spans="1:45" ht="14.4" x14ac:dyDescent="0.3">
      <c r="A54" s="74"/>
      <c r="B54" s="1043">
        <v>46295</v>
      </c>
      <c r="C54" s="212"/>
      <c r="D54" s="402">
        <f t="shared" si="14"/>
        <v>5182.1435200000005</v>
      </c>
      <c r="E54" s="213"/>
      <c r="F54" s="94"/>
      <c r="G54" s="212"/>
      <c r="H54" s="1051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3"/>
      <c r="R54" s="403"/>
      <c r="S54" s="403"/>
      <c r="T54" s="405"/>
      <c r="U54" s="1052" t="str">
        <f t="shared" si="4"/>
        <v/>
      </c>
      <c r="V54" s="403"/>
      <c r="W54" s="403"/>
      <c r="X54" s="403"/>
      <c r="Y54" s="403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5"/>
      <c r="AQ54" s="403"/>
      <c r="AR54" s="74"/>
      <c r="AS54" s="74"/>
    </row>
    <row r="55" spans="1:45" ht="14.4" x14ac:dyDescent="0.3">
      <c r="A55" s="74"/>
      <c r="B55" s="1043">
        <v>46296</v>
      </c>
      <c r="C55" s="212"/>
      <c r="D55" s="402">
        <f t="shared" si="14"/>
        <v>5182.1435200000005</v>
      </c>
      <c r="E55" s="213"/>
      <c r="F55" s="94"/>
      <c r="G55" s="212"/>
      <c r="H55" s="1051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3"/>
      <c r="R55" s="403"/>
      <c r="S55" s="403"/>
      <c r="T55" s="405"/>
      <c r="U55" s="1052" t="str">
        <f t="shared" si="4"/>
        <v/>
      </c>
      <c r="V55" s="403"/>
      <c r="W55" s="403"/>
      <c r="X55" s="403"/>
      <c r="Y55" s="403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5"/>
      <c r="AQ55" s="403"/>
      <c r="AR55" s="74"/>
      <c r="AS55" s="74"/>
    </row>
    <row r="56" spans="1:45" ht="14.4" x14ac:dyDescent="0.3">
      <c r="A56" s="74"/>
      <c r="B56" s="406" t="s">
        <v>17</v>
      </c>
      <c r="C56" s="1046">
        <f>SUM(C7:C49)</f>
        <v>5182.1435200000005</v>
      </c>
      <c r="D56" s="1047"/>
      <c r="E56" s="1047"/>
      <c r="F56" s="1047"/>
      <c r="G56" s="1046">
        <f>SUM(G7:G49)</f>
        <v>3810.9459223605077</v>
      </c>
      <c r="H56" s="1048">
        <f>SUM(H7:H37)</f>
        <v>2.4913246425458002</v>
      </c>
      <c r="I56" s="417">
        <f>'Crushing Down Time Hours'!L45</f>
        <v>0</v>
      </c>
      <c r="J56" s="1046"/>
      <c r="K56" s="1049"/>
      <c r="L56" s="1050"/>
      <c r="M56" s="1050"/>
      <c r="N56" s="1049"/>
      <c r="O56" s="1050">
        <f t="shared" ref="O56:Y56" si="15">SUM(O7:O36)</f>
        <v>0</v>
      </c>
      <c r="P56" s="1050">
        <f>SUM(P7:P36)</f>
        <v>0</v>
      </c>
      <c r="Q56" s="408">
        <f t="shared" si="15"/>
        <v>0</v>
      </c>
      <c r="R56" s="408"/>
      <c r="S56" s="408"/>
      <c r="T56" s="414">
        <f t="shared" ref="T56" si="16">R56-S56</f>
        <v>0</v>
      </c>
      <c r="U56" s="407"/>
      <c r="V56" s="408">
        <f t="shared" si="15"/>
        <v>0</v>
      </c>
      <c r="W56" s="408">
        <f t="shared" si="15"/>
        <v>0</v>
      </c>
      <c r="X56" s="408">
        <f t="shared" si="15"/>
        <v>0</v>
      </c>
      <c r="Y56" s="408">
        <f t="shared" si="15"/>
        <v>0</v>
      </c>
      <c r="Z56" s="408">
        <f>SUM(Z7:Z49)</f>
        <v>5625</v>
      </c>
      <c r="AA56" s="408"/>
      <c r="AB56" s="409">
        <f>SUM(AB7:AB49)</f>
        <v>3000</v>
      </c>
      <c r="AC56" s="409">
        <f>SUM(AC7:AC49)</f>
        <v>4150</v>
      </c>
      <c r="AD56" s="409"/>
      <c r="AE56" s="409"/>
      <c r="AF56" s="408">
        <f>SUM(AF7:AF49)</f>
        <v>250</v>
      </c>
      <c r="AG56" s="408">
        <f>SUM(AG7:AG37)</f>
        <v>33194</v>
      </c>
      <c r="AH56" s="408"/>
      <c r="AI56" s="408"/>
      <c r="AJ56" s="408"/>
      <c r="AK56" s="408"/>
      <c r="AL56" s="408"/>
      <c r="AM56" s="408"/>
      <c r="AN56" s="409"/>
      <c r="AO56" s="408"/>
      <c r="AP56" s="408"/>
      <c r="AQ56" s="408"/>
      <c r="AR56" s="74"/>
      <c r="AS56" s="74"/>
    </row>
    <row r="57" spans="1:45" ht="14.4" x14ac:dyDescent="0.3">
      <c r="A57" s="74"/>
      <c r="B57" s="415" t="s">
        <v>121</v>
      </c>
      <c r="C57" s="410">
        <f>AVERAGE(C7:C15)</f>
        <v>186.149</v>
      </c>
      <c r="D57" s="410"/>
      <c r="E57" s="410">
        <f>AVERAGE(E7:E15)</f>
        <v>23.352924279598447</v>
      </c>
      <c r="F57" s="412">
        <f>AVERAGE(F7:F55)</f>
        <v>0.81829133980992264</v>
      </c>
      <c r="G57" s="410">
        <f>AVERAGE(G7:G37)</f>
        <v>80.365311049864559</v>
      </c>
      <c r="H57" s="410">
        <f>AVERAGE(H8:H36)</f>
        <v>7.9119344048377338E-2</v>
      </c>
      <c r="I57" s="410">
        <f>AVERAGE(I7:I15)</f>
        <v>9.1291666666666664</v>
      </c>
      <c r="J57" s="410"/>
      <c r="K57" s="413">
        <f>AVERAGE(K7:K17)</f>
        <v>0.6261904761904763</v>
      </c>
      <c r="L57" s="413">
        <f>AVERAGE(L8:L49)</f>
        <v>0.41653439153439153</v>
      </c>
      <c r="M57" s="413">
        <f>AVERAGE(M8:M36)</f>
        <v>1</v>
      </c>
      <c r="N57" s="413">
        <f>AVERAGE(N8:N45)</f>
        <v>0.37258771929824563</v>
      </c>
      <c r="O57" s="410" t="str">
        <f>IFERROR(AVERAGE(O8:O36),"")</f>
        <v/>
      </c>
      <c r="P57" s="410" t="str">
        <f>IFERROR(AVERAGE(P8:P36),"")</f>
        <v/>
      </c>
      <c r="Q57" s="410" t="str">
        <f>IFERROR(AVERAGE(Q8:Q36),"")</f>
        <v/>
      </c>
      <c r="R57" s="410"/>
      <c r="S57" s="410"/>
      <c r="T57" s="410"/>
      <c r="U57" s="416"/>
      <c r="V57" s="410" t="e">
        <f t="shared" ref="V57:AC57" si="17">AVERAGE(V8:V36)</f>
        <v>#DIV/0!</v>
      </c>
      <c r="W57" s="410" t="e">
        <f t="shared" si="17"/>
        <v>#DIV/0!</v>
      </c>
      <c r="X57" s="410" t="e">
        <f t="shared" si="17"/>
        <v>#DIV/0!</v>
      </c>
      <c r="Y57" s="410" t="e">
        <f t="shared" si="17"/>
        <v>#DIV/0!</v>
      </c>
      <c r="Z57" s="411">
        <f t="shared" si="17"/>
        <v>176.72413793103448</v>
      </c>
      <c r="AA57" s="410">
        <f t="shared" si="17"/>
        <v>1060.8620689655172</v>
      </c>
      <c r="AB57" s="410">
        <f t="shared" si="17"/>
        <v>103.44827586206897</v>
      </c>
      <c r="AC57" s="411">
        <f t="shared" si="17"/>
        <v>143.10344827586206</v>
      </c>
      <c r="AD57" s="411"/>
      <c r="AE57" s="411"/>
      <c r="AF57" s="410">
        <f>AVERAGE(AF8:AF36)</f>
        <v>8.6206896551724146</v>
      </c>
      <c r="AG57" s="410"/>
      <c r="AH57" s="410"/>
      <c r="AI57" s="410"/>
      <c r="AJ57" s="410"/>
      <c r="AK57" s="410"/>
      <c r="AL57" s="410"/>
      <c r="AM57" s="410"/>
      <c r="AN57" s="410"/>
      <c r="AO57" s="410"/>
      <c r="AP57" s="410"/>
      <c r="AQ57" s="410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3" t="s">
        <v>201</v>
      </c>
      <c r="F59" s="392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3" t="s">
        <v>202</v>
      </c>
      <c r="F60" s="120">
        <f>MAX(F7:F17)</f>
        <v>1.45</v>
      </c>
      <c r="I60" s="75"/>
      <c r="J60" s="75"/>
      <c r="K60" s="76"/>
      <c r="L60" s="76"/>
      <c r="M60" s="76"/>
      <c r="W60" s="1197" t="s">
        <v>204</v>
      </c>
      <c r="X60" s="1197"/>
    </row>
    <row r="61" spans="1:45" ht="14.4" x14ac:dyDescent="0.3">
      <c r="C61" s="75"/>
      <c r="D61" s="76"/>
      <c r="E61" s="393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4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4" t="s">
        <v>411</v>
      </c>
      <c r="G63" s="395">
        <f>G56/C56</f>
        <v>0.73539953257807633</v>
      </c>
      <c r="H63" s="1138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8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197" t="s">
        <v>206</v>
      </c>
      <c r="X66" s="1197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186.149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23.352924279598447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18" t="s">
        <v>279</v>
      </c>
      <c r="C1" s="1218"/>
      <c r="D1" s="1218"/>
      <c r="E1" s="1218"/>
      <c r="F1" s="1218"/>
      <c r="G1" s="1218"/>
      <c r="H1" s="1218"/>
      <c r="I1" s="1218"/>
      <c r="J1" s="1218"/>
      <c r="K1" s="1218"/>
      <c r="L1" s="1218"/>
      <c r="M1" s="1218"/>
      <c r="N1" s="1218"/>
      <c r="O1" s="1218"/>
      <c r="P1" s="1218"/>
      <c r="Q1" s="1218"/>
      <c r="R1" s="1218"/>
      <c r="S1" s="1218"/>
    </row>
    <row r="2" spans="1:42" ht="18" x14ac:dyDescent="0.35">
      <c r="B2" s="1218" t="s">
        <v>280</v>
      </c>
      <c r="C2" s="1218"/>
      <c r="D2" s="1218"/>
      <c r="E2" s="1218"/>
      <c r="F2" s="1218"/>
      <c r="G2" s="1218"/>
      <c r="H2" s="1218"/>
      <c r="I2" s="1218"/>
      <c r="J2" s="1218"/>
      <c r="K2" s="1218"/>
      <c r="L2" s="1218"/>
      <c r="M2" s="1218"/>
      <c r="N2" s="1218"/>
      <c r="O2" s="1218"/>
      <c r="P2" s="1218"/>
      <c r="Q2" s="1218"/>
      <c r="R2" s="1218"/>
      <c r="S2" s="1218"/>
    </row>
    <row r="3" spans="1:42" ht="18" x14ac:dyDescent="0.35">
      <c r="B3" s="1218" t="s">
        <v>281</v>
      </c>
      <c r="C3" s="1218"/>
      <c r="D3" s="1218"/>
      <c r="E3" s="1218"/>
      <c r="F3" s="1218"/>
      <c r="G3" s="1218"/>
      <c r="H3" s="1218"/>
      <c r="I3" s="1218"/>
      <c r="J3" s="1218"/>
      <c r="K3" s="1218"/>
      <c r="L3" s="1218"/>
      <c r="M3" s="1218"/>
      <c r="N3" s="1218"/>
      <c r="O3" s="1218"/>
      <c r="P3" s="1218"/>
      <c r="Q3" s="1218"/>
      <c r="R3" s="1218"/>
      <c r="S3" s="1218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20"/>
      <c r="C5" s="1221"/>
      <c r="D5" s="1220" t="s">
        <v>24</v>
      </c>
      <c r="E5" s="1222"/>
      <c r="F5" s="1221"/>
      <c r="G5" s="1220" t="s">
        <v>25</v>
      </c>
      <c r="H5" s="1222"/>
      <c r="I5" s="1221"/>
      <c r="J5" s="1220" t="s">
        <v>319</v>
      </c>
      <c r="K5" s="1221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173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174</v>
      </c>
      <c r="V6" s="112" t="s">
        <v>327</v>
      </c>
      <c r="X6" s="1223" t="s">
        <v>162</v>
      </c>
      <c r="Y6" s="1223"/>
      <c r="Z6" s="1223"/>
      <c r="AA6" s="1223"/>
      <c r="AB6" s="1223"/>
      <c r="AC6" s="1223"/>
    </row>
    <row r="7" spans="1:42" x14ac:dyDescent="0.3">
      <c r="A7" s="19">
        <v>46262</v>
      </c>
      <c r="B7" s="130" t="s">
        <v>12</v>
      </c>
      <c r="C7" s="378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>SUMIF(A$7:A$52,N7,D$7:D$52)+SUMIF(A$7:A$52,N7,G$7:G$52)</f>
        <v>0</v>
      </c>
      <c r="P7" s="18">
        <f>SUMIF(A$7:A$52,N7,E$7:E$52)+SUMIF(A$7:A$52,N7,J$7:J$52)</f>
        <v>0</v>
      </c>
      <c r="Q7" s="18">
        <f>SUMIF(A$7:A$52,N7,F$7:F$52)</f>
        <v>0</v>
      </c>
      <c r="R7" s="18">
        <f>SUMIF(A$7:A$67,N7,H$7:H$68)</f>
        <v>0</v>
      </c>
      <c r="S7" s="18">
        <f>SUMIF(A$7:A$68,N7,I$7:I$68)</f>
        <v>0</v>
      </c>
      <c r="T7" s="18">
        <f t="shared" ref="T7:T33" si="0">SUMIF(A$7:A$68,N7,K$7:K$68)</f>
        <v>0</v>
      </c>
      <c r="U7" s="18">
        <f>SUMIF(A$7:A$68,N7,G$7:G$68)</f>
        <v>0</v>
      </c>
      <c r="V7" s="18">
        <f>SUMIF(A$7:A$68,N7,I$7:I$68)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22" t="s">
        <v>328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>SUMIF(A$7:A$52,N8,D$7:D$52)+SUMIF(A$7:A$52,N8,G$7:G$52)</f>
        <v>0</v>
      </c>
      <c r="P8" s="18">
        <f>SUMIF(A$7:A$52,N8,E$7:E$52)+SUMIF(A$7:A$52,N8,J$7:J$52)</f>
        <v>0</v>
      </c>
      <c r="Q8" s="18">
        <f>SUMIF(A$7:A$52,N8,F$7:F$52)</f>
        <v>0</v>
      </c>
      <c r="R8" s="18">
        <f>SUMIF(A$7:A$67,N8,H$7:H$68)</f>
        <v>0</v>
      </c>
      <c r="S8" s="18">
        <f>SUMIF(A$7:A$67,N8,I$7:I$67)</f>
        <v>0</v>
      </c>
      <c r="T8" s="18">
        <f t="shared" si="0"/>
        <v>0</v>
      </c>
      <c r="U8" s="18">
        <f>SUMIF(A$7:A$68,N8,G$7:G$68)</f>
        <v>0</v>
      </c>
      <c r="V8" s="18">
        <f>SUMIF(A$7:A$68,N8,I$7:I$68)</f>
        <v>0</v>
      </c>
      <c r="X8" s="120">
        <f>O68+U68</f>
        <v>5625</v>
      </c>
      <c r="Y8" s="120">
        <f t="shared" ref="Y8:Z8" si="1">P68</f>
        <v>4150</v>
      </c>
      <c r="Z8" s="120">
        <f t="shared" si="1"/>
        <v>3000</v>
      </c>
      <c r="AA8" s="120">
        <f>T68</f>
        <v>250</v>
      </c>
      <c r="AB8" s="121">
        <f>R68</f>
        <v>0</v>
      </c>
      <c r="AC8" s="18">
        <f>V68</f>
        <v>0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>SUMIF(A$7:A$52,N9,D$7:D$52)+SUMIF(A$7:A$52,N9,G$7:G$52)</f>
        <v>0</v>
      </c>
      <c r="P9" s="18">
        <f>SUMIF(A$7:A$52,N9,E$7:E$52)+SUMIF(A$7:A$52,N9,J$7:J$52)</f>
        <v>0</v>
      </c>
      <c r="Q9" s="18">
        <f>SUMIF(A$7:A$52,N9,F$7:F$52)</f>
        <v>0</v>
      </c>
      <c r="R9" s="18">
        <f>SUMIF(A$7:A$67,N9,H$7:H$68)</f>
        <v>0</v>
      </c>
      <c r="S9" s="18">
        <f>SUMIF(A$7:A$67,N9,I$7:I$67)</f>
        <v>0</v>
      </c>
      <c r="T9" s="18">
        <f t="shared" si="0"/>
        <v>0</v>
      </c>
      <c r="U9" s="18">
        <f>SUMIF(A$7:A$68,N9,G$7:G$68)</f>
        <v>0</v>
      </c>
      <c r="V9" s="18">
        <f>SUMIF(A$7:A$68,N9,I$7:I$68)</f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1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>SUMIF(A$7:A$52,N10,D$7:D$52)+SUMIF(A$7:A$52,N10,G$7:G$52)</f>
        <v>150</v>
      </c>
      <c r="P10" s="18">
        <f>SUMIF(A$7:A$52,N10,E$7:E$52)+SUMIF(A$7:A$52,N10,J$7:J$52)</f>
        <v>250</v>
      </c>
      <c r="Q10" s="18">
        <f>SUMIF(A$7:A$52,N10,F$7:F$52)</f>
        <v>0</v>
      </c>
      <c r="R10" s="18">
        <f>SUMIF(A$7:A$67,N10,H$7:H$68)</f>
        <v>0</v>
      </c>
      <c r="S10" s="18">
        <f>SUMIF(A$7:A$67,N10,I$7:I$67)</f>
        <v>0</v>
      </c>
      <c r="T10" s="18">
        <f t="shared" si="0"/>
        <v>0</v>
      </c>
      <c r="U10" s="18">
        <f>SUMIF(A$7:A$68,N10,G$7:G$68)</f>
        <v>0</v>
      </c>
      <c r="V10" s="18">
        <f>SUMIF(A$7:A$68,N10,I$7:I$68)</f>
        <v>0</v>
      </c>
      <c r="X10" s="1219" t="s">
        <v>333</v>
      </c>
      <c r="Y10" s="1219"/>
      <c r="Z10" s="1219"/>
      <c r="AA10" s="1219"/>
      <c r="AB10" s="1219"/>
      <c r="AC10" s="206"/>
    </row>
    <row r="11" spans="1:42" x14ac:dyDescent="0.3">
      <c r="A11" s="19">
        <v>46266</v>
      </c>
      <c r="B11" s="16" t="s">
        <v>12</v>
      </c>
      <c r="C11" s="425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>SUMIF(A$7:A$52,N11,D$7:D$52)+SUMIF(A$7:A$52,N11,G$7:G$52)</f>
        <v>225</v>
      </c>
      <c r="P11" s="18">
        <f>SUMIF(A$7:A$52,N11,E$7:E$52)+SUMIF(A$7:A$52,N11,J$7:J$52)</f>
        <v>1250</v>
      </c>
      <c r="Q11" s="18">
        <f>SUMIF(A$7:A$52,N11,F$7:F$52)</f>
        <v>1000</v>
      </c>
      <c r="R11" s="18">
        <f>SUMIF(A$7:A$67,N11,H$7:H$68)</f>
        <v>0</v>
      </c>
      <c r="S11" s="18">
        <f>SUMIF(A$7:A$67,N11,I$7:I$67)</f>
        <v>0</v>
      </c>
      <c r="T11" s="18">
        <f t="shared" si="0"/>
        <v>25</v>
      </c>
      <c r="U11" s="18">
        <f>SUMIF(A$7:A$68,N11,G$7:G$68)</f>
        <v>0</v>
      </c>
      <c r="V11" s="18">
        <f>SUMIF(A$7:A$68,N11,I$7:I$68)</f>
        <v>0</v>
      </c>
      <c r="X11" s="123">
        <f>X8/'Au Cal Leaching Tank'!$N$61</f>
        <v>1.408255530058409</v>
      </c>
      <c r="Y11" s="123">
        <f>Y8/'Au Cal Leaching Tank'!$N$61</f>
        <v>1.0389796355097596</v>
      </c>
      <c r="Z11" s="123">
        <f>Z8/'Au Cal Leaching Tank'!$N$61</f>
        <v>0.75106961603115152</v>
      </c>
      <c r="AA11" s="123">
        <f>AA8/'Au Cal Leaching Tank'!$N$61</f>
        <v>6.2589134669262622E-2</v>
      </c>
      <c r="AB11" s="123">
        <f>AB8/'Au Cal Leaching Tank'!$N$61</f>
        <v>0</v>
      </c>
      <c r="AC11" s="123">
        <f>AC8/'Au Cal Leaching Tank'!$N$61</f>
        <v>0</v>
      </c>
    </row>
    <row r="12" spans="1:42" x14ac:dyDescent="0.3">
      <c r="A12" s="19">
        <v>46266</v>
      </c>
      <c r="B12" s="16" t="s">
        <v>13</v>
      </c>
      <c r="C12" s="425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/>
      <c r="O12" s="18"/>
      <c r="P12" s="18"/>
      <c r="Q12" s="18"/>
      <c r="R12" s="18"/>
      <c r="S12" s="18"/>
      <c r="T12" s="18">
        <f t="shared" si="0"/>
        <v>0</v>
      </c>
      <c r="U12" s="18"/>
      <c r="V12" s="18"/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</row>
    <row r="13" spans="1:42" x14ac:dyDescent="0.3">
      <c r="A13" s="19">
        <v>46267</v>
      </c>
      <c r="B13" s="16" t="s">
        <v>12</v>
      </c>
      <c r="C13" s="425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46267</v>
      </c>
      <c r="O13" s="18">
        <v>275</v>
      </c>
      <c r="P13" s="18">
        <f>SUMIF(A$7:A$52,N13,E$7:E$52)+SUMIF(A$7:A$52,N13,J$7:J$52)</f>
        <v>500</v>
      </c>
      <c r="Q13" s="18">
        <f>SUMIF(A$7:A$52,N13,F$7:F$52)</f>
        <v>1000</v>
      </c>
      <c r="R13" s="18">
        <f>SUMIF(A$7:A$67,N13,H$7:H$68)</f>
        <v>0</v>
      </c>
      <c r="S13" s="18">
        <f>SUMIF(A$7:A$67,N13,I$7:I$67)</f>
        <v>0</v>
      </c>
      <c r="T13" s="18">
        <f t="shared" si="0"/>
        <v>25</v>
      </c>
      <c r="U13" s="18">
        <f>SUMIF(A$7:A$68,N13,G$7:G$68)</f>
        <v>0</v>
      </c>
      <c r="V13" s="18">
        <f>SUMIF(A$7:A$68,N13,I$7:I$68)</f>
        <v>0</v>
      </c>
      <c r="X13" s="218"/>
      <c r="Y13" s="218"/>
      <c r="Z13" s="218"/>
      <c r="AA13" s="218"/>
      <c r="AB13" s="218"/>
      <c r="AC13" s="218"/>
    </row>
    <row r="14" spans="1:42" x14ac:dyDescent="0.3">
      <c r="A14" s="19">
        <v>46267</v>
      </c>
      <c r="B14" s="16" t="s">
        <v>13</v>
      </c>
      <c r="C14" s="425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/>
      <c r="O14" s="18"/>
      <c r="P14" s="18"/>
      <c r="Q14" s="18"/>
      <c r="R14" s="18"/>
      <c r="S14" s="18"/>
      <c r="T14" s="18">
        <f t="shared" si="0"/>
        <v>0</v>
      </c>
      <c r="U14" s="18"/>
      <c r="V14" s="18"/>
      <c r="X14" s="429"/>
      <c r="Y14" s="429"/>
      <c r="Z14" s="429"/>
      <c r="AA14" s="429"/>
      <c r="AB14" s="429"/>
      <c r="AC14" s="429"/>
    </row>
    <row r="15" spans="1:42" x14ac:dyDescent="0.3">
      <c r="A15" s="19">
        <v>46268</v>
      </c>
      <c r="B15" s="16" t="s">
        <v>12</v>
      </c>
      <c r="C15" s="425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46268</v>
      </c>
      <c r="O15" s="18">
        <f>SUMIF(A$7:A$52,N15,D$7:D$52)+SUMIF(A$7:A$52,N15,G$7:G$52)</f>
        <v>100</v>
      </c>
      <c r="P15" s="18">
        <f>SUMIF(A$7:A$52,N15,E$7:E$52)+SUMIF(A$7:A$52,N15,J$7:J$52)</f>
        <v>250</v>
      </c>
      <c r="Q15" s="18">
        <f>SUMIF(A$7:A$52,N15,F$7:F$52)</f>
        <v>0</v>
      </c>
      <c r="R15" s="18">
        <f>SUMIF(A$7:A$67,N15,H$7:H$68)</f>
        <v>0</v>
      </c>
      <c r="S15" s="18">
        <f>SUMIF(A$7:A$67,N15,I$7:I$67)</f>
        <v>0</v>
      </c>
      <c r="T15" s="18">
        <f t="shared" si="0"/>
        <v>0</v>
      </c>
      <c r="U15" s="18">
        <f>SUMIF(A$7:A$68,N15,G$7:G$68)</f>
        <v>0</v>
      </c>
      <c r="V15" s="18">
        <f>SUMIF(A$7:A$68,N15,I$7:I$68)</f>
        <v>0</v>
      </c>
    </row>
    <row r="16" spans="1:42" x14ac:dyDescent="0.3">
      <c r="A16" s="19">
        <v>46269</v>
      </c>
      <c r="B16" s="16" t="s">
        <v>12</v>
      </c>
      <c r="C16" s="457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46269</v>
      </c>
      <c r="O16" s="18">
        <f>SUMIF(A$7:A$52,N16,D$7:D$52)+SUMIF(A$7:A$52,N16,G$7:G$52)</f>
        <v>0</v>
      </c>
      <c r="P16" s="18">
        <f>SUMIF(A$7:A$52,N16,E$7:E$52)+SUMIF(A$7:A$52,N16,J$7:J$52)</f>
        <v>0</v>
      </c>
      <c r="Q16" s="18">
        <f>SUMIF(A$7:A$52,N16,F$7:F$52)</f>
        <v>0</v>
      </c>
      <c r="R16" s="18">
        <f>SUMIF(A$7:A$67,N16,H$7:H$68)</f>
        <v>0</v>
      </c>
      <c r="S16" s="18">
        <f>SUMIF(A$7:A$67,N16,I$7:I$67)</f>
        <v>0</v>
      </c>
      <c r="T16" s="18">
        <f t="shared" si="0"/>
        <v>25</v>
      </c>
      <c r="U16" s="18">
        <f>SUMIF(A$7:A$68,N16,G$7:G$68)</f>
        <v>0</v>
      </c>
      <c r="V16" s="18">
        <f>SUMIF(A$7:A$68,N16,I$7:I$68)</f>
        <v>0</v>
      </c>
      <c r="Y16" s="681">
        <f>1200000</f>
        <v>1200000</v>
      </c>
      <c r="Z16" s="681">
        <f>1700000</f>
        <v>1700000</v>
      </c>
    </row>
    <row r="17" spans="1:29" x14ac:dyDescent="0.3">
      <c r="A17" s="19">
        <v>46270</v>
      </c>
      <c r="B17" s="16" t="s">
        <v>13</v>
      </c>
      <c r="C17" s="440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46270</v>
      </c>
      <c r="O17" s="18">
        <f>SUMIF(A$7:A$52,N17,D$7:D$52)+SUMIF(A$7:A$52,N17,G$7:G$52)</f>
        <v>100</v>
      </c>
      <c r="P17" s="18">
        <f>SUMIF(A$7:A$52,N17,E$7:E$52)+SUMIF(A$7:A$52,N17,J$7:J$52)</f>
        <v>0</v>
      </c>
      <c r="Q17" s="18">
        <f>SUMIF(A$7:A$52,N17,F$7:F$52)</f>
        <v>0</v>
      </c>
      <c r="R17" s="18">
        <f>SUMIF(A$7:A$67,N17,H$7:H$68)</f>
        <v>0</v>
      </c>
      <c r="S17" s="18">
        <f>SUMIF(A$7:A$67,N17,I$7:I$67)</f>
        <v>0</v>
      </c>
      <c r="T17" s="18">
        <f t="shared" si="0"/>
        <v>0</v>
      </c>
      <c r="U17" s="18">
        <f>SUMIF(A$7:A$68,N17,G$7:G$68)</f>
        <v>0</v>
      </c>
      <c r="V17" s="18">
        <f>SUMIF(A$7:A$68,N17,I$7:I$68)</f>
        <v>0</v>
      </c>
      <c r="Y17" s="681">
        <f>Y16/25</f>
        <v>48000</v>
      </c>
      <c r="Z17" s="681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4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46271</v>
      </c>
      <c r="O18" s="18">
        <f>SUMIF(A$7:A$52,N18,D$7:D$52)+SUMIF(A$7:A$52,N18,G$7:G$52)</f>
        <v>175</v>
      </c>
      <c r="P18" s="18">
        <f>SUMIF(A$7:A$52,N18,E$7:E$52)+SUMIF(A$7:A$52,N18,J$7:J$52)</f>
        <v>500</v>
      </c>
      <c r="Q18" s="18">
        <f>SUMIF(A$7:A$52,N18,F$7:F$52)</f>
        <v>0</v>
      </c>
      <c r="R18" s="18">
        <f>SUMIF(A$7:A$67,N18,H$7:H$68)</f>
        <v>0</v>
      </c>
      <c r="S18" s="18">
        <f>SUMIF(A$7:A$67,N18,I$7:I$67)</f>
        <v>0</v>
      </c>
      <c r="T18" s="18">
        <f t="shared" si="0"/>
        <v>0</v>
      </c>
      <c r="U18" s="18">
        <f>SUMIF(A$7:A$68,N18,G$7:G$68)</f>
        <v>0</v>
      </c>
      <c r="V18" s="18">
        <f>SUMIF(A$7:A$68,N18,I$7:I$68)</f>
        <v>0</v>
      </c>
    </row>
    <row r="19" spans="1:29" x14ac:dyDescent="0.3">
      <c r="A19" s="19">
        <v>46272</v>
      </c>
      <c r="B19" s="16" t="s">
        <v>12</v>
      </c>
      <c r="C19" s="444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46272</v>
      </c>
      <c r="O19" s="18">
        <f>SUMIF(A$7:A$52,N19,D$7:D$52)+SUMIF(A$7:A$52,N19,G$7:G$52)</f>
        <v>300</v>
      </c>
      <c r="P19" s="18">
        <f t="shared" ref="P19:P33" si="2">SUMIF(A$7:A$68,N19,E$7:E$68)+SUMIF(A$7:A$68,N19,J$7:J$68)</f>
        <v>750</v>
      </c>
      <c r="Q19" s="18">
        <f>SUMIF(A$7:A$52,N19,F$7:F$52)</f>
        <v>0</v>
      </c>
      <c r="R19" s="18">
        <f>SUMIF(A$7:A$67,N19,H$7:H$68)</f>
        <v>0</v>
      </c>
      <c r="S19" s="18">
        <f>SUMIF(A$7:A$67,N19,I$7:I$67)</f>
        <v>0</v>
      </c>
      <c r="T19" s="18">
        <f t="shared" si="0"/>
        <v>0</v>
      </c>
      <c r="U19" s="18">
        <f>SUMIF(A$7:A$68,N19,G$7:G$68)</f>
        <v>0</v>
      </c>
      <c r="V19" s="18">
        <f>SUMIF(A$7:A$68,N19,I$7:I$68)</f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/>
      <c r="O20" s="18"/>
      <c r="P20" s="18">
        <f t="shared" si="2"/>
        <v>0</v>
      </c>
      <c r="Q20" s="18"/>
      <c r="R20" s="18"/>
      <c r="S20" s="18"/>
      <c r="T20" s="18">
        <f t="shared" si="0"/>
        <v>0</v>
      </c>
      <c r="U20" s="18"/>
      <c r="V20" s="18"/>
      <c r="X20" s="1192" t="s">
        <v>578</v>
      </c>
      <c r="Y20" s="1192"/>
      <c r="Z20" s="1192"/>
      <c r="AA20" s="1192"/>
      <c r="AB20" s="1192"/>
      <c r="AC20" s="119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46273</v>
      </c>
      <c r="O21" s="18">
        <f>SUMIF(A$7:A$52,N21,D$7:D$52)+SUMIF(A$7:A$52,N21,G$7:G$52)</f>
        <v>175</v>
      </c>
      <c r="P21" s="18">
        <f t="shared" si="2"/>
        <v>0</v>
      </c>
      <c r="Q21" s="18">
        <f>SUMIF(A$7:A$52,N21,F$7:F$52)</f>
        <v>0</v>
      </c>
      <c r="R21" s="18">
        <f>SUMIF(A$7:A$67,N21,H$7:H$68)</f>
        <v>0</v>
      </c>
      <c r="S21" s="18">
        <f>SUMIF(A$7:A$67,N21,I$7:I$67)</f>
        <v>0</v>
      </c>
      <c r="T21" s="18">
        <f t="shared" si="0"/>
        <v>0</v>
      </c>
      <c r="U21" s="18">
        <f>SUMIF(A$7:A$68,N21,G$7:G$68)</f>
        <v>0</v>
      </c>
      <c r="V21" s="18">
        <f>SUMIF(A$7:A$68,N21,I$7:I$68)</f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46274</v>
      </c>
      <c r="O22" s="18">
        <f>SUMIF(A$7:A$52,N22,D$7:D$52)+SUMIF(A$7:A$52,N22,G$7:G$52)</f>
        <v>175</v>
      </c>
      <c r="P22" s="18">
        <f t="shared" si="2"/>
        <v>0</v>
      </c>
      <c r="Q22" s="18">
        <f>SUMIF(A$7:A$52,N22,F$7:F$52)</f>
        <v>0</v>
      </c>
      <c r="R22" s="18">
        <f>SUMIF(A$7:A$67,N22,H$7:H$68)</f>
        <v>0</v>
      </c>
      <c r="S22" s="18">
        <f>SUMIF(A$7:A$67,N22,I$7:I$67)</f>
        <v>0</v>
      </c>
      <c r="T22" s="18">
        <f t="shared" si="0"/>
        <v>0</v>
      </c>
      <c r="U22" s="18">
        <f>SUMIF(A$7:A$68,N22,G$7:G$68)</f>
        <v>0</v>
      </c>
      <c r="V22" s="18">
        <f>SUMIF(A$7:A$68,N22,I$7:I$68)</f>
        <v>0</v>
      </c>
      <c r="X22" s="681">
        <v>68000</v>
      </c>
      <c r="Y22" s="681">
        <v>2300</v>
      </c>
      <c r="Z22" s="681">
        <v>44000</v>
      </c>
      <c r="AA22" s="681">
        <v>30000</v>
      </c>
      <c r="AB22" s="681">
        <v>28000</v>
      </c>
      <c r="AC22" s="681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/>
      <c r="O23" s="18"/>
      <c r="P23" s="18">
        <f t="shared" si="2"/>
        <v>0</v>
      </c>
      <c r="Q23" s="18"/>
      <c r="R23" s="18"/>
      <c r="S23" s="18"/>
      <c r="T23" s="18">
        <f t="shared" si="0"/>
        <v>0</v>
      </c>
      <c r="U23" s="18"/>
      <c r="V23" s="18"/>
    </row>
    <row r="24" spans="1:29" x14ac:dyDescent="0.3">
      <c r="A24" s="19">
        <v>46275</v>
      </c>
      <c r="B24" s="16" t="s">
        <v>12</v>
      </c>
      <c r="C24" s="457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46275</v>
      </c>
      <c r="O24" s="18">
        <f>SUMIF(A$7:A$68,N24,D$7:D$68)+SUMIF(A$7:A$52,N24,G$7:G$68)</f>
        <v>300</v>
      </c>
      <c r="P24" s="18">
        <f t="shared" si="2"/>
        <v>0</v>
      </c>
      <c r="Q24" s="18">
        <f>SUMIF(A$7:A$52,N24,F$7:F$52)</f>
        <v>500</v>
      </c>
      <c r="R24" s="18">
        <f>SUMIF(A$7:A$67,N24,H$7:H$68)</f>
        <v>0</v>
      </c>
      <c r="S24" s="18">
        <f>SUMIF(A$7:A$67,N24,I$7:I$67)</f>
        <v>0</v>
      </c>
      <c r="T24" s="18">
        <f t="shared" si="0"/>
        <v>0</v>
      </c>
      <c r="U24" s="18">
        <f>SUMIF(A$7:A$68,N24,G$7:G$68)</f>
        <v>0</v>
      </c>
      <c r="V24" s="18">
        <f>SUMIF(A$7:A$68,N24,I$7:I$68)</f>
        <v>0</v>
      </c>
      <c r="X24" s="1213" t="s">
        <v>577</v>
      </c>
      <c r="Y24" s="1213"/>
      <c r="Z24" s="1213"/>
      <c r="AA24" s="1213"/>
      <c r="AB24" s="1213"/>
      <c r="AC24" s="1213"/>
    </row>
    <row r="25" spans="1:29" x14ac:dyDescent="0.3">
      <c r="A25" s="19">
        <v>46275</v>
      </c>
      <c r="B25" s="16" t="s">
        <v>13</v>
      </c>
      <c r="C25" s="458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/>
      <c r="O25" s="18"/>
      <c r="P25" s="18">
        <f t="shared" si="2"/>
        <v>0</v>
      </c>
      <c r="Q25" s="18"/>
      <c r="R25" s="18"/>
      <c r="S25" s="18"/>
      <c r="T25" s="18">
        <f t="shared" si="0"/>
        <v>0</v>
      </c>
      <c r="U25" s="18"/>
      <c r="V25" s="18"/>
      <c r="X25" s="682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80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46276</v>
      </c>
      <c r="O26" s="18">
        <f t="shared" ref="O26:O33" si="3">SUMIF(A$7:A$52,N26,D$7:D$52)+SUMIF(A$7:A$52,N26,G$7:G$52)</f>
        <v>200</v>
      </c>
      <c r="P26" s="18">
        <f t="shared" si="2"/>
        <v>0</v>
      </c>
      <c r="Q26" s="18">
        <f t="shared" ref="Q26:Q33" si="4">SUMIF(A$7:A$52,N26,F$7:F$52)</f>
        <v>500</v>
      </c>
      <c r="R26" s="18">
        <f t="shared" ref="R26:R33" si="5">SUMIF(A$7:A$67,N26,H$7:H$68)</f>
        <v>0</v>
      </c>
      <c r="S26" s="18">
        <f t="shared" ref="S26:S33" si="6">SUMIF(A$7:A$67,N26,I$7:I$67)</f>
        <v>0</v>
      </c>
      <c r="T26" s="18">
        <f t="shared" si="0"/>
        <v>50</v>
      </c>
      <c r="U26" s="18">
        <f t="shared" ref="U26:U33" si="7">SUMIF(A$7:A$68,N26,G$7:G$68)</f>
        <v>0</v>
      </c>
      <c r="V26" s="18">
        <f t="shared" ref="V26:V33" si="8">SUMIF(A$7:A$68,N26,I$7:I$68)</f>
        <v>0</v>
      </c>
      <c r="X26" s="683">
        <f>X22*X8</f>
        <v>382500000</v>
      </c>
      <c r="Y26" s="683">
        <f t="shared" ref="Y26:AC26" si="9">Y22*Y8</f>
        <v>9545000</v>
      </c>
      <c r="Z26" s="683">
        <f>Z22*Z8</f>
        <v>132000000</v>
      </c>
      <c r="AA26" s="683">
        <f>AA22*AA8</f>
        <v>7500000</v>
      </c>
      <c r="AB26" s="683">
        <f t="shared" si="9"/>
        <v>0</v>
      </c>
      <c r="AC26" s="683">
        <f t="shared" si="9"/>
        <v>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46277</v>
      </c>
      <c r="O27" s="18">
        <f t="shared" si="3"/>
        <v>100</v>
      </c>
      <c r="P27" s="18">
        <f t="shared" si="2"/>
        <v>0</v>
      </c>
      <c r="Q27" s="18">
        <f t="shared" si="4"/>
        <v>0</v>
      </c>
      <c r="R27" s="18">
        <f t="shared" si="5"/>
        <v>0</v>
      </c>
      <c r="S27" s="18">
        <f t="shared" si="6"/>
        <v>0</v>
      </c>
      <c r="T27" s="18">
        <f t="shared" si="0"/>
        <v>0</v>
      </c>
      <c r="U27" s="18">
        <f t="shared" si="7"/>
        <v>0</v>
      </c>
      <c r="V27" s="18">
        <f t="shared" si="8"/>
        <v>0</v>
      </c>
      <c r="X27" s="1214" t="s">
        <v>577</v>
      </c>
      <c r="Y27" s="1215"/>
      <c r="Z27" s="1216">
        <f>SUM(X26:AC26)</f>
        <v>531545000</v>
      </c>
      <c r="AA27" s="1215"/>
      <c r="AB27" s="1215"/>
      <c r="AC27" s="1217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46278</v>
      </c>
      <c r="O28" s="18">
        <f t="shared" si="3"/>
        <v>225</v>
      </c>
      <c r="P28" s="18">
        <f t="shared" si="2"/>
        <v>0</v>
      </c>
      <c r="Q28" s="18">
        <f t="shared" si="4"/>
        <v>0</v>
      </c>
      <c r="R28" s="18">
        <f t="shared" si="5"/>
        <v>0</v>
      </c>
      <c r="S28" s="18">
        <f t="shared" si="6"/>
        <v>0</v>
      </c>
      <c r="T28" s="18">
        <f t="shared" si="0"/>
        <v>25</v>
      </c>
      <c r="U28" s="18">
        <f t="shared" si="7"/>
        <v>0</v>
      </c>
      <c r="V28" s="18">
        <f t="shared" si="8"/>
        <v>0</v>
      </c>
      <c r="X28" s="684">
        <f>X26/$Z$27</f>
        <v>0.71960041012520104</v>
      </c>
      <c r="Y28" s="685">
        <f t="shared" ref="Y28:AC28" si="10">Y26/$Z$27</f>
        <v>1.7957087358549135E-2</v>
      </c>
      <c r="Z28" s="685">
        <f t="shared" si="10"/>
        <v>0.24833269055301058</v>
      </c>
      <c r="AA28" s="685">
        <f t="shared" si="10"/>
        <v>1.4109811963239237E-2</v>
      </c>
      <c r="AB28" s="685">
        <f t="shared" si="10"/>
        <v>0</v>
      </c>
      <c r="AC28" s="686">
        <f t="shared" si="10"/>
        <v>0</v>
      </c>
    </row>
    <row r="29" spans="1:29" x14ac:dyDescent="0.3">
      <c r="A29" s="19">
        <v>46279</v>
      </c>
      <c r="B29" s="16" t="s">
        <v>13</v>
      </c>
      <c r="C29" s="833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46279</v>
      </c>
      <c r="O29" s="18">
        <f t="shared" si="3"/>
        <v>125</v>
      </c>
      <c r="P29" s="18">
        <f t="shared" si="2"/>
        <v>0</v>
      </c>
      <c r="Q29" s="18">
        <f t="shared" si="4"/>
        <v>0</v>
      </c>
      <c r="R29" s="18">
        <f t="shared" si="5"/>
        <v>0</v>
      </c>
      <c r="S29" s="18">
        <f t="shared" si="6"/>
        <v>0</v>
      </c>
      <c r="T29" s="18">
        <f t="shared" si="0"/>
        <v>0</v>
      </c>
      <c r="U29" s="18">
        <f t="shared" si="7"/>
        <v>0</v>
      </c>
      <c r="V29" s="18">
        <f t="shared" si="8"/>
        <v>0</v>
      </c>
    </row>
    <row r="30" spans="1:29" x14ac:dyDescent="0.3">
      <c r="A30" s="19">
        <v>46280</v>
      </c>
      <c r="B30" s="16" t="s">
        <v>12</v>
      </c>
      <c r="C30" s="833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46280</v>
      </c>
      <c r="O30" s="18">
        <f t="shared" si="3"/>
        <v>375</v>
      </c>
      <c r="P30" s="18">
        <f t="shared" si="2"/>
        <v>0</v>
      </c>
      <c r="Q30" s="18">
        <f t="shared" si="4"/>
        <v>0</v>
      </c>
      <c r="R30" s="18">
        <f t="shared" si="5"/>
        <v>0</v>
      </c>
      <c r="S30" s="18">
        <f t="shared" si="6"/>
        <v>0</v>
      </c>
      <c r="T30" s="18">
        <f t="shared" si="0"/>
        <v>25</v>
      </c>
      <c r="U30" s="18">
        <f t="shared" si="7"/>
        <v>0</v>
      </c>
      <c r="V30" s="18">
        <f t="shared" si="8"/>
        <v>0</v>
      </c>
    </row>
    <row r="31" spans="1:29" x14ac:dyDescent="0.3">
      <c r="A31" s="19">
        <v>46280</v>
      </c>
      <c r="B31" s="16" t="s">
        <v>13</v>
      </c>
      <c r="C31" s="833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46281</v>
      </c>
      <c r="O31" s="18">
        <f t="shared" si="3"/>
        <v>200</v>
      </c>
      <c r="P31" s="18">
        <f t="shared" si="2"/>
        <v>0</v>
      </c>
      <c r="Q31" s="18">
        <f t="shared" si="4"/>
        <v>0</v>
      </c>
      <c r="R31" s="18">
        <f t="shared" si="5"/>
        <v>0</v>
      </c>
      <c r="S31" s="18">
        <f t="shared" si="6"/>
        <v>0</v>
      </c>
      <c r="T31" s="18">
        <f t="shared" si="0"/>
        <v>0</v>
      </c>
      <c r="U31" s="18">
        <f t="shared" si="7"/>
        <v>0</v>
      </c>
      <c r="V31" s="18">
        <f t="shared" si="8"/>
        <v>0</v>
      </c>
    </row>
    <row r="32" spans="1:29" x14ac:dyDescent="0.3">
      <c r="A32" s="19">
        <v>46281</v>
      </c>
      <c r="B32" s="16" t="s">
        <v>12</v>
      </c>
      <c r="C32" s="869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46282</v>
      </c>
      <c r="O32" s="18">
        <f t="shared" si="3"/>
        <v>250</v>
      </c>
      <c r="P32" s="18">
        <f t="shared" si="2"/>
        <v>0</v>
      </c>
      <c r="Q32" s="18">
        <f t="shared" si="4"/>
        <v>0</v>
      </c>
      <c r="R32" s="18">
        <f t="shared" si="5"/>
        <v>0</v>
      </c>
      <c r="S32" s="18">
        <f t="shared" si="6"/>
        <v>0</v>
      </c>
      <c r="T32" s="18">
        <f t="shared" si="0"/>
        <v>0</v>
      </c>
      <c r="U32" s="18">
        <f t="shared" si="7"/>
        <v>0</v>
      </c>
      <c r="V32" s="18">
        <f t="shared" si="8"/>
        <v>0</v>
      </c>
    </row>
    <row r="33" spans="1:22" x14ac:dyDescent="0.3">
      <c r="A33" s="19">
        <v>46281</v>
      </c>
      <c r="B33" s="16" t="s">
        <v>13</v>
      </c>
      <c r="C33" s="833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46283</v>
      </c>
      <c r="O33" s="18">
        <f t="shared" si="3"/>
        <v>275</v>
      </c>
      <c r="P33" s="18">
        <f t="shared" si="2"/>
        <v>325</v>
      </c>
      <c r="Q33" s="18">
        <f t="shared" si="4"/>
        <v>0</v>
      </c>
      <c r="R33" s="18">
        <f t="shared" si="5"/>
        <v>0</v>
      </c>
      <c r="S33" s="18">
        <f t="shared" si="6"/>
        <v>0</v>
      </c>
      <c r="T33" s="18">
        <f t="shared" si="0"/>
        <v>25</v>
      </c>
      <c r="U33" s="18">
        <f t="shared" si="7"/>
        <v>0</v>
      </c>
      <c r="V33" s="18">
        <f t="shared" si="8"/>
        <v>0</v>
      </c>
    </row>
    <row r="34" spans="1:22" x14ac:dyDescent="0.3">
      <c r="A34" s="19">
        <v>46282</v>
      </c>
      <c r="B34" s="16" t="s">
        <v>12</v>
      </c>
      <c r="C34" s="833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/>
      <c r="O34" s="18"/>
      <c r="P34" s="18"/>
      <c r="Q34" s="18"/>
      <c r="R34" s="18"/>
      <c r="S34" s="18"/>
      <c r="T34" s="18"/>
      <c r="U34" s="18"/>
      <c r="V34" s="18"/>
    </row>
    <row r="35" spans="1:22" x14ac:dyDescent="0.3">
      <c r="A35" s="19">
        <v>46282</v>
      </c>
      <c r="B35" s="16" t="s">
        <v>13</v>
      </c>
      <c r="C35" s="833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/>
      <c r="O35" s="18"/>
      <c r="P35" s="18"/>
      <c r="Q35" s="18"/>
      <c r="R35" s="18"/>
      <c r="S35" s="18"/>
      <c r="T35" s="18"/>
      <c r="U35" s="18"/>
      <c r="V35" s="18"/>
    </row>
    <row r="36" spans="1:22" x14ac:dyDescent="0.3">
      <c r="A36" s="19">
        <v>46283</v>
      </c>
      <c r="B36" s="16" t="s">
        <v>12</v>
      </c>
      <c r="C36" s="833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/>
      <c r="O36" s="18"/>
      <c r="P36" s="18"/>
      <c r="Q36" s="18"/>
      <c r="R36" s="18"/>
      <c r="S36" s="18"/>
      <c r="T36" s="18"/>
      <c r="U36" s="18"/>
      <c r="V36" s="18"/>
    </row>
    <row r="37" spans="1:22" x14ac:dyDescent="0.3">
      <c r="A37" s="19">
        <v>46283</v>
      </c>
      <c r="B37" s="16" t="s">
        <v>13</v>
      </c>
      <c r="C37" s="833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/>
      <c r="O37" s="18"/>
      <c r="P37" s="18"/>
      <c r="Q37" s="18"/>
      <c r="R37" s="18"/>
      <c r="S37" s="18"/>
      <c r="T37" s="18"/>
      <c r="U37" s="18"/>
      <c r="V37" s="18"/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46284</v>
      </c>
      <c r="O38" s="18">
        <f>SUMIF(A$7:A$52,N38,D$7:D$52)+SUMIF(A$7:A$52,N38,G$7:G$52)</f>
        <v>0</v>
      </c>
      <c r="P38" s="18">
        <f>SUMIF(A$7:A$68,N38,E$7:E$68)+SUMIF(A$7:A$68,N38,J$7:J$68)</f>
        <v>0</v>
      </c>
      <c r="Q38" s="18">
        <f>SUMIF(A$7:A$52,N38,F$7:F$52)</f>
        <v>0</v>
      </c>
      <c r="R38" s="18">
        <f>SUMIF(A$7:A$67,N38,H$7:H$68)</f>
        <v>0</v>
      </c>
      <c r="S38" s="18">
        <f>SUMIF(A$7:A$67,N38,I$7:I$67)</f>
        <v>0</v>
      </c>
      <c r="T38" s="18">
        <f>SUMIF(A$7:A$68,N38,K$7:K$68)</f>
        <v>0</v>
      </c>
      <c r="U38" s="18">
        <f>SUMIF(A$7:A$68,N38,G$7:G$68)</f>
        <v>0</v>
      </c>
      <c r="V38" s="18">
        <f>SUMIF(A$7:A$68,N38,I$7:I$68)</f>
        <v>0</v>
      </c>
    </row>
    <row r="39" spans="1:22" x14ac:dyDescent="0.3">
      <c r="A39" s="19">
        <v>46285</v>
      </c>
      <c r="B39" s="16" t="s">
        <v>12</v>
      </c>
      <c r="C39" s="1077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46285</v>
      </c>
      <c r="O39" s="18">
        <f>SUMIF(A$7:A$52,N39,D$7:D$52)+SUMIF(A$7:A$52,N39,G$7:G$52)</f>
        <v>0</v>
      </c>
      <c r="P39" s="18">
        <f>SUMIF(A$7:A$68,N39,E$7:E$68)+SUMIF(A$7:A$68,N39,J$7:J$68)</f>
        <v>0</v>
      </c>
      <c r="Q39" s="18">
        <f>SUMIF(A$7:A$52,N39,F$7:F$52)</f>
        <v>0</v>
      </c>
      <c r="R39" s="18">
        <f>SUMIF(A$7:A$67,N39,H$7:H$68)</f>
        <v>0</v>
      </c>
      <c r="S39" s="18">
        <f>SUMIF(A$7:A$67,N39,I$7:I$67)</f>
        <v>0</v>
      </c>
      <c r="T39" s="18">
        <f>SUMIF(A$7:A$68,N39,K$7:K$68)</f>
        <v>0</v>
      </c>
      <c r="U39" s="18">
        <f>SUMIF(A$7:A$68,N39,G$7:G$68)</f>
        <v>0</v>
      </c>
      <c r="V39" s="18">
        <f>SUMIF(A$7:A$68,N39,I$7:I$68)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/>
      <c r="O40" s="18"/>
      <c r="P40" s="18"/>
      <c r="Q40" s="18"/>
      <c r="R40" s="18"/>
      <c r="S40" s="18"/>
      <c r="T40" s="18"/>
      <c r="U40" s="18"/>
      <c r="V40" s="18"/>
    </row>
    <row r="41" spans="1:22" x14ac:dyDescent="0.3">
      <c r="A41" s="19">
        <v>46286</v>
      </c>
      <c r="B41" s="16" t="s">
        <v>12</v>
      </c>
      <c r="C41" s="1093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46286</v>
      </c>
      <c r="O41" s="18">
        <f>SUMIF(A$7:A$52,N41,D$7:D$52)+SUMIF(A$7:A$52,N41,G$7:G$52)</f>
        <v>175</v>
      </c>
      <c r="P41" s="18">
        <f>SUMIF(A$7:A$68,N41,E$7:E$68)+SUMIF(A$7:A$68,N41,J$7:J$68)</f>
        <v>0</v>
      </c>
      <c r="Q41" s="18">
        <f>SUMIF(A$7:A$52,N41,F$7:F$52)</f>
        <v>0</v>
      </c>
      <c r="R41" s="18">
        <f>SUMIF(A$7:A$67,N41,H$7:H$68)</f>
        <v>0</v>
      </c>
      <c r="S41" s="18">
        <f>SUMIF(A$7:A$67,N41,I$7:I$67)</f>
        <v>0</v>
      </c>
      <c r="T41" s="18">
        <f>SUMIF(A$7:A$68,N41,K$7:K$68)</f>
        <v>0</v>
      </c>
      <c r="U41" s="18">
        <f>SUMIF(A$7:A$68,N41,G$7:G$68)</f>
        <v>0</v>
      </c>
      <c r="V41" s="18">
        <f>SUMIF(A$7:A$68,N41,I$7:I$68)</f>
        <v>0</v>
      </c>
    </row>
    <row r="42" spans="1:22" x14ac:dyDescent="0.3">
      <c r="A42" s="19">
        <v>46286</v>
      </c>
      <c r="B42" s="16" t="s">
        <v>13</v>
      </c>
      <c r="C42" s="1093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/>
      <c r="O42" s="18"/>
      <c r="P42" s="18"/>
      <c r="Q42" s="18"/>
      <c r="R42" s="18"/>
      <c r="S42" s="18"/>
      <c r="T42" s="18"/>
      <c r="U42" s="18"/>
      <c r="V42" s="18"/>
    </row>
    <row r="43" spans="1:22" x14ac:dyDescent="0.3">
      <c r="A43" s="19">
        <v>46287</v>
      </c>
      <c r="B43" s="16" t="s">
        <v>12</v>
      </c>
      <c r="C43" s="1093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46287</v>
      </c>
      <c r="O43" s="18">
        <f>SUMIF(A$7:A$52,N43,D$7:D$52)+SUMIF(A$7:A$52,N43,G$7:G$52)</f>
        <v>250</v>
      </c>
      <c r="P43" s="18">
        <f>SUMIF(A$7:A$68,N43,E$7:E$68)+SUMIF(A$7:A$68,N43,J$7:J$68)</f>
        <v>0</v>
      </c>
      <c r="Q43" s="18">
        <f>SUMIF(A$7:A$52,N43,F$7:F$52)</f>
        <v>0</v>
      </c>
      <c r="R43" s="18">
        <f>SUMIF(A$7:A$67,N43,H$7:H$68)</f>
        <v>0</v>
      </c>
      <c r="S43" s="18">
        <f>SUMIF(A$7:A$67,N43,I$7:I$67)</f>
        <v>0</v>
      </c>
      <c r="T43" s="18">
        <f>SUMIF(A$7:A$68,N43,K$7:K$68)</f>
        <v>50</v>
      </c>
      <c r="U43" s="18">
        <f>SUMIF(A$7:A$68,N43,G$7:G$68)</f>
        <v>0</v>
      </c>
      <c r="V43" s="18">
        <f>SUMIF(A$7:A$68,N43,I$7:I$68)</f>
        <v>0</v>
      </c>
    </row>
    <row r="44" spans="1:22" x14ac:dyDescent="0.3">
      <c r="A44" s="19">
        <v>46287</v>
      </c>
      <c r="B44" s="16" t="s">
        <v>13</v>
      </c>
      <c r="C44" s="1093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/>
      <c r="O44" s="18"/>
      <c r="P44" s="18"/>
      <c r="Q44" s="18"/>
      <c r="R44" s="18"/>
      <c r="S44" s="18"/>
      <c r="T44" s="18"/>
      <c r="U44" s="18"/>
      <c r="V44" s="18"/>
    </row>
    <row r="45" spans="1:22" x14ac:dyDescent="0.3">
      <c r="A45" s="19">
        <v>46288</v>
      </c>
      <c r="B45" s="16" t="s">
        <v>12</v>
      </c>
      <c r="C45" s="1110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46288</v>
      </c>
      <c r="O45" s="18">
        <f>SUMIF(A$7:A$52,N45,D$7:D$52)+SUMIF(A$7:A$52,N45,G$7:G$52)</f>
        <v>125</v>
      </c>
      <c r="P45" s="18">
        <f>SUMIF(A$7:A$68,N45,E$7:E$68)+SUMIF(A$7:A$68,N45,J$7:J$68)</f>
        <v>0</v>
      </c>
      <c r="Q45" s="18">
        <f>SUMIF(A$7:A$52,N45,F$7:F$52)</f>
        <v>0</v>
      </c>
      <c r="R45" s="18">
        <f>SUMIF(A$7:A$67,N45,H$7:H$68)</f>
        <v>0</v>
      </c>
      <c r="S45" s="18">
        <f>SUMIF(A$7:A$67,N45,I$7:I$67)</f>
        <v>0</v>
      </c>
      <c r="T45" s="18">
        <f>SUMIF(A$7:A$68,N45,K$7:K$68)</f>
        <v>0</v>
      </c>
      <c r="U45" s="18">
        <f>SUMIF(A$7:A$68,N45,G$7:G$68)</f>
        <v>0</v>
      </c>
      <c r="V45" s="18">
        <f>SUMIF(A$7:A$68,N45,I$7:I$68)</f>
        <v>0</v>
      </c>
    </row>
    <row r="46" spans="1:22" x14ac:dyDescent="0.3">
      <c r="A46" s="19">
        <v>46288</v>
      </c>
      <c r="B46" s="16" t="s">
        <v>13</v>
      </c>
      <c r="C46" s="1110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/>
      <c r="O46" s="18"/>
      <c r="P46" s="18"/>
      <c r="Q46" s="18"/>
      <c r="R46" s="18"/>
      <c r="S46" s="18"/>
      <c r="T46" s="18"/>
      <c r="U46" s="18"/>
      <c r="V46" s="18"/>
    </row>
    <row r="47" spans="1:22" x14ac:dyDescent="0.3">
      <c r="A47" s="19">
        <v>46289</v>
      </c>
      <c r="B47" s="16" t="s">
        <v>12</v>
      </c>
      <c r="C47" s="1111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/>
      <c r="L47" s="6"/>
      <c r="N47" s="17">
        <v>46289</v>
      </c>
      <c r="O47" s="18">
        <f>SUMIF(A$7:A$68,N47,D$7:D$68)+SUMIF(A$7:A$52,N47,G$7:G$68)</f>
        <v>675</v>
      </c>
      <c r="P47" s="18">
        <f>SUMIF(A$7:A$68,N47,E$7:E$68)+SUMIF(A$7:A$68,N47,J$7:J$68)</f>
        <v>325</v>
      </c>
      <c r="Q47" s="18">
        <f>SUMIF(A$7:A$52,N47,F$7:F$52)</f>
        <v>0</v>
      </c>
      <c r="R47" s="18">
        <f>SUMIF(A$7:A$67,N47,H$7:H$68)</f>
        <v>0</v>
      </c>
      <c r="S47" s="18">
        <f>SUMIF(A$7:A$67,N47,I$7:I$67)</f>
        <v>0</v>
      </c>
      <c r="T47" s="18">
        <f>SUMIF(A$7:A$68,N47,K$7:K$68)</f>
        <v>0</v>
      </c>
      <c r="U47" s="18">
        <f>SUMIF(A$7:A$68,N47,G$7:G$68)</f>
        <v>0</v>
      </c>
      <c r="V47" s="18">
        <f>SUMIF(A$7:A$68,N47,I$7:I$68)</f>
        <v>0</v>
      </c>
    </row>
    <row r="48" spans="1:22" x14ac:dyDescent="0.3">
      <c r="A48" s="19">
        <v>46289</v>
      </c>
      <c r="B48" s="16" t="s">
        <v>13</v>
      </c>
      <c r="C48" s="1111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/>
      <c r="O48" s="18"/>
      <c r="P48" s="18"/>
      <c r="Q48" s="18"/>
      <c r="R48" s="18"/>
      <c r="S48" s="18"/>
      <c r="T48" s="18"/>
      <c r="U48" s="18"/>
      <c r="V48" s="18"/>
    </row>
    <row r="49" spans="1:22" x14ac:dyDescent="0.3">
      <c r="A49" s="19">
        <v>46290</v>
      </c>
      <c r="B49" s="16" t="s">
        <v>12</v>
      </c>
      <c r="C49" s="1137" t="s">
        <v>508</v>
      </c>
      <c r="D49" s="13">
        <v>150</v>
      </c>
      <c r="E49" s="13"/>
      <c r="F49" s="6"/>
      <c r="G49" s="6"/>
      <c r="H49" s="5"/>
      <c r="I49" s="6"/>
      <c r="J49" s="6"/>
      <c r="K49" s="6"/>
      <c r="L49" s="66"/>
      <c r="N49" s="17">
        <v>46290</v>
      </c>
      <c r="O49" s="18">
        <f>SUMIF(A$7:A$68,N49,D$7:D$68)+SUMIF(A$7:A$52,N49,G$7:G$68)</f>
        <v>175</v>
      </c>
      <c r="P49" s="18">
        <f>SUMIF(A$7:A$68,N49,E$7:E$68)+SUMIF(A$7:A$68,N49,J$7:J$68)</f>
        <v>0</v>
      </c>
      <c r="Q49" s="18">
        <f>SUMIF(A$7:A$52,N49,F$7:F$52)</f>
        <v>0</v>
      </c>
      <c r="R49" s="18">
        <f>SUMIF(A$7:A$67,N49,H$7:H$68)</f>
        <v>0</v>
      </c>
      <c r="S49" s="18">
        <f>SUMIF(A$7:A$67,N49,I$7:I$67)</f>
        <v>0</v>
      </c>
      <c r="T49" s="18">
        <f>SUMIF(A$7:A$68,N49,K$7:K$68)</f>
        <v>0</v>
      </c>
      <c r="U49" s="18">
        <f>SUMIF(A$7:A$68,N49,G$7:G$68)</f>
        <v>0</v>
      </c>
      <c r="V49" s="18">
        <f>SUMIF(A$7:A$68,N49,I$7:I$68)</f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/>
      <c r="O50" s="18"/>
      <c r="P50" s="18"/>
      <c r="Q50" s="18"/>
      <c r="R50" s="18"/>
      <c r="S50" s="18"/>
      <c r="T50" s="18"/>
      <c r="U50" s="18"/>
      <c r="V50" s="18"/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46291</v>
      </c>
      <c r="O51" s="18">
        <f>SUMIF(A$7:A$68,N51,D$7:D$68)+SUMIF(A$7:A$52,N51,G$7:G$68)</f>
        <v>0</v>
      </c>
      <c r="P51" s="18">
        <f>SUMIF(A$7:A$68,N51,E$7:E$68)+SUMIF(A$7:A$68,N51,J$7:J$68)</f>
        <v>0</v>
      </c>
      <c r="Q51" s="18">
        <f t="shared" ref="Q51:Q67" si="11">SUMIF(A$7:A$52,N51,F$7:F$52)</f>
        <v>0</v>
      </c>
      <c r="R51" s="18">
        <f>SUMIF(A$7:A$67,N51,H$7:H$68)</f>
        <v>0</v>
      </c>
      <c r="S51" s="18">
        <f>SUMIF(A$7:A$67,N51,I$7:I$67)</f>
        <v>0</v>
      </c>
      <c r="T51" s="18">
        <f>SUMIF(A$7:A$68,N51,K$7:K$68)</f>
        <v>0</v>
      </c>
      <c r="U51" s="18">
        <f>SUMIF(A$7:A$68,N51,G$7:G$68)</f>
        <v>0</v>
      </c>
      <c r="V51" s="18">
        <f>SUMIF(A$7:A$68,N51,I$7:I$68)</f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46292</v>
      </c>
      <c r="O52" s="18">
        <f>SUMIF(A$7:A$68,N52,D$7:D$68)+SUMIF(A$7:A$52,N52,G$7:G$68)</f>
        <v>150</v>
      </c>
      <c r="P52" s="18">
        <f>SUMIF(A$7:A$68,N52,E$7:E$68)+SUMIF(A$7:A$68,N52,J$7:J$68)</f>
        <v>0</v>
      </c>
      <c r="Q52" s="18">
        <f t="shared" si="11"/>
        <v>0</v>
      </c>
      <c r="R52" s="18">
        <f>SUMIF(A$7:A$67,N52,H$7:H$68)</f>
        <v>0</v>
      </c>
      <c r="S52" s="18">
        <f>SUMIF(A$7:A$67,N52,I$7:I$67)</f>
        <v>0</v>
      </c>
      <c r="T52" s="18">
        <f>SUMIF(A$7:A$68,N52,K$7:K$68)</f>
        <v>0</v>
      </c>
      <c r="U52" s="18">
        <f>SUMIF(A$7:A$68,N52,G$7:G$68)</f>
        <v>0</v>
      </c>
      <c r="V52" s="18">
        <f>SUMIF(A$7:A$68,N52,I$7:I$68)</f>
        <v>0</v>
      </c>
    </row>
    <row r="53" spans="1:22" x14ac:dyDescent="0.3">
      <c r="A53" s="19">
        <v>46292</v>
      </c>
      <c r="B53" s="16" t="s">
        <v>13</v>
      </c>
      <c r="C53" s="1162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/>
      <c r="O53" s="18"/>
      <c r="P53" s="18"/>
      <c r="Q53" s="18"/>
      <c r="R53" s="18"/>
      <c r="S53" s="18"/>
      <c r="T53" s="18"/>
      <c r="U53" s="18"/>
      <c r="V53" s="18"/>
    </row>
    <row r="54" spans="1:22" x14ac:dyDescent="0.3">
      <c r="A54" s="19">
        <v>46293</v>
      </c>
      <c r="B54" s="16" t="s">
        <v>12</v>
      </c>
      <c r="C54" s="1178" t="s">
        <v>417</v>
      </c>
      <c r="D54" s="13">
        <v>75</v>
      </c>
      <c r="E54" s="13"/>
      <c r="F54" s="6"/>
      <c r="G54" s="6"/>
      <c r="H54" s="5"/>
      <c r="I54" s="6"/>
      <c r="J54" s="6"/>
      <c r="K54" s="6"/>
      <c r="L54" s="6"/>
      <c r="N54" s="17">
        <v>46293</v>
      </c>
      <c r="O54" s="18">
        <f>SUMIF(A$7:A$68,N54,D$7:D$68)+SUMIF(A$7:A$52,N54,G$7:G$68)</f>
        <v>175</v>
      </c>
      <c r="P54" s="18">
        <f>SUMIF(A$7:A$68,N54,E$7:E$68)+SUMIF(A$7:A$68,N54,J$7:J$68)</f>
        <v>0</v>
      </c>
      <c r="Q54" s="18">
        <f t="shared" si="11"/>
        <v>0</v>
      </c>
      <c r="R54" s="18">
        <f>SUMIF(A$7:A$67,N54,H$7:H$68)</f>
        <v>0</v>
      </c>
      <c r="S54" s="18">
        <f>SUMIF(A$7:A$67,N54,I$7:I$67)</f>
        <v>0</v>
      </c>
      <c r="T54" s="18">
        <f>SUMIF(A$7:A$68,N54,K$7:K$68)</f>
        <v>0</v>
      </c>
      <c r="U54" s="18">
        <f>SUMIF(A$7:A$68,N54,G$7:G$68)</f>
        <v>0</v>
      </c>
      <c r="V54" s="18">
        <f>SUMIF(A$7:A$68,N54,I$7:I$68)</f>
        <v>0</v>
      </c>
    </row>
    <row r="55" spans="1:22" x14ac:dyDescent="0.3">
      <c r="A55" s="19">
        <v>46293</v>
      </c>
      <c r="B55" s="16" t="s">
        <v>13</v>
      </c>
      <c r="C55" s="1178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/>
      <c r="O55" s="18"/>
      <c r="P55" s="18"/>
      <c r="Q55" s="18"/>
      <c r="R55" s="18"/>
      <c r="S55" s="18"/>
      <c r="T55" s="18"/>
      <c r="U55" s="18"/>
      <c r="V55" s="18"/>
    </row>
    <row r="56" spans="1:22" x14ac:dyDescent="0.3">
      <c r="A56" s="19">
        <v>46294</v>
      </c>
      <c r="B56" s="16" t="s">
        <v>12</v>
      </c>
      <c r="C56" s="1178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46294</v>
      </c>
      <c r="O56" s="18">
        <f t="shared" ref="O56:O67" si="12">SUMIF(A$7:A$68,N56,D$7:D$68)+SUMIF(A$7:A$52,N56,G$7:G$68)</f>
        <v>175</v>
      </c>
      <c r="P56" s="18">
        <f t="shared" ref="P56:P67" si="13">SUMIF(A$7:A$68,N56,E$7:E$68)+SUMIF(A$7:A$68,N56,J$7:J$68)</f>
        <v>0</v>
      </c>
      <c r="Q56" s="18">
        <f t="shared" si="11"/>
        <v>0</v>
      </c>
      <c r="R56" s="18">
        <f t="shared" ref="R56:R67" si="14">SUMIF(A$7:A$67,N56,H$7:H$68)</f>
        <v>0</v>
      </c>
      <c r="S56" s="18">
        <f t="shared" ref="S56:S67" si="15">SUMIF(A$7:A$67,N56,I$7:I$67)</f>
        <v>0</v>
      </c>
      <c r="T56" s="18">
        <f t="shared" ref="T56:T67" si="16">SUMIF(A$7:A$68,N56,K$7:K$68)</f>
        <v>0</v>
      </c>
      <c r="U56" s="18">
        <f t="shared" ref="U56:U67" si="17">SUMIF(A$7:A$68,N56,G$7:G$68)</f>
        <v>0</v>
      </c>
      <c r="V56" s="18">
        <f t="shared" ref="V56:V67" si="18">SUMIF(A$7:A$68,N56,I$7:I$68)</f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46295</v>
      </c>
      <c r="O57" s="18">
        <f t="shared" si="12"/>
        <v>0</v>
      </c>
      <c r="P57" s="18">
        <f t="shared" si="13"/>
        <v>0</v>
      </c>
      <c r="Q57" s="18">
        <f t="shared" si="11"/>
        <v>0</v>
      </c>
      <c r="R57" s="18">
        <f t="shared" si="14"/>
        <v>0</v>
      </c>
      <c r="S57" s="18">
        <f t="shared" si="15"/>
        <v>0</v>
      </c>
      <c r="T57" s="18">
        <f t="shared" si="16"/>
        <v>0</v>
      </c>
      <c r="U57" s="18">
        <f t="shared" si="17"/>
        <v>0</v>
      </c>
      <c r="V57" s="18">
        <f t="shared" si="18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46296</v>
      </c>
      <c r="O58" s="18">
        <f t="shared" si="12"/>
        <v>0</v>
      </c>
      <c r="P58" s="18">
        <f t="shared" si="13"/>
        <v>0</v>
      </c>
      <c r="Q58" s="18">
        <f t="shared" si="11"/>
        <v>0</v>
      </c>
      <c r="R58" s="18">
        <f t="shared" si="14"/>
        <v>0</v>
      </c>
      <c r="S58" s="18">
        <f t="shared" si="15"/>
        <v>0</v>
      </c>
      <c r="T58" s="18">
        <f t="shared" si="16"/>
        <v>0</v>
      </c>
      <c r="U58" s="18">
        <f t="shared" si="17"/>
        <v>0</v>
      </c>
      <c r="V58" s="18">
        <f t="shared" si="18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/>
      <c r="L59" s="6"/>
      <c r="N59" s="17">
        <v>46297</v>
      </c>
      <c r="O59" s="18">
        <f t="shared" si="12"/>
        <v>0</v>
      </c>
      <c r="P59" s="18">
        <f t="shared" si="13"/>
        <v>0</v>
      </c>
      <c r="Q59" s="18">
        <f t="shared" si="11"/>
        <v>0</v>
      </c>
      <c r="R59" s="18">
        <f t="shared" si="14"/>
        <v>0</v>
      </c>
      <c r="S59" s="18">
        <f t="shared" si="15"/>
        <v>0</v>
      </c>
      <c r="T59" s="18">
        <f t="shared" si="16"/>
        <v>0</v>
      </c>
      <c r="U59" s="18">
        <f t="shared" si="17"/>
        <v>0</v>
      </c>
      <c r="V59" s="18">
        <f t="shared" si="18"/>
        <v>0</v>
      </c>
    </row>
    <row r="60" spans="1:22" x14ac:dyDescent="0.3">
      <c r="A60" s="19">
        <v>46298</v>
      </c>
      <c r="B60" s="16"/>
      <c r="C60" s="16"/>
      <c r="D60" s="13"/>
      <c r="E60" s="13"/>
      <c r="F60" s="6"/>
      <c r="G60" s="6"/>
      <c r="H60" s="5"/>
      <c r="I60" s="6"/>
      <c r="J60" s="6"/>
      <c r="K60" s="6"/>
      <c r="L60" s="6"/>
      <c r="N60" s="17">
        <v>46298</v>
      </c>
      <c r="O60" s="18">
        <f t="shared" si="12"/>
        <v>0</v>
      </c>
      <c r="P60" s="18">
        <f t="shared" si="13"/>
        <v>0</v>
      </c>
      <c r="Q60" s="18">
        <f t="shared" si="11"/>
        <v>0</v>
      </c>
      <c r="R60" s="18">
        <f t="shared" si="14"/>
        <v>0</v>
      </c>
      <c r="S60" s="18">
        <f t="shared" si="15"/>
        <v>0</v>
      </c>
      <c r="T60" s="18">
        <f t="shared" si="16"/>
        <v>0</v>
      </c>
      <c r="U60" s="18">
        <f t="shared" si="17"/>
        <v>0</v>
      </c>
      <c r="V60" s="18">
        <f t="shared" si="18"/>
        <v>0</v>
      </c>
    </row>
    <row r="61" spans="1:22" x14ac:dyDescent="0.3">
      <c r="A61" s="19">
        <v>46299</v>
      </c>
      <c r="B61" s="16"/>
      <c r="C61" s="16"/>
      <c r="D61" s="13"/>
      <c r="E61" s="13"/>
      <c r="F61" s="6"/>
      <c r="G61" s="6"/>
      <c r="H61" s="5"/>
      <c r="I61" s="6"/>
      <c r="J61" s="6"/>
      <c r="K61" s="6"/>
      <c r="L61" s="6"/>
      <c r="N61" s="17">
        <v>46299</v>
      </c>
      <c r="O61" s="18">
        <f t="shared" si="12"/>
        <v>0</v>
      </c>
      <c r="P61" s="18">
        <f t="shared" si="13"/>
        <v>0</v>
      </c>
      <c r="Q61" s="18">
        <f t="shared" si="11"/>
        <v>0</v>
      </c>
      <c r="R61" s="18">
        <f t="shared" si="14"/>
        <v>0</v>
      </c>
      <c r="S61" s="18">
        <f t="shared" si="15"/>
        <v>0</v>
      </c>
      <c r="T61" s="18">
        <f t="shared" si="16"/>
        <v>0</v>
      </c>
      <c r="U61" s="18">
        <f t="shared" si="17"/>
        <v>0</v>
      </c>
      <c r="V61" s="18">
        <f t="shared" si="18"/>
        <v>0</v>
      </c>
    </row>
    <row r="62" spans="1:22" x14ac:dyDescent="0.3">
      <c r="A62" s="19">
        <v>46300</v>
      </c>
      <c r="B62" s="16"/>
      <c r="C62" s="16"/>
      <c r="D62" s="13"/>
      <c r="E62" s="13"/>
      <c r="F62" s="6"/>
      <c r="G62" s="6"/>
      <c r="H62" s="5"/>
      <c r="I62" s="6"/>
      <c r="J62" s="6"/>
      <c r="K62" s="6"/>
      <c r="L62" s="6"/>
      <c r="N62" s="17">
        <v>46300</v>
      </c>
      <c r="O62" s="18">
        <f t="shared" si="12"/>
        <v>0</v>
      </c>
      <c r="P62" s="18">
        <f t="shared" si="13"/>
        <v>0</v>
      </c>
      <c r="Q62" s="18">
        <f t="shared" si="11"/>
        <v>0</v>
      </c>
      <c r="R62" s="18">
        <f t="shared" si="14"/>
        <v>0</v>
      </c>
      <c r="S62" s="18">
        <f t="shared" si="15"/>
        <v>0</v>
      </c>
      <c r="T62" s="18">
        <f t="shared" si="16"/>
        <v>0</v>
      </c>
      <c r="U62" s="18">
        <f t="shared" si="17"/>
        <v>0</v>
      </c>
      <c r="V62" s="18">
        <f t="shared" si="18"/>
        <v>0</v>
      </c>
    </row>
    <row r="63" spans="1:22" x14ac:dyDescent="0.3">
      <c r="A63" s="19">
        <v>46301</v>
      </c>
      <c r="B63" s="16"/>
      <c r="C63" s="16"/>
      <c r="D63" s="13"/>
      <c r="E63" s="13"/>
      <c r="F63" s="6"/>
      <c r="G63" s="6"/>
      <c r="H63" s="5"/>
      <c r="I63" s="6"/>
      <c r="J63" s="6"/>
      <c r="K63" s="6"/>
      <c r="L63" s="6"/>
      <c r="N63" s="17">
        <v>46301</v>
      </c>
      <c r="O63" s="18">
        <f t="shared" si="12"/>
        <v>0</v>
      </c>
      <c r="P63" s="18">
        <f t="shared" si="13"/>
        <v>0</v>
      </c>
      <c r="Q63" s="18">
        <f t="shared" si="11"/>
        <v>0</v>
      </c>
      <c r="R63" s="18">
        <f t="shared" si="14"/>
        <v>0</v>
      </c>
      <c r="S63" s="18">
        <f t="shared" si="15"/>
        <v>0</v>
      </c>
      <c r="T63" s="18">
        <f t="shared" si="16"/>
        <v>0</v>
      </c>
      <c r="U63" s="18">
        <f t="shared" si="17"/>
        <v>0</v>
      </c>
      <c r="V63" s="18">
        <f t="shared" si="18"/>
        <v>0</v>
      </c>
    </row>
    <row r="64" spans="1:22" x14ac:dyDescent="0.3">
      <c r="A64" s="19">
        <v>46302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46302</v>
      </c>
      <c r="O64" s="18">
        <f t="shared" si="12"/>
        <v>0</v>
      </c>
      <c r="P64" s="18">
        <f t="shared" si="13"/>
        <v>0</v>
      </c>
      <c r="Q64" s="18">
        <f t="shared" si="11"/>
        <v>0</v>
      </c>
      <c r="R64" s="18">
        <f t="shared" si="14"/>
        <v>0</v>
      </c>
      <c r="S64" s="18">
        <f t="shared" si="15"/>
        <v>0</v>
      </c>
      <c r="T64" s="18">
        <f t="shared" si="16"/>
        <v>0</v>
      </c>
      <c r="U64" s="18">
        <f t="shared" si="17"/>
        <v>0</v>
      </c>
      <c r="V64" s="18">
        <f t="shared" si="18"/>
        <v>0</v>
      </c>
    </row>
    <row r="65" spans="1:22" x14ac:dyDescent="0.3">
      <c r="A65" s="19">
        <v>46303</v>
      </c>
      <c r="B65" s="16"/>
      <c r="C65" s="16"/>
      <c r="D65" s="13"/>
      <c r="E65" s="13"/>
      <c r="F65" s="6"/>
      <c r="G65" s="6"/>
      <c r="H65" s="5"/>
      <c r="I65" s="6"/>
      <c r="J65" s="6"/>
      <c r="K65" s="6"/>
      <c r="L65" s="6"/>
      <c r="N65" s="17">
        <v>46303</v>
      </c>
      <c r="O65" s="18">
        <f t="shared" si="12"/>
        <v>0</v>
      </c>
      <c r="P65" s="18">
        <f t="shared" si="13"/>
        <v>0</v>
      </c>
      <c r="Q65" s="18">
        <f t="shared" si="11"/>
        <v>0</v>
      </c>
      <c r="R65" s="18">
        <f t="shared" si="14"/>
        <v>0</v>
      </c>
      <c r="S65" s="18">
        <f t="shared" si="15"/>
        <v>0</v>
      </c>
      <c r="T65" s="18">
        <f t="shared" si="16"/>
        <v>0</v>
      </c>
      <c r="U65" s="18">
        <f t="shared" si="17"/>
        <v>0</v>
      </c>
      <c r="V65" s="18">
        <f t="shared" si="18"/>
        <v>0</v>
      </c>
    </row>
    <row r="66" spans="1:22" x14ac:dyDescent="0.3">
      <c r="A66" s="19">
        <v>46304</v>
      </c>
      <c r="B66" s="16"/>
      <c r="C66" s="16"/>
      <c r="D66" s="13"/>
      <c r="E66" s="13"/>
      <c r="F66" s="6"/>
      <c r="G66" s="6"/>
      <c r="H66" s="5"/>
      <c r="I66" s="6"/>
      <c r="J66" s="6"/>
      <c r="K66" s="6"/>
      <c r="L66" s="6"/>
      <c r="N66" s="17">
        <v>46304</v>
      </c>
      <c r="O66" s="18">
        <f t="shared" si="12"/>
        <v>0</v>
      </c>
      <c r="P66" s="18">
        <f t="shared" si="13"/>
        <v>0</v>
      </c>
      <c r="Q66" s="18">
        <f t="shared" si="11"/>
        <v>0</v>
      </c>
      <c r="R66" s="18">
        <f t="shared" si="14"/>
        <v>0</v>
      </c>
      <c r="S66" s="18">
        <f t="shared" si="15"/>
        <v>0</v>
      </c>
      <c r="T66" s="18">
        <f t="shared" si="16"/>
        <v>0</v>
      </c>
      <c r="U66" s="18">
        <f t="shared" si="17"/>
        <v>0</v>
      </c>
      <c r="V66" s="18">
        <f t="shared" si="18"/>
        <v>0</v>
      </c>
    </row>
    <row r="67" spans="1:22" x14ac:dyDescent="0.3">
      <c r="A67" s="19">
        <v>46305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46305</v>
      </c>
      <c r="O67" s="18">
        <f t="shared" si="12"/>
        <v>0</v>
      </c>
      <c r="P67" s="18">
        <f t="shared" si="13"/>
        <v>0</v>
      </c>
      <c r="Q67" s="18">
        <f t="shared" si="11"/>
        <v>0</v>
      </c>
      <c r="R67" s="18">
        <f t="shared" si="14"/>
        <v>0</v>
      </c>
      <c r="S67" s="18">
        <f t="shared" si="15"/>
        <v>0</v>
      </c>
      <c r="T67" s="18">
        <f t="shared" si="16"/>
        <v>0</v>
      </c>
      <c r="U67" s="18">
        <f t="shared" si="17"/>
        <v>0</v>
      </c>
      <c r="V67" s="18">
        <f t="shared" si="18"/>
        <v>0</v>
      </c>
    </row>
    <row r="68" spans="1:22" x14ac:dyDescent="0.3">
      <c r="A68" s="19"/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20" t="s">
        <v>17</v>
      </c>
      <c r="O68" s="21">
        <f>SUM(O7:O67)</f>
        <v>5625</v>
      </c>
      <c r="P68" s="21">
        <f t="shared" ref="P68:V68" si="19">SUM(P7:P67)</f>
        <v>4150</v>
      </c>
      <c r="Q68" s="21">
        <f t="shared" si="19"/>
        <v>3000</v>
      </c>
      <c r="R68" s="21">
        <f t="shared" si="19"/>
        <v>0</v>
      </c>
      <c r="S68" s="21">
        <f t="shared" si="19"/>
        <v>0</v>
      </c>
      <c r="T68" s="21">
        <f t="shared" si="19"/>
        <v>250</v>
      </c>
      <c r="U68" s="21">
        <f t="shared" si="19"/>
        <v>0</v>
      </c>
      <c r="V68" s="21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4"/>
  <sheetViews>
    <sheetView tabSelected="1" view="pageBreakPreview" zoomScale="55" zoomScaleNormal="44" zoomScaleSheetLayoutView="74" workbookViewId="0">
      <pane ySplit="5" topLeftCell="A6" activePane="bottomLeft" state="frozen"/>
      <selection pane="bottomLeft" activeCell="T20" sqref="T2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3" bestFit="1" customWidth="1"/>
    <col min="7" max="7" width="13.777343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47" t="s">
        <v>665</v>
      </c>
      <c r="C4" s="1248"/>
      <c r="D4" s="1248"/>
      <c r="E4" s="1248"/>
      <c r="F4" s="1248"/>
      <c r="G4" s="1248"/>
      <c r="H4" s="1248"/>
      <c r="I4" s="1248"/>
      <c r="J4" s="1248"/>
      <c r="K4" s="1248"/>
      <c r="L4" s="1248"/>
      <c r="M4" s="1248"/>
      <c r="N4" s="1248"/>
      <c r="O4" s="1249"/>
    </row>
    <row r="5" spans="2:27" ht="75.599999999999994" customHeight="1" thickBot="1" x14ac:dyDescent="0.35">
      <c r="B5" s="1245" t="s">
        <v>0</v>
      </c>
      <c r="C5" s="1246"/>
      <c r="D5" s="270" t="s">
        <v>289</v>
      </c>
      <c r="E5" s="336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5" t="s">
        <v>6</v>
      </c>
      <c r="K5" s="335" t="s">
        <v>7</v>
      </c>
      <c r="L5" s="337" t="s">
        <v>8</v>
      </c>
      <c r="M5" s="335" t="s">
        <v>9</v>
      </c>
      <c r="N5" s="335" t="s">
        <v>10</v>
      </c>
      <c r="O5" s="338" t="s">
        <v>176</v>
      </c>
      <c r="S5" s="1220" t="s">
        <v>11</v>
      </c>
      <c r="T5" s="1221"/>
      <c r="W5" s="1192" t="s">
        <v>18</v>
      </c>
      <c r="X5" s="1192"/>
      <c r="Y5" s="1192"/>
      <c r="Z5" s="1192"/>
      <c r="AA5" s="1192"/>
    </row>
    <row r="6" spans="2:27" ht="13.95" customHeight="1" thickBot="1" x14ac:dyDescent="0.4">
      <c r="B6" s="1224">
        <v>46174</v>
      </c>
      <c r="C6" s="1225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231">
        <f>SUM(L6:L7)</f>
        <v>0</v>
      </c>
      <c r="O6" s="284"/>
      <c r="P6" s="4"/>
      <c r="S6" s="254" t="s">
        <v>428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226"/>
      <c r="C7" s="1227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232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239">
        <v>46175</v>
      </c>
      <c r="C8" s="1240"/>
      <c r="D8" s="339" t="s">
        <v>12</v>
      </c>
      <c r="E8" s="340" t="s">
        <v>169</v>
      </c>
      <c r="F8" s="341">
        <v>141</v>
      </c>
      <c r="G8" s="342" t="s">
        <v>428</v>
      </c>
      <c r="H8" s="343">
        <v>0.18</v>
      </c>
      <c r="I8" s="344">
        <f>IFERROR((VLOOKUP(G8,S$6:T$8,2,FALSE)),"")</f>
        <v>0.6</v>
      </c>
      <c r="J8" s="281">
        <v>1.35</v>
      </c>
      <c r="K8" s="345">
        <f t="shared" ref="K8:K61" si="3">IFERROR((F8*I8*J8),"")</f>
        <v>114.21</v>
      </c>
      <c r="L8" s="346">
        <f t="shared" si="1"/>
        <v>93.652200000000008</v>
      </c>
      <c r="M8" s="346">
        <f>IFERROR((K8/6),"")</f>
        <v>19.035</v>
      </c>
      <c r="N8" s="1243">
        <f>SUM(L8:L9)</f>
        <v>93.652200000000008</v>
      </c>
      <c r="O8" s="347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241"/>
      <c r="C9" s="1242"/>
      <c r="D9" s="348" t="s">
        <v>13</v>
      </c>
      <c r="E9" s="349"/>
      <c r="F9" s="350"/>
      <c r="G9" s="385"/>
      <c r="H9" s="351"/>
      <c r="I9" s="352" t="str">
        <f t="shared" ref="I9:I106" si="4">IFERROR((VLOOKUP(G9,S$6:T$8,2,FALSE)),"")</f>
        <v/>
      </c>
      <c r="J9" s="281"/>
      <c r="K9" s="345" t="str">
        <f t="shared" si="3"/>
        <v/>
      </c>
      <c r="L9" s="346" t="str">
        <f t="shared" si="1"/>
        <v/>
      </c>
      <c r="M9" s="346" t="str">
        <f t="shared" si="2"/>
        <v/>
      </c>
      <c r="N9" s="1244"/>
      <c r="O9" s="354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224">
        <v>46176</v>
      </c>
      <c r="C10" s="1225"/>
      <c r="D10" s="275" t="s">
        <v>12</v>
      </c>
      <c r="E10" s="276" t="s">
        <v>169</v>
      </c>
      <c r="F10" s="277">
        <v>32</v>
      </c>
      <c r="G10" s="389" t="s">
        <v>428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233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226"/>
      <c r="C11" s="1227"/>
      <c r="D11" s="285" t="s">
        <v>13</v>
      </c>
      <c r="E11" s="286"/>
      <c r="F11" s="290"/>
      <c r="G11" s="388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234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239">
        <v>46177</v>
      </c>
      <c r="C12" s="1240"/>
      <c r="D12" s="339" t="s">
        <v>12</v>
      </c>
      <c r="E12" s="340" t="s">
        <v>172</v>
      </c>
      <c r="F12" s="341">
        <v>282</v>
      </c>
      <c r="G12" s="342" t="s">
        <v>428</v>
      </c>
      <c r="H12" s="343">
        <v>0.17</v>
      </c>
      <c r="I12" s="344">
        <f t="shared" si="4"/>
        <v>0.6</v>
      </c>
      <c r="J12" s="281">
        <v>1.35</v>
      </c>
      <c r="K12" s="345">
        <f t="shared" si="3"/>
        <v>228.42</v>
      </c>
      <c r="L12" s="346">
        <f t="shared" si="5"/>
        <v>189.58859999999999</v>
      </c>
      <c r="M12" s="346">
        <f t="shared" si="6"/>
        <v>19.035</v>
      </c>
      <c r="N12" s="1243">
        <f t="shared" ref="N12" si="8">SUM(L12:L13)</f>
        <v>189.58859999999999</v>
      </c>
      <c r="O12" s="347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241"/>
      <c r="C13" s="1242"/>
      <c r="D13" s="348" t="s">
        <v>13</v>
      </c>
      <c r="E13" s="349"/>
      <c r="F13" s="350"/>
      <c r="G13" s="387"/>
      <c r="H13" s="351"/>
      <c r="I13" s="352" t="str">
        <f t="shared" si="4"/>
        <v/>
      </c>
      <c r="J13" s="281"/>
      <c r="K13" s="345" t="str">
        <f t="shared" si="3"/>
        <v/>
      </c>
      <c r="L13" s="353" t="str">
        <f t="shared" si="5"/>
        <v/>
      </c>
      <c r="M13" s="355" t="str">
        <f t="shared" si="6"/>
        <v/>
      </c>
      <c r="N13" s="1244"/>
      <c r="O13" s="347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24">
        <v>46252</v>
      </c>
      <c r="C14" s="1225"/>
      <c r="D14" s="275" t="s">
        <v>12</v>
      </c>
      <c r="E14" s="276" t="s">
        <v>199</v>
      </c>
      <c r="F14" s="277">
        <v>62</v>
      </c>
      <c r="G14" s="389" t="s">
        <v>428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233">
        <f t="shared" ref="N14" si="9">SUM(L14:L15)</f>
        <v>45.503039999999991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26"/>
      <c r="C15" s="1227"/>
      <c r="D15" s="285" t="s">
        <v>13</v>
      </c>
      <c r="E15" s="297"/>
      <c r="F15" s="290"/>
      <c r="G15" s="388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234"/>
      <c r="O15" s="284"/>
    </row>
    <row r="16" spans="2:27" ht="18.600000000000001" thickBot="1" x14ac:dyDescent="0.4">
      <c r="B16" s="1239">
        <v>46253</v>
      </c>
      <c r="C16" s="1240"/>
      <c r="D16" s="339" t="s">
        <v>12</v>
      </c>
      <c r="E16" s="340" t="s">
        <v>199</v>
      </c>
      <c r="F16" s="341">
        <v>463</v>
      </c>
      <c r="G16" s="342" t="s">
        <v>428</v>
      </c>
      <c r="H16" s="343">
        <v>0.12</v>
      </c>
      <c r="I16" s="344">
        <f t="shared" si="4"/>
        <v>0.6</v>
      </c>
      <c r="J16" s="281">
        <v>1.39</v>
      </c>
      <c r="K16" s="345">
        <f t="shared" si="3"/>
        <v>386.142</v>
      </c>
      <c r="L16" s="346">
        <f>IFERROR(((F16*I16)*J16)*(1-H16),"")</f>
        <v>339.80495999999999</v>
      </c>
      <c r="M16" s="346">
        <f t="shared" si="6"/>
        <v>32.1785</v>
      </c>
      <c r="N16" s="1243">
        <f>SUM(L16:L17)</f>
        <v>339.80495999999999</v>
      </c>
      <c r="O16" s="347" t="s">
        <v>407</v>
      </c>
      <c r="S16" s="1">
        <f>S14/1.4</f>
        <v>45.714285714285715</v>
      </c>
    </row>
    <row r="17" spans="2:23" ht="18.600000000000001" thickBot="1" x14ac:dyDescent="0.4">
      <c r="B17" s="1241"/>
      <c r="C17" s="1242"/>
      <c r="D17" s="348" t="s">
        <v>13</v>
      </c>
      <c r="E17" s="356"/>
      <c r="F17" s="350"/>
      <c r="G17" s="387"/>
      <c r="H17" s="351"/>
      <c r="I17" s="352" t="str">
        <f t="shared" si="4"/>
        <v/>
      </c>
      <c r="J17" s="281"/>
      <c r="K17" s="357" t="str">
        <f t="shared" si="3"/>
        <v/>
      </c>
      <c r="L17" s="353" t="str">
        <f t="shared" si="5"/>
        <v/>
      </c>
      <c r="M17" s="355" t="str">
        <f t="shared" si="6"/>
        <v/>
      </c>
      <c r="N17" s="1244"/>
      <c r="O17" s="347" t="s">
        <v>386</v>
      </c>
    </row>
    <row r="18" spans="2:23" ht="18.600000000000001" thickBot="1" x14ac:dyDescent="0.4">
      <c r="B18" s="1224">
        <v>46254</v>
      </c>
      <c r="C18" s="1225"/>
      <c r="D18" s="275" t="s">
        <v>12</v>
      </c>
      <c r="E18" s="276" t="s">
        <v>199</v>
      </c>
      <c r="F18" s="277">
        <v>539</v>
      </c>
      <c r="G18" s="389" t="s">
        <v>428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233">
        <f>SUM(L18:L19)</f>
        <v>404.57339999999999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226"/>
      <c r="C19" s="1227"/>
      <c r="D19" s="299" t="s">
        <v>13</v>
      </c>
      <c r="E19" s="300"/>
      <c r="F19" s="301"/>
      <c r="G19" s="386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250"/>
      <c r="O19" s="284" t="s">
        <v>408</v>
      </c>
      <c r="T19" s="109"/>
    </row>
    <row r="20" spans="2:23" ht="18.600000000000001" thickBot="1" x14ac:dyDescent="0.4">
      <c r="B20" s="1224">
        <v>46255</v>
      </c>
      <c r="C20" s="1225"/>
      <c r="D20" s="275" t="s">
        <v>12</v>
      </c>
      <c r="E20" s="276" t="s">
        <v>199</v>
      </c>
      <c r="F20" s="277">
        <v>409</v>
      </c>
      <c r="G20" s="389" t="s">
        <v>428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233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226"/>
      <c r="C21" s="1227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250"/>
      <c r="O21" s="284"/>
      <c r="S21" s="2"/>
      <c r="T21" s="110"/>
    </row>
    <row r="22" spans="2:23" ht="18.600000000000001" thickBot="1" x14ac:dyDescent="0.4">
      <c r="B22" s="1224">
        <v>46256</v>
      </c>
      <c r="C22" s="1225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233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226"/>
      <c r="C23" s="1227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234"/>
      <c r="O23" s="284"/>
      <c r="P23" s="8"/>
      <c r="T23" s="109"/>
    </row>
    <row r="24" spans="2:23" ht="18.600000000000001" thickBot="1" x14ac:dyDescent="0.4">
      <c r="B24" s="1224">
        <v>46257</v>
      </c>
      <c r="C24" s="1225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233">
        <f>SUM(L24:L25)</f>
        <v>0</v>
      </c>
      <c r="O24" s="284"/>
    </row>
    <row r="25" spans="2:23" ht="18.600000000000001" thickBot="1" x14ac:dyDescent="0.4">
      <c r="B25" s="1226"/>
      <c r="C25" s="1227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234"/>
      <c r="O25" s="284"/>
      <c r="T25" s="3"/>
    </row>
    <row r="26" spans="2:23" ht="18.600000000000001" thickBot="1" x14ac:dyDescent="0.4">
      <c r="B26" s="1224">
        <v>46258</v>
      </c>
      <c r="C26" s="1225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233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226"/>
      <c r="C27" s="1227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234"/>
      <c r="O27" s="284"/>
    </row>
    <row r="28" spans="2:23" ht="18.600000000000001" thickBot="1" x14ac:dyDescent="0.4">
      <c r="B28" s="1224">
        <v>46259</v>
      </c>
      <c r="C28" s="1225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233">
        <f>SUM(L28:L29)</f>
        <v>0</v>
      </c>
      <c r="O28" s="284"/>
    </row>
    <row r="29" spans="2:23" ht="18.600000000000001" thickBot="1" x14ac:dyDescent="0.4">
      <c r="B29" s="1226"/>
      <c r="C29" s="1227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234"/>
      <c r="O29" s="284"/>
      <c r="P29" s="8"/>
    </row>
    <row r="30" spans="2:23" ht="18.600000000000001" thickBot="1" x14ac:dyDescent="0.4">
      <c r="B30" s="1224">
        <v>46260</v>
      </c>
      <c r="C30" s="1225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233">
        <f t="shared" ref="N30" si="13">SUM(L30:L31)</f>
        <v>0</v>
      </c>
      <c r="O30" s="284"/>
    </row>
    <row r="31" spans="2:23" ht="18.600000000000001" thickBot="1" x14ac:dyDescent="0.4">
      <c r="B31" s="1226"/>
      <c r="C31" s="1227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234"/>
      <c r="O31" s="284"/>
    </row>
    <row r="32" spans="2:23" ht="54.6" thickBot="1" x14ac:dyDescent="0.4">
      <c r="B32" s="1224">
        <v>46261</v>
      </c>
      <c r="C32" s="1225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231">
        <f>SUM(L32:L33)</f>
        <v>149.93651999999997</v>
      </c>
      <c r="O32" s="381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226"/>
      <c r="C33" s="1227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232"/>
      <c r="O33" s="284"/>
    </row>
    <row r="34" spans="2:24" ht="18.600000000000001" thickBot="1" x14ac:dyDescent="0.4">
      <c r="B34" s="1224">
        <v>46262</v>
      </c>
      <c r="C34" s="1225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231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226"/>
      <c r="C35" s="1227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232"/>
      <c r="O35" s="284"/>
    </row>
    <row r="36" spans="2:24" ht="18.600000000000001" thickBot="1" x14ac:dyDescent="0.35">
      <c r="B36" s="1224">
        <v>46263</v>
      </c>
      <c r="C36" s="1225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231">
        <f>SUM(L36:L37)</f>
        <v>288.52199999999999</v>
      </c>
      <c r="O36" s="1255" t="str">
        <f>'Crushing Down Time Hours'!G17</f>
        <v>istirahat jam 12-13, 14:00-15:00 ada loading material dari mining</v>
      </c>
    </row>
    <row r="37" spans="2:24" ht="18.600000000000001" thickBot="1" x14ac:dyDescent="0.35">
      <c r="B37" s="1226"/>
      <c r="C37" s="1227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232"/>
      <c r="O37" s="1256"/>
    </row>
    <row r="38" spans="2:24" ht="18.600000000000001" thickBot="1" x14ac:dyDescent="0.4">
      <c r="B38" s="1224">
        <v>46264</v>
      </c>
      <c r="C38" s="1225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231">
        <f t="shared" ref="N38" si="15">SUM(L38:L39)</f>
        <v>64.583999999999989</v>
      </c>
      <c r="O38" s="284"/>
      <c r="Q38" s="4"/>
    </row>
    <row r="39" spans="2:24" ht="18.600000000000001" thickBot="1" x14ac:dyDescent="0.4">
      <c r="B39" s="1226"/>
      <c r="C39" s="1227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232"/>
      <c r="O39" s="284"/>
    </row>
    <row r="40" spans="2:24" ht="18.600000000000001" thickBot="1" x14ac:dyDescent="0.4">
      <c r="B40" s="1224">
        <v>46265</v>
      </c>
      <c r="C40" s="1225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233">
        <f>SUM(L40:L41)</f>
        <v>0</v>
      </c>
      <c r="O40" s="284"/>
    </row>
    <row r="41" spans="2:24" ht="18.600000000000001" thickBot="1" x14ac:dyDescent="0.4">
      <c r="B41" s="1226"/>
      <c r="C41" s="1227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234"/>
      <c r="O41" s="284"/>
    </row>
    <row r="42" spans="2:24" ht="18.600000000000001" thickBot="1" x14ac:dyDescent="0.4">
      <c r="B42" s="1224">
        <v>46266</v>
      </c>
      <c r="C42" s="1225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233">
        <f t="shared" ref="N42" si="16">SUM(L42:L43)</f>
        <v>0</v>
      </c>
      <c r="O42" s="284"/>
    </row>
    <row r="43" spans="2:24" ht="18.600000000000001" thickBot="1" x14ac:dyDescent="0.4">
      <c r="B43" s="1226"/>
      <c r="C43" s="1227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234"/>
      <c r="O43" s="284"/>
    </row>
    <row r="44" spans="2:24" ht="18.600000000000001" thickBot="1" x14ac:dyDescent="0.4">
      <c r="B44" s="1224">
        <v>46267</v>
      </c>
      <c r="C44" s="1225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233">
        <f t="shared" ref="N44" si="17">SUM(L44:L45)</f>
        <v>0</v>
      </c>
      <c r="O44" s="284"/>
    </row>
    <row r="45" spans="2:24" ht="18.600000000000001" thickBot="1" x14ac:dyDescent="0.4">
      <c r="B45" s="1226"/>
      <c r="C45" s="1227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234"/>
      <c r="O45" s="284"/>
    </row>
    <row r="46" spans="2:24" ht="18.600000000000001" thickBot="1" x14ac:dyDescent="0.4">
      <c r="B46" s="1224">
        <v>46268</v>
      </c>
      <c r="C46" s="1225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233">
        <f t="shared" ref="N46:N58" si="18">SUM(L46:L47)</f>
        <v>0</v>
      </c>
      <c r="O46" s="284"/>
    </row>
    <row r="47" spans="2:24" ht="18.600000000000001" thickBot="1" x14ac:dyDescent="0.4">
      <c r="B47" s="1226"/>
      <c r="C47" s="1227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234"/>
      <c r="O47" s="284"/>
    </row>
    <row r="48" spans="2:24" ht="18.600000000000001" thickBot="1" x14ac:dyDescent="0.4">
      <c r="B48" s="1224">
        <v>46269</v>
      </c>
      <c r="C48" s="1225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233">
        <f t="shared" si="18"/>
        <v>0</v>
      </c>
      <c r="O48" s="284"/>
    </row>
    <row r="49" spans="2:22" ht="18.600000000000001" thickBot="1" x14ac:dyDescent="0.4">
      <c r="B49" s="1226"/>
      <c r="C49" s="1227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234"/>
      <c r="O49" s="284"/>
    </row>
    <row r="50" spans="2:22" ht="18.600000000000001" thickBot="1" x14ac:dyDescent="0.4">
      <c r="B50" s="1224">
        <v>46270</v>
      </c>
      <c r="C50" s="1225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233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226"/>
      <c r="C51" s="1227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234"/>
      <c r="O51" s="284"/>
      <c r="P51" s="4"/>
    </row>
    <row r="52" spans="2:22" ht="18.600000000000001" thickBot="1" x14ac:dyDescent="0.4">
      <c r="B52" s="1224">
        <v>46271</v>
      </c>
      <c r="C52" s="1225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233">
        <f t="shared" si="18"/>
        <v>0</v>
      </c>
      <c r="O52" s="284"/>
    </row>
    <row r="53" spans="2:22" ht="18.600000000000001" thickBot="1" x14ac:dyDescent="0.4">
      <c r="B53" s="1226"/>
      <c r="C53" s="1227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234"/>
      <c r="O53" s="284"/>
      <c r="R53" s="1">
        <f>R50*4</f>
        <v>60</v>
      </c>
    </row>
    <row r="54" spans="2:22" ht="18.600000000000001" thickBot="1" x14ac:dyDescent="0.4">
      <c r="B54" s="1224">
        <v>46272</v>
      </c>
      <c r="C54" s="1225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233">
        <f t="shared" si="18"/>
        <v>0</v>
      </c>
      <c r="O54" s="284"/>
    </row>
    <row r="55" spans="2:22" ht="18.600000000000001" thickBot="1" x14ac:dyDescent="0.4">
      <c r="B55" s="1226"/>
      <c r="C55" s="1227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234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224">
        <v>46273</v>
      </c>
      <c r="C56" s="1225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233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226"/>
      <c r="C57" s="1227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234"/>
      <c r="O57" s="284"/>
      <c r="Q57" s="4"/>
      <c r="R57" s="4"/>
      <c r="S57" s="1">
        <v>1190</v>
      </c>
    </row>
    <row r="58" spans="2:22" ht="18.600000000000001" thickBot="1" x14ac:dyDescent="0.4">
      <c r="B58" s="1224">
        <v>46274</v>
      </c>
      <c r="C58" s="1225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233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226"/>
      <c r="C59" s="1227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234"/>
      <c r="O59" s="284"/>
      <c r="P59" s="4"/>
      <c r="S59" s="2">
        <f>(S55-S58)/S55</f>
        <v>0.10083594566353186</v>
      </c>
    </row>
    <row r="60" spans="2:22" ht="18.600000000000001" thickBot="1" x14ac:dyDescent="0.4">
      <c r="B60" s="1224">
        <v>46275</v>
      </c>
      <c r="C60" s="1225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237">
        <f>SUM(L60:L61)</f>
        <v>86.346000000000004</v>
      </c>
      <c r="O60" s="284"/>
      <c r="P60" s="8"/>
    </row>
    <row r="61" spans="2:22" ht="18.600000000000001" thickBot="1" x14ac:dyDescent="0.4">
      <c r="B61" s="1226"/>
      <c r="C61" s="1227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238"/>
      <c r="O61" s="284"/>
      <c r="P61" s="8"/>
    </row>
    <row r="62" spans="2:22" ht="18.600000000000001" thickBot="1" x14ac:dyDescent="0.4">
      <c r="B62" s="1224">
        <v>46276</v>
      </c>
      <c r="C62" s="1225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237">
        <f>SUM(L62:L63)</f>
        <v>0</v>
      </c>
      <c r="O62" s="284"/>
      <c r="P62" s="8"/>
    </row>
    <row r="63" spans="2:22" ht="18.600000000000001" thickBot="1" x14ac:dyDescent="0.4">
      <c r="B63" s="1226"/>
      <c r="C63" s="1227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238"/>
      <c r="O63" s="284"/>
      <c r="P63" s="8"/>
    </row>
    <row r="64" spans="2:22" ht="18.600000000000001" thickBot="1" x14ac:dyDescent="0.4">
      <c r="B64" s="1224">
        <v>46277</v>
      </c>
      <c r="C64" s="1225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237">
        <f>SUM(L64:L65)</f>
        <v>394.524</v>
      </c>
      <c r="O64" s="284"/>
      <c r="P64" s="8"/>
    </row>
    <row r="65" spans="2:16" ht="18.600000000000001" thickBot="1" x14ac:dyDescent="0.4">
      <c r="B65" s="1226"/>
      <c r="C65" s="1227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238"/>
      <c r="O65" s="284"/>
      <c r="P65" s="8"/>
    </row>
    <row r="66" spans="2:16" ht="18.600000000000001" thickBot="1" x14ac:dyDescent="0.4">
      <c r="B66" s="1224">
        <v>46278</v>
      </c>
      <c r="C66" s="1225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237">
        <f>SUM(L66:L67)</f>
        <v>315.19799999999998</v>
      </c>
      <c r="O66" s="284"/>
      <c r="P66" s="8"/>
    </row>
    <row r="67" spans="2:16" ht="18.600000000000001" thickBot="1" x14ac:dyDescent="0.4">
      <c r="B67" s="1226"/>
      <c r="C67" s="1227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238"/>
      <c r="O67" s="284"/>
      <c r="P67" s="8"/>
    </row>
    <row r="68" spans="2:16" ht="18.600000000000001" thickBot="1" x14ac:dyDescent="0.4">
      <c r="B68" s="1224">
        <v>46279</v>
      </c>
      <c r="C68" s="1225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228">
        <f t="shared" ref="N68" si="31">SUM(L68:L69)</f>
        <v>0</v>
      </c>
      <c r="O68" s="284"/>
      <c r="P68" s="8"/>
    </row>
    <row r="69" spans="2:16" ht="18.600000000000001" thickBot="1" x14ac:dyDescent="0.4">
      <c r="B69" s="1226"/>
      <c r="C69" s="1227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230"/>
      <c r="O69" s="284"/>
      <c r="P69" s="8"/>
    </row>
    <row r="70" spans="2:16" ht="18.600000000000001" thickBot="1" x14ac:dyDescent="0.4">
      <c r="B70" s="1224">
        <v>46280</v>
      </c>
      <c r="C70" s="1225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228">
        <f t="shared" ref="N70" si="32">SUM(L70:L71)</f>
        <v>0</v>
      </c>
      <c r="O70" s="284"/>
      <c r="P70" s="8"/>
    </row>
    <row r="71" spans="2:16" ht="18.600000000000001" thickBot="1" x14ac:dyDescent="0.4">
      <c r="B71" s="1226"/>
      <c r="C71" s="1227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230"/>
      <c r="O71" s="284"/>
      <c r="P71" s="8"/>
    </row>
    <row r="72" spans="2:16" ht="18.600000000000001" thickBot="1" x14ac:dyDescent="0.4">
      <c r="B72" s="1224">
        <v>46281</v>
      </c>
      <c r="C72" s="1225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228">
        <f t="shared" ref="N72" si="33">SUM(L72:L73)</f>
        <v>0</v>
      </c>
      <c r="O72" s="284"/>
      <c r="P72" s="8"/>
    </row>
    <row r="73" spans="2:16" ht="18.600000000000001" thickBot="1" x14ac:dyDescent="0.4">
      <c r="B73" s="1226"/>
      <c r="C73" s="1227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230"/>
      <c r="O73" s="284"/>
      <c r="P73" s="8"/>
    </row>
    <row r="74" spans="2:16" ht="18.600000000000001" thickBot="1" x14ac:dyDescent="0.4">
      <c r="B74" s="1224">
        <v>46282</v>
      </c>
      <c r="C74" s="1225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228">
        <f t="shared" ref="N74" si="34">SUM(L74:L75)</f>
        <v>0</v>
      </c>
      <c r="O74" s="284"/>
      <c r="P74" s="8"/>
    </row>
    <row r="75" spans="2:16" ht="18.600000000000001" thickBot="1" x14ac:dyDescent="0.4">
      <c r="B75" s="1226"/>
      <c r="C75" s="1227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230"/>
      <c r="O75" s="284"/>
      <c r="P75" s="8"/>
    </row>
    <row r="76" spans="2:16" ht="18.600000000000001" thickBot="1" x14ac:dyDescent="0.4">
      <c r="B76" s="1224">
        <v>46283</v>
      </c>
      <c r="C76" s="1225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228">
        <f>SUM(L76:L77)</f>
        <v>241.488</v>
      </c>
      <c r="O76" s="284" t="s">
        <v>639</v>
      </c>
      <c r="P76" s="8"/>
    </row>
    <row r="77" spans="2:16" ht="18.600000000000001" thickBot="1" x14ac:dyDescent="0.4">
      <c r="B77" s="1226"/>
      <c r="C77" s="1227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6">
        <f t="shared" si="29"/>
        <v>241.488</v>
      </c>
      <c r="M77" s="1007">
        <f t="shared" ref="M77:M80" si="36">IFERROR((K77/12),"")</f>
        <v>23.400000000000002</v>
      </c>
      <c r="N77" s="1230"/>
      <c r="O77" s="284" t="s">
        <v>640</v>
      </c>
      <c r="P77" s="8"/>
    </row>
    <row r="78" spans="2:16" ht="18" x14ac:dyDescent="0.35">
      <c r="B78" s="1224">
        <v>46284</v>
      </c>
      <c r="C78" s="1225"/>
      <c r="D78" s="986" t="s">
        <v>12</v>
      </c>
      <c r="E78" s="1008" t="s">
        <v>169</v>
      </c>
      <c r="F78" s="1009">
        <v>178</v>
      </c>
      <c r="G78" s="1010" t="s">
        <v>14</v>
      </c>
      <c r="H78" s="1011">
        <v>0.13</v>
      </c>
      <c r="I78" s="1012">
        <f t="shared" si="4"/>
        <v>0.7</v>
      </c>
      <c r="J78" s="1013">
        <v>1.3</v>
      </c>
      <c r="K78" s="1014">
        <f t="shared" si="35"/>
        <v>161.97999999999999</v>
      </c>
      <c r="L78" s="1015">
        <f t="shared" ref="L78:L80" si="37">IFERROR(((F78*I78)*J78)*(1-H78),"")</f>
        <v>140.92259999999999</v>
      </c>
      <c r="M78" s="1016">
        <f t="shared" si="36"/>
        <v>13.498333333333333</v>
      </c>
      <c r="N78" s="1237">
        <f>SUM(L78:L80)</f>
        <v>353.78460000000001</v>
      </c>
      <c r="O78" s="284" t="s">
        <v>639</v>
      </c>
      <c r="P78" s="8"/>
    </row>
    <row r="79" spans="2:16" ht="18" x14ac:dyDescent="0.35">
      <c r="B79" s="1235"/>
      <c r="C79" s="1236"/>
      <c r="D79" s="1019" t="s">
        <v>12</v>
      </c>
      <c r="E79" s="1020" t="s">
        <v>169</v>
      </c>
      <c r="F79" s="1021">
        <v>10</v>
      </c>
      <c r="G79" s="1022" t="s">
        <v>15</v>
      </c>
      <c r="H79" s="1023">
        <v>9.1999999999999998E-2</v>
      </c>
      <c r="I79" s="1024">
        <f t="shared" ref="I79" si="38">IFERROR((VLOOKUP(G79,S$6:T$8,2,FALSE)),"")</f>
        <v>3</v>
      </c>
      <c r="J79" s="1025">
        <v>1.3</v>
      </c>
      <c r="K79" s="1026">
        <f t="shared" ref="K79" si="39">IFERROR((F79*I79*J79),"")</f>
        <v>39</v>
      </c>
      <c r="L79" s="1026">
        <f t="shared" ref="L79" si="40">IFERROR(((F79*I79)*J79)*(1-H79),"")</f>
        <v>35.411999999999999</v>
      </c>
      <c r="M79" s="1026">
        <f t="shared" ref="M79" si="41">IFERROR((K79/12),"")</f>
        <v>3.25</v>
      </c>
      <c r="N79" s="1237"/>
      <c r="O79" s="284"/>
      <c r="P79" s="8"/>
    </row>
    <row r="80" spans="2:16" ht="18.600000000000001" thickBot="1" x14ac:dyDescent="0.4">
      <c r="B80" s="1226"/>
      <c r="C80" s="1227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0.6</v>
      </c>
      <c r="J80" s="1066">
        <v>1.3</v>
      </c>
      <c r="K80" s="305">
        <f t="shared" si="35"/>
        <v>195</v>
      </c>
      <c r="L80" s="1067">
        <f t="shared" si="37"/>
        <v>177.45000000000002</v>
      </c>
      <c r="M80" s="1068">
        <f t="shared" si="36"/>
        <v>16.25</v>
      </c>
      <c r="N80" s="1238"/>
      <c r="O80" s="284"/>
      <c r="P80" s="8"/>
    </row>
    <row r="81" spans="2:16" ht="18.600000000000001" thickBot="1" x14ac:dyDescent="0.4">
      <c r="B81" s="1224">
        <v>46285</v>
      </c>
      <c r="C81" s="1225"/>
      <c r="D81" s="1019" t="s">
        <v>12</v>
      </c>
      <c r="E81" s="311" t="s">
        <v>169</v>
      </c>
      <c r="F81" s="312">
        <v>50</v>
      </c>
      <c r="G81" s="1022" t="s">
        <v>14</v>
      </c>
      <c r="H81" s="1023">
        <v>0.1</v>
      </c>
      <c r="I81" s="1024">
        <f t="shared" si="4"/>
        <v>0.7</v>
      </c>
      <c r="J81" s="1025">
        <v>1.3</v>
      </c>
      <c r="K81" s="1026">
        <f t="shared" ref="K81:K85" si="42">IFERROR((F81*I81*J81),"")</f>
        <v>45.5</v>
      </c>
      <c r="L81" s="1072">
        <f t="shared" ref="L81:L85" si="43">IFERROR(((F81*I81)*J81)*(1-H81),"")</f>
        <v>40.950000000000003</v>
      </c>
      <c r="M81" s="1072">
        <f t="shared" ref="M81:M85" si="44">IFERROR((K81/12),"")</f>
        <v>3.7916666666666665</v>
      </c>
      <c r="N81" s="1237">
        <f t="shared" ref="N81" si="45">SUM(L81:L83)</f>
        <v>212.32900000000001</v>
      </c>
      <c r="O81" s="284" t="s">
        <v>639</v>
      </c>
      <c r="P81" s="8"/>
    </row>
    <row r="82" spans="2:16" ht="18.600000000000001" thickBot="1" x14ac:dyDescent="0.4">
      <c r="B82" s="1235"/>
      <c r="C82" s="1236"/>
      <c r="D82" s="1019" t="s">
        <v>12</v>
      </c>
      <c r="E82" s="286" t="s">
        <v>169</v>
      </c>
      <c r="F82" s="287">
        <v>20</v>
      </c>
      <c r="G82" s="1022" t="s">
        <v>428</v>
      </c>
      <c r="H82" s="1023">
        <v>0.1</v>
      </c>
      <c r="I82" s="1024">
        <f t="shared" si="4"/>
        <v>0.6</v>
      </c>
      <c r="J82" s="1025">
        <v>1.3</v>
      </c>
      <c r="K82" s="1026">
        <f t="shared" si="42"/>
        <v>15.600000000000001</v>
      </c>
      <c r="L82" s="1072">
        <f t="shared" si="43"/>
        <v>14.040000000000001</v>
      </c>
      <c r="M82" s="1072">
        <f t="shared" si="44"/>
        <v>1.3</v>
      </c>
      <c r="N82" s="1237"/>
      <c r="O82" s="284"/>
      <c r="P82" s="8"/>
    </row>
    <row r="83" spans="2:16" ht="18.600000000000001" thickBot="1" x14ac:dyDescent="0.4">
      <c r="B83" s="1226"/>
      <c r="C83" s="1227"/>
      <c r="D83" s="1019" t="s">
        <v>13</v>
      </c>
      <c r="E83" s="297" t="s">
        <v>553</v>
      </c>
      <c r="F83" s="290">
        <v>190</v>
      </c>
      <c r="G83" s="1022" t="s">
        <v>14</v>
      </c>
      <c r="H83" s="1023">
        <v>0.09</v>
      </c>
      <c r="I83" s="1024">
        <f t="shared" si="4"/>
        <v>0.7</v>
      </c>
      <c r="J83" s="1025">
        <v>1.3</v>
      </c>
      <c r="K83" s="1026">
        <f t="shared" si="42"/>
        <v>172.9</v>
      </c>
      <c r="L83" s="1072">
        <f t="shared" si="43"/>
        <v>157.339</v>
      </c>
      <c r="M83" s="1072">
        <f t="shared" si="44"/>
        <v>14.408333333333333</v>
      </c>
      <c r="N83" s="1238"/>
      <c r="O83" s="284"/>
      <c r="P83" s="8"/>
    </row>
    <row r="84" spans="2:16" ht="18.600000000000001" thickBot="1" x14ac:dyDescent="0.4">
      <c r="B84" s="1224">
        <v>46286</v>
      </c>
      <c r="C84" s="1225"/>
      <c r="D84" s="1073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7">
        <f t="shared" si="4"/>
        <v>0.7</v>
      </c>
      <c r="J84" s="1018">
        <v>1.3</v>
      </c>
      <c r="K84" s="1069">
        <f t="shared" si="42"/>
        <v>273</v>
      </c>
      <c r="L84" s="1070">
        <f t="shared" si="43"/>
        <v>248.43</v>
      </c>
      <c r="M84" s="1071">
        <f t="shared" si="44"/>
        <v>22.75</v>
      </c>
      <c r="N84" s="1228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226"/>
      <c r="C85" s="1227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230"/>
      <c r="O85" s="284"/>
      <c r="P85" s="8"/>
    </row>
    <row r="86" spans="2:16" ht="18.600000000000001" thickBot="1" x14ac:dyDescent="0.4">
      <c r="B86" s="1224">
        <v>46287</v>
      </c>
      <c r="C86" s="1225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228">
        <f t="shared" ref="N86" si="50">SUM(L86:L87)</f>
        <v>133.38000000000002</v>
      </c>
      <c r="O86" s="284"/>
      <c r="P86" s="8"/>
    </row>
    <row r="87" spans="2:16" ht="18.600000000000001" thickBot="1" x14ac:dyDescent="0.4">
      <c r="B87" s="1226"/>
      <c r="C87" s="1227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230"/>
      <c r="O87" s="284"/>
      <c r="P87" s="8"/>
    </row>
    <row r="88" spans="2:16" ht="18.600000000000001" thickBot="1" x14ac:dyDescent="0.4">
      <c r="B88" s="1224">
        <v>46288</v>
      </c>
      <c r="C88" s="1225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228">
        <f>SUM(L88:L89)</f>
        <v>402.63600000000008</v>
      </c>
      <c r="O88" s="284"/>
      <c r="P88" s="8"/>
    </row>
    <row r="89" spans="2:16" ht="18.600000000000001" thickBot="1" x14ac:dyDescent="0.4">
      <c r="B89" s="1226"/>
      <c r="C89" s="1227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230"/>
      <c r="O89" s="284"/>
      <c r="P89" s="8"/>
    </row>
    <row r="90" spans="2:16" ht="18.600000000000001" thickBot="1" x14ac:dyDescent="0.4">
      <c r="B90" s="1224">
        <v>46289</v>
      </c>
      <c r="C90" s="1225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228">
        <f t="shared" ref="N90" si="59">SUM(L90:L91)</f>
        <v>219.92100000000002</v>
      </c>
      <c r="O90" s="284"/>
      <c r="P90" s="8"/>
    </row>
    <row r="91" spans="2:16" ht="18.600000000000001" thickBot="1" x14ac:dyDescent="0.4">
      <c r="B91" s="1226"/>
      <c r="C91" s="1227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230"/>
      <c r="O91" s="284"/>
      <c r="P91" s="8"/>
    </row>
    <row r="92" spans="2:16" ht="18.600000000000001" thickBot="1" x14ac:dyDescent="0.4">
      <c r="B92" s="1224">
        <v>46290</v>
      </c>
      <c r="C92" s="1225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228">
        <f t="shared" ref="N92" si="64">SUM(L92:L93)</f>
        <v>217.62</v>
      </c>
      <c r="O92" s="284"/>
      <c r="P92" s="8"/>
    </row>
    <row r="93" spans="2:16" ht="18.600000000000001" thickBot="1" x14ac:dyDescent="0.4">
      <c r="B93" s="1226"/>
      <c r="C93" s="1227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230"/>
      <c r="O93" s="284"/>
      <c r="P93" s="8"/>
    </row>
    <row r="94" spans="2:16" ht="18.600000000000001" thickBot="1" x14ac:dyDescent="0.4">
      <c r="B94" s="1224">
        <v>46291</v>
      </c>
      <c r="C94" s="1225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228">
        <f t="shared" ref="N94" si="69">SUM(L94:L95)</f>
        <v>253.77300000000002</v>
      </c>
      <c r="O94" s="284"/>
      <c r="P94" s="8"/>
    </row>
    <row r="95" spans="2:16" ht="18.600000000000001" thickBot="1" x14ac:dyDescent="0.4">
      <c r="B95" s="1226"/>
      <c r="C95" s="1227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230"/>
      <c r="O95" s="284"/>
      <c r="P95" s="8"/>
    </row>
    <row r="96" spans="2:16" ht="18.600000000000001" thickBot="1" x14ac:dyDescent="0.4">
      <c r="B96" s="1224">
        <v>46292</v>
      </c>
      <c r="C96" s="1225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228">
        <f t="shared" ref="N96" si="70">SUM(L96:L97)</f>
        <v>0</v>
      </c>
      <c r="O96" s="284"/>
      <c r="P96" s="8"/>
    </row>
    <row r="97" spans="2:19" ht="18.600000000000001" thickBot="1" x14ac:dyDescent="0.4">
      <c r="B97" s="1226"/>
      <c r="C97" s="1227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230"/>
      <c r="O97" s="284"/>
      <c r="P97" s="8"/>
    </row>
    <row r="98" spans="2:19" ht="18.600000000000001" thickBot="1" x14ac:dyDescent="0.4">
      <c r="B98" s="1224">
        <v>46293</v>
      </c>
      <c r="C98" s="1225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228">
        <f t="shared" ref="N98" si="75">SUM(L98:L99)</f>
        <v>182.988</v>
      </c>
      <c r="O98" s="284"/>
      <c r="P98" s="8"/>
    </row>
    <row r="99" spans="2:19" ht="18.600000000000001" thickBot="1" x14ac:dyDescent="0.4">
      <c r="B99" s="1226"/>
      <c r="C99" s="1227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230"/>
      <c r="O99" s="284"/>
      <c r="P99" s="8"/>
    </row>
    <row r="100" spans="2:19" ht="18.600000000000001" thickBot="1" x14ac:dyDescent="0.4">
      <c r="B100" s="1224">
        <v>46294</v>
      </c>
      <c r="C100" s="1225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228">
        <f t="shared" ref="N100" si="76">SUM(L100:L101)</f>
        <v>0</v>
      </c>
      <c r="O100" s="284"/>
      <c r="P100" s="8"/>
    </row>
    <row r="101" spans="2:19" ht="18.600000000000001" thickBot="1" x14ac:dyDescent="0.4">
      <c r="B101" s="1226"/>
      <c r="C101" s="1227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230"/>
      <c r="O101" s="284"/>
      <c r="P101" s="8"/>
    </row>
    <row r="102" spans="2:19" ht="18.600000000000001" thickBot="1" x14ac:dyDescent="0.4">
      <c r="B102" s="1224">
        <v>46295</v>
      </c>
      <c r="C102" s="1225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228">
        <f>SUM(L102:L103)</f>
        <v>121.485</v>
      </c>
      <c r="O102" s="284"/>
      <c r="P102" s="8"/>
    </row>
    <row r="103" spans="2:19" ht="18.600000000000001" thickBot="1" x14ac:dyDescent="0.4">
      <c r="B103" s="1226"/>
      <c r="C103" s="1227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229"/>
      <c r="O103" s="284"/>
      <c r="P103" s="8"/>
    </row>
    <row r="104" spans="2:19" ht="18.600000000000001" thickBot="1" x14ac:dyDescent="0.4">
      <c r="B104" s="1224">
        <v>46296</v>
      </c>
      <c r="C104" s="1225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228">
        <f>SUM(L104:L105)</f>
        <v>348.435</v>
      </c>
      <c r="O104" s="284"/>
      <c r="P104" s="8"/>
    </row>
    <row r="105" spans="2:19" ht="18.600000000000001" thickBot="1" x14ac:dyDescent="0.4">
      <c r="B105" s="1226"/>
      <c r="C105" s="1227"/>
      <c r="D105" s="285" t="s">
        <v>13</v>
      </c>
      <c r="E105" s="297" t="s">
        <v>169</v>
      </c>
      <c r="F105" s="290">
        <v>20</v>
      </c>
      <c r="G105" s="288" t="s">
        <v>15</v>
      </c>
      <c r="H105" s="289">
        <v>0.11</v>
      </c>
      <c r="I105" s="280">
        <f t="shared" si="77"/>
        <v>3</v>
      </c>
      <c r="J105" s="281">
        <v>2.2999999999999998</v>
      </c>
      <c r="K105" s="298">
        <f t="shared" si="78"/>
        <v>138</v>
      </c>
      <c r="L105" s="294">
        <f t="shared" si="79"/>
        <v>122.82000000000001</v>
      </c>
      <c r="M105" s="309">
        <f t="shared" si="80"/>
        <v>11.5</v>
      </c>
      <c r="N105" s="1229"/>
      <c r="O105" s="284"/>
      <c r="P105" s="8"/>
    </row>
    <row r="106" spans="2:19" ht="18" x14ac:dyDescent="0.35">
      <c r="B106" s="1251" t="s">
        <v>16</v>
      </c>
      <c r="C106" s="1252"/>
      <c r="D106" s="318"/>
      <c r="E106" s="319"/>
      <c r="F106" s="320">
        <f>AVERAGE(F6:F91)</f>
        <v>182</v>
      </c>
      <c r="G106" s="321"/>
      <c r="H106" s="322">
        <f>AVERAGE(H6:H86)</f>
        <v>0.11073333333333336</v>
      </c>
      <c r="I106" s="323" t="str">
        <f t="shared" si="4"/>
        <v/>
      </c>
      <c r="J106" s="324"/>
      <c r="K106" s="325">
        <f>AVERAGE(K6:K67)</f>
        <v>180.42742857142852</v>
      </c>
      <c r="L106" s="326">
        <f>AVERAGE(L6:L80)</f>
        <v>152.51721230769229</v>
      </c>
      <c r="M106" s="1065">
        <f>AVERAGE(M6:M103)</f>
        <v>14.502918803418806</v>
      </c>
      <c r="N106" s="333">
        <f>AVERAGE(N6:N85)</f>
        <v>113.49247487179487</v>
      </c>
      <c r="O106" s="284"/>
      <c r="S106" s="4"/>
    </row>
    <row r="107" spans="2:19" ht="18.600000000000001" thickBot="1" x14ac:dyDescent="0.4">
      <c r="B107" s="1253" t="s">
        <v>17</v>
      </c>
      <c r="C107" s="1254"/>
      <c r="D107" s="1581"/>
      <c r="E107" s="327"/>
      <c r="F107" s="328">
        <f>SUM(F6:F85)</f>
        <v>5971</v>
      </c>
      <c r="G107" s="327"/>
      <c r="H107" s="329"/>
      <c r="I107" s="329"/>
      <c r="J107" s="327"/>
      <c r="K107" s="330"/>
      <c r="L107" s="331"/>
      <c r="M107" s="327"/>
      <c r="N107" s="334">
        <f>SUM(N6:N103)</f>
        <v>5958.0095200000005</v>
      </c>
      <c r="O107" s="284"/>
      <c r="Q107" s="4"/>
      <c r="R107" s="4"/>
      <c r="S107" s="2"/>
    </row>
    <row r="108" spans="2:19" x14ac:dyDescent="0.3">
      <c r="D108" s="1580"/>
      <c r="F108" s="264"/>
      <c r="H108" s="267"/>
      <c r="I108" s="269"/>
    </row>
    <row r="109" spans="2:19" x14ac:dyDescent="0.3">
      <c r="K109" s="10"/>
      <c r="N109" s="949"/>
    </row>
    <row r="110" spans="2:19" x14ac:dyDescent="0.3">
      <c r="F110" s="265"/>
      <c r="I110" s="265"/>
      <c r="N110" s="949"/>
    </row>
    <row r="114" spans="15:15" x14ac:dyDescent="0.3">
      <c r="O114" s="4"/>
    </row>
  </sheetData>
  <mergeCells count="105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6:C106"/>
    <mergeCell ref="B107:C10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B104:C105"/>
    <mergeCell ref="N104:N105"/>
    <mergeCell ref="N98:N99"/>
    <mergeCell ref="N100:N101"/>
    <mergeCell ref="N102:N103"/>
    <mergeCell ref="B94:C95"/>
    <mergeCell ref="N94:N95"/>
    <mergeCell ref="N96:N97"/>
    <mergeCell ref="B96:C97"/>
    <mergeCell ref="B98:C99"/>
  </mergeCells>
  <phoneticPr fontId="89" type="noConversion"/>
  <dataValidations count="1">
    <dataValidation type="list" allowBlank="1" showInputMessage="1" showErrorMessage="1" sqref="G6:G10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59" t="s">
        <v>122</v>
      </c>
      <c r="C1" s="1259"/>
      <c r="D1" s="1259"/>
      <c r="E1" s="1259"/>
      <c r="F1" s="1259"/>
      <c r="G1" s="1259"/>
      <c r="H1" s="1259"/>
      <c r="I1" s="1259"/>
      <c r="J1" s="1259"/>
      <c r="K1" s="1259"/>
      <c r="L1" s="1259"/>
    </row>
    <row r="2" spans="1:27" ht="18" x14ac:dyDescent="0.35">
      <c r="F2" s="1267" t="s">
        <v>418</v>
      </c>
      <c r="G2" s="1267"/>
      <c r="H2" s="1267"/>
      <c r="I2" s="1267"/>
      <c r="J2" s="1267"/>
    </row>
    <row r="3" spans="1:27" ht="15" thickBot="1" x14ac:dyDescent="0.35">
      <c r="A3" s="1262" t="s">
        <v>198</v>
      </c>
      <c r="B3" s="1263"/>
      <c r="C3" s="1263"/>
      <c r="D3" s="1263"/>
      <c r="E3" s="1263"/>
      <c r="F3" s="1263"/>
      <c r="G3" s="1264"/>
    </row>
    <row r="4" spans="1:27" ht="15" thickBot="1" x14ac:dyDescent="0.35">
      <c r="A4" s="1265" t="s">
        <v>0</v>
      </c>
      <c r="B4" s="126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260">
        <v>46252</v>
      </c>
      <c r="B6" s="1261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260">
        <v>46253</v>
      </c>
      <c r="B7" s="1261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260">
        <v>46254</v>
      </c>
      <c r="B8" s="1261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257" t="s">
        <v>209</v>
      </c>
      <c r="AA8" s="1258"/>
    </row>
    <row r="9" spans="1:27" x14ac:dyDescent="0.3">
      <c r="A9" s="1260">
        <v>46255</v>
      </c>
      <c r="B9" s="1261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9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260">
        <v>46256</v>
      </c>
      <c r="B10" s="1261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5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260">
        <v>46257</v>
      </c>
      <c r="B11" s="1261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5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260">
        <v>46258</v>
      </c>
      <c r="B12" s="1261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6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260">
        <v>46259</v>
      </c>
      <c r="B13" s="1261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7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260">
        <v>46260</v>
      </c>
      <c r="B14" s="1261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7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260">
        <v>46261</v>
      </c>
      <c r="B15" s="1261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2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260">
        <v>46262</v>
      </c>
      <c r="B16" s="1261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80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260">
        <v>46263</v>
      </c>
      <c r="B17" s="1261"/>
      <c r="C17" s="390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1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260">
        <v>46264</v>
      </c>
      <c r="B18" s="1261"/>
      <c r="C18" s="399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260">
        <v>46265</v>
      </c>
      <c r="B19" s="1261"/>
      <c r="C19" s="64"/>
      <c r="D19" s="60"/>
      <c r="E19" s="60"/>
      <c r="F19" s="61">
        <f t="shared" si="0"/>
        <v>0</v>
      </c>
      <c r="G19" s="400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260">
        <v>46266</v>
      </c>
      <c r="B20" s="1261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260">
        <v>46267</v>
      </c>
      <c r="B21" s="1261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260">
        <v>46268</v>
      </c>
      <c r="B22" s="1261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260">
        <v>46269</v>
      </c>
      <c r="B23" s="1261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260">
        <v>46270</v>
      </c>
      <c r="B24" s="1261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260">
        <v>46271</v>
      </c>
      <c r="B25" s="1261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260">
        <v>46272</v>
      </c>
      <c r="B26" s="1261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260">
        <v>46273</v>
      </c>
      <c r="B27" s="1261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260">
        <v>46274</v>
      </c>
      <c r="B28" s="1261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260">
        <v>46275</v>
      </c>
      <c r="B29" s="1261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260">
        <v>46276</v>
      </c>
      <c r="B30" s="1261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260">
        <v>46277</v>
      </c>
      <c r="B31" s="1261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260">
        <v>46278</v>
      </c>
      <c r="B32" s="1261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260">
        <v>46279</v>
      </c>
      <c r="B33" s="1261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260">
        <v>46280</v>
      </c>
      <c r="B34" s="1261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260">
        <v>46281</v>
      </c>
      <c r="B35" s="1261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260">
        <v>46282</v>
      </c>
      <c r="B36" s="1261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260">
        <v>46283</v>
      </c>
      <c r="B37" s="1261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260">
        <v>46284</v>
      </c>
      <c r="B38" s="1261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260">
        <v>46285</v>
      </c>
      <c r="B39" s="1261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260">
        <v>46286</v>
      </c>
      <c r="B40" s="1261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260">
        <v>46287</v>
      </c>
      <c r="B41" s="1261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260">
        <v>46288</v>
      </c>
      <c r="B42" s="1261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5"/>
    <col min="2" max="2" width="29.88671875" style="845" bestFit="1" customWidth="1"/>
    <col min="3" max="3" width="96.6640625" style="845" bestFit="1" customWidth="1"/>
    <col min="4" max="4" width="110.44140625" style="845" customWidth="1"/>
    <col min="5" max="5" width="171.33203125" style="845" customWidth="1"/>
    <col min="6" max="7" width="151" style="845" customWidth="1"/>
    <col min="8" max="8" width="35.88671875" style="845" bestFit="1" customWidth="1"/>
    <col min="9" max="9" width="133.88671875" style="845" customWidth="1"/>
    <col min="10" max="10" width="112.109375" style="845" customWidth="1"/>
    <col min="11" max="11" width="72.6640625" style="845" customWidth="1"/>
    <col min="12" max="12" width="82.109375" style="845" bestFit="1" customWidth="1"/>
    <col min="13" max="13" width="42.33203125" style="845" customWidth="1"/>
    <col min="14" max="19" width="9.109375" style="845"/>
    <col min="20" max="20" width="33.5546875" style="845" customWidth="1"/>
    <col min="21" max="21" width="17.44140625" style="845" customWidth="1"/>
    <col min="22" max="25" width="9.109375" style="845"/>
    <col min="26" max="26" width="23" style="845" customWidth="1"/>
    <col min="27" max="27" width="24.44140625" style="845" customWidth="1"/>
    <col min="28" max="28" width="39" style="845" customWidth="1"/>
    <col min="29" max="16384" width="9.109375" style="845"/>
  </cols>
  <sheetData>
    <row r="1" spans="2:28" x14ac:dyDescent="1.65">
      <c r="B1" s="842"/>
      <c r="C1" s="843"/>
      <c r="D1" s="843"/>
      <c r="E1" s="843"/>
      <c r="F1" s="843"/>
      <c r="G1" s="843"/>
      <c r="H1" s="843"/>
      <c r="I1" s="843"/>
      <c r="J1" s="843"/>
      <c r="K1" s="843"/>
      <c r="L1" s="843"/>
      <c r="M1" s="843"/>
      <c r="N1" s="843"/>
      <c r="O1" s="843"/>
      <c r="P1" s="843"/>
      <c r="Q1" s="843"/>
      <c r="R1" s="843"/>
      <c r="S1" s="843"/>
      <c r="T1" s="844"/>
    </row>
    <row r="2" spans="2:28" x14ac:dyDescent="1.65">
      <c r="B2" s="1268" t="s">
        <v>601</v>
      </c>
      <c r="C2" s="1269"/>
      <c r="D2" s="1269"/>
      <c r="E2" s="1269"/>
      <c r="F2" s="1269"/>
      <c r="G2" s="1269"/>
      <c r="H2" s="1269"/>
      <c r="I2" s="1269"/>
      <c r="J2" s="1269"/>
      <c r="K2" s="1269"/>
      <c r="L2" s="1269"/>
      <c r="M2" s="1269"/>
      <c r="N2" s="1269"/>
      <c r="O2" s="1269"/>
      <c r="P2" s="1269"/>
      <c r="Q2" s="1269"/>
      <c r="R2" s="1269"/>
      <c r="S2" s="1269"/>
      <c r="T2" s="1270"/>
    </row>
    <row r="3" spans="2:28" x14ac:dyDescent="1.65">
      <c r="B3" s="847"/>
      <c r="C3" s="1269" t="s">
        <v>602</v>
      </c>
      <c r="D3" s="1269"/>
      <c r="E3" s="1269"/>
      <c r="F3" s="1269"/>
      <c r="G3" s="1269"/>
      <c r="H3" s="1269"/>
      <c r="I3" s="1269"/>
      <c r="J3" s="1269"/>
      <c r="K3" s="1269"/>
      <c r="L3" s="1269"/>
      <c r="M3" s="1269"/>
      <c r="N3" s="1269"/>
      <c r="O3" s="1269"/>
      <c r="P3" s="1269"/>
      <c r="Q3" s="1269"/>
      <c r="R3" s="1269"/>
      <c r="S3" s="1269"/>
      <c r="T3" s="1270"/>
    </row>
    <row r="4" spans="2:28" ht="92.4" thickBot="1" x14ac:dyDescent="1.7">
      <c r="B4" s="1271" t="s">
        <v>603</v>
      </c>
      <c r="C4" s="1272"/>
      <c r="D4" s="1272"/>
      <c r="E4" s="1272"/>
      <c r="F4" s="1272"/>
      <c r="G4" s="1272"/>
      <c r="H4" s="1272"/>
      <c r="I4" s="1272"/>
      <c r="J4" s="1272"/>
      <c r="K4" s="1272"/>
      <c r="L4" s="1272"/>
      <c r="M4" s="1272"/>
      <c r="N4" s="1272"/>
      <c r="O4" s="1272"/>
      <c r="P4" s="1272"/>
      <c r="Q4" s="1272"/>
      <c r="R4" s="1272"/>
      <c r="S4" s="1272"/>
      <c r="T4" s="1273"/>
    </row>
    <row r="5" spans="2:28" x14ac:dyDescent="1.65">
      <c r="B5" s="848"/>
      <c r="C5" s="849"/>
      <c r="D5" s="849"/>
      <c r="E5" s="849"/>
      <c r="F5" s="849"/>
      <c r="G5" s="849"/>
      <c r="H5" s="843"/>
      <c r="I5" s="849"/>
      <c r="J5" s="849"/>
      <c r="K5" s="849"/>
      <c r="L5" s="849"/>
      <c r="M5" s="849"/>
      <c r="N5" s="849"/>
      <c r="O5" s="849"/>
      <c r="P5" s="849"/>
      <c r="Q5" s="849"/>
      <c r="R5" s="849"/>
      <c r="S5" s="849"/>
      <c r="T5" s="850"/>
      <c r="U5" s="851"/>
    </row>
    <row r="6" spans="2:28" x14ac:dyDescent="1.65">
      <c r="B6" s="1274" t="s">
        <v>622</v>
      </c>
      <c r="C6" s="1275"/>
      <c r="D6" s="1275"/>
      <c r="E6" s="1275"/>
      <c r="F6" s="1275"/>
      <c r="G6" s="1275"/>
      <c r="H6" s="1275"/>
      <c r="I6" s="1275"/>
      <c r="J6" s="1275"/>
      <c r="K6" s="1275"/>
      <c r="L6" s="1275"/>
      <c r="M6" s="1275"/>
      <c r="N6" s="1275"/>
      <c r="O6" s="1275"/>
      <c r="P6" s="1275"/>
      <c r="Q6" s="1275"/>
      <c r="R6" s="1275"/>
      <c r="S6" s="1275"/>
      <c r="T6" s="1276"/>
    </row>
    <row r="7" spans="2:28" ht="92.4" thickBot="1" x14ac:dyDescent="1.7">
      <c r="B7" s="1277"/>
      <c r="C7" s="1278"/>
      <c r="D7" s="1278"/>
      <c r="E7" s="1278"/>
      <c r="F7" s="1278"/>
      <c r="G7" s="1278"/>
      <c r="H7" s="1278"/>
      <c r="I7" s="1278"/>
      <c r="J7" s="1278"/>
      <c r="K7" s="1278"/>
      <c r="L7" s="1278"/>
      <c r="M7" s="1278"/>
      <c r="N7" s="1278"/>
      <c r="O7" s="1278"/>
      <c r="P7" s="1278"/>
      <c r="Q7" s="1278"/>
      <c r="R7" s="1278"/>
      <c r="S7" s="1278"/>
      <c r="T7" s="1279"/>
    </row>
    <row r="8" spans="2:28" x14ac:dyDescent="1.65">
      <c r="B8" s="852"/>
      <c r="T8" s="853"/>
    </row>
    <row r="9" spans="2:28" x14ac:dyDescent="1.65">
      <c r="B9" s="852"/>
      <c r="T9" s="853"/>
    </row>
    <row r="10" spans="2:28" x14ac:dyDescent="1.65">
      <c r="B10" s="852"/>
      <c r="T10" s="853"/>
    </row>
    <row r="11" spans="2:28" x14ac:dyDescent="1.65">
      <c r="B11" s="852"/>
      <c r="T11" s="853"/>
    </row>
    <row r="12" spans="2:28" x14ac:dyDescent="1.65">
      <c r="B12" s="852"/>
      <c r="T12" s="853"/>
    </row>
    <row r="13" spans="2:28" x14ac:dyDescent="1.65">
      <c r="B13" s="846"/>
      <c r="C13" s="854" t="s">
        <v>70</v>
      </c>
      <c r="D13" s="854" t="s">
        <v>0</v>
      </c>
      <c r="E13" s="854" t="s">
        <v>604</v>
      </c>
      <c r="F13" s="854" t="s">
        <v>667</v>
      </c>
      <c r="G13" s="854" t="s">
        <v>611</v>
      </c>
      <c r="H13" s="854" t="s">
        <v>605</v>
      </c>
      <c r="I13" s="854" t="s">
        <v>606</v>
      </c>
      <c r="J13" s="854" t="s">
        <v>607</v>
      </c>
      <c r="K13" s="854" t="s">
        <v>608</v>
      </c>
      <c r="L13" s="854" t="s">
        <v>225</v>
      </c>
      <c r="M13" s="854" t="s">
        <v>609</v>
      </c>
      <c r="T13" s="853"/>
      <c r="Z13" s="1280" t="s">
        <v>620</v>
      </c>
      <c r="AA13" s="1280"/>
      <c r="AB13" s="1280"/>
    </row>
    <row r="14" spans="2:28" x14ac:dyDescent="1.65">
      <c r="B14" s="855"/>
      <c r="C14" s="856">
        <v>1</v>
      </c>
      <c r="D14" s="862">
        <v>46268</v>
      </c>
      <c r="E14" s="856" t="s">
        <v>612</v>
      </c>
      <c r="F14" s="856" t="s">
        <v>613</v>
      </c>
      <c r="G14" s="856">
        <v>1000</v>
      </c>
      <c r="H14" s="856">
        <v>1</v>
      </c>
      <c r="I14" s="856">
        <v>10</v>
      </c>
      <c r="J14" s="856">
        <v>0</v>
      </c>
      <c r="K14" s="856">
        <v>0.01</v>
      </c>
      <c r="L14" s="856" t="s">
        <v>619</v>
      </c>
      <c r="M14" s="1092">
        <v>7</v>
      </c>
      <c r="T14" s="853"/>
      <c r="Z14" s="845">
        <v>1</v>
      </c>
      <c r="AA14" s="845" t="s">
        <v>621</v>
      </c>
    </row>
    <row r="15" spans="2:28" x14ac:dyDescent="1.65">
      <c r="B15" s="855"/>
      <c r="C15" s="856">
        <v>2</v>
      </c>
      <c r="D15" s="862">
        <v>46269</v>
      </c>
      <c r="E15" s="856" t="s">
        <v>612</v>
      </c>
      <c r="F15" s="856" t="s">
        <v>613</v>
      </c>
      <c r="G15" s="856">
        <v>1000</v>
      </c>
      <c r="H15" s="856">
        <v>1</v>
      </c>
      <c r="I15" s="856">
        <v>10</v>
      </c>
      <c r="J15" s="856">
        <v>0</v>
      </c>
      <c r="K15" s="856">
        <v>0.01</v>
      </c>
      <c r="L15" s="856" t="s">
        <v>619</v>
      </c>
      <c r="M15" s="1092">
        <v>7</v>
      </c>
      <c r="T15" s="853"/>
      <c r="Z15" s="845">
        <v>2</v>
      </c>
      <c r="AA15" s="845" t="s">
        <v>618</v>
      </c>
    </row>
    <row r="16" spans="2:28" x14ac:dyDescent="1.65">
      <c r="B16" s="855"/>
      <c r="C16" s="856">
        <v>3</v>
      </c>
      <c r="D16" s="862">
        <v>46269</v>
      </c>
      <c r="E16" s="856" t="s">
        <v>615</v>
      </c>
      <c r="F16" s="856" t="s">
        <v>613</v>
      </c>
      <c r="G16" s="856">
        <v>1000</v>
      </c>
      <c r="H16" s="856">
        <v>1</v>
      </c>
      <c r="I16" s="856">
        <v>10</v>
      </c>
      <c r="J16" s="856">
        <v>0</v>
      </c>
      <c r="K16" s="856">
        <v>0.01</v>
      </c>
      <c r="L16" s="856" t="s">
        <v>619</v>
      </c>
      <c r="M16" s="1092">
        <v>7</v>
      </c>
      <c r="T16" s="853"/>
      <c r="Z16" s="845">
        <v>3</v>
      </c>
      <c r="AA16" s="845" t="s">
        <v>610</v>
      </c>
    </row>
    <row r="17" spans="2:20" x14ac:dyDescent="1.65">
      <c r="B17" s="852"/>
      <c r="C17" s="856">
        <v>4</v>
      </c>
      <c r="D17" s="863">
        <v>46270</v>
      </c>
      <c r="E17" s="857" t="s">
        <v>616</v>
      </c>
      <c r="F17" s="856" t="s">
        <v>613</v>
      </c>
      <c r="G17" s="856">
        <v>1000</v>
      </c>
      <c r="H17" s="856">
        <v>1</v>
      </c>
      <c r="I17" s="856">
        <v>10</v>
      </c>
      <c r="J17" s="856">
        <v>0</v>
      </c>
      <c r="K17" s="856">
        <v>0.01</v>
      </c>
      <c r="L17" s="856" t="s">
        <v>619</v>
      </c>
      <c r="M17" s="1092">
        <v>7</v>
      </c>
      <c r="T17" s="853"/>
    </row>
    <row r="18" spans="2:20" x14ac:dyDescent="1.65">
      <c r="B18" s="852"/>
      <c r="C18" s="856">
        <v>5</v>
      </c>
      <c r="D18" s="863">
        <v>46274</v>
      </c>
      <c r="E18" s="857" t="s">
        <v>617</v>
      </c>
      <c r="F18" s="856" t="s">
        <v>618</v>
      </c>
      <c r="G18" s="856">
        <v>1000</v>
      </c>
      <c r="H18" s="856">
        <v>1</v>
      </c>
      <c r="I18" s="856">
        <v>10</v>
      </c>
      <c r="J18" s="856">
        <v>0</v>
      </c>
      <c r="K18" s="856">
        <v>0.01</v>
      </c>
      <c r="L18" s="856" t="s">
        <v>619</v>
      </c>
      <c r="M18" s="1092">
        <v>7</v>
      </c>
      <c r="T18" s="853"/>
    </row>
    <row r="19" spans="2:20" x14ac:dyDescent="1.65">
      <c r="B19" s="852"/>
      <c r="C19" s="856">
        <v>6</v>
      </c>
      <c r="D19" s="863">
        <v>46274</v>
      </c>
      <c r="E19" s="857" t="s">
        <v>614</v>
      </c>
      <c r="F19" s="856" t="s">
        <v>613</v>
      </c>
      <c r="G19" s="856">
        <v>1000</v>
      </c>
      <c r="H19" s="856">
        <v>1</v>
      </c>
      <c r="I19" s="856">
        <v>10</v>
      </c>
      <c r="J19" s="856">
        <v>0</v>
      </c>
      <c r="K19" s="856">
        <v>0.01</v>
      </c>
      <c r="L19" s="856" t="s">
        <v>619</v>
      </c>
      <c r="M19" s="1092">
        <v>7</v>
      </c>
      <c r="T19" s="853"/>
    </row>
    <row r="20" spans="2:20" x14ac:dyDescent="1.65">
      <c r="B20" s="852"/>
      <c r="C20" s="856">
        <v>7</v>
      </c>
      <c r="D20" s="863">
        <v>46275</v>
      </c>
      <c r="E20" s="857" t="s">
        <v>616</v>
      </c>
      <c r="F20" s="856" t="s">
        <v>613</v>
      </c>
      <c r="G20" s="856">
        <v>1000</v>
      </c>
      <c r="H20" s="856">
        <v>1</v>
      </c>
      <c r="I20" s="856">
        <v>10</v>
      </c>
      <c r="J20" s="856">
        <v>0</v>
      </c>
      <c r="K20" s="856">
        <v>0.01</v>
      </c>
      <c r="L20" s="856" t="s">
        <v>619</v>
      </c>
      <c r="M20" s="1092">
        <v>7</v>
      </c>
      <c r="T20" s="853"/>
    </row>
    <row r="21" spans="2:20" x14ac:dyDescent="1.65">
      <c r="B21" s="852"/>
      <c r="C21" s="856">
        <v>8</v>
      </c>
      <c r="D21" s="863">
        <v>46275</v>
      </c>
      <c r="E21" s="857" t="s">
        <v>614</v>
      </c>
      <c r="F21" s="856" t="s">
        <v>613</v>
      </c>
      <c r="G21" s="856">
        <v>1000</v>
      </c>
      <c r="H21" s="856">
        <v>1</v>
      </c>
      <c r="I21" s="856">
        <v>10</v>
      </c>
      <c r="J21" s="856">
        <v>0</v>
      </c>
      <c r="K21" s="856">
        <v>0.01</v>
      </c>
      <c r="L21" s="856" t="s">
        <v>619</v>
      </c>
      <c r="M21" s="1092">
        <v>7</v>
      </c>
      <c r="T21" s="853"/>
    </row>
    <row r="22" spans="2:20" x14ac:dyDescent="1.65">
      <c r="B22" s="852"/>
      <c r="C22" s="856">
        <v>9</v>
      </c>
      <c r="D22" s="863">
        <v>46276</v>
      </c>
      <c r="E22" s="857" t="s">
        <v>616</v>
      </c>
      <c r="F22" s="856" t="s">
        <v>613</v>
      </c>
      <c r="G22" s="856">
        <v>1000</v>
      </c>
      <c r="H22" s="856">
        <v>1</v>
      </c>
      <c r="I22" s="856">
        <v>10</v>
      </c>
      <c r="J22" s="856">
        <v>0</v>
      </c>
      <c r="K22" s="856">
        <v>0.01</v>
      </c>
      <c r="L22" s="856" t="s">
        <v>619</v>
      </c>
      <c r="M22" s="1092">
        <v>7</v>
      </c>
      <c r="T22" s="853"/>
    </row>
    <row r="23" spans="2:20" x14ac:dyDescent="1.65">
      <c r="B23" s="852"/>
      <c r="C23" s="856">
        <v>10</v>
      </c>
      <c r="D23" s="863">
        <v>46276</v>
      </c>
      <c r="E23" s="857" t="s">
        <v>614</v>
      </c>
      <c r="F23" s="856" t="s">
        <v>613</v>
      </c>
      <c r="G23" s="856">
        <v>1000</v>
      </c>
      <c r="H23" s="856">
        <v>1</v>
      </c>
      <c r="I23" s="856">
        <v>10</v>
      </c>
      <c r="J23" s="856">
        <v>0</v>
      </c>
      <c r="K23" s="856">
        <v>0.01</v>
      </c>
      <c r="L23" s="856" t="s">
        <v>619</v>
      </c>
      <c r="M23" s="1092">
        <v>7</v>
      </c>
      <c r="T23" s="853"/>
    </row>
    <row r="24" spans="2:20" x14ac:dyDescent="1.65">
      <c r="B24" s="852"/>
      <c r="C24" s="856">
        <v>11</v>
      </c>
      <c r="D24" s="863">
        <v>46277</v>
      </c>
      <c r="E24" s="857" t="s">
        <v>616</v>
      </c>
      <c r="F24" s="856" t="s">
        <v>610</v>
      </c>
      <c r="G24" s="856">
        <v>1000</v>
      </c>
      <c r="H24" s="856">
        <v>1</v>
      </c>
      <c r="I24" s="856">
        <v>10</v>
      </c>
      <c r="J24" s="856">
        <v>0</v>
      </c>
      <c r="K24" s="856">
        <v>0.01</v>
      </c>
      <c r="L24" s="856" t="s">
        <v>619</v>
      </c>
      <c r="M24" s="1092">
        <v>7</v>
      </c>
      <c r="T24" s="853"/>
    </row>
    <row r="25" spans="2:20" x14ac:dyDescent="1.65">
      <c r="B25" s="852"/>
      <c r="C25" s="856">
        <v>12</v>
      </c>
      <c r="D25" s="863">
        <v>46277</v>
      </c>
      <c r="E25" s="857" t="s">
        <v>614</v>
      </c>
      <c r="F25" s="856" t="s">
        <v>610</v>
      </c>
      <c r="G25" s="856">
        <v>1000</v>
      </c>
      <c r="H25" s="856">
        <v>1</v>
      </c>
      <c r="I25" s="856">
        <v>10</v>
      </c>
      <c r="J25" s="856">
        <v>0</v>
      </c>
      <c r="K25" s="856">
        <v>0.01</v>
      </c>
      <c r="L25" s="856" t="s">
        <v>619</v>
      </c>
      <c r="M25" s="1092">
        <v>7</v>
      </c>
      <c r="T25" s="853"/>
    </row>
    <row r="26" spans="2:20" x14ac:dyDescent="1.65">
      <c r="B26" s="852"/>
      <c r="C26" s="856">
        <v>13</v>
      </c>
      <c r="D26" s="863">
        <v>46278</v>
      </c>
      <c r="E26" s="857" t="s">
        <v>614</v>
      </c>
      <c r="F26" s="856" t="s">
        <v>610</v>
      </c>
      <c r="G26" s="856">
        <v>1000</v>
      </c>
      <c r="H26" s="856">
        <v>1</v>
      </c>
      <c r="I26" s="856">
        <v>10</v>
      </c>
      <c r="J26" s="856">
        <v>0</v>
      </c>
      <c r="K26" s="856">
        <v>0.01</v>
      </c>
      <c r="L26" s="856" t="s">
        <v>619</v>
      </c>
      <c r="M26" s="857">
        <v>7.1</v>
      </c>
      <c r="T26" s="853"/>
    </row>
    <row r="27" spans="2:20" x14ac:dyDescent="1.65">
      <c r="B27" s="852"/>
      <c r="C27" s="856">
        <v>14</v>
      </c>
      <c r="D27" s="863">
        <v>46279</v>
      </c>
      <c r="E27" s="857" t="s">
        <v>616</v>
      </c>
      <c r="F27" s="856" t="s">
        <v>610</v>
      </c>
      <c r="G27" s="856">
        <v>1000</v>
      </c>
      <c r="H27" s="856">
        <v>1</v>
      </c>
      <c r="I27" s="856">
        <v>10</v>
      </c>
      <c r="J27" s="856">
        <v>0</v>
      </c>
      <c r="K27" s="856">
        <v>0.01</v>
      </c>
      <c r="L27" s="856" t="s">
        <v>619</v>
      </c>
      <c r="M27" s="857">
        <v>6.6</v>
      </c>
      <c r="T27" s="853"/>
    </row>
    <row r="28" spans="2:20" x14ac:dyDescent="1.65">
      <c r="B28" s="852"/>
      <c r="C28" s="856">
        <v>15</v>
      </c>
      <c r="D28" s="863">
        <v>46280</v>
      </c>
      <c r="E28" s="857" t="s">
        <v>616</v>
      </c>
      <c r="F28" s="856" t="s">
        <v>610</v>
      </c>
      <c r="G28" s="856">
        <v>1000</v>
      </c>
      <c r="H28" s="856">
        <v>1</v>
      </c>
      <c r="I28" s="856">
        <v>10</v>
      </c>
      <c r="J28" s="856">
        <v>0</v>
      </c>
      <c r="K28" s="856">
        <v>0.01</v>
      </c>
      <c r="L28" s="856" t="s">
        <v>619</v>
      </c>
      <c r="M28" s="857">
        <v>6.8</v>
      </c>
      <c r="T28" s="853"/>
    </row>
    <row r="29" spans="2:20" x14ac:dyDescent="1.65">
      <c r="B29" s="852"/>
      <c r="C29" s="856">
        <v>16</v>
      </c>
      <c r="D29" s="862">
        <v>46282</v>
      </c>
      <c r="E29" s="857" t="s">
        <v>614</v>
      </c>
      <c r="F29" s="856" t="s">
        <v>610</v>
      </c>
      <c r="G29" s="856">
        <v>1000</v>
      </c>
      <c r="H29" s="856">
        <v>1</v>
      </c>
      <c r="I29" s="856">
        <v>10</v>
      </c>
      <c r="J29" s="856">
        <v>0</v>
      </c>
      <c r="K29" s="856">
        <v>0.01</v>
      </c>
      <c r="L29" s="856" t="s">
        <v>619</v>
      </c>
      <c r="M29" s="857">
        <v>7.3</v>
      </c>
      <c r="T29" s="853"/>
    </row>
    <row r="30" spans="2:20" x14ac:dyDescent="1.65">
      <c r="B30" s="852"/>
      <c r="C30" s="856">
        <v>17</v>
      </c>
      <c r="D30" s="862">
        <v>46283</v>
      </c>
      <c r="E30" s="857" t="s">
        <v>616</v>
      </c>
      <c r="F30" s="856" t="s">
        <v>610</v>
      </c>
      <c r="G30" s="856">
        <v>1000</v>
      </c>
      <c r="H30" s="856">
        <v>1</v>
      </c>
      <c r="I30" s="856">
        <v>10</v>
      </c>
      <c r="J30" s="856">
        <v>0</v>
      </c>
      <c r="K30" s="856">
        <v>0.01</v>
      </c>
      <c r="L30" s="856" t="s">
        <v>619</v>
      </c>
      <c r="M30" s="857">
        <v>6.8</v>
      </c>
      <c r="T30" s="853"/>
    </row>
    <row r="31" spans="2:20" x14ac:dyDescent="1.65">
      <c r="B31" s="852"/>
      <c r="C31" s="856">
        <v>18</v>
      </c>
      <c r="D31" s="862">
        <v>46283</v>
      </c>
      <c r="E31" s="857" t="s">
        <v>614</v>
      </c>
      <c r="F31" s="856" t="s">
        <v>610</v>
      </c>
      <c r="G31" s="856">
        <v>1000</v>
      </c>
      <c r="H31" s="856">
        <v>1</v>
      </c>
      <c r="I31" s="856">
        <v>10</v>
      </c>
      <c r="J31" s="856">
        <v>0</v>
      </c>
      <c r="K31" s="856">
        <v>0.01</v>
      </c>
      <c r="L31" s="856" t="s">
        <v>619</v>
      </c>
      <c r="M31" s="857">
        <v>6.7</v>
      </c>
      <c r="T31" s="853"/>
    </row>
    <row r="32" spans="2:20" x14ac:dyDescent="1.65">
      <c r="B32" s="852"/>
      <c r="C32" s="856">
        <v>19</v>
      </c>
      <c r="D32" s="862">
        <v>46285</v>
      </c>
      <c r="E32" s="857" t="s">
        <v>614</v>
      </c>
      <c r="F32" s="856" t="s">
        <v>618</v>
      </c>
      <c r="G32" s="856">
        <v>1000</v>
      </c>
      <c r="H32" s="856">
        <v>1</v>
      </c>
      <c r="I32" s="856">
        <v>10</v>
      </c>
      <c r="J32" s="856">
        <v>0</v>
      </c>
      <c r="K32" s="856">
        <v>0.01</v>
      </c>
      <c r="L32" s="856" t="s">
        <v>619</v>
      </c>
      <c r="M32" s="857">
        <v>7.8</v>
      </c>
      <c r="T32" s="853"/>
    </row>
    <row r="33" spans="2:20" x14ac:dyDescent="1.65">
      <c r="B33" s="852"/>
      <c r="C33" s="856">
        <v>20</v>
      </c>
      <c r="D33" s="862">
        <v>46286</v>
      </c>
      <c r="E33" s="857" t="s">
        <v>616</v>
      </c>
      <c r="F33" s="856" t="s">
        <v>618</v>
      </c>
      <c r="G33" s="856">
        <v>1000</v>
      </c>
      <c r="H33" s="856">
        <v>1</v>
      </c>
      <c r="I33" s="856">
        <v>10</v>
      </c>
      <c r="J33" s="856">
        <v>0</v>
      </c>
      <c r="K33" s="856">
        <v>0.01</v>
      </c>
      <c r="L33" s="856" t="s">
        <v>619</v>
      </c>
      <c r="M33" s="1092">
        <v>8</v>
      </c>
      <c r="T33" s="853"/>
    </row>
    <row r="34" spans="2:20" x14ac:dyDescent="1.65">
      <c r="B34" s="852"/>
      <c r="C34" s="856">
        <v>21</v>
      </c>
      <c r="D34" s="862">
        <v>46286</v>
      </c>
      <c r="E34" s="857" t="s">
        <v>614</v>
      </c>
      <c r="F34" s="856" t="s">
        <v>618</v>
      </c>
      <c r="G34" s="856">
        <v>1000</v>
      </c>
      <c r="H34" s="856">
        <v>1</v>
      </c>
      <c r="I34" s="856">
        <v>10</v>
      </c>
      <c r="J34" s="856">
        <v>0</v>
      </c>
      <c r="K34" s="856">
        <v>0.01</v>
      </c>
      <c r="L34" s="856" t="s">
        <v>619</v>
      </c>
      <c r="M34" s="857">
        <v>7.9</v>
      </c>
      <c r="T34" s="853"/>
    </row>
    <row r="35" spans="2:20" x14ac:dyDescent="1.65">
      <c r="B35" s="852"/>
      <c r="C35" s="856">
        <v>22</v>
      </c>
      <c r="D35" s="856"/>
      <c r="E35" s="856"/>
      <c r="F35" s="856"/>
      <c r="G35" s="856">
        <v>1000</v>
      </c>
      <c r="H35" s="856">
        <v>1</v>
      </c>
      <c r="I35" s="856">
        <v>10</v>
      </c>
      <c r="J35" s="856">
        <v>0</v>
      </c>
      <c r="K35" s="856">
        <v>0.01</v>
      </c>
      <c r="L35" s="856">
        <f t="shared" ref="L35:L49" si="0">J35*100</f>
        <v>0</v>
      </c>
      <c r="M35" s="858"/>
      <c r="T35" s="853"/>
    </row>
    <row r="36" spans="2:20" x14ac:dyDescent="1.65">
      <c r="B36" s="852"/>
      <c r="C36" s="856">
        <v>23</v>
      </c>
      <c r="D36" s="856"/>
      <c r="E36" s="856"/>
      <c r="F36" s="856"/>
      <c r="G36" s="856">
        <v>1000</v>
      </c>
      <c r="H36" s="856">
        <v>1</v>
      </c>
      <c r="I36" s="856">
        <v>10</v>
      </c>
      <c r="J36" s="856">
        <v>0</v>
      </c>
      <c r="K36" s="856">
        <v>0.01</v>
      </c>
      <c r="L36" s="856">
        <f t="shared" si="0"/>
        <v>0</v>
      </c>
      <c r="M36" s="858"/>
      <c r="T36" s="853"/>
    </row>
    <row r="37" spans="2:20" x14ac:dyDescent="1.65">
      <c r="B37" s="852"/>
      <c r="C37" s="856">
        <v>24</v>
      </c>
      <c r="D37" s="856"/>
      <c r="E37" s="856"/>
      <c r="F37" s="856"/>
      <c r="G37" s="856">
        <v>1000</v>
      </c>
      <c r="H37" s="856">
        <v>1</v>
      </c>
      <c r="I37" s="856">
        <v>10</v>
      </c>
      <c r="J37" s="856">
        <v>0</v>
      </c>
      <c r="K37" s="856">
        <v>0.01</v>
      </c>
      <c r="L37" s="856">
        <f t="shared" si="0"/>
        <v>0</v>
      </c>
      <c r="M37" s="858"/>
      <c r="T37" s="853"/>
    </row>
    <row r="38" spans="2:20" x14ac:dyDescent="1.65">
      <c r="B38" s="852"/>
      <c r="C38" s="856">
        <v>25</v>
      </c>
      <c r="D38" s="856"/>
      <c r="E38" s="856"/>
      <c r="F38" s="856"/>
      <c r="G38" s="856">
        <v>1000</v>
      </c>
      <c r="H38" s="856">
        <v>1</v>
      </c>
      <c r="I38" s="856">
        <v>10</v>
      </c>
      <c r="J38" s="856">
        <v>0</v>
      </c>
      <c r="K38" s="856">
        <v>0.01</v>
      </c>
      <c r="L38" s="856">
        <f t="shared" si="0"/>
        <v>0</v>
      </c>
      <c r="M38" s="858"/>
      <c r="T38" s="853"/>
    </row>
    <row r="39" spans="2:20" x14ac:dyDescent="1.65">
      <c r="B39" s="852"/>
      <c r="C39" s="856">
        <v>26</v>
      </c>
      <c r="D39" s="856"/>
      <c r="E39" s="856"/>
      <c r="F39" s="856"/>
      <c r="G39" s="856">
        <v>1000</v>
      </c>
      <c r="H39" s="856">
        <v>1</v>
      </c>
      <c r="I39" s="856">
        <v>10</v>
      </c>
      <c r="J39" s="856">
        <v>0</v>
      </c>
      <c r="K39" s="856">
        <v>0.01</v>
      </c>
      <c r="L39" s="856">
        <f t="shared" si="0"/>
        <v>0</v>
      </c>
      <c r="M39" s="858"/>
      <c r="T39" s="853"/>
    </row>
    <row r="40" spans="2:20" x14ac:dyDescent="1.65">
      <c r="B40" s="852"/>
      <c r="C40" s="856">
        <v>27</v>
      </c>
      <c r="D40" s="856"/>
      <c r="E40" s="856"/>
      <c r="F40" s="856"/>
      <c r="G40" s="856">
        <v>1000</v>
      </c>
      <c r="H40" s="856">
        <v>1</v>
      </c>
      <c r="I40" s="856">
        <v>10</v>
      </c>
      <c r="J40" s="856">
        <v>0</v>
      </c>
      <c r="K40" s="856">
        <v>0.01</v>
      </c>
      <c r="L40" s="856">
        <f t="shared" si="0"/>
        <v>0</v>
      </c>
      <c r="M40" s="858"/>
      <c r="T40" s="853"/>
    </row>
    <row r="41" spans="2:20" x14ac:dyDescent="1.65">
      <c r="B41" s="852"/>
      <c r="C41" s="856">
        <v>28</v>
      </c>
      <c r="D41" s="856"/>
      <c r="E41" s="856"/>
      <c r="F41" s="856"/>
      <c r="G41" s="856">
        <v>1000</v>
      </c>
      <c r="H41" s="856">
        <v>1</v>
      </c>
      <c r="I41" s="856">
        <v>10</v>
      </c>
      <c r="J41" s="856">
        <v>0</v>
      </c>
      <c r="K41" s="856">
        <v>0.01</v>
      </c>
      <c r="L41" s="856">
        <f t="shared" si="0"/>
        <v>0</v>
      </c>
      <c r="M41" s="858"/>
      <c r="T41" s="853"/>
    </row>
    <row r="42" spans="2:20" x14ac:dyDescent="1.65">
      <c r="B42" s="852"/>
      <c r="C42" s="856">
        <v>29</v>
      </c>
      <c r="D42" s="856"/>
      <c r="E42" s="856"/>
      <c r="F42" s="856"/>
      <c r="G42" s="856">
        <v>1000</v>
      </c>
      <c r="H42" s="856">
        <v>1</v>
      </c>
      <c r="I42" s="856">
        <v>10</v>
      </c>
      <c r="J42" s="856">
        <v>0</v>
      </c>
      <c r="K42" s="856">
        <v>0.01</v>
      </c>
      <c r="L42" s="856">
        <f t="shared" si="0"/>
        <v>0</v>
      </c>
      <c r="M42" s="858"/>
      <c r="T42" s="853"/>
    </row>
    <row r="43" spans="2:20" x14ac:dyDescent="1.65">
      <c r="B43" s="852"/>
      <c r="C43" s="856">
        <v>30</v>
      </c>
      <c r="D43" s="856"/>
      <c r="E43" s="856"/>
      <c r="F43" s="856"/>
      <c r="G43" s="856">
        <v>1000</v>
      </c>
      <c r="H43" s="856">
        <v>1</v>
      </c>
      <c r="I43" s="856">
        <v>10</v>
      </c>
      <c r="J43" s="856">
        <v>0</v>
      </c>
      <c r="K43" s="856">
        <v>0.01</v>
      </c>
      <c r="L43" s="856">
        <f t="shared" si="0"/>
        <v>0</v>
      </c>
      <c r="M43" s="858"/>
      <c r="T43" s="853"/>
    </row>
    <row r="44" spans="2:20" x14ac:dyDescent="1.65">
      <c r="B44" s="852"/>
      <c r="C44" s="856">
        <v>31</v>
      </c>
      <c r="D44" s="856"/>
      <c r="E44" s="856"/>
      <c r="F44" s="856"/>
      <c r="G44" s="856">
        <v>1000</v>
      </c>
      <c r="H44" s="856">
        <v>1</v>
      </c>
      <c r="I44" s="856">
        <v>10</v>
      </c>
      <c r="J44" s="856">
        <v>0</v>
      </c>
      <c r="K44" s="856">
        <v>0.01</v>
      </c>
      <c r="L44" s="856">
        <f t="shared" si="0"/>
        <v>0</v>
      </c>
      <c r="M44" s="858"/>
      <c r="T44" s="853"/>
    </row>
    <row r="45" spans="2:20" x14ac:dyDescent="1.65">
      <c r="B45" s="852"/>
      <c r="C45" s="856">
        <v>32</v>
      </c>
      <c r="D45" s="856"/>
      <c r="E45" s="856"/>
      <c r="F45" s="856"/>
      <c r="G45" s="856">
        <v>1000</v>
      </c>
      <c r="H45" s="856">
        <v>1</v>
      </c>
      <c r="I45" s="856">
        <v>10</v>
      </c>
      <c r="J45" s="856">
        <v>0</v>
      </c>
      <c r="K45" s="856">
        <v>0.01</v>
      </c>
      <c r="L45" s="856">
        <f t="shared" si="0"/>
        <v>0</v>
      </c>
      <c r="M45" s="858"/>
      <c r="T45" s="853"/>
    </row>
    <row r="46" spans="2:20" x14ac:dyDescent="1.65">
      <c r="B46" s="852"/>
      <c r="C46" s="856">
        <v>33</v>
      </c>
      <c r="D46" s="856"/>
      <c r="E46" s="856"/>
      <c r="F46" s="856"/>
      <c r="G46" s="856">
        <v>1000</v>
      </c>
      <c r="H46" s="856">
        <v>1</v>
      </c>
      <c r="I46" s="856">
        <v>10</v>
      </c>
      <c r="J46" s="856">
        <v>0</v>
      </c>
      <c r="K46" s="856">
        <v>0.01</v>
      </c>
      <c r="L46" s="856">
        <f t="shared" si="0"/>
        <v>0</v>
      </c>
      <c r="M46" s="858"/>
      <c r="T46" s="853"/>
    </row>
    <row r="47" spans="2:20" x14ac:dyDescent="1.65">
      <c r="B47" s="852"/>
      <c r="C47" s="856">
        <v>34</v>
      </c>
      <c r="D47" s="856"/>
      <c r="E47" s="856"/>
      <c r="F47" s="856"/>
      <c r="G47" s="856">
        <v>1000</v>
      </c>
      <c r="H47" s="856">
        <v>1</v>
      </c>
      <c r="I47" s="856">
        <v>10</v>
      </c>
      <c r="J47" s="856">
        <v>0</v>
      </c>
      <c r="K47" s="856">
        <v>0.01</v>
      </c>
      <c r="L47" s="856">
        <f t="shared" si="0"/>
        <v>0</v>
      </c>
      <c r="M47" s="858"/>
      <c r="T47" s="853"/>
    </row>
    <row r="48" spans="2:20" x14ac:dyDescent="1.65">
      <c r="B48" s="852"/>
      <c r="C48" s="856">
        <v>35</v>
      </c>
      <c r="D48" s="856"/>
      <c r="E48" s="856"/>
      <c r="F48" s="856"/>
      <c r="G48" s="856">
        <v>1000</v>
      </c>
      <c r="H48" s="856">
        <v>1</v>
      </c>
      <c r="I48" s="856">
        <v>10</v>
      </c>
      <c r="J48" s="856">
        <v>0</v>
      </c>
      <c r="K48" s="856">
        <v>0.01</v>
      </c>
      <c r="L48" s="856">
        <f t="shared" si="0"/>
        <v>0</v>
      </c>
      <c r="M48" s="858"/>
      <c r="T48" s="853"/>
    </row>
    <row r="49" spans="2:20" x14ac:dyDescent="1.65">
      <c r="B49" s="852"/>
      <c r="C49" s="856">
        <v>36</v>
      </c>
      <c r="D49" s="856"/>
      <c r="E49" s="856"/>
      <c r="F49" s="856"/>
      <c r="G49" s="856">
        <v>1000</v>
      </c>
      <c r="H49" s="856">
        <v>1</v>
      </c>
      <c r="I49" s="856">
        <v>10</v>
      </c>
      <c r="J49" s="856">
        <v>0</v>
      </c>
      <c r="K49" s="856">
        <v>0.01</v>
      </c>
      <c r="L49" s="856">
        <f t="shared" si="0"/>
        <v>0</v>
      </c>
      <c r="M49" s="858"/>
      <c r="T49" s="853"/>
    </row>
    <row r="50" spans="2:20" x14ac:dyDescent="1.65">
      <c r="B50" s="852"/>
      <c r="T50" s="853"/>
    </row>
    <row r="51" spans="2:20" x14ac:dyDescent="1.65">
      <c r="B51" s="852"/>
      <c r="T51" s="853"/>
    </row>
    <row r="52" spans="2:20" x14ac:dyDescent="1.65">
      <c r="B52" s="852"/>
      <c r="T52" s="853"/>
    </row>
    <row r="53" spans="2:20" x14ac:dyDescent="1.65">
      <c r="B53" s="852"/>
      <c r="T53" s="853"/>
    </row>
    <row r="54" spans="2:20" ht="92.4" thickBot="1" x14ac:dyDescent="1.7">
      <c r="B54" s="859"/>
      <c r="C54" s="860"/>
      <c r="D54" s="860"/>
      <c r="E54" s="860"/>
      <c r="F54" s="860"/>
      <c r="G54" s="860"/>
      <c r="H54" s="860"/>
      <c r="I54" s="860"/>
      <c r="J54" s="860"/>
      <c r="K54" s="860"/>
      <c r="L54" s="860"/>
      <c r="M54" s="860"/>
      <c r="N54" s="860"/>
      <c r="O54" s="860"/>
      <c r="P54" s="860"/>
      <c r="Q54" s="860"/>
      <c r="R54" s="860"/>
      <c r="S54" s="860"/>
      <c r="T54" s="861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33" zoomScaleNormal="100" workbookViewId="0">
      <selection activeCell="H142" sqref="H14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3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92" t="s">
        <v>458</v>
      </c>
      <c r="C2" s="1192"/>
      <c r="D2" s="1192"/>
      <c r="E2" s="1192"/>
      <c r="F2" s="1192"/>
      <c r="G2" s="1192"/>
      <c r="H2" s="1192"/>
      <c r="T2" s="1281" t="s">
        <v>499</v>
      </c>
      <c r="U2" s="1281"/>
      <c r="V2" s="1281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1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1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80">
        <v>1</v>
      </c>
      <c r="C4" s="1285">
        <v>1</v>
      </c>
      <c r="D4" s="616" t="s">
        <v>460</v>
      </c>
      <c r="E4" s="617">
        <v>46265</v>
      </c>
      <c r="F4" s="616">
        <v>1.0229999999999999</v>
      </c>
      <c r="G4" s="616">
        <v>0.31</v>
      </c>
      <c r="H4" s="616">
        <v>6.1559999999999997</v>
      </c>
      <c r="M4" s="233">
        <v>1</v>
      </c>
      <c r="N4" s="13">
        <v>1</v>
      </c>
      <c r="O4" s="6" t="s">
        <v>489</v>
      </c>
      <c r="P4" s="432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0">
        <v>2</v>
      </c>
      <c r="C5" s="1286"/>
      <c r="D5" s="616" t="s">
        <v>461</v>
      </c>
      <c r="E5" s="617">
        <v>46265</v>
      </c>
      <c r="F5" s="616">
        <v>0.94899999999999995</v>
      </c>
      <c r="G5" s="616">
        <v>0.51300000000000001</v>
      </c>
      <c r="H5" s="616">
        <v>5.9560000000000004</v>
      </c>
      <c r="M5" s="233">
        <v>2</v>
      </c>
      <c r="N5" s="13">
        <v>1</v>
      </c>
      <c r="O5" s="6" t="s">
        <v>490</v>
      </c>
      <c r="P5" s="432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0">
        <v>3</v>
      </c>
      <c r="C6" s="1286"/>
      <c r="D6" s="616" t="s">
        <v>462</v>
      </c>
      <c r="E6" s="617">
        <v>46265</v>
      </c>
      <c r="F6" s="616">
        <v>0.92900000000000005</v>
      </c>
      <c r="G6" s="616">
        <v>0.40699999999999997</v>
      </c>
      <c r="H6" s="616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2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0">
        <v>4</v>
      </c>
      <c r="C7" s="1286"/>
      <c r="D7" s="616" t="s">
        <v>463</v>
      </c>
      <c r="E7" s="617">
        <v>46265</v>
      </c>
      <c r="F7" s="616">
        <v>0.64100000000000001</v>
      </c>
      <c r="G7" s="616">
        <v>0.55700000000000005</v>
      </c>
      <c r="H7" s="616">
        <v>7.72</v>
      </c>
      <c r="M7" s="233">
        <v>4</v>
      </c>
      <c r="N7" s="13">
        <v>1</v>
      </c>
      <c r="O7" s="6" t="s">
        <v>492</v>
      </c>
      <c r="P7" s="432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0">
        <v>5</v>
      </c>
      <c r="C8" s="1286"/>
      <c r="D8" s="616" t="s">
        <v>464</v>
      </c>
      <c r="E8" s="617">
        <v>46265</v>
      </c>
      <c r="F8" s="616">
        <v>0.63700000000000001</v>
      </c>
      <c r="G8" s="616">
        <v>0.502</v>
      </c>
      <c r="H8" s="616">
        <v>7.51</v>
      </c>
      <c r="M8" s="451">
        <v>5</v>
      </c>
      <c r="N8" s="452">
        <v>1</v>
      </c>
      <c r="O8" s="453" t="s">
        <v>493</v>
      </c>
      <c r="P8" s="454">
        <v>46265</v>
      </c>
      <c r="Q8" s="453">
        <v>1.123</v>
      </c>
      <c r="R8" s="453">
        <v>0.28899999999999998</v>
      </c>
      <c r="S8" s="453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0">
        <v>6</v>
      </c>
      <c r="C9" s="1286"/>
      <c r="D9" s="616" t="s">
        <v>465</v>
      </c>
      <c r="E9" s="617">
        <v>46265</v>
      </c>
      <c r="F9" s="616">
        <v>0.54900000000000004</v>
      </c>
      <c r="G9" s="616">
        <v>0.52600000000000002</v>
      </c>
      <c r="H9" s="616">
        <v>7.64</v>
      </c>
      <c r="M9" s="233">
        <v>6</v>
      </c>
      <c r="N9" s="13">
        <v>1</v>
      </c>
      <c r="O9" s="6" t="s">
        <v>494</v>
      </c>
      <c r="P9" s="432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0">
        <v>7</v>
      </c>
      <c r="C10" s="1286"/>
      <c r="D10" s="616" t="s">
        <v>460</v>
      </c>
      <c r="E10" s="617">
        <v>46266</v>
      </c>
      <c r="F10" s="616">
        <v>0.64600000000000002</v>
      </c>
      <c r="G10" s="616">
        <v>0.68100000000000005</v>
      </c>
      <c r="H10" s="616">
        <v>7.62</v>
      </c>
      <c r="M10" s="233">
        <v>7</v>
      </c>
      <c r="N10" s="13">
        <v>1</v>
      </c>
      <c r="O10" s="6" t="s">
        <v>489</v>
      </c>
      <c r="P10" s="432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0">
        <v>8</v>
      </c>
      <c r="C11" s="1286"/>
      <c r="D11" s="616" t="s">
        <v>461</v>
      </c>
      <c r="E11" s="617">
        <v>46266</v>
      </c>
      <c r="F11" s="616">
        <v>0.64500000000000002</v>
      </c>
      <c r="G11" s="616">
        <v>0.68700000000000006</v>
      </c>
      <c r="H11" s="616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2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0">
        <v>9</v>
      </c>
      <c r="C12" s="1286"/>
      <c r="D12" s="616" t="s">
        <v>462</v>
      </c>
      <c r="E12" s="617">
        <v>46266</v>
      </c>
      <c r="F12" s="616">
        <v>0.65</v>
      </c>
      <c r="G12" s="616">
        <v>0.65500000000000003</v>
      </c>
      <c r="H12" s="616">
        <v>7.43</v>
      </c>
      <c r="M12" s="233">
        <v>9</v>
      </c>
      <c r="N12" s="13">
        <v>1</v>
      </c>
      <c r="O12" s="6" t="s">
        <v>491</v>
      </c>
      <c r="P12" s="432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0">
        <v>10</v>
      </c>
      <c r="C13" s="1286"/>
      <c r="D13" s="616" t="s">
        <v>463</v>
      </c>
      <c r="E13" s="617">
        <v>46266</v>
      </c>
      <c r="F13" s="616">
        <v>0.64100000000000001</v>
      </c>
      <c r="G13" s="616">
        <v>0.55700000000000005</v>
      </c>
      <c r="H13" s="616">
        <v>7.72</v>
      </c>
      <c r="M13" s="451">
        <v>10</v>
      </c>
      <c r="N13" s="452">
        <v>1</v>
      </c>
      <c r="O13" s="453" t="s">
        <v>493</v>
      </c>
      <c r="P13" s="454">
        <v>46266</v>
      </c>
      <c r="Q13" s="453">
        <v>0.73699999999999999</v>
      </c>
      <c r="R13" s="453">
        <v>0.81499999999999995</v>
      </c>
      <c r="S13" s="453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0">
        <v>11</v>
      </c>
      <c r="C14" s="1286"/>
      <c r="D14" s="616" t="s">
        <v>464</v>
      </c>
      <c r="E14" s="617">
        <v>46266</v>
      </c>
      <c r="F14" s="616">
        <v>0.63700000000000001</v>
      </c>
      <c r="G14" s="616">
        <v>0.502</v>
      </c>
      <c r="H14" s="616">
        <v>7.51</v>
      </c>
      <c r="M14" s="233">
        <v>11</v>
      </c>
      <c r="N14" s="13">
        <v>1</v>
      </c>
      <c r="O14" s="6" t="s">
        <v>495</v>
      </c>
      <c r="P14" s="432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0">
        <v>12</v>
      </c>
      <c r="C15" s="1287"/>
      <c r="D15" s="616" t="s">
        <v>465</v>
      </c>
      <c r="E15" s="617">
        <v>46266</v>
      </c>
      <c r="F15" s="616">
        <v>0.54900000000000004</v>
      </c>
      <c r="G15" s="616">
        <v>0.52600000000000002</v>
      </c>
      <c r="H15" s="616">
        <v>7.64</v>
      </c>
      <c r="M15" s="233">
        <v>12</v>
      </c>
      <c r="N15" s="13">
        <v>1</v>
      </c>
      <c r="O15" s="6" t="s">
        <v>496</v>
      </c>
      <c r="P15" s="432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8">
        <v>13</v>
      </c>
      <c r="C16" s="1282">
        <v>2</v>
      </c>
      <c r="D16" s="619" t="s">
        <v>460</v>
      </c>
      <c r="E16" s="620">
        <v>46267</v>
      </c>
      <c r="F16" s="619">
        <v>0.66</v>
      </c>
      <c r="G16" s="619">
        <v>0.32</v>
      </c>
      <c r="H16" s="619">
        <v>9.6300000000000008</v>
      </c>
      <c r="M16" s="233">
        <v>13</v>
      </c>
      <c r="N16" s="13">
        <v>2</v>
      </c>
      <c r="O16" s="6" t="s">
        <v>497</v>
      </c>
      <c r="P16" s="432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8">
        <v>14</v>
      </c>
      <c r="C17" s="1283"/>
      <c r="D17" s="619" t="s">
        <v>461</v>
      </c>
      <c r="E17" s="620">
        <v>46267</v>
      </c>
      <c r="F17" s="619">
        <v>0.82399999999999995</v>
      </c>
      <c r="G17" s="619">
        <v>0.67</v>
      </c>
      <c r="H17" s="619">
        <v>9.7899999999999991</v>
      </c>
      <c r="M17" s="233">
        <v>14</v>
      </c>
      <c r="N17" s="13">
        <v>2</v>
      </c>
      <c r="O17" s="6" t="s">
        <v>498</v>
      </c>
      <c r="P17" s="432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8">
        <v>15</v>
      </c>
      <c r="C18" s="1283"/>
      <c r="D18" s="619" t="s">
        <v>462</v>
      </c>
      <c r="E18" s="620">
        <v>46267</v>
      </c>
      <c r="F18" s="619">
        <v>0.75</v>
      </c>
      <c r="G18" s="619">
        <v>0.78</v>
      </c>
      <c r="H18" s="619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1">
        <v>15</v>
      </c>
      <c r="N18" s="452">
        <v>2</v>
      </c>
      <c r="O18" s="453" t="s">
        <v>493</v>
      </c>
      <c r="P18" s="454">
        <v>46267</v>
      </c>
      <c r="Q18" s="453">
        <v>0.95899999999999996</v>
      </c>
      <c r="R18" s="453">
        <v>0.62</v>
      </c>
      <c r="S18" s="453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8">
        <v>16</v>
      </c>
      <c r="C19" s="1283"/>
      <c r="D19" s="619" t="s">
        <v>463</v>
      </c>
      <c r="E19" s="620">
        <v>46267</v>
      </c>
      <c r="F19" s="621">
        <v>0.63200000000000001</v>
      </c>
      <c r="G19" s="619">
        <v>1.103</v>
      </c>
      <c r="H19" s="619">
        <v>9.26</v>
      </c>
      <c r="M19" s="233">
        <v>16</v>
      </c>
      <c r="N19" s="13">
        <v>2</v>
      </c>
      <c r="O19" s="6" t="s">
        <v>490</v>
      </c>
      <c r="P19" s="432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8">
        <v>17</v>
      </c>
      <c r="C20" s="1283"/>
      <c r="D20" s="619" t="s">
        <v>464</v>
      </c>
      <c r="E20" s="620">
        <v>46267</v>
      </c>
      <c r="F20" s="619">
        <v>0.63100000000000001</v>
      </c>
      <c r="G20" s="619">
        <v>1.008</v>
      </c>
      <c r="H20" s="619">
        <v>9.24</v>
      </c>
      <c r="M20" s="233">
        <v>17</v>
      </c>
      <c r="N20" s="13">
        <v>2</v>
      </c>
      <c r="O20" s="6" t="s">
        <v>491</v>
      </c>
      <c r="P20" s="432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8">
        <v>18</v>
      </c>
      <c r="C21" s="1283"/>
      <c r="D21" s="619" t="s">
        <v>465</v>
      </c>
      <c r="E21" s="620">
        <v>46267</v>
      </c>
      <c r="F21" s="619">
        <v>0.67500000000000004</v>
      </c>
      <c r="G21" s="619">
        <v>1.089</v>
      </c>
      <c r="H21" s="619">
        <v>9.27</v>
      </c>
      <c r="M21" s="451">
        <v>18</v>
      </c>
      <c r="N21" s="452">
        <v>2</v>
      </c>
      <c r="O21" s="453" t="s">
        <v>493</v>
      </c>
      <c r="P21" s="454">
        <v>46268</v>
      </c>
      <c r="Q21" s="453">
        <v>0.76400000000000001</v>
      </c>
      <c r="R21" s="453">
        <v>0.67</v>
      </c>
      <c r="S21" s="453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8">
        <v>19</v>
      </c>
      <c r="C22" s="1283"/>
      <c r="D22" s="619" t="s">
        <v>460</v>
      </c>
      <c r="E22" s="620">
        <v>46268</v>
      </c>
      <c r="F22" s="619">
        <v>0.66800000000000004</v>
      </c>
      <c r="G22" s="619">
        <v>0.61</v>
      </c>
      <c r="H22" s="619">
        <v>8.17</v>
      </c>
      <c r="M22" s="233">
        <v>19</v>
      </c>
      <c r="N22" s="13">
        <v>3</v>
      </c>
      <c r="O22" s="6" t="s">
        <v>494</v>
      </c>
      <c r="P22" s="432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8">
        <v>20</v>
      </c>
      <c r="C23" s="1283"/>
      <c r="D23" s="619" t="s">
        <v>461</v>
      </c>
      <c r="E23" s="620">
        <v>46268</v>
      </c>
      <c r="F23" s="619">
        <v>0.59399999999999997</v>
      </c>
      <c r="G23" s="619">
        <v>0.71</v>
      </c>
      <c r="H23" s="619">
        <v>7.54</v>
      </c>
      <c r="M23" s="233">
        <v>20</v>
      </c>
      <c r="N23" s="13">
        <v>3</v>
      </c>
      <c r="O23" s="6" t="s">
        <v>489</v>
      </c>
      <c r="P23" s="432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8">
        <v>21</v>
      </c>
      <c r="C24" s="1284"/>
      <c r="D24" s="619" t="s">
        <v>462</v>
      </c>
      <c r="E24" s="620">
        <v>46268</v>
      </c>
      <c r="F24" s="619">
        <v>0.72199999999999998</v>
      </c>
      <c r="G24" s="619">
        <v>0.85</v>
      </c>
      <c r="H24" s="619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2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0">
        <v>22</v>
      </c>
      <c r="C25" s="1285">
        <v>3</v>
      </c>
      <c r="D25" s="616" t="s">
        <v>463</v>
      </c>
      <c r="E25" s="617">
        <v>46270</v>
      </c>
      <c r="F25" s="616">
        <v>1.0980000000000001</v>
      </c>
      <c r="G25" s="616">
        <v>0.82</v>
      </c>
      <c r="H25" s="616">
        <v>8.17</v>
      </c>
      <c r="M25" s="233">
        <v>21</v>
      </c>
      <c r="N25" s="13">
        <v>3</v>
      </c>
      <c r="O25" s="6" t="s">
        <v>492</v>
      </c>
      <c r="P25" s="432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0">
        <v>23</v>
      </c>
      <c r="C26" s="1286"/>
      <c r="D26" s="616" t="s">
        <v>464</v>
      </c>
      <c r="E26" s="617">
        <v>46270</v>
      </c>
      <c r="F26" s="616">
        <v>1.0880000000000001</v>
      </c>
      <c r="G26" s="616">
        <v>0.75</v>
      </c>
      <c r="H26" s="616">
        <v>8.1</v>
      </c>
      <c r="M26" s="451">
        <v>21</v>
      </c>
      <c r="N26" s="452">
        <v>3</v>
      </c>
      <c r="O26" s="453" t="s">
        <v>493</v>
      </c>
      <c r="P26" s="454">
        <v>46271</v>
      </c>
      <c r="Q26" s="453">
        <v>1.1679999999999999</v>
      </c>
      <c r="R26" s="453">
        <v>0.83</v>
      </c>
      <c r="S26" s="453">
        <v>9.84</v>
      </c>
    </row>
    <row r="27" spans="2:28" x14ac:dyDescent="0.3">
      <c r="B27" s="580">
        <v>24</v>
      </c>
      <c r="C27" s="1286"/>
      <c r="D27" s="616" t="s">
        <v>465</v>
      </c>
      <c r="E27" s="617">
        <v>46270</v>
      </c>
      <c r="F27" s="616">
        <v>1.075</v>
      </c>
      <c r="G27" s="616">
        <v>0.75</v>
      </c>
      <c r="H27" s="616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80">
        <v>25</v>
      </c>
      <c r="C28" s="1286"/>
      <c r="D28" s="616" t="s">
        <v>460</v>
      </c>
      <c r="E28" s="617">
        <v>46271</v>
      </c>
      <c r="F28" s="616">
        <v>0.92</v>
      </c>
      <c r="G28" s="616">
        <v>0.56999999999999995</v>
      </c>
      <c r="H28" s="616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80">
        <v>26</v>
      </c>
      <c r="C29" s="1286"/>
      <c r="D29" s="616" t="s">
        <v>461</v>
      </c>
      <c r="E29" s="617">
        <v>46271</v>
      </c>
      <c r="F29" s="616">
        <v>0.86</v>
      </c>
      <c r="G29" s="616">
        <v>0.54</v>
      </c>
      <c r="H29" s="616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80">
        <v>27</v>
      </c>
      <c r="C30" s="1286"/>
      <c r="D30" s="616" t="s">
        <v>462</v>
      </c>
      <c r="E30" s="617">
        <v>46271</v>
      </c>
      <c r="F30" s="616">
        <v>0.92700000000000005</v>
      </c>
      <c r="G30" s="616">
        <v>0.6</v>
      </c>
      <c r="H30" s="616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80">
        <v>28</v>
      </c>
      <c r="C31" s="1286"/>
      <c r="D31" s="616" t="s">
        <v>463</v>
      </c>
      <c r="E31" s="617">
        <v>46271</v>
      </c>
      <c r="F31" s="616">
        <v>0.78800000000000003</v>
      </c>
      <c r="G31" s="616">
        <v>0.62</v>
      </c>
      <c r="H31" s="616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80">
        <v>29</v>
      </c>
      <c r="C32" s="1286"/>
      <c r="D32" s="616" t="s">
        <v>464</v>
      </c>
      <c r="E32" s="617">
        <v>46271</v>
      </c>
      <c r="F32" s="616">
        <v>0.74199999999999999</v>
      </c>
      <c r="G32" s="616">
        <v>0.6</v>
      </c>
      <c r="H32" s="616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80">
        <v>30</v>
      </c>
      <c r="C33" s="1286"/>
      <c r="D33" s="616" t="s">
        <v>465</v>
      </c>
      <c r="E33" s="617">
        <v>46271</v>
      </c>
      <c r="F33" s="616">
        <v>0.91300000000000003</v>
      </c>
      <c r="G33" s="616">
        <v>0.68</v>
      </c>
      <c r="H33" s="616">
        <v>9.42</v>
      </c>
    </row>
    <row r="34" spans="2:8" x14ac:dyDescent="0.3">
      <c r="B34" s="580">
        <v>31</v>
      </c>
      <c r="C34" s="1286"/>
      <c r="D34" s="616" t="s">
        <v>460</v>
      </c>
      <c r="E34" s="617">
        <v>46272</v>
      </c>
      <c r="F34" s="616">
        <v>0.91100000000000003</v>
      </c>
      <c r="G34" s="616">
        <v>0.95</v>
      </c>
      <c r="H34" s="616">
        <v>9.3800000000000008</v>
      </c>
    </row>
    <row r="35" spans="2:8" x14ac:dyDescent="0.3">
      <c r="B35" s="580">
        <v>32</v>
      </c>
      <c r="C35" s="1286"/>
      <c r="D35" s="616" t="s">
        <v>461</v>
      </c>
      <c r="E35" s="617">
        <v>46272</v>
      </c>
      <c r="F35" s="616">
        <v>0.95199999999999996</v>
      </c>
      <c r="G35" s="616">
        <v>0.98</v>
      </c>
      <c r="H35" s="616">
        <v>9.4</v>
      </c>
    </row>
    <row r="36" spans="2:8" x14ac:dyDescent="0.3">
      <c r="B36" s="580">
        <v>33</v>
      </c>
      <c r="C36" s="1287"/>
      <c r="D36" s="616" t="s">
        <v>462</v>
      </c>
      <c r="E36" s="617">
        <v>46272</v>
      </c>
      <c r="F36" s="616">
        <v>0.873</v>
      </c>
      <c r="G36" s="616">
        <v>0.93</v>
      </c>
      <c r="H36" s="616">
        <v>9.41</v>
      </c>
    </row>
    <row r="37" spans="2:8" x14ac:dyDescent="0.3">
      <c r="B37" s="618">
        <v>34</v>
      </c>
      <c r="C37" s="1282">
        <v>4</v>
      </c>
      <c r="D37" s="619" t="s">
        <v>463</v>
      </c>
      <c r="E37" s="620">
        <v>46272</v>
      </c>
      <c r="F37" s="619">
        <v>0.53100000000000003</v>
      </c>
      <c r="G37" s="619">
        <v>1.07</v>
      </c>
      <c r="H37" s="619">
        <v>8.8699999999999992</v>
      </c>
    </row>
    <row r="38" spans="2:8" x14ac:dyDescent="0.3">
      <c r="B38" s="618">
        <v>35</v>
      </c>
      <c r="C38" s="1283"/>
      <c r="D38" s="619" t="s">
        <v>464</v>
      </c>
      <c r="E38" s="620">
        <v>46272</v>
      </c>
      <c r="F38" s="619">
        <v>0.501</v>
      </c>
      <c r="G38" s="619">
        <v>1.1200000000000001</v>
      </c>
      <c r="H38" s="619">
        <v>8.99</v>
      </c>
    </row>
    <row r="39" spans="2:8" x14ac:dyDescent="0.3">
      <c r="B39" s="618">
        <v>36</v>
      </c>
      <c r="C39" s="1283"/>
      <c r="D39" s="619" t="s">
        <v>465</v>
      </c>
      <c r="E39" s="620">
        <v>46272</v>
      </c>
      <c r="F39" s="619">
        <v>0.55900000000000005</v>
      </c>
      <c r="G39" s="619">
        <v>1.02</v>
      </c>
      <c r="H39" s="619">
        <v>8.92</v>
      </c>
    </row>
    <row r="40" spans="2:8" x14ac:dyDescent="0.3">
      <c r="B40" s="618">
        <v>37</v>
      </c>
      <c r="C40" s="1283"/>
      <c r="D40" s="619" t="s">
        <v>460</v>
      </c>
      <c r="E40" s="620">
        <v>46273</v>
      </c>
      <c r="F40" s="619">
        <v>0.66400000000000003</v>
      </c>
      <c r="G40" s="619">
        <v>0.98</v>
      </c>
      <c r="H40" s="619">
        <v>9.0500000000000007</v>
      </c>
    </row>
    <row r="41" spans="2:8" x14ac:dyDescent="0.3">
      <c r="B41" s="618">
        <v>38</v>
      </c>
      <c r="C41" s="1283"/>
      <c r="D41" s="619" t="s">
        <v>461</v>
      </c>
      <c r="E41" s="620">
        <v>46273</v>
      </c>
      <c r="F41" s="619">
        <v>0.64500000000000002</v>
      </c>
      <c r="G41" s="619">
        <v>0.94</v>
      </c>
      <c r="H41" s="619">
        <v>9.0299999999999994</v>
      </c>
    </row>
    <row r="42" spans="2:8" x14ac:dyDescent="0.3">
      <c r="B42" s="618">
        <v>39</v>
      </c>
      <c r="C42" s="1283"/>
      <c r="D42" s="619" t="s">
        <v>462</v>
      </c>
      <c r="E42" s="620">
        <v>46273</v>
      </c>
      <c r="F42" s="619">
        <v>0.63100000000000001</v>
      </c>
      <c r="G42" s="619">
        <v>0.97</v>
      </c>
      <c r="H42" s="619">
        <v>9.23</v>
      </c>
    </row>
    <row r="43" spans="2:8" x14ac:dyDescent="0.3">
      <c r="B43" s="618">
        <v>40</v>
      </c>
      <c r="C43" s="1283"/>
      <c r="D43" s="619" t="s">
        <v>463</v>
      </c>
      <c r="E43" s="620">
        <v>46273</v>
      </c>
      <c r="F43" s="619">
        <v>0.61</v>
      </c>
      <c r="G43" s="619">
        <v>1.01</v>
      </c>
      <c r="H43" s="619">
        <v>7.79</v>
      </c>
    </row>
    <row r="44" spans="2:8" x14ac:dyDescent="0.3">
      <c r="B44" s="618">
        <v>41</v>
      </c>
      <c r="C44" s="1283"/>
      <c r="D44" s="619" t="s">
        <v>464</v>
      </c>
      <c r="E44" s="620">
        <v>46273</v>
      </c>
      <c r="F44" s="619">
        <v>0.63300000000000001</v>
      </c>
      <c r="G44" s="619">
        <v>1.05</v>
      </c>
      <c r="H44" s="619">
        <v>7.71</v>
      </c>
    </row>
    <row r="45" spans="2:8" x14ac:dyDescent="0.3">
      <c r="B45" s="618">
        <v>42</v>
      </c>
      <c r="C45" s="1283"/>
      <c r="D45" s="619" t="s">
        <v>465</v>
      </c>
      <c r="E45" s="620">
        <v>46273</v>
      </c>
      <c r="F45" s="619">
        <v>0.66200000000000003</v>
      </c>
      <c r="G45" s="619">
        <v>1.04</v>
      </c>
      <c r="H45" s="619">
        <v>7.93</v>
      </c>
    </row>
    <row r="46" spans="2:8" x14ac:dyDescent="0.3">
      <c r="B46" s="618">
        <v>43</v>
      </c>
      <c r="C46" s="1283"/>
      <c r="D46" s="619" t="s">
        <v>460</v>
      </c>
      <c r="E46" s="620">
        <v>46274</v>
      </c>
      <c r="F46" s="622">
        <v>0.59599999999999997</v>
      </c>
      <c r="G46" s="619">
        <v>0.64</v>
      </c>
      <c r="H46" s="619">
        <v>7.27</v>
      </c>
    </row>
    <row r="47" spans="2:8" x14ac:dyDescent="0.3">
      <c r="B47" s="618">
        <v>44</v>
      </c>
      <c r="C47" s="1283"/>
      <c r="D47" s="619" t="s">
        <v>461</v>
      </c>
      <c r="E47" s="620">
        <v>46274</v>
      </c>
      <c r="F47" s="619">
        <v>0.59399999999999997</v>
      </c>
      <c r="G47" s="619">
        <v>0.68</v>
      </c>
      <c r="H47" s="619">
        <v>7.24</v>
      </c>
    </row>
    <row r="48" spans="2:8" x14ac:dyDescent="0.3">
      <c r="B48" s="618">
        <v>45</v>
      </c>
      <c r="C48" s="1284"/>
      <c r="D48" s="619" t="s">
        <v>462</v>
      </c>
      <c r="E48" s="620">
        <v>46274</v>
      </c>
      <c r="F48" s="619">
        <v>0.58699999999999997</v>
      </c>
      <c r="G48" s="619">
        <v>0.68</v>
      </c>
      <c r="H48" s="619">
        <v>7.21</v>
      </c>
    </row>
    <row r="49" spans="2:8" x14ac:dyDescent="0.3">
      <c r="B49" s="233">
        <v>46</v>
      </c>
      <c r="C49" s="6"/>
      <c r="D49" s="6" t="s">
        <v>463</v>
      </c>
      <c r="E49" s="432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2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2">
        <v>46274</v>
      </c>
      <c r="F51" s="6"/>
      <c r="G51" s="6"/>
      <c r="H51" s="6"/>
    </row>
    <row r="52" spans="2:8" x14ac:dyDescent="0.3">
      <c r="B52" s="618">
        <v>49</v>
      </c>
      <c r="C52" s="1282">
        <v>5</v>
      </c>
      <c r="D52" s="619" t="s">
        <v>460</v>
      </c>
      <c r="E52" s="620">
        <v>46275</v>
      </c>
      <c r="F52" s="619">
        <v>0.79600000000000004</v>
      </c>
      <c r="G52" s="619">
        <v>0.64</v>
      </c>
      <c r="H52" s="619">
        <v>9.08</v>
      </c>
    </row>
    <row r="53" spans="2:8" x14ac:dyDescent="0.3">
      <c r="B53" s="618">
        <v>50</v>
      </c>
      <c r="C53" s="1283"/>
      <c r="D53" s="619" t="s">
        <v>461</v>
      </c>
      <c r="E53" s="620">
        <v>46275</v>
      </c>
      <c r="F53" s="619">
        <v>0.82599999999999996</v>
      </c>
      <c r="G53" s="619">
        <v>0.72</v>
      </c>
      <c r="H53" s="619">
        <v>8.82</v>
      </c>
    </row>
    <row r="54" spans="2:8" x14ac:dyDescent="0.3">
      <c r="B54" s="618">
        <v>51</v>
      </c>
      <c r="C54" s="1283"/>
      <c r="D54" s="619" t="s">
        <v>462</v>
      </c>
      <c r="E54" s="620">
        <v>46275</v>
      </c>
      <c r="F54" s="619">
        <v>0.73</v>
      </c>
      <c r="G54" s="619">
        <v>0.63</v>
      </c>
      <c r="H54" s="619">
        <v>8.57</v>
      </c>
    </row>
    <row r="55" spans="2:8" x14ac:dyDescent="0.3">
      <c r="B55" s="618">
        <v>52</v>
      </c>
      <c r="C55" s="1283"/>
      <c r="D55" s="619" t="s">
        <v>463</v>
      </c>
      <c r="E55" s="620">
        <v>46275</v>
      </c>
      <c r="F55" s="619">
        <v>0.49299999999999999</v>
      </c>
      <c r="G55" s="619">
        <v>0.45</v>
      </c>
      <c r="H55" s="619">
        <v>9.11</v>
      </c>
    </row>
    <row r="56" spans="2:8" x14ac:dyDescent="0.3">
      <c r="B56" s="618">
        <v>53</v>
      </c>
      <c r="C56" s="1283"/>
      <c r="D56" s="619" t="s">
        <v>464</v>
      </c>
      <c r="E56" s="620">
        <v>46275</v>
      </c>
      <c r="F56" s="619">
        <v>0.497</v>
      </c>
      <c r="G56" s="619">
        <v>0.52</v>
      </c>
      <c r="H56" s="619">
        <v>9.36</v>
      </c>
    </row>
    <row r="57" spans="2:8" x14ac:dyDescent="0.3">
      <c r="B57" s="618">
        <v>54</v>
      </c>
      <c r="C57" s="1283"/>
      <c r="D57" s="619" t="s">
        <v>465</v>
      </c>
      <c r="E57" s="620">
        <v>46275</v>
      </c>
      <c r="F57" s="619">
        <v>0.55800000000000005</v>
      </c>
      <c r="G57" s="619">
        <v>0.32</v>
      </c>
      <c r="H57" s="619">
        <v>9.36</v>
      </c>
    </row>
    <row r="58" spans="2:8" x14ac:dyDescent="0.3">
      <c r="B58" s="618">
        <v>55</v>
      </c>
      <c r="C58" s="1283"/>
      <c r="D58" s="619" t="s">
        <v>460</v>
      </c>
      <c r="E58" s="620">
        <v>46276</v>
      </c>
      <c r="F58" s="619">
        <v>1.3759999999999999</v>
      </c>
      <c r="G58" s="619">
        <v>0.99</v>
      </c>
      <c r="H58" s="619">
        <v>9.2100000000000009</v>
      </c>
    </row>
    <row r="59" spans="2:8" x14ac:dyDescent="0.3">
      <c r="B59" s="618">
        <v>56</v>
      </c>
      <c r="C59" s="1283"/>
      <c r="D59" s="619" t="s">
        <v>461</v>
      </c>
      <c r="E59" s="620">
        <v>46276</v>
      </c>
      <c r="F59" s="619">
        <v>1.468</v>
      </c>
      <c r="G59" s="619">
        <v>0.93</v>
      </c>
      <c r="H59" s="619">
        <v>8.94</v>
      </c>
    </row>
    <row r="60" spans="2:8" x14ac:dyDescent="0.3">
      <c r="B60" s="618">
        <v>57</v>
      </c>
      <c r="C60" s="1284"/>
      <c r="D60" s="619" t="s">
        <v>462</v>
      </c>
      <c r="E60" s="620">
        <v>46276</v>
      </c>
      <c r="F60" s="619">
        <v>1.4419999999999999</v>
      </c>
      <c r="G60" s="619">
        <v>1.06</v>
      </c>
      <c r="H60" s="619">
        <v>9.25</v>
      </c>
    </row>
    <row r="61" spans="2:8" x14ac:dyDescent="0.3">
      <c r="B61" s="580">
        <v>58</v>
      </c>
      <c r="C61" s="1285">
        <v>6</v>
      </c>
      <c r="D61" s="616" t="s">
        <v>463</v>
      </c>
      <c r="E61" s="617">
        <v>46276</v>
      </c>
      <c r="F61" s="616">
        <v>0.28000000000000003</v>
      </c>
      <c r="G61" s="616">
        <v>0.56000000000000005</v>
      </c>
      <c r="H61" s="616">
        <v>7.41</v>
      </c>
    </row>
    <row r="62" spans="2:8" x14ac:dyDescent="0.3">
      <c r="B62" s="580">
        <v>59</v>
      </c>
      <c r="C62" s="1286"/>
      <c r="D62" s="616" t="s">
        <v>464</v>
      </c>
      <c r="E62" s="617">
        <v>46276</v>
      </c>
      <c r="F62" s="616">
        <v>0.23300000000000001</v>
      </c>
      <c r="G62" s="616">
        <v>0.66</v>
      </c>
      <c r="H62" s="616">
        <v>7.27</v>
      </c>
    </row>
    <row r="63" spans="2:8" x14ac:dyDescent="0.3">
      <c r="B63" s="580">
        <v>60</v>
      </c>
      <c r="C63" s="1286"/>
      <c r="D63" s="616" t="s">
        <v>465</v>
      </c>
      <c r="E63" s="617">
        <v>46276</v>
      </c>
      <c r="F63" s="616">
        <v>0.28199999999999997</v>
      </c>
      <c r="G63" s="616">
        <v>0.5</v>
      </c>
      <c r="H63" s="616">
        <v>8.1</v>
      </c>
    </row>
    <row r="64" spans="2:8" x14ac:dyDescent="0.3">
      <c r="B64" s="580">
        <v>61</v>
      </c>
      <c r="C64" s="1286"/>
      <c r="D64" s="616" t="s">
        <v>460</v>
      </c>
      <c r="E64" s="617">
        <v>46277</v>
      </c>
      <c r="F64" s="616">
        <v>0.27800000000000002</v>
      </c>
      <c r="G64" s="616">
        <v>0.54</v>
      </c>
      <c r="H64" s="616">
        <v>6.85</v>
      </c>
    </row>
    <row r="65" spans="2:8" x14ac:dyDescent="0.3">
      <c r="B65" s="580">
        <v>62</v>
      </c>
      <c r="C65" s="1286"/>
      <c r="D65" s="616" t="s">
        <v>461</v>
      </c>
      <c r="E65" s="617">
        <v>46277</v>
      </c>
      <c r="F65" s="616">
        <v>0.313</v>
      </c>
      <c r="G65" s="616">
        <v>0.71</v>
      </c>
      <c r="H65" s="616">
        <v>6.29</v>
      </c>
    </row>
    <row r="66" spans="2:8" x14ac:dyDescent="0.3">
      <c r="B66" s="580">
        <v>63</v>
      </c>
      <c r="C66" s="1287"/>
      <c r="D66" s="616" t="s">
        <v>462</v>
      </c>
      <c r="E66" s="617">
        <v>46277</v>
      </c>
      <c r="F66" s="616">
        <v>0.32500000000000001</v>
      </c>
      <c r="G66" s="616">
        <v>0.41</v>
      </c>
      <c r="H66" s="616">
        <v>7.25</v>
      </c>
    </row>
    <row r="67" spans="2:8" x14ac:dyDescent="0.3">
      <c r="B67" s="618">
        <v>64</v>
      </c>
      <c r="C67" s="1282">
        <v>7</v>
      </c>
      <c r="D67" s="619" t="s">
        <v>463</v>
      </c>
      <c r="E67" s="620">
        <v>46279</v>
      </c>
      <c r="F67" s="619">
        <v>0.72</v>
      </c>
      <c r="G67" s="619">
        <v>0.56999999999999995</v>
      </c>
      <c r="H67" s="619">
        <v>8.7200000000000006</v>
      </c>
    </row>
    <row r="68" spans="2:8" x14ac:dyDescent="0.3">
      <c r="B68" s="618">
        <v>65</v>
      </c>
      <c r="C68" s="1283"/>
      <c r="D68" s="619" t="s">
        <v>464</v>
      </c>
      <c r="E68" s="620">
        <v>46279</v>
      </c>
      <c r="F68" s="619">
        <v>0.505</v>
      </c>
      <c r="G68" s="619">
        <v>0.55000000000000004</v>
      </c>
      <c r="H68" s="619">
        <v>8.4</v>
      </c>
    </row>
    <row r="69" spans="2:8" x14ac:dyDescent="0.3">
      <c r="B69" s="618">
        <v>66</v>
      </c>
      <c r="C69" s="1283"/>
      <c r="D69" s="619" t="s">
        <v>465</v>
      </c>
      <c r="E69" s="620">
        <v>46279</v>
      </c>
      <c r="F69" s="619">
        <v>0.67100000000000004</v>
      </c>
      <c r="G69" s="619">
        <v>0.64</v>
      </c>
      <c r="H69" s="619">
        <v>8.67</v>
      </c>
    </row>
    <row r="70" spans="2:8" x14ac:dyDescent="0.3">
      <c r="B70" s="618">
        <v>67</v>
      </c>
      <c r="C70" s="1283"/>
      <c r="D70" s="619" t="s">
        <v>460</v>
      </c>
      <c r="E70" s="620">
        <v>46280</v>
      </c>
      <c r="F70" s="619">
        <v>0.35</v>
      </c>
      <c r="G70" s="619">
        <v>0.49</v>
      </c>
      <c r="H70" s="619">
        <v>9.5299999999999994</v>
      </c>
    </row>
    <row r="71" spans="2:8" x14ac:dyDescent="0.3">
      <c r="B71" s="618">
        <v>68</v>
      </c>
      <c r="C71" s="1283"/>
      <c r="D71" s="619" t="s">
        <v>461</v>
      </c>
      <c r="E71" s="620">
        <v>46280</v>
      </c>
      <c r="F71" s="619">
        <v>0.375</v>
      </c>
      <c r="G71" s="619">
        <v>0.46</v>
      </c>
      <c r="H71" s="619">
        <v>9.86</v>
      </c>
    </row>
    <row r="72" spans="2:8" x14ac:dyDescent="0.3">
      <c r="B72" s="618">
        <v>69</v>
      </c>
      <c r="C72" s="1283"/>
      <c r="D72" s="619" t="s">
        <v>462</v>
      </c>
      <c r="E72" s="620">
        <v>46280</v>
      </c>
      <c r="F72" s="619">
        <v>0.36899999999999999</v>
      </c>
      <c r="G72" s="619">
        <v>0.45</v>
      </c>
      <c r="H72" s="619">
        <v>9.32</v>
      </c>
    </row>
    <row r="73" spans="2:8" x14ac:dyDescent="0.3">
      <c r="B73" s="618">
        <v>70</v>
      </c>
      <c r="C73" s="1283"/>
      <c r="D73" s="619" t="s">
        <v>463</v>
      </c>
      <c r="E73" s="620">
        <v>46280</v>
      </c>
      <c r="F73" s="619">
        <v>0.64</v>
      </c>
      <c r="G73" s="619">
        <v>0.57999999999999996</v>
      </c>
      <c r="H73" s="619">
        <v>11.12</v>
      </c>
    </row>
    <row r="74" spans="2:8" x14ac:dyDescent="0.3">
      <c r="B74" s="618">
        <v>71</v>
      </c>
      <c r="C74" s="1283"/>
      <c r="D74" s="619" t="s">
        <v>464</v>
      </c>
      <c r="E74" s="620">
        <v>46280</v>
      </c>
      <c r="F74" s="619">
        <v>0.58299999999999996</v>
      </c>
      <c r="G74" s="619">
        <v>0.53</v>
      </c>
      <c r="H74" s="619">
        <v>11.35</v>
      </c>
    </row>
    <row r="75" spans="2:8" x14ac:dyDescent="0.3">
      <c r="B75" s="618">
        <v>72</v>
      </c>
      <c r="C75" s="1284"/>
      <c r="D75" s="619" t="s">
        <v>465</v>
      </c>
      <c r="E75" s="620">
        <v>46280</v>
      </c>
      <c r="F75" s="619">
        <v>0.60699999999999998</v>
      </c>
      <c r="G75" s="619">
        <v>0.55000000000000004</v>
      </c>
      <c r="H75" s="619">
        <v>11.36</v>
      </c>
    </row>
    <row r="76" spans="2:8" ht="14.4" customHeight="1" x14ac:dyDescent="0.3">
      <c r="B76" s="580">
        <v>73</v>
      </c>
      <c r="C76" s="1285">
        <v>8</v>
      </c>
      <c r="D76" s="616" t="s">
        <v>460</v>
      </c>
      <c r="E76" s="617">
        <v>46281</v>
      </c>
      <c r="F76" s="616">
        <v>0.44900000000000001</v>
      </c>
      <c r="G76" s="616">
        <v>0.63</v>
      </c>
      <c r="H76" s="616">
        <v>11.56</v>
      </c>
    </row>
    <row r="77" spans="2:8" ht="14.4" customHeight="1" x14ac:dyDescent="0.3">
      <c r="B77" s="580">
        <v>74</v>
      </c>
      <c r="C77" s="1286"/>
      <c r="D77" s="616" t="s">
        <v>461</v>
      </c>
      <c r="E77" s="617">
        <v>46281</v>
      </c>
      <c r="F77" s="616">
        <v>0.46800000000000003</v>
      </c>
      <c r="G77" s="616">
        <v>0.6</v>
      </c>
      <c r="H77" s="616">
        <v>11.66</v>
      </c>
    </row>
    <row r="78" spans="2:8" ht="14.4" customHeight="1" x14ac:dyDescent="0.3">
      <c r="B78" s="580">
        <v>75</v>
      </c>
      <c r="C78" s="1286"/>
      <c r="D78" s="616" t="s">
        <v>462</v>
      </c>
      <c r="E78" s="617">
        <v>46281</v>
      </c>
      <c r="F78" s="616">
        <v>0.438</v>
      </c>
      <c r="G78" s="616">
        <v>0.67</v>
      </c>
      <c r="H78" s="616">
        <v>11.67</v>
      </c>
    </row>
    <row r="79" spans="2:8" ht="14.4" customHeight="1" x14ac:dyDescent="0.3">
      <c r="B79" s="580">
        <v>76</v>
      </c>
      <c r="C79" s="1286"/>
      <c r="D79" s="616" t="s">
        <v>463</v>
      </c>
      <c r="E79" s="617">
        <v>46281</v>
      </c>
      <c r="F79" s="616">
        <v>0.59599999999999997</v>
      </c>
      <c r="G79" s="616">
        <v>0.59</v>
      </c>
      <c r="H79" s="616">
        <v>9.1300000000000008</v>
      </c>
    </row>
    <row r="80" spans="2:8" ht="14.4" customHeight="1" x14ac:dyDescent="0.3">
      <c r="B80" s="580">
        <v>77</v>
      </c>
      <c r="C80" s="1286"/>
      <c r="D80" s="616" t="s">
        <v>464</v>
      </c>
      <c r="E80" s="617">
        <v>46281</v>
      </c>
      <c r="F80" s="616">
        <v>0.58499999999999996</v>
      </c>
      <c r="G80" s="616">
        <v>0.56999999999999995</v>
      </c>
      <c r="H80" s="616">
        <v>9.2899999999999991</v>
      </c>
    </row>
    <row r="81" spans="2:8" ht="14.4" customHeight="1" x14ac:dyDescent="0.3">
      <c r="B81" s="580">
        <v>78</v>
      </c>
      <c r="C81" s="1286"/>
      <c r="D81" s="616" t="s">
        <v>465</v>
      </c>
      <c r="E81" s="617">
        <v>46281</v>
      </c>
      <c r="F81" s="616">
        <v>0.58299999999999996</v>
      </c>
      <c r="G81" s="616">
        <v>0.57999999999999996</v>
      </c>
      <c r="H81" s="616">
        <v>9.14</v>
      </c>
    </row>
    <row r="82" spans="2:8" x14ac:dyDescent="0.3">
      <c r="B82" s="580">
        <v>79</v>
      </c>
      <c r="C82" s="1286"/>
      <c r="D82" s="616" t="s">
        <v>460</v>
      </c>
      <c r="E82" s="617">
        <v>46282</v>
      </c>
      <c r="F82" s="616">
        <v>0.57699999999999996</v>
      </c>
      <c r="G82" s="616">
        <v>0.53</v>
      </c>
      <c r="H82" s="616">
        <v>10.92</v>
      </c>
    </row>
    <row r="83" spans="2:8" x14ac:dyDescent="0.3">
      <c r="B83" s="580">
        <v>80</v>
      </c>
      <c r="C83" s="1286"/>
      <c r="D83" s="616" t="s">
        <v>461</v>
      </c>
      <c r="E83" s="617">
        <v>46282</v>
      </c>
      <c r="F83" s="616">
        <v>0.68</v>
      </c>
      <c r="G83" s="616">
        <v>0.67</v>
      </c>
      <c r="H83" s="616">
        <v>10.54</v>
      </c>
    </row>
    <row r="84" spans="2:8" x14ac:dyDescent="0.3">
      <c r="B84" s="580">
        <v>81</v>
      </c>
      <c r="C84" s="1286"/>
      <c r="D84" s="616" t="s">
        <v>462</v>
      </c>
      <c r="E84" s="617">
        <v>46282</v>
      </c>
      <c r="F84" s="616">
        <v>0.58599999999999997</v>
      </c>
      <c r="G84" s="616">
        <v>0.56999999999999995</v>
      </c>
      <c r="H84" s="616">
        <v>11.77</v>
      </c>
    </row>
    <row r="85" spans="2:8" x14ac:dyDescent="0.3">
      <c r="B85" s="580">
        <v>82</v>
      </c>
      <c r="C85" s="1286"/>
      <c r="D85" s="616" t="s">
        <v>463</v>
      </c>
      <c r="E85" s="617">
        <v>46282</v>
      </c>
      <c r="F85" s="616">
        <v>0.73599999999999999</v>
      </c>
      <c r="G85" s="616">
        <v>0.61</v>
      </c>
      <c r="H85" s="616">
        <v>9.9</v>
      </c>
    </row>
    <row r="86" spans="2:8" x14ac:dyDescent="0.3">
      <c r="B86" s="580">
        <v>83</v>
      </c>
      <c r="C86" s="1286"/>
      <c r="D86" s="616" t="s">
        <v>464</v>
      </c>
      <c r="E86" s="617">
        <v>46282</v>
      </c>
      <c r="F86" s="616">
        <v>0.69099999999999995</v>
      </c>
      <c r="G86" s="616">
        <v>0.53</v>
      </c>
      <c r="H86" s="616">
        <v>10.31</v>
      </c>
    </row>
    <row r="87" spans="2:8" x14ac:dyDescent="0.3">
      <c r="B87" s="580">
        <v>84</v>
      </c>
      <c r="C87" s="1287"/>
      <c r="D87" s="616" t="s">
        <v>465</v>
      </c>
      <c r="E87" s="617">
        <v>46282</v>
      </c>
      <c r="F87" s="616">
        <v>0.629</v>
      </c>
      <c r="G87" s="616">
        <v>0.51</v>
      </c>
      <c r="H87" s="616">
        <v>8.64</v>
      </c>
    </row>
    <row r="88" spans="2:8" ht="14.4" customHeight="1" x14ac:dyDescent="0.3">
      <c r="B88" s="451">
        <v>85</v>
      </c>
      <c r="C88" s="1291">
        <v>9</v>
      </c>
      <c r="D88" s="453" t="s">
        <v>460</v>
      </c>
      <c r="E88" s="454">
        <v>46283</v>
      </c>
      <c r="F88" s="453">
        <v>0.78200000000000003</v>
      </c>
      <c r="G88" s="453">
        <v>0.55000000000000004</v>
      </c>
      <c r="H88" s="453">
        <v>12.04</v>
      </c>
    </row>
    <row r="89" spans="2:8" ht="14.4" customHeight="1" x14ac:dyDescent="0.3">
      <c r="B89" s="451">
        <v>86</v>
      </c>
      <c r="C89" s="1292"/>
      <c r="D89" s="453" t="s">
        <v>461</v>
      </c>
      <c r="E89" s="454">
        <v>46283</v>
      </c>
      <c r="F89" s="453">
        <v>0.75900000000000001</v>
      </c>
      <c r="G89" s="453">
        <v>0.52</v>
      </c>
      <c r="H89" s="453">
        <v>12.08</v>
      </c>
    </row>
    <row r="90" spans="2:8" ht="14.4" customHeight="1" x14ac:dyDescent="0.3">
      <c r="B90" s="451">
        <v>87</v>
      </c>
      <c r="C90" s="1292"/>
      <c r="D90" s="453" t="s">
        <v>462</v>
      </c>
      <c r="E90" s="454">
        <v>46283</v>
      </c>
      <c r="F90" s="453">
        <v>0.76300000000000001</v>
      </c>
      <c r="G90" s="453">
        <v>0.54</v>
      </c>
      <c r="H90" s="453">
        <v>12.03</v>
      </c>
    </row>
    <row r="91" spans="2:8" ht="14.4" customHeight="1" x14ac:dyDescent="0.3">
      <c r="B91" s="451">
        <v>88</v>
      </c>
      <c r="C91" s="1292"/>
      <c r="D91" s="453" t="s">
        <v>463</v>
      </c>
      <c r="E91" s="454">
        <v>46283</v>
      </c>
      <c r="F91" s="453">
        <v>0.52500000000000002</v>
      </c>
      <c r="G91" s="453">
        <v>0.74</v>
      </c>
      <c r="H91" s="453">
        <v>11.56</v>
      </c>
    </row>
    <row r="92" spans="2:8" ht="14.4" customHeight="1" x14ac:dyDescent="0.3">
      <c r="B92" s="451">
        <v>89</v>
      </c>
      <c r="C92" s="1292"/>
      <c r="D92" s="453" t="s">
        <v>464</v>
      </c>
      <c r="E92" s="454">
        <v>46283</v>
      </c>
      <c r="F92" s="453">
        <v>0.55700000000000005</v>
      </c>
      <c r="G92" s="453">
        <v>0.72</v>
      </c>
      <c r="H92" s="453">
        <v>12.77</v>
      </c>
    </row>
    <row r="93" spans="2:8" ht="14.4" customHeight="1" x14ac:dyDescent="0.3">
      <c r="B93" s="451">
        <v>90</v>
      </c>
      <c r="C93" s="1292"/>
      <c r="D93" s="453" t="s">
        <v>465</v>
      </c>
      <c r="E93" s="454">
        <v>46283</v>
      </c>
      <c r="F93" s="453">
        <v>0.46800000000000003</v>
      </c>
      <c r="G93" s="453">
        <v>0.69</v>
      </c>
      <c r="H93" s="453">
        <v>9.9</v>
      </c>
    </row>
    <row r="94" spans="2:8" ht="14.4" customHeight="1" x14ac:dyDescent="0.3">
      <c r="B94" s="451">
        <v>91</v>
      </c>
      <c r="C94" s="1292"/>
      <c r="D94" s="453" t="s">
        <v>460</v>
      </c>
      <c r="E94" s="454">
        <v>46284</v>
      </c>
      <c r="F94" s="453">
        <v>0.57099999999999995</v>
      </c>
      <c r="G94" s="453">
        <v>0.8</v>
      </c>
      <c r="H94" s="453">
        <v>15.95</v>
      </c>
    </row>
    <row r="95" spans="2:8" ht="14.4" customHeight="1" x14ac:dyDescent="0.3">
      <c r="B95" s="451">
        <v>92</v>
      </c>
      <c r="C95" s="1292"/>
      <c r="D95" s="453" t="s">
        <v>461</v>
      </c>
      <c r="E95" s="454">
        <v>46284</v>
      </c>
      <c r="F95" s="453">
        <v>0.64400000000000002</v>
      </c>
      <c r="G95" s="453">
        <v>1.04</v>
      </c>
      <c r="H95" s="453">
        <v>16.68</v>
      </c>
    </row>
    <row r="96" spans="2:8" ht="14.4" customHeight="1" x14ac:dyDescent="0.3">
      <c r="B96" s="451">
        <v>93</v>
      </c>
      <c r="C96" s="1292"/>
      <c r="D96" s="453" t="s">
        <v>462</v>
      </c>
      <c r="E96" s="454">
        <v>46284</v>
      </c>
      <c r="F96" s="453">
        <v>0.55800000000000005</v>
      </c>
      <c r="G96" s="453">
        <v>1.06</v>
      </c>
      <c r="H96" s="453">
        <v>17.13</v>
      </c>
    </row>
    <row r="97" spans="2:8" ht="14.4" customHeight="1" x14ac:dyDescent="0.3">
      <c r="B97" s="451">
        <v>94</v>
      </c>
      <c r="C97" s="1292"/>
      <c r="D97" s="453" t="s">
        <v>463</v>
      </c>
      <c r="E97" s="454">
        <v>46284</v>
      </c>
      <c r="F97" s="453">
        <v>0.53100000000000003</v>
      </c>
      <c r="G97" s="453">
        <v>1.17</v>
      </c>
      <c r="H97" s="453">
        <v>19.079999999999998</v>
      </c>
    </row>
    <row r="98" spans="2:8" ht="14.4" customHeight="1" x14ac:dyDescent="0.3">
      <c r="B98" s="451">
        <v>95</v>
      </c>
      <c r="C98" s="1292"/>
      <c r="D98" s="453" t="s">
        <v>464</v>
      </c>
      <c r="E98" s="454">
        <v>46284</v>
      </c>
      <c r="F98" s="453">
        <v>0.60299999999999998</v>
      </c>
      <c r="G98" s="453">
        <v>1.39</v>
      </c>
      <c r="H98" s="453">
        <v>18.75</v>
      </c>
    </row>
    <row r="99" spans="2:8" ht="14.4" customHeight="1" x14ac:dyDescent="0.3">
      <c r="B99" s="451">
        <v>96</v>
      </c>
      <c r="C99" s="1293"/>
      <c r="D99" s="453" t="s">
        <v>465</v>
      </c>
      <c r="E99" s="454">
        <v>46284</v>
      </c>
      <c r="F99" s="453">
        <v>0.50800000000000001</v>
      </c>
      <c r="G99" s="453">
        <v>1.1399999999999999</v>
      </c>
      <c r="H99" s="453">
        <v>18.14</v>
      </c>
    </row>
    <row r="100" spans="2:8" ht="14.4" customHeight="1" x14ac:dyDescent="0.3">
      <c r="B100" s="483">
        <v>97</v>
      </c>
      <c r="C100" s="1294">
        <v>10</v>
      </c>
      <c r="D100" s="616" t="s">
        <v>460</v>
      </c>
      <c r="E100" s="617">
        <v>46286</v>
      </c>
      <c r="F100" s="616">
        <v>1.046</v>
      </c>
      <c r="G100" s="616">
        <v>1.86</v>
      </c>
      <c r="H100" s="616">
        <v>19.690000000000001</v>
      </c>
    </row>
    <row r="101" spans="2:8" ht="14.4" customHeight="1" x14ac:dyDescent="0.3">
      <c r="B101" s="483">
        <v>98</v>
      </c>
      <c r="C101" s="1295"/>
      <c r="D101" s="616" t="s">
        <v>461</v>
      </c>
      <c r="E101" s="617">
        <v>46286</v>
      </c>
      <c r="F101" s="616">
        <v>0.94899999999999995</v>
      </c>
      <c r="G101" s="616">
        <v>1.98</v>
      </c>
      <c r="H101" s="616">
        <v>20.5</v>
      </c>
    </row>
    <row r="102" spans="2:8" ht="14.4" customHeight="1" x14ac:dyDescent="0.3">
      <c r="B102" s="483">
        <v>99</v>
      </c>
      <c r="C102" s="1295"/>
      <c r="D102" s="616" t="s">
        <v>462</v>
      </c>
      <c r="E102" s="617">
        <v>46286</v>
      </c>
      <c r="F102" s="616">
        <v>0.96299999999999997</v>
      </c>
      <c r="G102" s="616">
        <v>2.13</v>
      </c>
      <c r="H102" s="616">
        <v>19.89</v>
      </c>
    </row>
    <row r="103" spans="2:8" ht="14.4" customHeight="1" x14ac:dyDescent="0.3">
      <c r="B103" s="483">
        <v>100</v>
      </c>
      <c r="C103" s="1295"/>
      <c r="D103" s="616" t="s">
        <v>463</v>
      </c>
      <c r="E103" s="617">
        <v>46286</v>
      </c>
      <c r="F103" s="616">
        <v>0.53800000000000003</v>
      </c>
      <c r="G103" s="616">
        <v>1.2</v>
      </c>
      <c r="H103" s="616">
        <v>18.95</v>
      </c>
    </row>
    <row r="104" spans="2:8" ht="14.4" customHeight="1" x14ac:dyDescent="0.3">
      <c r="B104" s="483">
        <v>101</v>
      </c>
      <c r="C104" s="1295"/>
      <c r="D104" s="616" t="s">
        <v>464</v>
      </c>
      <c r="E104" s="617">
        <v>46286</v>
      </c>
      <c r="F104" s="616">
        <v>0.55600000000000005</v>
      </c>
      <c r="G104" s="616">
        <v>1.19</v>
      </c>
      <c r="H104" s="616">
        <v>18.75</v>
      </c>
    </row>
    <row r="105" spans="2:8" ht="14.4" customHeight="1" x14ac:dyDescent="0.3">
      <c r="B105" s="483">
        <v>102</v>
      </c>
      <c r="C105" s="1295"/>
      <c r="D105" s="616" t="s">
        <v>465</v>
      </c>
      <c r="E105" s="617">
        <v>46286</v>
      </c>
      <c r="F105" s="616">
        <v>0.56599999999999995</v>
      </c>
      <c r="G105" s="616">
        <v>1.25</v>
      </c>
      <c r="H105" s="616">
        <v>18.899999999999999</v>
      </c>
    </row>
    <row r="106" spans="2:8" ht="14.4" customHeight="1" x14ac:dyDescent="0.3">
      <c r="B106" s="483">
        <v>103</v>
      </c>
      <c r="C106" s="1295"/>
      <c r="D106" s="616" t="s">
        <v>460</v>
      </c>
      <c r="E106" s="617">
        <v>46287</v>
      </c>
      <c r="F106" s="616">
        <v>0.80600000000000005</v>
      </c>
      <c r="G106" s="616">
        <v>1.08</v>
      </c>
      <c r="H106" s="616">
        <v>19.71</v>
      </c>
    </row>
    <row r="107" spans="2:8" ht="14.4" customHeight="1" x14ac:dyDescent="0.3">
      <c r="B107" s="483">
        <v>104</v>
      </c>
      <c r="C107" s="1295"/>
      <c r="D107" s="616" t="s">
        <v>461</v>
      </c>
      <c r="E107" s="617">
        <v>46287</v>
      </c>
      <c r="F107" s="616">
        <v>0.81799999999999995</v>
      </c>
      <c r="G107" s="616">
        <v>1.0900000000000001</v>
      </c>
      <c r="H107" s="616">
        <v>19.239999999999998</v>
      </c>
    </row>
    <row r="108" spans="2:8" ht="14.4" customHeight="1" x14ac:dyDescent="0.3">
      <c r="B108" s="483">
        <v>105</v>
      </c>
      <c r="C108" s="1295"/>
      <c r="D108" s="616" t="s">
        <v>462</v>
      </c>
      <c r="E108" s="617">
        <v>46287</v>
      </c>
      <c r="F108" s="616">
        <v>0.85399999999999998</v>
      </c>
      <c r="G108" s="616">
        <v>1.1599999999999999</v>
      </c>
      <c r="H108" s="616">
        <v>19.87</v>
      </c>
    </row>
    <row r="109" spans="2:8" ht="14.4" customHeight="1" x14ac:dyDescent="0.3">
      <c r="B109" s="483">
        <v>106</v>
      </c>
      <c r="C109" s="1295"/>
      <c r="D109" s="616" t="s">
        <v>463</v>
      </c>
      <c r="E109" s="617">
        <v>46287</v>
      </c>
      <c r="F109" s="616">
        <v>0.75700000000000001</v>
      </c>
      <c r="G109" s="616">
        <v>1.07</v>
      </c>
      <c r="H109" s="616">
        <v>15.22</v>
      </c>
    </row>
    <row r="110" spans="2:8" ht="14.4" customHeight="1" x14ac:dyDescent="0.3">
      <c r="B110" s="483">
        <v>107</v>
      </c>
      <c r="C110" s="1295"/>
      <c r="D110" s="616" t="s">
        <v>464</v>
      </c>
      <c r="E110" s="617">
        <v>46287</v>
      </c>
      <c r="F110" s="616">
        <v>0.75</v>
      </c>
      <c r="G110" s="616">
        <v>1.05</v>
      </c>
      <c r="H110" s="616">
        <v>15.65</v>
      </c>
    </row>
    <row r="111" spans="2:8" ht="14.4" customHeight="1" x14ac:dyDescent="0.3">
      <c r="B111" s="483">
        <v>108</v>
      </c>
      <c r="C111" s="1295"/>
      <c r="D111" s="616" t="s">
        <v>465</v>
      </c>
      <c r="E111" s="617">
        <v>46287</v>
      </c>
      <c r="F111" s="616">
        <v>0.74</v>
      </c>
      <c r="G111" s="616">
        <v>1.08</v>
      </c>
      <c r="H111" s="616">
        <v>15.65</v>
      </c>
    </row>
    <row r="112" spans="2:8" ht="14.4" customHeight="1" x14ac:dyDescent="0.3">
      <c r="B112" s="483">
        <v>109</v>
      </c>
      <c r="C112" s="1295"/>
      <c r="D112" s="616" t="s">
        <v>460</v>
      </c>
      <c r="E112" s="617">
        <v>46288</v>
      </c>
      <c r="F112" s="616">
        <v>1.0669999999999999</v>
      </c>
      <c r="G112" s="616">
        <v>0.94</v>
      </c>
      <c r="H112" s="616">
        <v>18.3</v>
      </c>
    </row>
    <row r="113" spans="2:8" ht="14.4" customHeight="1" x14ac:dyDescent="0.3">
      <c r="B113" s="483">
        <v>110</v>
      </c>
      <c r="C113" s="1295"/>
      <c r="D113" s="616" t="s">
        <v>461</v>
      </c>
      <c r="E113" s="617">
        <v>46288</v>
      </c>
      <c r="F113" s="616">
        <v>1.022</v>
      </c>
      <c r="G113" s="616">
        <v>0.94</v>
      </c>
      <c r="H113" s="616">
        <v>17.97</v>
      </c>
    </row>
    <row r="114" spans="2:8" ht="14.4" customHeight="1" x14ac:dyDescent="0.3">
      <c r="B114" s="483">
        <v>111</v>
      </c>
      <c r="C114" s="1295"/>
      <c r="D114" s="616" t="s">
        <v>462</v>
      </c>
      <c r="E114" s="617">
        <v>46288</v>
      </c>
      <c r="F114" s="616">
        <v>1.0740000000000001</v>
      </c>
      <c r="G114" s="616">
        <v>0.92</v>
      </c>
      <c r="H114" s="616">
        <v>17.87</v>
      </c>
    </row>
    <row r="115" spans="2:8" x14ac:dyDescent="0.3">
      <c r="B115" s="483">
        <v>112</v>
      </c>
      <c r="C115" s="1295"/>
      <c r="D115" s="616" t="s">
        <v>463</v>
      </c>
      <c r="E115" s="617">
        <v>46288</v>
      </c>
      <c r="F115" s="616">
        <v>0.71299999999999997</v>
      </c>
      <c r="G115" s="616">
        <v>0.64</v>
      </c>
      <c r="H115" s="616">
        <v>16.61</v>
      </c>
    </row>
    <row r="116" spans="2:8" x14ac:dyDescent="0.3">
      <c r="B116" s="483">
        <v>113</v>
      </c>
      <c r="C116" s="1295"/>
      <c r="D116" s="616" t="s">
        <v>464</v>
      </c>
      <c r="E116" s="617">
        <v>46288</v>
      </c>
      <c r="F116" s="616">
        <v>0.745</v>
      </c>
      <c r="G116" s="616">
        <v>0.61</v>
      </c>
      <c r="H116" s="616">
        <v>16.53</v>
      </c>
    </row>
    <row r="117" spans="2:8" x14ac:dyDescent="0.3">
      <c r="B117" s="483">
        <v>114</v>
      </c>
      <c r="C117" s="1295"/>
      <c r="D117" s="616" t="s">
        <v>465</v>
      </c>
      <c r="E117" s="617">
        <v>46288</v>
      </c>
      <c r="F117" s="616">
        <v>0.747</v>
      </c>
      <c r="G117" s="616">
        <v>0.69</v>
      </c>
      <c r="H117" s="616">
        <v>16.399999999999999</v>
      </c>
    </row>
    <row r="118" spans="2:8" x14ac:dyDescent="0.3">
      <c r="B118" s="483">
        <v>115</v>
      </c>
      <c r="C118" s="1295"/>
      <c r="D118" s="616" t="s">
        <v>460</v>
      </c>
      <c r="E118" s="617">
        <v>46289</v>
      </c>
      <c r="F118" s="483">
        <v>0.86099999999999999</v>
      </c>
      <c r="G118" s="483">
        <v>1.02</v>
      </c>
      <c r="H118" s="483">
        <v>16.37</v>
      </c>
    </row>
    <row r="119" spans="2:8" x14ac:dyDescent="0.3">
      <c r="B119" s="483">
        <v>116</v>
      </c>
      <c r="C119" s="1295"/>
      <c r="D119" s="616" t="s">
        <v>461</v>
      </c>
      <c r="E119" s="617">
        <v>46289</v>
      </c>
      <c r="F119" s="483">
        <v>0.90500000000000003</v>
      </c>
      <c r="G119" s="483">
        <v>1.1399999999999999</v>
      </c>
      <c r="H119" s="483">
        <v>16.22</v>
      </c>
    </row>
    <row r="120" spans="2:8" x14ac:dyDescent="0.3">
      <c r="B120" s="483">
        <v>117</v>
      </c>
      <c r="C120" s="1296"/>
      <c r="D120" s="616" t="s">
        <v>462</v>
      </c>
      <c r="E120" s="617">
        <v>46289</v>
      </c>
      <c r="F120" s="483">
        <v>0.86699999999999999</v>
      </c>
      <c r="G120" s="483">
        <v>0.88</v>
      </c>
      <c r="H120" s="483">
        <v>17.47</v>
      </c>
    </row>
    <row r="121" spans="2:8" ht="14.4" customHeight="1" x14ac:dyDescent="0.3">
      <c r="B121" s="452">
        <v>118</v>
      </c>
      <c r="C121" s="1288">
        <v>11</v>
      </c>
      <c r="D121" s="453" t="s">
        <v>463</v>
      </c>
      <c r="E121" s="454">
        <v>46289</v>
      </c>
      <c r="F121" s="452">
        <v>0.57699999999999996</v>
      </c>
      <c r="G121" s="452">
        <v>1.87</v>
      </c>
      <c r="H121" s="452">
        <v>17.46</v>
      </c>
    </row>
    <row r="122" spans="2:8" ht="14.4" customHeight="1" x14ac:dyDescent="0.3">
      <c r="B122" s="452">
        <v>119</v>
      </c>
      <c r="C122" s="1289"/>
      <c r="D122" s="453" t="s">
        <v>464</v>
      </c>
      <c r="E122" s="454">
        <v>46289</v>
      </c>
      <c r="F122" s="452">
        <v>0.59699999999999998</v>
      </c>
      <c r="G122" s="452">
        <v>1.8</v>
      </c>
      <c r="H122" s="452">
        <v>17.75</v>
      </c>
    </row>
    <row r="123" spans="2:8" ht="14.4" customHeight="1" x14ac:dyDescent="0.3">
      <c r="B123" s="452">
        <v>120</v>
      </c>
      <c r="C123" s="1289"/>
      <c r="D123" s="453" t="s">
        <v>465</v>
      </c>
      <c r="E123" s="454">
        <v>46289</v>
      </c>
      <c r="F123" s="452">
        <v>0.56499999999999995</v>
      </c>
      <c r="G123" s="452">
        <v>1.89</v>
      </c>
      <c r="H123" s="452">
        <v>17.72</v>
      </c>
    </row>
    <row r="124" spans="2:8" ht="14.4" customHeight="1" x14ac:dyDescent="0.3">
      <c r="B124" s="452">
        <v>121</v>
      </c>
      <c r="C124" s="1289"/>
      <c r="D124" s="453" t="s">
        <v>460</v>
      </c>
      <c r="E124" s="454">
        <v>46290</v>
      </c>
      <c r="F124" s="453">
        <v>0.75</v>
      </c>
      <c r="G124" s="453">
        <v>1.24</v>
      </c>
      <c r="H124" s="453">
        <v>20.04</v>
      </c>
    </row>
    <row r="125" spans="2:8" ht="14.4" customHeight="1" x14ac:dyDescent="0.3">
      <c r="B125" s="452">
        <v>122</v>
      </c>
      <c r="C125" s="1289"/>
      <c r="D125" s="453" t="s">
        <v>461</v>
      </c>
      <c r="E125" s="454">
        <v>46290</v>
      </c>
      <c r="F125" s="453">
        <v>0.71199999999999997</v>
      </c>
      <c r="G125" s="453">
        <v>1.1200000000000001</v>
      </c>
      <c r="H125" s="453">
        <v>19.91</v>
      </c>
    </row>
    <row r="126" spans="2:8" ht="14.4" customHeight="1" x14ac:dyDescent="0.3">
      <c r="B126" s="452">
        <v>123</v>
      </c>
      <c r="C126" s="1289"/>
      <c r="D126" s="453" t="s">
        <v>462</v>
      </c>
      <c r="E126" s="454">
        <v>46290</v>
      </c>
      <c r="F126" s="453">
        <v>0.72799999999999998</v>
      </c>
      <c r="G126" s="453">
        <v>1.29</v>
      </c>
      <c r="H126" s="453">
        <v>20.12</v>
      </c>
    </row>
    <row r="127" spans="2:8" x14ac:dyDescent="0.3">
      <c r="B127" s="452">
        <v>124</v>
      </c>
      <c r="C127" s="1289"/>
      <c r="D127" s="453" t="s">
        <v>463</v>
      </c>
      <c r="E127" s="454">
        <v>46290</v>
      </c>
      <c r="F127" s="453"/>
      <c r="G127" s="453"/>
      <c r="H127" s="453"/>
    </row>
    <row r="128" spans="2:8" x14ac:dyDescent="0.3">
      <c r="B128" s="452">
        <v>125</v>
      </c>
      <c r="C128" s="1289"/>
      <c r="D128" s="453" t="s">
        <v>464</v>
      </c>
      <c r="E128" s="454">
        <v>46290</v>
      </c>
      <c r="F128" s="453"/>
      <c r="G128" s="453"/>
      <c r="H128" s="453"/>
    </row>
    <row r="129" spans="2:8" x14ac:dyDescent="0.3">
      <c r="B129" s="452">
        <v>126</v>
      </c>
      <c r="C129" s="1290"/>
      <c r="D129" s="453" t="s">
        <v>465</v>
      </c>
      <c r="E129" s="454">
        <v>46290</v>
      </c>
      <c r="F129" s="453"/>
      <c r="G129" s="453"/>
      <c r="H129" s="453"/>
    </row>
    <row r="130" spans="2:8" x14ac:dyDescent="0.3">
      <c r="B130" s="616">
        <v>127</v>
      </c>
      <c r="C130" s="616"/>
      <c r="D130" s="616" t="s">
        <v>460</v>
      </c>
      <c r="E130" s="617">
        <v>46292</v>
      </c>
      <c r="F130" s="616">
        <v>0.52700000000000002</v>
      </c>
      <c r="G130" s="616">
        <v>1.1599999999999999</v>
      </c>
      <c r="H130" s="616">
        <v>13.75</v>
      </c>
    </row>
    <row r="131" spans="2:8" x14ac:dyDescent="0.3">
      <c r="B131" s="616">
        <v>128</v>
      </c>
      <c r="C131" s="616"/>
      <c r="D131" s="616" t="s">
        <v>461</v>
      </c>
      <c r="E131" s="617">
        <v>46292</v>
      </c>
      <c r="F131" s="616">
        <v>0.51100000000000001</v>
      </c>
      <c r="G131" s="616">
        <v>1.07</v>
      </c>
      <c r="H131" s="616">
        <v>13.27</v>
      </c>
    </row>
    <row r="132" spans="2:8" x14ac:dyDescent="0.3">
      <c r="B132" s="616">
        <v>129</v>
      </c>
      <c r="C132" s="616"/>
      <c r="D132" s="616" t="s">
        <v>462</v>
      </c>
      <c r="E132" s="617">
        <v>46292</v>
      </c>
      <c r="F132" s="616">
        <v>0.52300000000000002</v>
      </c>
      <c r="G132" s="616">
        <v>1.08</v>
      </c>
      <c r="H132" s="616">
        <v>13.91</v>
      </c>
    </row>
    <row r="133" spans="2:8" x14ac:dyDescent="0.3">
      <c r="B133" s="616">
        <v>130</v>
      </c>
      <c r="C133" s="616"/>
      <c r="D133" s="616" t="s">
        <v>463</v>
      </c>
      <c r="E133" s="617">
        <v>46292</v>
      </c>
      <c r="F133" s="616">
        <v>0.76</v>
      </c>
      <c r="G133" s="616">
        <v>1.44</v>
      </c>
      <c r="H133" s="616">
        <v>15.45</v>
      </c>
    </row>
    <row r="134" spans="2:8" x14ac:dyDescent="0.3">
      <c r="B134" s="616">
        <v>131</v>
      </c>
      <c r="C134" s="616"/>
      <c r="D134" s="616" t="s">
        <v>464</v>
      </c>
      <c r="E134" s="617">
        <v>46292</v>
      </c>
      <c r="F134" s="616">
        <v>0.73199999999999998</v>
      </c>
      <c r="G134" s="616">
        <v>1.43</v>
      </c>
      <c r="H134" s="616">
        <v>15.47</v>
      </c>
    </row>
    <row r="135" spans="2:8" x14ac:dyDescent="0.3">
      <c r="B135" s="616">
        <v>132</v>
      </c>
      <c r="C135" s="616"/>
      <c r="D135" s="616" t="s">
        <v>465</v>
      </c>
      <c r="E135" s="617">
        <v>46292</v>
      </c>
      <c r="F135" s="616">
        <v>0.751</v>
      </c>
      <c r="G135" s="616">
        <v>1.45</v>
      </c>
      <c r="H135" s="616">
        <v>15.17</v>
      </c>
    </row>
    <row r="136" spans="2:8" x14ac:dyDescent="0.3">
      <c r="B136" s="616">
        <v>133</v>
      </c>
      <c r="C136" s="616"/>
      <c r="D136" s="616" t="s">
        <v>460</v>
      </c>
      <c r="E136" s="617">
        <v>46293</v>
      </c>
      <c r="F136" s="616">
        <v>0.58799999999999997</v>
      </c>
      <c r="G136" s="616">
        <v>1.07</v>
      </c>
      <c r="H136" s="616">
        <v>14.31</v>
      </c>
    </row>
    <row r="137" spans="2:8" x14ac:dyDescent="0.3">
      <c r="B137" s="616">
        <v>134</v>
      </c>
      <c r="C137" s="616"/>
      <c r="D137" s="616" t="s">
        <v>461</v>
      </c>
      <c r="E137" s="617">
        <v>46293</v>
      </c>
      <c r="F137" s="616">
        <v>0.57199999999999995</v>
      </c>
      <c r="G137" s="616">
        <v>1.18</v>
      </c>
      <c r="H137" s="616">
        <v>14.17</v>
      </c>
    </row>
    <row r="138" spans="2:8" x14ac:dyDescent="0.3">
      <c r="B138" s="616">
        <v>135</v>
      </c>
      <c r="C138" s="616"/>
      <c r="D138" s="616" t="s">
        <v>462</v>
      </c>
      <c r="E138" s="617">
        <v>46293</v>
      </c>
      <c r="F138" s="616">
        <v>0.59499999999999997</v>
      </c>
      <c r="G138" s="616">
        <v>1.05</v>
      </c>
      <c r="H138" s="616">
        <v>14.35</v>
      </c>
    </row>
    <row r="139" spans="2:8" x14ac:dyDescent="0.3">
      <c r="B139" s="616">
        <v>136</v>
      </c>
      <c r="C139" s="616"/>
      <c r="D139" s="616" t="s">
        <v>463</v>
      </c>
      <c r="E139" s="617">
        <v>46293</v>
      </c>
      <c r="F139" s="616">
        <v>0.53200000000000003</v>
      </c>
      <c r="G139" s="616">
        <v>2.09</v>
      </c>
      <c r="H139" s="616">
        <v>17.87</v>
      </c>
    </row>
    <row r="140" spans="2:8" x14ac:dyDescent="0.3">
      <c r="B140" s="616">
        <v>137</v>
      </c>
      <c r="C140" s="616"/>
      <c r="D140" s="616" t="s">
        <v>464</v>
      </c>
      <c r="E140" s="617">
        <v>46293</v>
      </c>
      <c r="F140" s="616">
        <v>0.57899999999999996</v>
      </c>
      <c r="G140" s="616">
        <v>2.0299999999999998</v>
      </c>
      <c r="H140" s="616">
        <v>17.97</v>
      </c>
    </row>
    <row r="141" spans="2:8" x14ac:dyDescent="0.3">
      <c r="B141" s="616">
        <v>138</v>
      </c>
      <c r="C141" s="616"/>
      <c r="D141" s="616" t="s">
        <v>465</v>
      </c>
      <c r="E141" s="617">
        <v>46293</v>
      </c>
      <c r="F141" s="616">
        <v>0.53500000000000003</v>
      </c>
      <c r="G141" s="616">
        <v>2.12</v>
      </c>
      <c r="H141" s="616">
        <v>17.87</v>
      </c>
    </row>
    <row r="142" spans="2:8" x14ac:dyDescent="0.3">
      <c r="B142" s="6"/>
      <c r="C142" s="6"/>
      <c r="D142" s="6"/>
      <c r="E142" s="233"/>
      <c r="F142" s="6"/>
      <c r="G142" s="6"/>
      <c r="H142" s="6"/>
    </row>
    <row r="143" spans="2:8" x14ac:dyDescent="0.3">
      <c r="B143" s="6"/>
      <c r="C143" s="6"/>
      <c r="D143" s="6"/>
      <c r="E143" s="233"/>
      <c r="F143" s="6"/>
      <c r="G143" s="6"/>
      <c r="H143" s="6"/>
    </row>
    <row r="144" spans="2:8" x14ac:dyDescent="0.3">
      <c r="B144" s="6"/>
      <c r="C144" s="6"/>
      <c r="D144" s="6"/>
      <c r="E144" s="233"/>
      <c r="F144" s="6"/>
      <c r="G144" s="6"/>
      <c r="H144" s="6"/>
    </row>
    <row r="145" spans="2:8" x14ac:dyDescent="0.3">
      <c r="B145" s="6"/>
      <c r="C145" s="6"/>
      <c r="D145" s="6"/>
      <c r="E145" s="233"/>
      <c r="F145" s="6"/>
      <c r="G145" s="6"/>
      <c r="H145" s="6"/>
    </row>
    <row r="146" spans="2:8" x14ac:dyDescent="0.3">
      <c r="B146" s="6"/>
      <c r="C146" s="6"/>
      <c r="D146" s="6"/>
      <c r="E146" s="233"/>
      <c r="F146" s="6"/>
      <c r="G146" s="6"/>
      <c r="H146" s="6"/>
    </row>
    <row r="147" spans="2:8" x14ac:dyDescent="0.3">
      <c r="B147" s="6"/>
      <c r="C147" s="6"/>
      <c r="D147" s="6"/>
      <c r="E147" s="233"/>
      <c r="F147" s="6"/>
      <c r="G147" s="6"/>
      <c r="H147" s="6"/>
    </row>
    <row r="148" spans="2:8" x14ac:dyDescent="0.3">
      <c r="B148" s="6"/>
      <c r="C148" s="6"/>
      <c r="D148" s="6"/>
      <c r="E148" s="233"/>
      <c r="F148" s="6"/>
      <c r="G148" s="6"/>
      <c r="H148" s="6"/>
    </row>
    <row r="149" spans="2:8" x14ac:dyDescent="0.3">
      <c r="B149" s="6"/>
      <c r="C149" s="6"/>
      <c r="D149" s="6"/>
      <c r="E149" s="233"/>
      <c r="F149" s="6"/>
      <c r="G149" s="6"/>
      <c r="H149" s="6"/>
    </row>
    <row r="150" spans="2:8" x14ac:dyDescent="0.3">
      <c r="B150" s="6"/>
      <c r="C150" s="6"/>
      <c r="D150" s="6"/>
      <c r="E150" s="233"/>
      <c r="F150" s="6"/>
      <c r="G150" s="6"/>
      <c r="H150" s="6"/>
    </row>
    <row r="151" spans="2:8" x14ac:dyDescent="0.3">
      <c r="B151" s="6"/>
      <c r="C151" s="6"/>
      <c r="D151" s="6"/>
      <c r="E151" s="233"/>
      <c r="F151" s="6"/>
      <c r="G151" s="6"/>
      <c r="H151" s="6"/>
    </row>
    <row r="152" spans="2:8" x14ac:dyDescent="0.3">
      <c r="B152" s="6"/>
      <c r="C152" s="6"/>
      <c r="D152" s="6"/>
      <c r="E152" s="233"/>
      <c r="F152" s="6"/>
      <c r="G152" s="6"/>
      <c r="H152" s="6"/>
    </row>
    <row r="153" spans="2:8" x14ac:dyDescent="0.3">
      <c r="B153" s="6"/>
      <c r="C153" s="6"/>
      <c r="D153" s="6"/>
      <c r="E153" s="233"/>
      <c r="F153" s="6"/>
      <c r="G153" s="6"/>
      <c r="H153" s="6"/>
    </row>
    <row r="154" spans="2:8" x14ac:dyDescent="0.3">
      <c r="B154" s="6"/>
      <c r="C154" s="6"/>
      <c r="D154" s="6"/>
      <c r="E154" s="233"/>
      <c r="F154" s="6"/>
      <c r="G154" s="6"/>
      <c r="H154" s="6"/>
    </row>
    <row r="155" spans="2:8" x14ac:dyDescent="0.3">
      <c r="B155" s="6"/>
      <c r="C155" s="6"/>
      <c r="D155" s="6"/>
      <c r="E155" s="233"/>
      <c r="F155" s="6"/>
      <c r="G155" s="6"/>
      <c r="H155" s="6"/>
    </row>
    <row r="156" spans="2:8" x14ac:dyDescent="0.3">
      <c r="B156" s="6"/>
      <c r="C156" s="6"/>
      <c r="D156" s="6"/>
      <c r="E156" s="233"/>
      <c r="F156" s="6"/>
      <c r="G156" s="6"/>
      <c r="H156" s="6"/>
    </row>
    <row r="157" spans="2:8" x14ac:dyDescent="0.3">
      <c r="B157" s="6"/>
      <c r="C157" s="6"/>
      <c r="D157" s="6"/>
      <c r="E157" s="233"/>
      <c r="F157" s="6"/>
      <c r="G157" s="6"/>
      <c r="H157" s="6"/>
    </row>
    <row r="158" spans="2:8" x14ac:dyDescent="0.3">
      <c r="B158" s="6"/>
      <c r="C158" s="6"/>
      <c r="D158" s="6"/>
      <c r="E158" s="233"/>
      <c r="F158" s="6"/>
      <c r="G158" s="6"/>
      <c r="H158" s="6"/>
    </row>
    <row r="159" spans="2:8" x14ac:dyDescent="0.3">
      <c r="B159" s="6"/>
      <c r="C159" s="6"/>
      <c r="D159" s="6"/>
      <c r="E159" s="233"/>
      <c r="F159" s="6"/>
      <c r="G159" s="6"/>
      <c r="H159" s="6"/>
    </row>
    <row r="160" spans="2:8" x14ac:dyDescent="0.3">
      <c r="B160" s="6"/>
      <c r="C160" s="6"/>
      <c r="D160" s="6"/>
      <c r="E160" s="233"/>
      <c r="F160" s="6"/>
      <c r="G160" s="6"/>
      <c r="H160" s="6"/>
    </row>
    <row r="161" spans="2:8" x14ac:dyDescent="0.3">
      <c r="B161" s="6"/>
      <c r="C161" s="6"/>
      <c r="D161" s="6"/>
      <c r="E161" s="233"/>
      <c r="F161" s="6"/>
      <c r="G161" s="6"/>
      <c r="H161" s="6"/>
    </row>
    <row r="162" spans="2:8" x14ac:dyDescent="0.3">
      <c r="B162" s="6"/>
      <c r="C162" s="6"/>
      <c r="D162" s="6"/>
      <c r="E162" s="233"/>
      <c r="F162" s="6"/>
      <c r="G162" s="6"/>
      <c r="H162" s="6"/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3">
    <mergeCell ref="C121:C129"/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5" activePane="bottomLeft" state="frozen"/>
      <selection pane="bottomLeft" activeCell="J63" sqref="J63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8" customWidth="1"/>
    <col min="9" max="9" width="8.77734375" style="137"/>
    <col min="10" max="10" width="14.77734375" style="433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35" t="s">
        <v>63</v>
      </c>
      <c r="B3" s="1223"/>
      <c r="C3" s="1223"/>
      <c r="D3" s="1223"/>
      <c r="E3" s="1223"/>
      <c r="F3" s="1223"/>
      <c r="G3" s="1223"/>
      <c r="H3" s="1223"/>
      <c r="I3" s="1223"/>
      <c r="J3" s="1223"/>
      <c r="K3" s="1223"/>
      <c r="L3" s="1223"/>
    </row>
    <row r="4" spans="1:36" ht="28.8" x14ac:dyDescent="0.3">
      <c r="A4" s="1336" t="s">
        <v>0</v>
      </c>
      <c r="B4" s="1336"/>
      <c r="C4" s="900" t="s">
        <v>26</v>
      </c>
      <c r="D4" s="900" t="s">
        <v>1</v>
      </c>
      <c r="E4" s="900" t="s">
        <v>60</v>
      </c>
      <c r="F4" s="900" t="s">
        <v>61</v>
      </c>
      <c r="G4" s="900" t="s">
        <v>62</v>
      </c>
      <c r="H4" s="900" t="s">
        <v>64</v>
      </c>
      <c r="I4" s="900" t="s">
        <v>544</v>
      </c>
      <c r="J4" s="906" t="s">
        <v>596</v>
      </c>
      <c r="K4" s="900" t="s">
        <v>597</v>
      </c>
      <c r="L4" s="900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317">
        <v>46265</v>
      </c>
      <c r="B5" s="1318"/>
      <c r="C5" s="907" t="s">
        <v>12</v>
      </c>
      <c r="D5" s="901" t="s">
        <v>169</v>
      </c>
      <c r="E5" s="902">
        <v>6.9444444444444447E-4</v>
      </c>
      <c r="F5" s="739">
        <v>6.5972222222222224E-2</v>
      </c>
      <c r="G5" s="740">
        <f>(F5-E5)*1440</f>
        <v>94</v>
      </c>
      <c r="H5" s="903" t="s">
        <v>446</v>
      </c>
      <c r="I5" s="1286">
        <v>1</v>
      </c>
      <c r="J5" s="904">
        <f>(720-G5)/60</f>
        <v>10.433333333333334</v>
      </c>
      <c r="K5" s="905">
        <f>J5/12</f>
        <v>0.86944444444444446</v>
      </c>
      <c r="L5" s="131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3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06">
        <v>46265</v>
      </c>
      <c r="B6" s="1307"/>
      <c r="C6" s="770" t="s">
        <v>13</v>
      </c>
      <c r="D6" s="593"/>
      <c r="E6" s="587"/>
      <c r="F6" s="502"/>
      <c r="G6" s="503">
        <f>(F6-E6)*1440</f>
        <v>0</v>
      </c>
      <c r="H6" s="588"/>
      <c r="I6" s="1286"/>
      <c r="J6" s="810">
        <f>(720-G6)/60</f>
        <v>12</v>
      </c>
      <c r="K6" s="813">
        <f t="shared" ref="K6:K8" si="1">J6/12</f>
        <v>1</v>
      </c>
      <c r="L6" s="131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1" t="str">
        <f>H8</f>
        <v>shift malam jam 20:59-21:40 stop thicekener tank bermasalah, jam 06:00-07:00 houskepping ball mill 3 meluap</v>
      </c>
      <c r="V6" s="1" t="s">
        <v>13</v>
      </c>
      <c r="AH6" s="952">
        <f>Q59</f>
        <v>438.86666666666662</v>
      </c>
      <c r="AI6" s="953">
        <f>S59</f>
        <v>233.13333333333333</v>
      </c>
      <c r="AJ6" s="954">
        <f>R59</f>
        <v>0.65307539682539673</v>
      </c>
    </row>
    <row r="7" spans="1:36" ht="44.4" customHeight="1" thickBot="1" x14ac:dyDescent="0.45">
      <c r="A7" s="1306">
        <v>46266</v>
      </c>
      <c r="B7" s="1307"/>
      <c r="C7" s="770" t="s">
        <v>12</v>
      </c>
      <c r="D7" s="593"/>
      <c r="E7" s="587"/>
      <c r="F7" s="502"/>
      <c r="G7" s="503">
        <f>(F7-E7)*1440</f>
        <v>0</v>
      </c>
      <c r="H7" s="588"/>
      <c r="I7" s="1286"/>
      <c r="J7" s="810">
        <f>(720-G7)/60</f>
        <v>12</v>
      </c>
      <c r="K7" s="813">
        <f t="shared" si="1"/>
        <v>1</v>
      </c>
      <c r="L7" s="131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1" t="str">
        <f>H9</f>
        <v>Ball mill sampai jam 12 Cuma berjalan 1, housekepping material meluap dari ball mill 3 hingga jam 9</v>
      </c>
      <c r="AH7" s="951" t="s">
        <v>636</v>
      </c>
      <c r="AI7" s="951" t="s">
        <v>637</v>
      </c>
      <c r="AJ7" s="951" t="s">
        <v>638</v>
      </c>
    </row>
    <row r="8" spans="1:36" ht="54" customHeight="1" x14ac:dyDescent="0.3">
      <c r="A8" s="1306">
        <v>46266</v>
      </c>
      <c r="B8" s="1307"/>
      <c r="C8" s="770" t="s">
        <v>13</v>
      </c>
      <c r="D8" s="594" t="s">
        <v>169</v>
      </c>
      <c r="E8" s="502">
        <v>6.9444444444444447E-4</v>
      </c>
      <c r="F8" s="502">
        <v>4.6527777777777779E-2</v>
      </c>
      <c r="G8" s="503">
        <f t="shared" ref="G8:G45" si="4">(F8-E8)*1440</f>
        <v>66</v>
      </c>
      <c r="H8" s="589" t="s">
        <v>477</v>
      </c>
      <c r="I8" s="1287"/>
      <c r="J8" s="810">
        <f t="shared" ref="J8:J14" si="5">(720-G8)/60</f>
        <v>10.9</v>
      </c>
      <c r="K8" s="813">
        <f t="shared" si="1"/>
        <v>0.90833333333333333</v>
      </c>
      <c r="L8" s="131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1" t="str">
        <f>H12</f>
        <v>Stop ball mill jam 18:00 material finish pump ke tank 3, shift malam drain slurry tank 2</v>
      </c>
    </row>
    <row r="9" spans="1:36" ht="28.8" x14ac:dyDescent="0.3">
      <c r="A9" s="1302">
        <v>46267</v>
      </c>
      <c r="B9" s="1303"/>
      <c r="C9" s="827" t="s">
        <v>12</v>
      </c>
      <c r="D9" s="595" t="s">
        <v>222</v>
      </c>
      <c r="E9" s="499">
        <v>6.9444444444444447E-4</v>
      </c>
      <c r="F9" s="499">
        <v>8.4027777777777785E-2</v>
      </c>
      <c r="G9" s="500">
        <f t="shared" si="4"/>
        <v>120.00000000000001</v>
      </c>
      <c r="H9" s="940" t="s">
        <v>478</v>
      </c>
      <c r="I9" s="1282">
        <v>2</v>
      </c>
      <c r="J9" s="811">
        <f t="shared" si="5"/>
        <v>10</v>
      </c>
      <c r="K9" s="814">
        <f>J9/12</f>
        <v>0.83333333333333337</v>
      </c>
      <c r="L9" s="131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02">
        <v>46267</v>
      </c>
      <c r="B10" s="1303"/>
      <c r="C10" s="827" t="s">
        <v>13</v>
      </c>
      <c r="D10" s="595"/>
      <c r="E10" s="499"/>
      <c r="F10" s="499"/>
      <c r="G10" s="500">
        <f t="shared" si="4"/>
        <v>0</v>
      </c>
      <c r="H10" s="590"/>
      <c r="I10" s="1283"/>
      <c r="J10" s="811">
        <f t="shared" si="5"/>
        <v>12</v>
      </c>
      <c r="K10" s="814">
        <f t="shared" ref="K10:K14" si="6">J10/12</f>
        <v>1</v>
      </c>
      <c r="L10" s="131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1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02">
        <v>46268</v>
      </c>
      <c r="B11" s="1303"/>
      <c r="C11" s="827" t="s">
        <v>12</v>
      </c>
      <c r="D11" s="595"/>
      <c r="E11" s="499"/>
      <c r="F11" s="499"/>
      <c r="G11" s="500">
        <f t="shared" si="4"/>
        <v>0</v>
      </c>
      <c r="H11" s="590"/>
      <c r="I11" s="1283"/>
      <c r="J11" s="811">
        <f t="shared" si="5"/>
        <v>12</v>
      </c>
      <c r="K11" s="814">
        <f t="shared" si="6"/>
        <v>1</v>
      </c>
      <c r="L11" s="131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302">
        <v>46268</v>
      </c>
      <c r="B12" s="1303"/>
      <c r="C12" s="827" t="s">
        <v>13</v>
      </c>
      <c r="D12" s="596" t="s">
        <v>169</v>
      </c>
      <c r="E12" s="499">
        <v>6.9444444444444447E-4</v>
      </c>
      <c r="F12" s="499">
        <v>4.2361111111111113E-2</v>
      </c>
      <c r="G12" s="500">
        <f t="shared" si="4"/>
        <v>60.000000000000007</v>
      </c>
      <c r="H12" s="590" t="s">
        <v>468</v>
      </c>
      <c r="I12" s="1283"/>
      <c r="J12" s="811">
        <f t="shared" si="5"/>
        <v>11</v>
      </c>
      <c r="K12" s="814">
        <f t="shared" si="6"/>
        <v>0.91666666666666663</v>
      </c>
      <c r="L12" s="131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1" t="s">
        <v>525</v>
      </c>
      <c r="V12" s="10">
        <f>SUM(S17:S19)</f>
        <v>62</v>
      </c>
    </row>
    <row r="13" spans="1:36" ht="72" x14ac:dyDescent="0.3">
      <c r="A13" s="1302">
        <v>46269</v>
      </c>
      <c r="B13" s="1303"/>
      <c r="C13" s="827" t="s">
        <v>12</v>
      </c>
      <c r="D13" s="597" t="s">
        <v>222</v>
      </c>
      <c r="E13" s="591">
        <v>6.9444444444444447E-4</v>
      </c>
      <c r="F13" s="499">
        <v>0.50069444444444444</v>
      </c>
      <c r="G13" s="500">
        <f t="shared" si="4"/>
        <v>720</v>
      </c>
      <c r="H13" s="592" t="s">
        <v>476</v>
      </c>
      <c r="I13" s="1283"/>
      <c r="J13" s="811">
        <f t="shared" si="5"/>
        <v>0</v>
      </c>
      <c r="K13" s="814">
        <f t="shared" si="6"/>
        <v>0</v>
      </c>
      <c r="L13" s="131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1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02">
        <v>46269</v>
      </c>
      <c r="B14" s="1303"/>
      <c r="C14" s="827" t="s">
        <v>13</v>
      </c>
      <c r="D14" s="835" t="s">
        <v>169</v>
      </c>
      <c r="E14" s="591">
        <v>6.9444444444444447E-4</v>
      </c>
      <c r="F14" s="499">
        <v>0.50069444444444444</v>
      </c>
      <c r="G14" s="500">
        <f t="shared" si="4"/>
        <v>720</v>
      </c>
      <c r="H14" s="836" t="s">
        <v>476</v>
      </c>
      <c r="I14" s="1284"/>
      <c r="J14" s="811">
        <f t="shared" si="5"/>
        <v>0</v>
      </c>
      <c r="K14" s="814">
        <f t="shared" si="6"/>
        <v>0</v>
      </c>
      <c r="L14" s="131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1" t="s">
        <v>532</v>
      </c>
    </row>
    <row r="15" spans="1:36" ht="65.400000000000006" customHeight="1" x14ac:dyDescent="0.3">
      <c r="A15" s="1306">
        <v>46270</v>
      </c>
      <c r="B15" s="1307"/>
      <c r="C15" s="770" t="s">
        <v>12</v>
      </c>
      <c r="D15" s="784"/>
      <c r="E15" s="785">
        <v>6.9444444444444447E-4</v>
      </c>
      <c r="F15" s="502">
        <v>0.50069444444444444</v>
      </c>
      <c r="G15" s="503">
        <f t="shared" si="4"/>
        <v>720</v>
      </c>
      <c r="H15" s="786" t="s">
        <v>589</v>
      </c>
      <c r="I15" s="1285">
        <v>3</v>
      </c>
      <c r="J15" s="810">
        <f>(720-G15)/60</f>
        <v>0</v>
      </c>
      <c r="K15" s="813">
        <f>J15/12</f>
        <v>0</v>
      </c>
      <c r="L15" s="131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1"/>
    </row>
    <row r="16" spans="1:36" ht="43.2" x14ac:dyDescent="0.3">
      <c r="A16" s="1306">
        <v>46270</v>
      </c>
      <c r="B16" s="1307"/>
      <c r="C16" s="770" t="s">
        <v>13</v>
      </c>
      <c r="D16" s="602" t="s">
        <v>169</v>
      </c>
      <c r="E16" s="502">
        <v>6.9444444444444447E-4</v>
      </c>
      <c r="F16" s="502">
        <v>4.2361111111111113E-2</v>
      </c>
      <c r="G16" s="503">
        <f>(F16-E16)*1440</f>
        <v>60.000000000000007</v>
      </c>
      <c r="H16" s="603" t="s">
        <v>488</v>
      </c>
      <c r="I16" s="1286"/>
      <c r="J16" s="810">
        <f t="shared" ref="J16:J19" si="8">(720-G16)/60</f>
        <v>11</v>
      </c>
      <c r="K16" s="813">
        <f t="shared" ref="K16:K19" si="9">J16/12</f>
        <v>0.91666666666666663</v>
      </c>
      <c r="L16" s="131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306">
        <v>46271</v>
      </c>
      <c r="B17" s="1307"/>
      <c r="C17" s="770" t="s">
        <v>12</v>
      </c>
      <c r="D17" s="604" t="s">
        <v>508</v>
      </c>
      <c r="E17" s="502">
        <v>6.9444444444444447E-4</v>
      </c>
      <c r="F17" s="502">
        <v>0.18124999999999999</v>
      </c>
      <c r="G17" s="503">
        <f>(F17-E17)*720</f>
        <v>130</v>
      </c>
      <c r="H17" s="605" t="s">
        <v>510</v>
      </c>
      <c r="I17" s="1286"/>
      <c r="J17" s="810">
        <f t="shared" si="8"/>
        <v>9.8333333333333339</v>
      </c>
      <c r="K17" s="813">
        <f t="shared" si="9"/>
        <v>0.81944444444444453</v>
      </c>
      <c r="L17" s="131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306">
        <v>46271</v>
      </c>
      <c r="B18" s="1307"/>
      <c r="C18" s="770" t="s">
        <v>13</v>
      </c>
      <c r="D18" s="604" t="s">
        <v>509</v>
      </c>
      <c r="E18" s="502"/>
      <c r="F18" s="502"/>
      <c r="G18" s="503">
        <f t="shared" si="4"/>
        <v>0</v>
      </c>
      <c r="H18" s="605" t="s">
        <v>517</v>
      </c>
      <c r="I18" s="1286"/>
      <c r="J18" s="810">
        <f t="shared" si="8"/>
        <v>12</v>
      </c>
      <c r="K18" s="813">
        <f t="shared" si="9"/>
        <v>1</v>
      </c>
      <c r="L18" s="131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306">
        <v>46272</v>
      </c>
      <c r="B19" s="1307"/>
      <c r="C19" s="770" t="s">
        <v>12</v>
      </c>
      <c r="D19" s="606" t="s">
        <v>169</v>
      </c>
      <c r="E19" s="502">
        <v>6.9444444444444447E-4</v>
      </c>
      <c r="F19" s="502">
        <v>1.3888888888888888E-2</v>
      </c>
      <c r="G19" s="503">
        <f t="shared" si="4"/>
        <v>19</v>
      </c>
      <c r="H19" s="607" t="s">
        <v>526</v>
      </c>
      <c r="I19" s="1287"/>
      <c r="J19" s="810">
        <f t="shared" si="8"/>
        <v>11.683333333333334</v>
      </c>
      <c r="K19" s="813">
        <f t="shared" si="9"/>
        <v>0.97361111111111109</v>
      </c>
      <c r="L19" s="131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302">
        <v>46272</v>
      </c>
      <c r="B20" s="1303"/>
      <c r="C20" s="827" t="s">
        <v>13</v>
      </c>
      <c r="D20" s="608" t="s">
        <v>169</v>
      </c>
      <c r="E20" s="499">
        <v>6.9444444444444447E-4</v>
      </c>
      <c r="F20" s="499">
        <v>5.2083333333333336E-2</v>
      </c>
      <c r="G20" s="500">
        <f t="shared" si="4"/>
        <v>74</v>
      </c>
      <c r="H20" s="504" t="s">
        <v>527</v>
      </c>
      <c r="I20" s="1322">
        <v>4</v>
      </c>
      <c r="J20" s="811">
        <f>(720-G20)/60</f>
        <v>10.766666666666667</v>
      </c>
      <c r="K20" s="814">
        <f>J20/12</f>
        <v>0.89722222222222225</v>
      </c>
      <c r="L20" s="131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302">
        <v>46273</v>
      </c>
      <c r="B21" s="1303"/>
      <c r="C21" s="827" t="s">
        <v>12</v>
      </c>
      <c r="D21" s="608" t="s">
        <v>169</v>
      </c>
      <c r="E21" s="499">
        <v>6.9444444444444447E-4</v>
      </c>
      <c r="F21" s="499">
        <v>7.013888888888889E-2</v>
      </c>
      <c r="G21" s="500">
        <f>(F21-E21)*1440</f>
        <v>100</v>
      </c>
      <c r="H21" s="609" t="s">
        <v>520</v>
      </c>
      <c r="I21" s="1323"/>
      <c r="J21" s="811">
        <f t="shared" ref="J21:J23" si="10">(720-G21)/60</f>
        <v>10.333333333333334</v>
      </c>
      <c r="K21" s="814">
        <f t="shared" ref="K21:K23" si="11">J21/12</f>
        <v>0.86111111111111116</v>
      </c>
      <c r="L21" s="131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302">
        <v>46273</v>
      </c>
      <c r="B22" s="1303"/>
      <c r="C22" s="827" t="s">
        <v>13</v>
      </c>
      <c r="D22" s="610" t="s">
        <v>524</v>
      </c>
      <c r="E22" s="499">
        <v>6.9444444444444447E-4</v>
      </c>
      <c r="F22" s="499">
        <v>0.10694444444444444</v>
      </c>
      <c r="G22" s="500">
        <f>(F22-E22)*1440</f>
        <v>153</v>
      </c>
      <c r="H22" s="504" t="s">
        <v>528</v>
      </c>
      <c r="I22" s="1323"/>
      <c r="J22" s="811">
        <f t="shared" si="10"/>
        <v>9.4499999999999993</v>
      </c>
      <c r="K22" s="814">
        <f t="shared" si="11"/>
        <v>0.78749999999999998</v>
      </c>
      <c r="L22" s="131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302">
        <v>46274</v>
      </c>
      <c r="B23" s="1303"/>
      <c r="C23" s="827" t="s">
        <v>12</v>
      </c>
      <c r="D23" s="599" t="s">
        <v>169</v>
      </c>
      <c r="E23" s="499">
        <v>6.9444444444444447E-4</v>
      </c>
      <c r="F23" s="499">
        <v>0.37569444444444444</v>
      </c>
      <c r="G23" s="500">
        <f t="shared" si="4"/>
        <v>540</v>
      </c>
      <c r="H23" s="504" t="s">
        <v>531</v>
      </c>
      <c r="I23" s="1324"/>
      <c r="J23" s="811">
        <f t="shared" si="10"/>
        <v>3</v>
      </c>
      <c r="K23" s="814">
        <f t="shared" si="11"/>
        <v>0.25</v>
      </c>
      <c r="L23" s="131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25">
        <v>46274</v>
      </c>
      <c r="B24" s="1326"/>
      <c r="C24" s="908" t="s">
        <v>13</v>
      </c>
      <c r="D24" s="598" t="s">
        <v>169</v>
      </c>
      <c r="E24" s="496">
        <v>6.9444444444444447E-4</v>
      </c>
      <c r="F24" s="496">
        <v>0.50069444444444444</v>
      </c>
      <c r="G24" s="497">
        <f t="shared" si="4"/>
        <v>720</v>
      </c>
      <c r="H24" s="455" t="s">
        <v>530</v>
      </c>
      <c r="I24" s="783"/>
      <c r="J24" s="419">
        <f>(720-G24)/60</f>
        <v>0</v>
      </c>
      <c r="K24" s="812">
        <f>J24/12</f>
        <v>0</v>
      </c>
      <c r="L24" s="131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306">
        <v>46275</v>
      </c>
      <c r="B25" s="1307"/>
      <c r="C25" s="770" t="s">
        <v>12</v>
      </c>
      <c r="D25" s="611" t="s">
        <v>169</v>
      </c>
      <c r="E25" s="502">
        <v>6.9444444444444447E-4</v>
      </c>
      <c r="F25" s="502">
        <v>6.0416666666666667E-2</v>
      </c>
      <c r="G25" s="503">
        <f t="shared" si="4"/>
        <v>86</v>
      </c>
      <c r="H25" s="607" t="s">
        <v>536</v>
      </c>
      <c r="I25" s="1337">
        <v>5</v>
      </c>
      <c r="J25" s="810">
        <f>(720-G25)/60</f>
        <v>10.566666666666666</v>
      </c>
      <c r="K25" s="813">
        <f>J25/12</f>
        <v>0.88055555555555554</v>
      </c>
      <c r="L25" s="131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306">
        <v>46275</v>
      </c>
      <c r="B26" s="1307"/>
      <c r="C26" s="770" t="s">
        <v>13</v>
      </c>
      <c r="D26" s="612" t="s">
        <v>542</v>
      </c>
      <c r="E26" s="613">
        <v>6.9444444444444447E-4</v>
      </c>
      <c r="F26" s="613">
        <v>6.458333333333334E-2</v>
      </c>
      <c r="G26" s="483">
        <f t="shared" si="4"/>
        <v>92.000000000000014</v>
      </c>
      <c r="H26" s="635" t="s">
        <v>543</v>
      </c>
      <c r="I26" s="1338"/>
      <c r="J26" s="810">
        <f t="shared" ref="J26:J27" si="13">(720-G26)/60</f>
        <v>10.466666666666667</v>
      </c>
      <c r="K26" s="813">
        <f t="shared" ref="K26:K27" si="14">J26/12</f>
        <v>0.87222222222222223</v>
      </c>
      <c r="L26" s="131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1" t="s">
        <v>692</v>
      </c>
    </row>
    <row r="27" spans="1:20" ht="58.2" thickBot="1" x14ac:dyDescent="0.35">
      <c r="A27" s="1306">
        <v>46276</v>
      </c>
      <c r="B27" s="1307"/>
      <c r="C27" s="770" t="s">
        <v>12</v>
      </c>
      <c r="D27" s="614" t="s">
        <v>169</v>
      </c>
      <c r="E27" s="502">
        <v>6.9444444444444447E-4</v>
      </c>
      <c r="F27" s="502">
        <v>4.3055555555555555E-2</v>
      </c>
      <c r="G27" s="634">
        <f>(F27-E27)*1440</f>
        <v>61</v>
      </c>
      <c r="H27" s="636" t="s">
        <v>546</v>
      </c>
      <c r="I27" s="1339"/>
      <c r="J27" s="810">
        <f t="shared" si="13"/>
        <v>10.983333333333333</v>
      </c>
      <c r="K27" s="813">
        <f t="shared" si="14"/>
        <v>0.91527777777777775</v>
      </c>
      <c r="L27" s="131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331">
        <v>46276</v>
      </c>
      <c r="B28" s="1332"/>
      <c r="C28" s="827" t="s">
        <v>13</v>
      </c>
      <c r="D28" s="626" t="s">
        <v>169</v>
      </c>
      <c r="E28" s="627">
        <v>6.9444444444444447E-4</v>
      </c>
      <c r="F28" s="627">
        <v>0.41736111111111113</v>
      </c>
      <c r="G28" s="637">
        <f t="shared" si="4"/>
        <v>600</v>
      </c>
      <c r="H28" s="641" t="s">
        <v>555</v>
      </c>
      <c r="I28" s="1319">
        <v>6</v>
      </c>
      <c r="J28" s="811">
        <f>(720-G28)/60</f>
        <v>2</v>
      </c>
      <c r="K28" s="814">
        <f>J28/12</f>
        <v>0.16666666666666666</v>
      </c>
      <c r="L28" s="131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327">
        <v>46277</v>
      </c>
      <c r="B29" s="1328"/>
      <c r="C29" s="827" t="s">
        <v>12</v>
      </c>
      <c r="D29" s="630" t="s">
        <v>169</v>
      </c>
      <c r="E29" s="631">
        <v>6.9444444444444447E-4</v>
      </c>
      <c r="F29" s="631">
        <v>0.50069444444444444</v>
      </c>
      <c r="G29" s="632">
        <f t="shared" si="4"/>
        <v>720</v>
      </c>
      <c r="H29" s="633" t="s">
        <v>545</v>
      </c>
      <c r="I29" s="1320"/>
      <c r="J29" s="811">
        <f t="shared" ref="J29:J33" si="15">(720-G29)/60</f>
        <v>0</v>
      </c>
      <c r="K29" s="814">
        <f t="shared" ref="K29:K33" si="16">J29/12</f>
        <v>0</v>
      </c>
      <c r="L29" s="131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329">
        <v>46277</v>
      </c>
      <c r="B30" s="1330"/>
      <c r="C30" s="827" t="s">
        <v>13</v>
      </c>
      <c r="D30" s="628" t="s">
        <v>169</v>
      </c>
      <c r="E30" s="629">
        <v>6.9444444444444447E-4</v>
      </c>
      <c r="F30" s="629">
        <v>0.50069444444444444</v>
      </c>
      <c r="G30" s="625">
        <f t="shared" si="4"/>
        <v>720</v>
      </c>
      <c r="H30" s="642" t="s">
        <v>556</v>
      </c>
      <c r="I30" s="1320"/>
      <c r="J30" s="811">
        <f t="shared" si="15"/>
        <v>0</v>
      </c>
      <c r="K30" s="814">
        <f t="shared" si="16"/>
        <v>0</v>
      </c>
      <c r="L30" s="131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331">
        <v>46278</v>
      </c>
      <c r="B31" s="1332"/>
      <c r="C31" s="827" t="s">
        <v>12</v>
      </c>
      <c r="D31" s="758" t="s">
        <v>222</v>
      </c>
      <c r="E31" s="627">
        <v>6.9444444444444447E-4</v>
      </c>
      <c r="F31" s="627">
        <v>0.50069444444444444</v>
      </c>
      <c r="G31" s="729">
        <f t="shared" si="4"/>
        <v>720</v>
      </c>
      <c r="H31" s="730" t="s">
        <v>557</v>
      </c>
      <c r="I31" s="1320"/>
      <c r="J31" s="811">
        <f t="shared" si="15"/>
        <v>0</v>
      </c>
      <c r="K31" s="814">
        <f t="shared" si="16"/>
        <v>0</v>
      </c>
      <c r="L31" s="131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304">
        <v>46278</v>
      </c>
      <c r="B32" s="1305"/>
      <c r="C32" s="827" t="s">
        <v>13</v>
      </c>
      <c r="D32" s="759" t="s">
        <v>169</v>
      </c>
      <c r="E32" s="732">
        <v>6.9444444444444447E-4</v>
      </c>
      <c r="F32" s="732">
        <v>0.50069444444444444</v>
      </c>
      <c r="G32" s="733">
        <f t="shared" si="4"/>
        <v>720</v>
      </c>
      <c r="H32" s="734"/>
      <c r="I32" s="1320"/>
      <c r="J32" s="811">
        <f t="shared" si="15"/>
        <v>0</v>
      </c>
      <c r="K32" s="814">
        <f t="shared" si="16"/>
        <v>0</v>
      </c>
      <c r="L32" s="1314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333">
        <v>46279</v>
      </c>
      <c r="B33" s="1334"/>
      <c r="C33" s="827" t="s">
        <v>12</v>
      </c>
      <c r="D33" s="735" t="s">
        <v>169</v>
      </c>
      <c r="E33" s="736">
        <v>6.9444444444444447E-4</v>
      </c>
      <c r="F33" s="736">
        <v>0.50069444444444444</v>
      </c>
      <c r="G33" s="737">
        <f t="shared" si="4"/>
        <v>720</v>
      </c>
      <c r="H33" s="738"/>
      <c r="I33" s="1321"/>
      <c r="J33" s="811">
        <f t="shared" si="15"/>
        <v>0</v>
      </c>
      <c r="K33" s="814">
        <f t="shared" si="16"/>
        <v>0</v>
      </c>
      <c r="L33" s="1316">
        <f>SUM(J33:J34)/24</f>
        <v>0.41666666666666669</v>
      </c>
      <c r="O33" s="62">
        <v>46293</v>
      </c>
      <c r="P33" s="66"/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317">
        <v>46279</v>
      </c>
      <c r="B34" s="1318"/>
      <c r="C34" s="770" t="s">
        <v>13</v>
      </c>
      <c r="D34" s="741" t="s">
        <v>584</v>
      </c>
      <c r="E34" s="739">
        <v>6.9444444444444447E-4</v>
      </c>
      <c r="F34" s="739">
        <v>8.4027777777777785E-2</v>
      </c>
      <c r="G34" s="740">
        <f t="shared" si="4"/>
        <v>120.00000000000001</v>
      </c>
      <c r="H34" s="760" t="s">
        <v>585</v>
      </c>
      <c r="I34" s="1313">
        <v>7</v>
      </c>
      <c r="J34" s="810">
        <f>(720-G34)/60</f>
        <v>10</v>
      </c>
      <c r="K34" s="813">
        <f>J34/12</f>
        <v>0.83333333333333337</v>
      </c>
      <c r="L34" s="1316"/>
      <c r="O34" s="62">
        <v>46294</v>
      </c>
      <c r="P34" s="6"/>
      <c r="Q34" s="66"/>
      <c r="R34" s="63">
        <f t="shared" si="3"/>
        <v>0</v>
      </c>
      <c r="S34" s="66">
        <f t="shared" si="7"/>
        <v>0</v>
      </c>
      <c r="T34" s="6"/>
    </row>
    <row r="35" spans="1:20" ht="36.6" customHeight="1" x14ac:dyDescent="0.3">
      <c r="A35" s="1306">
        <v>46280</v>
      </c>
      <c r="B35" s="1307"/>
      <c r="C35" s="770" t="s">
        <v>12</v>
      </c>
      <c r="D35" s="815" t="s">
        <v>524</v>
      </c>
      <c r="E35" s="502"/>
      <c r="F35" s="502"/>
      <c r="G35" s="503">
        <f t="shared" si="4"/>
        <v>0</v>
      </c>
      <c r="H35" s="816" t="s">
        <v>591</v>
      </c>
      <c r="I35" s="1286"/>
      <c r="J35" s="810">
        <f t="shared" ref="J35:J36" si="20">(720-G35)/60</f>
        <v>12</v>
      </c>
      <c r="K35" s="813">
        <f t="shared" ref="K35:K36" si="21">J35/12</f>
        <v>1</v>
      </c>
      <c r="L35" s="1315">
        <f>SUM(J35:J36)/24</f>
        <v>1</v>
      </c>
      <c r="O35" s="62">
        <v>46295</v>
      </c>
      <c r="P35" s="66"/>
      <c r="Q35" s="66"/>
      <c r="R35" s="63">
        <f t="shared" si="3"/>
        <v>0</v>
      </c>
      <c r="S35" s="6"/>
      <c r="T35" s="6"/>
    </row>
    <row r="36" spans="1:20" ht="28.8" x14ac:dyDescent="0.3">
      <c r="A36" s="1306">
        <v>46280</v>
      </c>
      <c r="B36" s="1307"/>
      <c r="C36" s="770" t="s">
        <v>13</v>
      </c>
      <c r="D36" s="829" t="s">
        <v>584</v>
      </c>
      <c r="E36" s="502"/>
      <c r="F36" s="502"/>
      <c r="G36" s="503">
        <f t="shared" si="4"/>
        <v>0</v>
      </c>
      <c r="H36" s="834" t="s">
        <v>595</v>
      </c>
      <c r="I36" s="1287"/>
      <c r="J36" s="810">
        <f t="shared" si="20"/>
        <v>12</v>
      </c>
      <c r="K36" s="813">
        <f t="shared" si="21"/>
        <v>1</v>
      </c>
      <c r="L36" s="1315"/>
      <c r="O36" s="62">
        <v>46296</v>
      </c>
      <c r="P36" s="66"/>
      <c r="Q36" s="66"/>
      <c r="R36" s="63">
        <f t="shared" si="3"/>
        <v>0</v>
      </c>
      <c r="S36" s="6"/>
      <c r="T36" s="6"/>
    </row>
    <row r="37" spans="1:20" ht="14.4" customHeight="1" x14ac:dyDescent="0.3">
      <c r="A37" s="1302">
        <v>46281</v>
      </c>
      <c r="B37" s="1303"/>
      <c r="C37" s="827" t="s">
        <v>12</v>
      </c>
      <c r="D37" s="831" t="s">
        <v>524</v>
      </c>
      <c r="E37" s="830"/>
      <c r="F37" s="830"/>
      <c r="G37" s="500">
        <f t="shared" si="4"/>
        <v>0</v>
      </c>
      <c r="H37" s="832" t="s">
        <v>593</v>
      </c>
      <c r="I37" s="1347">
        <v>8</v>
      </c>
      <c r="J37" s="811">
        <f>(720-G37)/60</f>
        <v>12</v>
      </c>
      <c r="K37" s="814">
        <f>J37/12</f>
        <v>1</v>
      </c>
      <c r="L37" s="1314">
        <f>SUM(J37:J38)/24</f>
        <v>0.9555555555555556</v>
      </c>
      <c r="O37" s="62">
        <v>46297</v>
      </c>
      <c r="P37" s="6"/>
      <c r="Q37" s="66"/>
      <c r="R37" s="63">
        <f t="shared" si="3"/>
        <v>0</v>
      </c>
      <c r="S37" s="6"/>
      <c r="T37" s="6"/>
    </row>
    <row r="38" spans="1:20" ht="26.4" customHeight="1" x14ac:dyDescent="0.3">
      <c r="A38" s="1302">
        <v>46281</v>
      </c>
      <c r="B38" s="1303"/>
      <c r="C38" s="827" t="s">
        <v>13</v>
      </c>
      <c r="D38" s="840" t="s">
        <v>598</v>
      </c>
      <c r="E38" s="830">
        <v>6.9444444444444447E-4</v>
      </c>
      <c r="F38" s="830">
        <v>4.5138888888888888E-2</v>
      </c>
      <c r="G38" s="500">
        <f t="shared" si="4"/>
        <v>64</v>
      </c>
      <c r="H38" s="841" t="s">
        <v>600</v>
      </c>
      <c r="I38" s="1348"/>
      <c r="J38" s="811">
        <f t="shared" ref="J38:J69" si="22">(720-G38)/60</f>
        <v>10.933333333333334</v>
      </c>
      <c r="K38" s="814">
        <f t="shared" ref="K38:K69" si="23">J38/12</f>
        <v>0.91111111111111109</v>
      </c>
      <c r="L38" s="1314"/>
      <c r="O38" s="62">
        <v>46298</v>
      </c>
      <c r="P38" s="66"/>
      <c r="Q38" s="66"/>
      <c r="R38" s="63">
        <f t="shared" si="3"/>
        <v>0</v>
      </c>
      <c r="S38" s="6"/>
      <c r="T38" s="6"/>
    </row>
    <row r="39" spans="1:20" ht="43.2" customHeight="1" x14ac:dyDescent="0.3">
      <c r="A39" s="1302">
        <v>46282</v>
      </c>
      <c r="B39" s="1303"/>
      <c r="C39" s="498" t="s">
        <v>12</v>
      </c>
      <c r="D39" s="923" t="s">
        <v>628</v>
      </c>
      <c r="E39" s="830"/>
      <c r="F39" s="830"/>
      <c r="G39" s="500">
        <f t="shared" si="4"/>
        <v>0</v>
      </c>
      <c r="H39" s="924" t="s">
        <v>629</v>
      </c>
      <c r="I39" s="1348"/>
      <c r="J39" s="811">
        <f t="shared" si="22"/>
        <v>12</v>
      </c>
      <c r="K39" s="814">
        <f t="shared" si="23"/>
        <v>1</v>
      </c>
      <c r="L39" s="1314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300">
        <v>46282</v>
      </c>
      <c r="B40" s="1301"/>
      <c r="C40" s="911" t="s">
        <v>13</v>
      </c>
      <c r="D40" s="945" t="s">
        <v>598</v>
      </c>
      <c r="E40" s="941"/>
      <c r="F40" s="941"/>
      <c r="G40" s="942">
        <f t="shared" si="4"/>
        <v>0</v>
      </c>
      <c r="H40" s="946" t="s">
        <v>635</v>
      </c>
      <c r="I40" s="1349"/>
      <c r="J40" s="943">
        <f t="shared" si="22"/>
        <v>12</v>
      </c>
      <c r="K40" s="944">
        <f t="shared" si="23"/>
        <v>1</v>
      </c>
      <c r="L40" s="1314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298">
        <v>46283</v>
      </c>
      <c r="B41" s="1299"/>
      <c r="C41" s="970" t="s">
        <v>12</v>
      </c>
      <c r="D41" s="996" t="s">
        <v>542</v>
      </c>
      <c r="E41" s="997">
        <v>6.9444444444444447E-4</v>
      </c>
      <c r="F41" s="997">
        <v>0.12222222222222222</v>
      </c>
      <c r="G41" s="998">
        <f t="shared" si="4"/>
        <v>175</v>
      </c>
      <c r="H41" s="999" t="s">
        <v>648</v>
      </c>
      <c r="I41" s="1344">
        <v>9</v>
      </c>
      <c r="J41" s="1000">
        <f t="shared" si="22"/>
        <v>9.0833333333333339</v>
      </c>
      <c r="K41" s="1001">
        <f t="shared" si="23"/>
        <v>0.75694444444444453</v>
      </c>
      <c r="L41" s="1340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298">
        <v>46283</v>
      </c>
      <c r="B42" s="1299"/>
      <c r="C42" s="970" t="s">
        <v>13</v>
      </c>
      <c r="D42" s="1002" t="s">
        <v>649</v>
      </c>
      <c r="E42" s="997">
        <v>6.9444444444444447E-4</v>
      </c>
      <c r="F42" s="997">
        <v>6.9444444444444447E-4</v>
      </c>
      <c r="G42" s="998">
        <f t="shared" si="4"/>
        <v>0</v>
      </c>
      <c r="H42" s="1027" t="s">
        <v>650</v>
      </c>
      <c r="I42" s="1345"/>
      <c r="J42" s="1000">
        <f t="shared" si="22"/>
        <v>12</v>
      </c>
      <c r="K42" s="1001">
        <f t="shared" si="23"/>
        <v>1</v>
      </c>
      <c r="L42" s="1340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298">
        <v>46284</v>
      </c>
      <c r="B43" s="1299"/>
      <c r="C43" s="970" t="s">
        <v>12</v>
      </c>
      <c r="D43" s="1028" t="s">
        <v>509</v>
      </c>
      <c r="E43" s="997">
        <v>6.9444444444444447E-4</v>
      </c>
      <c r="F43" s="997">
        <v>6.9444444444444447E-4</v>
      </c>
      <c r="G43" s="998">
        <f t="shared" si="4"/>
        <v>0</v>
      </c>
      <c r="H43" s="1003" t="s">
        <v>650</v>
      </c>
      <c r="I43" s="1345"/>
      <c r="J43" s="1000">
        <f t="shared" si="22"/>
        <v>12</v>
      </c>
      <c r="K43" s="1001">
        <f t="shared" si="23"/>
        <v>1</v>
      </c>
      <c r="L43" s="1340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298">
        <v>46284</v>
      </c>
      <c r="B44" s="1299"/>
      <c r="C44" s="970" t="s">
        <v>13</v>
      </c>
      <c r="D44" s="1028" t="s">
        <v>652</v>
      </c>
      <c r="E44" s="997">
        <v>6.9444444444444447E-4</v>
      </c>
      <c r="F44" s="997">
        <v>0.25069444444444444</v>
      </c>
      <c r="G44" s="998">
        <f t="shared" si="4"/>
        <v>360</v>
      </c>
      <c r="H44" s="1027" t="s">
        <v>651</v>
      </c>
      <c r="I44" s="1346"/>
      <c r="J44" s="1000">
        <f t="shared" si="22"/>
        <v>6</v>
      </c>
      <c r="K44" s="1001">
        <f t="shared" si="23"/>
        <v>0.5</v>
      </c>
      <c r="L44" s="1340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300">
        <v>46285</v>
      </c>
      <c r="B45" s="1301"/>
      <c r="C45" s="911" t="s">
        <v>12</v>
      </c>
      <c r="D45" s="1034" t="s">
        <v>169</v>
      </c>
      <c r="E45" s="941">
        <v>6.9444444444444447E-4</v>
      </c>
      <c r="F45" s="941">
        <v>0.50069444444444444</v>
      </c>
      <c r="G45" s="942">
        <f t="shared" si="4"/>
        <v>720</v>
      </c>
      <c r="H45" s="1035" t="s">
        <v>654</v>
      </c>
      <c r="I45" s="1310">
        <v>10</v>
      </c>
      <c r="J45" s="943">
        <f t="shared" si="22"/>
        <v>0</v>
      </c>
      <c r="K45" s="944">
        <f t="shared" si="23"/>
        <v>0</v>
      </c>
      <c r="L45" s="1309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300">
        <v>46285</v>
      </c>
      <c r="B46" s="1301"/>
      <c r="C46" s="911" t="s">
        <v>13</v>
      </c>
      <c r="D46" s="1061" t="s">
        <v>509</v>
      </c>
      <c r="E46" s="941">
        <v>6.9444444444444447E-4</v>
      </c>
      <c r="F46" s="941">
        <v>0.50069444444444444</v>
      </c>
      <c r="G46" s="942">
        <f t="shared" ref="G46:G47" si="25">(F46-E46)*1440</f>
        <v>720</v>
      </c>
      <c r="H46" s="1062" t="s">
        <v>657</v>
      </c>
      <c r="I46" s="1311"/>
      <c r="J46" s="943">
        <f t="shared" si="22"/>
        <v>0</v>
      </c>
      <c r="K46" s="944">
        <f t="shared" si="23"/>
        <v>0</v>
      </c>
      <c r="L46" s="1309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300">
        <v>46286</v>
      </c>
      <c r="B47" s="1301"/>
      <c r="C47" s="911" t="s">
        <v>12</v>
      </c>
      <c r="D47" s="1074" t="s">
        <v>508</v>
      </c>
      <c r="E47" s="941">
        <v>6.9444444444444447E-4</v>
      </c>
      <c r="F47" s="941">
        <v>0.4</v>
      </c>
      <c r="G47" s="942">
        <f t="shared" si="25"/>
        <v>575</v>
      </c>
      <c r="H47" s="1076" t="s">
        <v>666</v>
      </c>
      <c r="I47" s="1311"/>
      <c r="J47" s="943">
        <f>(720-G47)/60</f>
        <v>2.4166666666666665</v>
      </c>
      <c r="K47" s="944">
        <f t="shared" si="23"/>
        <v>0.20138888888888887</v>
      </c>
      <c r="L47" s="1309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300">
        <v>46286</v>
      </c>
      <c r="B48" s="1301"/>
      <c r="C48" s="911" t="s">
        <v>13</v>
      </c>
      <c r="D48" s="1080" t="s">
        <v>542</v>
      </c>
      <c r="E48" s="941">
        <v>6.9444444444444447E-4</v>
      </c>
      <c r="F48" s="1081">
        <v>2.1527777777777778E-2</v>
      </c>
      <c r="G48" s="942">
        <f t="shared" ref="G48" si="27">(F48-E48)*1440</f>
        <v>30</v>
      </c>
      <c r="H48" s="1082" t="s">
        <v>668</v>
      </c>
      <c r="I48" s="1311"/>
      <c r="J48" s="943">
        <f t="shared" si="22"/>
        <v>11.5</v>
      </c>
      <c r="K48" s="944">
        <f t="shared" si="23"/>
        <v>0.95833333333333337</v>
      </c>
      <c r="L48" s="1309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300">
        <v>46287</v>
      </c>
      <c r="B49" s="1301"/>
      <c r="C49" s="911" t="s">
        <v>12</v>
      </c>
      <c r="D49" s="1086" t="s">
        <v>508</v>
      </c>
      <c r="E49" s="941">
        <v>6.9444444444444447E-4</v>
      </c>
      <c r="F49" s="941">
        <v>6.9444444444444447E-4</v>
      </c>
      <c r="G49" s="942">
        <f t="shared" ref="G49:G51" si="28">(F49-E49)*1440</f>
        <v>0</v>
      </c>
      <c r="H49" s="1087" t="s">
        <v>691</v>
      </c>
      <c r="I49" s="1311"/>
      <c r="J49" s="943">
        <f t="shared" si="22"/>
        <v>12</v>
      </c>
      <c r="K49" s="944">
        <f t="shared" si="23"/>
        <v>1</v>
      </c>
      <c r="L49" s="1309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300">
        <v>46287</v>
      </c>
      <c r="B50" s="1301"/>
      <c r="C50" s="911" t="s">
        <v>13</v>
      </c>
      <c r="D50" s="1089" t="s">
        <v>694</v>
      </c>
      <c r="E50" s="941">
        <v>6.9444444444444447E-4</v>
      </c>
      <c r="F50" s="941">
        <v>0.11527777777777778</v>
      </c>
      <c r="G50" s="942">
        <f t="shared" si="28"/>
        <v>165</v>
      </c>
      <c r="H50" s="1090" t="s">
        <v>695</v>
      </c>
      <c r="I50" s="1311"/>
      <c r="J50" s="943">
        <f t="shared" si="22"/>
        <v>9.25</v>
      </c>
      <c r="K50" s="944">
        <f t="shared" si="23"/>
        <v>0.77083333333333337</v>
      </c>
      <c r="L50" s="1309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300">
        <v>46288</v>
      </c>
      <c r="B51" s="1301"/>
      <c r="C51" s="911" t="s">
        <v>12</v>
      </c>
      <c r="D51" s="1104" t="s">
        <v>508</v>
      </c>
      <c r="E51" s="1105">
        <v>6.9444444444444447E-4</v>
      </c>
      <c r="F51" s="941">
        <v>0.18819444444444444</v>
      </c>
      <c r="G51" s="942">
        <f t="shared" si="28"/>
        <v>270</v>
      </c>
      <c r="H51" s="1106" t="s">
        <v>700</v>
      </c>
      <c r="I51" s="1311"/>
      <c r="J51" s="943">
        <f t="shared" si="22"/>
        <v>7.5</v>
      </c>
      <c r="K51" s="944">
        <f t="shared" si="23"/>
        <v>0.625</v>
      </c>
      <c r="L51" s="1309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300">
        <v>46288</v>
      </c>
      <c r="B52" s="1301"/>
      <c r="C52" s="911" t="s">
        <v>13</v>
      </c>
      <c r="D52" s="1104" t="s">
        <v>542</v>
      </c>
      <c r="E52" s="941">
        <v>6.9444444444444447E-4</v>
      </c>
      <c r="F52" s="941">
        <v>6.9444444444444447E-4</v>
      </c>
      <c r="G52" s="942">
        <f>(F52-E52)*1440</f>
        <v>0</v>
      </c>
      <c r="H52" s="1106" t="s">
        <v>701</v>
      </c>
      <c r="I52" s="1311"/>
      <c r="J52" s="943">
        <f t="shared" si="22"/>
        <v>12</v>
      </c>
      <c r="K52" s="944">
        <f t="shared" si="23"/>
        <v>1</v>
      </c>
      <c r="L52" s="1309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300">
        <v>46289</v>
      </c>
      <c r="B53" s="1301"/>
      <c r="C53" s="911" t="s">
        <v>12</v>
      </c>
      <c r="D53" s="1104" t="s">
        <v>508</v>
      </c>
      <c r="E53" s="941">
        <v>6.9444444444444447E-4</v>
      </c>
      <c r="F53" s="941">
        <v>6.9444444444444447E-4</v>
      </c>
      <c r="G53" s="942">
        <f t="shared" ref="G53:G57" si="29">(F53-E53)*1440</f>
        <v>0</v>
      </c>
      <c r="H53" s="1106" t="s">
        <v>704</v>
      </c>
      <c r="I53" s="1312"/>
      <c r="J53" s="943">
        <f t="shared" si="22"/>
        <v>12</v>
      </c>
      <c r="K53" s="944">
        <f t="shared" si="23"/>
        <v>1</v>
      </c>
      <c r="L53" s="1309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x14ac:dyDescent="0.3">
      <c r="A54" s="1298">
        <v>46289</v>
      </c>
      <c r="B54" s="1299"/>
      <c r="C54" s="970" t="s">
        <v>13</v>
      </c>
      <c r="D54" s="1115" t="s">
        <v>169</v>
      </c>
      <c r="E54" s="997">
        <v>6.9444444444444447E-4</v>
      </c>
      <c r="F54" s="1116">
        <v>6.9444444444444447E-4</v>
      </c>
      <c r="G54" s="998">
        <f t="shared" si="29"/>
        <v>0</v>
      </c>
      <c r="H54" s="1117" t="s">
        <v>705</v>
      </c>
      <c r="I54" s="1341">
        <v>11</v>
      </c>
      <c r="J54" s="1000">
        <f t="shared" si="22"/>
        <v>12</v>
      </c>
      <c r="K54" s="1001">
        <f t="shared" si="23"/>
        <v>1</v>
      </c>
      <c r="L54" s="1309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298">
        <v>46290</v>
      </c>
      <c r="B55" s="1299"/>
      <c r="C55" s="970" t="s">
        <v>12</v>
      </c>
      <c r="D55" s="1127" t="s">
        <v>508</v>
      </c>
      <c r="E55" s="997">
        <v>6.9444444444444447E-4</v>
      </c>
      <c r="F55" s="997">
        <v>0.1125</v>
      </c>
      <c r="G55" s="998">
        <f t="shared" si="29"/>
        <v>161</v>
      </c>
      <c r="H55" s="1128" t="s">
        <v>709</v>
      </c>
      <c r="I55" s="1342"/>
      <c r="J55" s="1000">
        <f t="shared" si="22"/>
        <v>9.3166666666666664</v>
      </c>
      <c r="K55" s="1001">
        <f t="shared" si="23"/>
        <v>0.77638888888888891</v>
      </c>
      <c r="L55" s="1308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298">
        <v>46290</v>
      </c>
      <c r="B56" s="1299"/>
      <c r="C56" s="970" t="s">
        <v>13</v>
      </c>
      <c r="D56" s="1135" t="s">
        <v>741</v>
      </c>
      <c r="E56" s="997">
        <v>6.9444444444444447E-4</v>
      </c>
      <c r="F56" s="997">
        <v>0.50069444444444444</v>
      </c>
      <c r="G56" s="998">
        <f t="shared" si="29"/>
        <v>720</v>
      </c>
      <c r="H56" s="1136" t="s">
        <v>742</v>
      </c>
      <c r="I56" s="1343"/>
      <c r="J56" s="1000">
        <f t="shared" si="22"/>
        <v>0</v>
      </c>
      <c r="K56" s="1001">
        <f t="shared" si="23"/>
        <v>0</v>
      </c>
      <c r="L56" s="1308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298">
        <v>46291</v>
      </c>
      <c r="B57" s="1299"/>
      <c r="C57" s="970" t="s">
        <v>12</v>
      </c>
      <c r="D57" s="1163" t="s">
        <v>542</v>
      </c>
      <c r="E57" s="997">
        <v>6.9444444444444447E-4</v>
      </c>
      <c r="F57" s="997">
        <v>0.50069444444444444</v>
      </c>
      <c r="G57" s="998">
        <f t="shared" si="29"/>
        <v>720</v>
      </c>
      <c r="H57" s="1165" t="s">
        <v>750</v>
      </c>
      <c r="I57" s="122"/>
      <c r="J57" s="1000">
        <f t="shared" si="22"/>
        <v>0</v>
      </c>
      <c r="K57" s="1001">
        <f t="shared" si="23"/>
        <v>0</v>
      </c>
      <c r="L57" s="1308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x14ac:dyDescent="0.3">
      <c r="A58" s="1298">
        <v>46291</v>
      </c>
      <c r="B58" s="1299"/>
      <c r="C58" s="970" t="s">
        <v>13</v>
      </c>
      <c r="D58" s="1163" t="s">
        <v>508</v>
      </c>
      <c r="E58" s="997">
        <v>6.9444444444444447E-4</v>
      </c>
      <c r="F58" s="997">
        <v>0.50069444444444444</v>
      </c>
      <c r="G58" s="998">
        <f t="shared" ref="G58:G69" si="30">(F58-E58)*1440</f>
        <v>720</v>
      </c>
      <c r="H58" s="1164" t="s">
        <v>751</v>
      </c>
      <c r="I58" s="122"/>
      <c r="J58" s="1000">
        <f t="shared" si="22"/>
        <v>0</v>
      </c>
      <c r="K58" s="1001">
        <f t="shared" si="23"/>
        <v>0</v>
      </c>
      <c r="L58" s="1308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300">
        <v>46292</v>
      </c>
      <c r="B59" s="1301"/>
      <c r="C59" s="911" t="s">
        <v>12</v>
      </c>
      <c r="D59" s="1166" t="s">
        <v>542</v>
      </c>
      <c r="E59" s="941">
        <v>6.9444444444444447E-4</v>
      </c>
      <c r="F59" s="941">
        <v>0.1673611111111111</v>
      </c>
      <c r="G59" s="942">
        <f t="shared" si="30"/>
        <v>240</v>
      </c>
      <c r="H59" s="1167" t="s">
        <v>750</v>
      </c>
      <c r="I59" s="106">
        <v>12</v>
      </c>
      <c r="J59" s="943">
        <f t="shared" si="22"/>
        <v>8</v>
      </c>
      <c r="K59" s="944">
        <f t="shared" si="23"/>
        <v>0.66666666666666663</v>
      </c>
      <c r="L59" s="1297">
        <f>SUM(J59:J60)/24</f>
        <v>0.79166666666666663</v>
      </c>
      <c r="O59" s="62"/>
      <c r="P59" s="69">
        <f>SUM(P5:P58)</f>
        <v>13988</v>
      </c>
      <c r="Q59" s="69">
        <f>SUM(Q5:Q58)</f>
        <v>438.86666666666662</v>
      </c>
      <c r="R59" s="70">
        <f>Q59/(Q59+S59)</f>
        <v>0.65307539682539673</v>
      </c>
      <c r="S59" s="66">
        <f>SUM(S5:S58)</f>
        <v>233.13333333333333</v>
      </c>
      <c r="T59" s="6"/>
    </row>
    <row r="60" spans="1:20" x14ac:dyDescent="0.3">
      <c r="A60" s="1300">
        <v>46292</v>
      </c>
      <c r="B60" s="1301"/>
      <c r="C60" s="911" t="s">
        <v>13</v>
      </c>
      <c r="D60" s="1166" t="s">
        <v>508</v>
      </c>
      <c r="E60" s="941">
        <v>6.9444444444444447E-4</v>
      </c>
      <c r="F60" s="941">
        <v>4.2361111111111113E-2</v>
      </c>
      <c r="G60" s="942">
        <f t="shared" ref="G60" si="31">(F60-E60)*1440</f>
        <v>60.000000000000007</v>
      </c>
      <c r="H60" s="1168" t="s">
        <v>752</v>
      </c>
      <c r="I60" s="106">
        <v>12</v>
      </c>
      <c r="J60" s="943">
        <f t="shared" si="22"/>
        <v>11</v>
      </c>
      <c r="K60" s="944">
        <f t="shared" si="23"/>
        <v>0.91666666666666663</v>
      </c>
      <c r="L60" s="1297"/>
      <c r="O60" s="62"/>
      <c r="P60" s="71">
        <f>P59/60</f>
        <v>233.13333333333333</v>
      </c>
      <c r="Q60" s="43">
        <f>Q59/24</f>
        <v>18.286111111111108</v>
      </c>
      <c r="R60" s="950">
        <f>Q60+S60</f>
        <v>27.999999999999996</v>
      </c>
      <c r="S60" s="43">
        <f>S59/24</f>
        <v>9.7138888888888886</v>
      </c>
    </row>
    <row r="61" spans="1:20" x14ac:dyDescent="0.3">
      <c r="A61" s="1300">
        <v>46293</v>
      </c>
      <c r="B61" s="1301"/>
      <c r="C61" s="911" t="s">
        <v>12</v>
      </c>
      <c r="D61" s="1171" t="s">
        <v>741</v>
      </c>
      <c r="E61" s="941">
        <v>6.9444444444444447E-4</v>
      </c>
      <c r="F61" s="941">
        <v>6.9444444444444447E-4</v>
      </c>
      <c r="G61" s="942">
        <f t="shared" si="30"/>
        <v>0</v>
      </c>
      <c r="H61" s="1172" t="s">
        <v>758</v>
      </c>
      <c r="I61" s="106">
        <v>12</v>
      </c>
      <c r="J61" s="943">
        <f t="shared" si="22"/>
        <v>12</v>
      </c>
      <c r="K61" s="944">
        <f t="shared" si="23"/>
        <v>1</v>
      </c>
      <c r="L61" s="1297">
        <f>SUM(J61:J62)/24</f>
        <v>1</v>
      </c>
      <c r="M61" s="43"/>
      <c r="Q61" s="10"/>
    </row>
    <row r="62" spans="1:20" ht="28.8" x14ac:dyDescent="0.3">
      <c r="A62" s="1300">
        <v>46293</v>
      </c>
      <c r="B62" s="1301"/>
      <c r="C62" s="911" t="s">
        <v>13</v>
      </c>
      <c r="D62" s="1171" t="s">
        <v>508</v>
      </c>
      <c r="E62" s="941">
        <v>6.9444444444444447E-4</v>
      </c>
      <c r="F62" s="941">
        <v>6.9444444444444447E-4</v>
      </c>
      <c r="G62" s="942">
        <f t="shared" si="30"/>
        <v>0</v>
      </c>
      <c r="H62" s="1173" t="s">
        <v>757</v>
      </c>
      <c r="I62" s="981">
        <v>12</v>
      </c>
      <c r="J62" s="943">
        <f t="shared" si="22"/>
        <v>12</v>
      </c>
      <c r="K62" s="944">
        <f t="shared" si="23"/>
        <v>1</v>
      </c>
      <c r="L62" s="1297"/>
      <c r="N62" s="10"/>
      <c r="P62" s="10"/>
    </row>
    <row r="63" spans="1:20" x14ac:dyDescent="0.3">
      <c r="A63" s="1300">
        <v>46294</v>
      </c>
      <c r="B63" s="1301"/>
      <c r="C63" s="911" t="s">
        <v>12</v>
      </c>
      <c r="D63" s="1176" t="s">
        <v>542</v>
      </c>
      <c r="E63" s="941">
        <v>6.9444444444444447E-4</v>
      </c>
      <c r="F63" s="941">
        <v>1.4583333333333334E-2</v>
      </c>
      <c r="G63" s="942">
        <f t="shared" si="30"/>
        <v>20</v>
      </c>
      <c r="H63" s="1177" t="s">
        <v>759</v>
      </c>
      <c r="I63" s="106">
        <v>12</v>
      </c>
      <c r="J63" s="943">
        <f t="shared" si="22"/>
        <v>11.666666666666666</v>
      </c>
      <c r="K63" s="944">
        <f t="shared" si="23"/>
        <v>0.97222222222222221</v>
      </c>
      <c r="L63" s="453"/>
    </row>
    <row r="64" spans="1:20" x14ac:dyDescent="0.3">
      <c r="A64" s="1325">
        <v>46294</v>
      </c>
      <c r="B64" s="1326"/>
      <c r="C64" s="36" t="s">
        <v>13</v>
      </c>
      <c r="D64" s="65"/>
      <c r="E64" s="67"/>
      <c r="F64" s="67"/>
      <c r="G64" s="497">
        <f t="shared" si="30"/>
        <v>0</v>
      </c>
      <c r="H64" s="437"/>
      <c r="I64" s="418"/>
      <c r="J64" s="419">
        <f t="shared" si="22"/>
        <v>12</v>
      </c>
      <c r="K64" s="812">
        <f t="shared" si="23"/>
        <v>1</v>
      </c>
      <c r="L64" s="6"/>
    </row>
    <row r="65" spans="1:19" x14ac:dyDescent="0.3">
      <c r="A65" s="1325">
        <v>46295</v>
      </c>
      <c r="B65" s="1326"/>
      <c r="C65" s="36" t="s">
        <v>12</v>
      </c>
      <c r="D65" s="65"/>
      <c r="E65" s="67"/>
      <c r="F65" s="67"/>
      <c r="G65" s="497">
        <f t="shared" si="30"/>
        <v>0</v>
      </c>
      <c r="H65" s="437"/>
      <c r="I65" s="418"/>
      <c r="J65" s="419">
        <f t="shared" si="22"/>
        <v>12</v>
      </c>
      <c r="K65" s="812">
        <f t="shared" si="23"/>
        <v>1</v>
      </c>
      <c r="L65" s="6"/>
      <c r="S65" s="136"/>
    </row>
    <row r="66" spans="1:19" x14ac:dyDescent="0.3">
      <c r="A66" s="1325">
        <v>46295</v>
      </c>
      <c r="B66" s="1326"/>
      <c r="C66" s="36" t="s">
        <v>13</v>
      </c>
      <c r="D66" s="65"/>
      <c r="E66" s="67"/>
      <c r="F66" s="67"/>
      <c r="G66" s="497">
        <f t="shared" si="30"/>
        <v>0</v>
      </c>
      <c r="H66" s="437"/>
      <c r="I66" s="418"/>
      <c r="J66" s="419">
        <f t="shared" si="22"/>
        <v>12</v>
      </c>
      <c r="K66" s="812">
        <f t="shared" si="23"/>
        <v>1</v>
      </c>
      <c r="L66" s="6"/>
      <c r="Q66" s="1101"/>
      <c r="S66" s="136"/>
    </row>
    <row r="67" spans="1:19" x14ac:dyDescent="0.3">
      <c r="A67" s="1325">
        <v>46296</v>
      </c>
      <c r="B67" s="1326"/>
      <c r="C67" s="36" t="s">
        <v>12</v>
      </c>
      <c r="D67" s="65"/>
      <c r="E67" s="67"/>
      <c r="F67" s="67"/>
      <c r="G67" s="497">
        <f t="shared" si="30"/>
        <v>0</v>
      </c>
      <c r="H67" s="437"/>
      <c r="I67" s="418"/>
      <c r="J67" s="419">
        <f t="shared" si="22"/>
        <v>12</v>
      </c>
      <c r="K67" s="812">
        <f t="shared" si="23"/>
        <v>1</v>
      </c>
      <c r="L67" s="6"/>
      <c r="M67" s="29"/>
    </row>
    <row r="68" spans="1:19" x14ac:dyDescent="0.3">
      <c r="A68" s="1325">
        <v>46296</v>
      </c>
      <c r="B68" s="1326"/>
      <c r="C68" s="36" t="s">
        <v>13</v>
      </c>
      <c r="D68" s="65"/>
      <c r="E68" s="67"/>
      <c r="F68" s="67"/>
      <c r="G68" s="497">
        <f t="shared" si="30"/>
        <v>0</v>
      </c>
      <c r="H68" s="437"/>
      <c r="I68" s="418"/>
      <c r="J68" s="419">
        <f t="shared" si="22"/>
        <v>12</v>
      </c>
      <c r="K68" s="812">
        <f t="shared" si="23"/>
        <v>1</v>
      </c>
      <c r="L68" s="6"/>
      <c r="S68" s="1063" t="s">
        <v>659</v>
      </c>
    </row>
    <row r="69" spans="1:19" x14ac:dyDescent="0.3">
      <c r="A69" s="1325">
        <v>46297</v>
      </c>
      <c r="B69" s="1326"/>
      <c r="C69" s="36" t="s">
        <v>12</v>
      </c>
      <c r="D69" s="65"/>
      <c r="E69" s="67"/>
      <c r="F69" s="67"/>
      <c r="G69" s="497">
        <f t="shared" si="30"/>
        <v>0</v>
      </c>
      <c r="H69" s="437"/>
      <c r="I69" s="418"/>
      <c r="J69" s="419">
        <f t="shared" si="22"/>
        <v>12</v>
      </c>
      <c r="K69" s="812">
        <f t="shared" si="23"/>
        <v>1</v>
      </c>
      <c r="L69" s="6"/>
    </row>
  </sheetData>
  <mergeCells count="107"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</mergeCells>
  <phoneticPr fontId="8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G1" zoomScale="115" zoomScaleNormal="115" workbookViewId="0">
      <selection activeCell="I21" sqref="I21:J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53" t="s">
        <v>70</v>
      </c>
      <c r="C3" s="1353" t="s">
        <v>288</v>
      </c>
      <c r="D3" s="1353" t="s">
        <v>289</v>
      </c>
      <c r="E3" s="220" t="s">
        <v>292</v>
      </c>
      <c r="F3" s="220" t="s">
        <v>293</v>
      </c>
      <c r="G3" s="1356" t="s">
        <v>252</v>
      </c>
      <c r="H3" s="1357"/>
      <c r="I3" s="1357"/>
      <c r="J3" s="1358"/>
      <c r="K3" s="1365" t="s">
        <v>259</v>
      </c>
    </row>
    <row r="4" spans="2:20" x14ac:dyDescent="0.3">
      <c r="B4" s="1354"/>
      <c r="C4" s="1354"/>
      <c r="D4" s="1354"/>
      <c r="E4" s="221" t="s">
        <v>54</v>
      </c>
      <c r="F4" s="221" t="s">
        <v>294</v>
      </c>
      <c r="G4" s="1356" t="s">
        <v>265</v>
      </c>
      <c r="H4" s="1357"/>
      <c r="I4" s="1358"/>
      <c r="J4" s="131" t="s">
        <v>258</v>
      </c>
      <c r="K4" s="1365"/>
      <c r="O4" s="14" t="s">
        <v>479</v>
      </c>
      <c r="P4" s="14" t="s">
        <v>259</v>
      </c>
      <c r="Q4" s="436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355"/>
      <c r="C5" s="1355"/>
      <c r="D5" s="1355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365"/>
      <c r="O5" s="483" t="s">
        <v>480</v>
      </c>
      <c r="P5" s="1366">
        <v>1</v>
      </c>
      <c r="Q5" s="638">
        <v>46268</v>
      </c>
      <c r="R5" s="483">
        <v>7.8E-2</v>
      </c>
      <c r="S5" s="483">
        <v>0.6</v>
      </c>
      <c r="T5" s="483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3" t="s">
        <v>481</v>
      </c>
      <c r="P6" s="1367"/>
      <c r="Q6" s="638">
        <v>46268</v>
      </c>
      <c r="R6" s="483">
        <v>3.7999999999999999E-2</v>
      </c>
      <c r="S6" s="483">
        <v>0.59</v>
      </c>
      <c r="T6" s="483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20">
        <v>2.9000000000000001E-2</v>
      </c>
      <c r="K7" s="13">
        <v>2</v>
      </c>
      <c r="O7" s="483" t="s">
        <v>482</v>
      </c>
      <c r="P7" s="1367"/>
      <c r="Q7" s="638">
        <v>46268</v>
      </c>
      <c r="R7" s="483">
        <v>3.7999999999999999E-2</v>
      </c>
      <c r="S7" s="483">
        <v>0.61</v>
      </c>
      <c r="T7" s="483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3" t="s">
        <v>483</v>
      </c>
      <c r="P8" s="1368"/>
      <c r="Q8" s="638">
        <v>46268</v>
      </c>
      <c r="R8" s="483">
        <v>6.9000000000000006E-2</v>
      </c>
      <c r="S8" s="483">
        <v>0.67</v>
      </c>
      <c r="T8" s="483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8" t="s">
        <v>480</v>
      </c>
      <c r="P9" s="1362">
        <v>2</v>
      </c>
      <c r="Q9" s="639">
        <v>46269</v>
      </c>
      <c r="R9" s="488">
        <v>3.4000000000000002E-2</v>
      </c>
      <c r="S9" s="488">
        <v>0.26</v>
      </c>
      <c r="T9" s="488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8" t="s">
        <v>481</v>
      </c>
      <c r="P10" s="1363"/>
      <c r="Q10" s="639">
        <v>46269</v>
      </c>
      <c r="R10" s="488">
        <v>7.9000000000000001E-2</v>
      </c>
      <c r="S10" s="488">
        <v>0.25</v>
      </c>
      <c r="T10" s="488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8" t="s">
        <v>482</v>
      </c>
      <c r="P11" s="1363"/>
      <c r="Q11" s="639">
        <v>46269</v>
      </c>
      <c r="R11" s="488">
        <v>3.6999999999999998E-2</v>
      </c>
      <c r="S11" s="488">
        <v>0.25</v>
      </c>
      <c r="T11" s="488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8" t="s">
        <v>483</v>
      </c>
      <c r="P12" s="1364"/>
      <c r="Q12" s="639">
        <v>46269</v>
      </c>
      <c r="R12" s="488">
        <v>7.2999999999999995E-2</v>
      </c>
      <c r="S12" s="488">
        <v>0.24</v>
      </c>
      <c r="T12" s="488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3" t="s">
        <v>533</v>
      </c>
      <c r="P13" s="1294">
        <v>3</v>
      </c>
      <c r="Q13" s="638">
        <v>46274</v>
      </c>
      <c r="R13" s="483">
        <v>0.11700000000000001</v>
      </c>
      <c r="S13" s="483">
        <v>0.31</v>
      </c>
      <c r="T13" s="483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3" t="s">
        <v>534</v>
      </c>
      <c r="P14" s="1295"/>
      <c r="Q14" s="638">
        <v>46274</v>
      </c>
      <c r="R14" s="483">
        <v>0.16500000000000001</v>
      </c>
      <c r="S14" s="483">
        <v>0.36</v>
      </c>
      <c r="T14" s="483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3" t="s">
        <v>535</v>
      </c>
      <c r="P15" s="1295"/>
      <c r="Q15" s="638">
        <v>46274</v>
      </c>
      <c r="R15" s="483">
        <v>0.13</v>
      </c>
      <c r="S15" s="483">
        <v>0.31</v>
      </c>
      <c r="T15" s="483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IFERROR(AVERAGE(R80:R94),"")</f>
        <v>0.13308333333333333</v>
      </c>
      <c r="H16" s="133">
        <f t="shared" ref="H16:I16" si="10">IFERROR(AVERAGE(S80:S94),"")</f>
        <v>0.56500000000000006</v>
      </c>
      <c r="I16" s="133">
        <f t="shared" si="10"/>
        <v>14.185833333333335</v>
      </c>
      <c r="J16" s="13">
        <v>3.6999999999999998E-2</v>
      </c>
      <c r="K16" s="13">
        <v>11</v>
      </c>
      <c r="O16" s="483" t="s">
        <v>480</v>
      </c>
      <c r="P16" s="1295"/>
      <c r="Q16" s="638">
        <v>46274</v>
      </c>
      <c r="R16" s="483">
        <v>8.3000000000000004E-2</v>
      </c>
      <c r="S16" s="483">
        <v>0.15</v>
      </c>
      <c r="T16" s="483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"/>
      <c r="H17" s="13"/>
      <c r="I17" s="133"/>
      <c r="J17" s="13"/>
      <c r="K17" s="13"/>
      <c r="O17" s="483" t="s">
        <v>481</v>
      </c>
      <c r="P17" s="1295"/>
      <c r="Q17" s="638">
        <v>46274</v>
      </c>
      <c r="R17" s="483">
        <v>4.2000000000000003E-2</v>
      </c>
      <c r="S17" s="483">
        <v>0.13</v>
      </c>
      <c r="T17" s="483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3" t="s">
        <v>482</v>
      </c>
      <c r="P18" s="1296"/>
      <c r="Q18" s="638">
        <v>46274</v>
      </c>
      <c r="R18" s="483">
        <v>5.1999999999999998E-2</v>
      </c>
      <c r="S18" s="483">
        <v>0.14000000000000001</v>
      </c>
      <c r="T18" s="483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8" t="s">
        <v>533</v>
      </c>
      <c r="P19" s="1362">
        <v>4</v>
      </c>
      <c r="Q19" s="639">
        <v>46275</v>
      </c>
      <c r="R19" s="488">
        <v>0.124</v>
      </c>
      <c r="S19" s="488">
        <v>0.22</v>
      </c>
      <c r="T19" s="488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8" t="s">
        <v>534</v>
      </c>
      <c r="P20" s="1363"/>
      <c r="Q20" s="639">
        <v>46275</v>
      </c>
      <c r="R20" s="488">
        <v>0.14499999999999999</v>
      </c>
      <c r="S20" s="488">
        <v>0.25</v>
      </c>
      <c r="T20" s="488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8" t="s">
        <v>535</v>
      </c>
      <c r="P21" s="1363"/>
      <c r="Q21" s="639">
        <v>46275</v>
      </c>
      <c r="R21" s="488">
        <v>0.13100000000000001</v>
      </c>
      <c r="S21" s="488">
        <v>0.25</v>
      </c>
      <c r="T21" s="488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8" t="s">
        <v>480</v>
      </c>
      <c r="P22" s="1363"/>
      <c r="Q22" s="639">
        <v>46275</v>
      </c>
      <c r="R22" s="488">
        <v>6.4000000000000001E-2</v>
      </c>
      <c r="S22" s="488">
        <v>0.22</v>
      </c>
      <c r="T22" s="488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8" t="s">
        <v>481</v>
      </c>
      <c r="P23" s="1363"/>
      <c r="Q23" s="639">
        <v>46275</v>
      </c>
      <c r="R23" s="488">
        <v>9.5000000000000001E-2</v>
      </c>
      <c r="S23" s="488">
        <v>0.25</v>
      </c>
      <c r="T23" s="488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8" t="s">
        <v>482</v>
      </c>
      <c r="P24" s="1363"/>
      <c r="Q24" s="639">
        <v>46275</v>
      </c>
      <c r="R24" s="488">
        <v>9.6000000000000002E-2</v>
      </c>
      <c r="S24" s="488">
        <v>0.25</v>
      </c>
      <c r="T24" s="488">
        <v>4.58</v>
      </c>
    </row>
    <row r="25" spans="2:20" x14ac:dyDescent="0.3">
      <c r="O25" s="488" t="s">
        <v>533</v>
      </c>
      <c r="P25" s="1363"/>
      <c r="Q25" s="639">
        <v>46276</v>
      </c>
      <c r="R25" s="488">
        <v>4.4999999999999998E-2</v>
      </c>
      <c r="S25" s="488">
        <v>0.21</v>
      </c>
      <c r="T25" s="488">
        <v>4.1100000000000003</v>
      </c>
    </row>
    <row r="26" spans="2:20" x14ac:dyDescent="0.3">
      <c r="O26" s="488" t="s">
        <v>534</v>
      </c>
      <c r="P26" s="1363"/>
      <c r="Q26" s="639">
        <v>46276</v>
      </c>
      <c r="R26" s="488">
        <v>4.1000000000000002E-2</v>
      </c>
      <c r="S26" s="488">
        <v>0.44</v>
      </c>
      <c r="T26" s="488">
        <v>6.67</v>
      </c>
    </row>
    <row r="27" spans="2:20" x14ac:dyDescent="0.3">
      <c r="O27" s="488" t="s">
        <v>535</v>
      </c>
      <c r="P27" s="1364"/>
      <c r="Q27" s="639">
        <v>46276</v>
      </c>
      <c r="R27" s="488">
        <v>6.3E-2</v>
      </c>
      <c r="S27" s="488">
        <v>0.48</v>
      </c>
      <c r="T27" s="488">
        <v>6.84</v>
      </c>
    </row>
    <row r="28" spans="2:20" x14ac:dyDescent="0.3">
      <c r="O28" s="580" t="s">
        <v>533</v>
      </c>
      <c r="P28" s="1359">
        <v>5</v>
      </c>
      <c r="Q28" s="617">
        <v>46277</v>
      </c>
      <c r="R28" s="580">
        <v>4.4999999999999998E-2</v>
      </c>
      <c r="S28" s="580">
        <v>0.41</v>
      </c>
      <c r="T28" s="580">
        <v>7.15</v>
      </c>
    </row>
    <row r="29" spans="2:20" x14ac:dyDescent="0.3">
      <c r="O29" s="580" t="s">
        <v>534</v>
      </c>
      <c r="P29" s="1360"/>
      <c r="Q29" s="617">
        <v>46277</v>
      </c>
      <c r="R29" s="580">
        <v>4.1000000000000002E-2</v>
      </c>
      <c r="S29" s="580">
        <v>0.6</v>
      </c>
      <c r="T29" s="580">
        <v>7.18</v>
      </c>
    </row>
    <row r="30" spans="2:20" x14ac:dyDescent="0.3">
      <c r="O30" s="580" t="s">
        <v>535</v>
      </c>
      <c r="P30" s="1360"/>
      <c r="Q30" s="617">
        <v>46277</v>
      </c>
      <c r="R30" s="580">
        <v>6.3E-2</v>
      </c>
      <c r="S30" s="580">
        <v>0.27</v>
      </c>
      <c r="T30" s="580">
        <v>7.26</v>
      </c>
    </row>
    <row r="31" spans="2:20" x14ac:dyDescent="0.3">
      <c r="O31" s="580" t="s">
        <v>480</v>
      </c>
      <c r="P31" s="1360"/>
      <c r="Q31" s="617">
        <v>46277</v>
      </c>
      <c r="R31" s="580">
        <v>0.24299999999999999</v>
      </c>
      <c r="S31" s="580">
        <v>0.39</v>
      </c>
      <c r="T31" s="580">
        <v>7.74</v>
      </c>
    </row>
    <row r="32" spans="2:20" x14ac:dyDescent="0.3">
      <c r="O32" s="580" t="s">
        <v>481</v>
      </c>
      <c r="P32" s="1360"/>
      <c r="Q32" s="617">
        <v>46277</v>
      </c>
      <c r="R32" s="580">
        <v>0.21099999999999999</v>
      </c>
      <c r="S32" s="580">
        <v>0.27</v>
      </c>
      <c r="T32" s="580">
        <v>8.23</v>
      </c>
    </row>
    <row r="33" spans="15:20" x14ac:dyDescent="0.3">
      <c r="O33" s="580" t="s">
        <v>482</v>
      </c>
      <c r="P33" s="1361"/>
      <c r="Q33" s="617">
        <v>46277</v>
      </c>
      <c r="R33" s="580">
        <v>0.14499999999999999</v>
      </c>
      <c r="S33" s="580">
        <v>0.33</v>
      </c>
      <c r="T33" s="580">
        <v>7.55</v>
      </c>
    </row>
    <row r="34" spans="15:20" x14ac:dyDescent="0.3">
      <c r="O34" s="618" t="s">
        <v>480</v>
      </c>
      <c r="P34" s="1362">
        <v>6</v>
      </c>
      <c r="Q34" s="898">
        <v>46278</v>
      </c>
      <c r="R34" s="619">
        <v>8.5999999999999993E-2</v>
      </c>
      <c r="S34" s="619">
        <v>0.11</v>
      </c>
      <c r="T34" s="619">
        <v>11.708</v>
      </c>
    </row>
    <row r="35" spans="15:20" x14ac:dyDescent="0.3">
      <c r="O35" s="618" t="s">
        <v>481</v>
      </c>
      <c r="P35" s="1363"/>
      <c r="Q35" s="898">
        <v>46278</v>
      </c>
      <c r="R35" s="619">
        <v>0.05</v>
      </c>
      <c r="S35" s="619">
        <v>0.20300000000000001</v>
      </c>
      <c r="T35" s="619">
        <v>13.382999999999999</v>
      </c>
    </row>
    <row r="36" spans="15:20" x14ac:dyDescent="0.3">
      <c r="O36" s="618" t="s">
        <v>482</v>
      </c>
      <c r="P36" s="1363"/>
      <c r="Q36" s="898">
        <v>46278</v>
      </c>
      <c r="R36" s="619">
        <v>1.9E-2</v>
      </c>
      <c r="S36" s="619">
        <v>6.5000000000000002E-2</v>
      </c>
      <c r="T36" s="619">
        <v>12.15</v>
      </c>
    </row>
    <row r="37" spans="15:20" x14ac:dyDescent="0.3">
      <c r="O37" s="483" t="s">
        <v>533</v>
      </c>
      <c r="P37" s="1363"/>
      <c r="Q37" s="638">
        <v>46279</v>
      </c>
      <c r="R37" s="483">
        <v>4.8000000000000001E-2</v>
      </c>
      <c r="S37" s="483">
        <v>0.35</v>
      </c>
      <c r="T37" s="483">
        <v>7.47</v>
      </c>
    </row>
    <row r="38" spans="15:20" x14ac:dyDescent="0.3">
      <c r="O38" s="483" t="s">
        <v>534</v>
      </c>
      <c r="P38" s="1363"/>
      <c r="Q38" s="638">
        <v>46279</v>
      </c>
      <c r="R38" s="483">
        <v>3.5000000000000003E-2</v>
      </c>
      <c r="S38" s="483">
        <v>0.35</v>
      </c>
      <c r="T38" s="483">
        <v>7.36</v>
      </c>
    </row>
    <row r="39" spans="15:20" x14ac:dyDescent="0.3">
      <c r="O39" s="483" t="s">
        <v>535</v>
      </c>
      <c r="P39" s="1363"/>
      <c r="Q39" s="638">
        <v>46279</v>
      </c>
      <c r="R39" s="483">
        <v>2.3E-2</v>
      </c>
      <c r="S39" s="483">
        <v>0.35</v>
      </c>
      <c r="T39" s="483">
        <v>7.37</v>
      </c>
    </row>
    <row r="40" spans="15:20" x14ac:dyDescent="0.3">
      <c r="O40" s="483" t="s">
        <v>533</v>
      </c>
      <c r="P40" s="1363"/>
      <c r="Q40" s="899">
        <v>46279</v>
      </c>
      <c r="R40" s="616">
        <v>0.13200000000000001</v>
      </c>
      <c r="S40" s="616">
        <v>0.83</v>
      </c>
      <c r="T40" s="616">
        <v>8.7100000000000009</v>
      </c>
    </row>
    <row r="41" spans="15:20" x14ac:dyDescent="0.3">
      <c r="O41" s="483" t="s">
        <v>534</v>
      </c>
      <c r="P41" s="1363"/>
      <c r="Q41" s="638">
        <v>46279</v>
      </c>
      <c r="R41" s="483">
        <v>0.11600000000000001</v>
      </c>
      <c r="S41" s="483">
        <v>0.83</v>
      </c>
      <c r="T41" s="483">
        <v>8.84</v>
      </c>
    </row>
    <row r="42" spans="15:20" x14ac:dyDescent="0.3">
      <c r="O42" s="483" t="s">
        <v>535</v>
      </c>
      <c r="P42" s="1364"/>
      <c r="Q42" s="638">
        <v>46279</v>
      </c>
      <c r="R42" s="483">
        <v>9.4E-2</v>
      </c>
      <c r="S42" s="483">
        <v>0.83</v>
      </c>
      <c r="T42" s="483">
        <v>8.76</v>
      </c>
    </row>
    <row r="43" spans="15:20" x14ac:dyDescent="0.3">
      <c r="O43" s="452" t="s">
        <v>480</v>
      </c>
      <c r="P43" s="452">
        <v>7</v>
      </c>
      <c r="Q43" s="956">
        <v>46281</v>
      </c>
      <c r="R43" s="453">
        <v>9.2999999999999999E-2</v>
      </c>
      <c r="S43" s="453">
        <v>0.15</v>
      </c>
      <c r="T43" s="453">
        <v>6.42</v>
      </c>
    </row>
    <row r="44" spans="15:20" x14ac:dyDescent="0.3">
      <c r="O44" s="452" t="s">
        <v>481</v>
      </c>
      <c r="P44" s="452">
        <v>7</v>
      </c>
      <c r="Q44" s="956">
        <v>46281</v>
      </c>
      <c r="R44" s="453">
        <v>8.4000000000000005E-2</v>
      </c>
      <c r="S44" s="453">
        <v>0.14000000000000001</v>
      </c>
      <c r="T44" s="453">
        <v>6.38</v>
      </c>
    </row>
    <row r="45" spans="15:20" x14ac:dyDescent="0.3">
      <c r="O45" s="452" t="s">
        <v>482</v>
      </c>
      <c r="P45" s="452">
        <v>7</v>
      </c>
      <c r="Q45" s="956">
        <v>46281</v>
      </c>
      <c r="R45" s="453">
        <v>0.1</v>
      </c>
      <c r="S45" s="453">
        <v>0.15</v>
      </c>
      <c r="T45" s="453">
        <v>6.34</v>
      </c>
    </row>
    <row r="46" spans="15:20" x14ac:dyDescent="0.3">
      <c r="O46" s="452" t="s">
        <v>533</v>
      </c>
      <c r="P46" s="452">
        <v>7</v>
      </c>
      <c r="Q46" s="956">
        <v>46282</v>
      </c>
      <c r="R46" s="453">
        <v>0.11600000000000001</v>
      </c>
      <c r="S46" s="453">
        <v>1.06</v>
      </c>
      <c r="T46" s="453">
        <v>9.98</v>
      </c>
    </row>
    <row r="47" spans="15:20" x14ac:dyDescent="0.3">
      <c r="O47" s="452" t="s">
        <v>534</v>
      </c>
      <c r="P47" s="452">
        <v>7</v>
      </c>
      <c r="Q47" s="956">
        <v>46282</v>
      </c>
      <c r="R47" s="453">
        <v>0.114</v>
      </c>
      <c r="S47" s="453">
        <v>1.04</v>
      </c>
      <c r="T47" s="453">
        <v>9.9499999999999993</v>
      </c>
    </row>
    <row r="48" spans="15:20" x14ac:dyDescent="0.3">
      <c r="O48" s="452" t="s">
        <v>535</v>
      </c>
      <c r="P48" s="452">
        <v>7</v>
      </c>
      <c r="Q48" s="956">
        <v>46282</v>
      </c>
      <c r="R48" s="453">
        <v>9.4E-2</v>
      </c>
      <c r="S48" s="453">
        <v>0.98</v>
      </c>
      <c r="T48" s="453">
        <v>9.93</v>
      </c>
    </row>
    <row r="49" spans="15:20" x14ac:dyDescent="0.3">
      <c r="O49" s="580" t="s">
        <v>480</v>
      </c>
      <c r="P49" s="483">
        <v>8</v>
      </c>
      <c r="Q49" s="899">
        <v>46283</v>
      </c>
      <c r="R49" s="616">
        <v>5.5E-2</v>
      </c>
      <c r="S49" s="616">
        <v>0.32</v>
      </c>
      <c r="T49" s="616">
        <v>10.4</v>
      </c>
    </row>
    <row r="50" spans="15:20" x14ac:dyDescent="0.3">
      <c r="O50" s="580" t="s">
        <v>481</v>
      </c>
      <c r="P50" s="483">
        <v>8</v>
      </c>
      <c r="Q50" s="899">
        <v>46283</v>
      </c>
      <c r="R50" s="616">
        <v>3.6999999999999998E-2</v>
      </c>
      <c r="S50" s="616">
        <v>0.34</v>
      </c>
      <c r="T50" s="616">
        <v>9.42</v>
      </c>
    </row>
    <row r="51" spans="15:20" x14ac:dyDescent="0.3">
      <c r="O51" s="580" t="s">
        <v>482</v>
      </c>
      <c r="P51" s="483">
        <v>8</v>
      </c>
      <c r="Q51" s="899">
        <v>46283</v>
      </c>
      <c r="R51" s="616">
        <v>3.5999999999999997E-2</v>
      </c>
      <c r="S51" s="616">
        <v>0.38</v>
      </c>
      <c r="T51" s="616">
        <v>10.78</v>
      </c>
    </row>
    <row r="52" spans="15:20" x14ac:dyDescent="0.3">
      <c r="O52" s="483" t="s">
        <v>533</v>
      </c>
      <c r="P52" s="483">
        <v>8</v>
      </c>
      <c r="Q52" s="899">
        <v>46284</v>
      </c>
      <c r="R52" s="616">
        <v>2.1000000000000001E-2</v>
      </c>
      <c r="S52" s="616">
        <v>0.18</v>
      </c>
      <c r="T52" s="616">
        <v>10.59</v>
      </c>
    </row>
    <row r="53" spans="15:20" x14ac:dyDescent="0.3">
      <c r="O53" s="483" t="s">
        <v>534</v>
      </c>
      <c r="P53" s="483">
        <v>8</v>
      </c>
      <c r="Q53" s="899">
        <v>46284</v>
      </c>
      <c r="R53" s="1079">
        <v>0.08</v>
      </c>
      <c r="S53" s="616">
        <v>0.39</v>
      </c>
      <c r="T53" s="616">
        <v>10.44</v>
      </c>
    </row>
    <row r="54" spans="15:20" x14ac:dyDescent="0.3">
      <c r="O54" s="483" t="s">
        <v>535</v>
      </c>
      <c r="P54" s="483">
        <v>8</v>
      </c>
      <c r="Q54" s="899">
        <v>46284</v>
      </c>
      <c r="R54" s="616">
        <v>3.3000000000000002E-2</v>
      </c>
      <c r="S54" s="616">
        <v>0.3</v>
      </c>
      <c r="T54" s="616">
        <v>10.65</v>
      </c>
    </row>
    <row r="55" spans="15:20" x14ac:dyDescent="0.3">
      <c r="O55" s="580" t="s">
        <v>480</v>
      </c>
      <c r="P55" s="483">
        <v>8</v>
      </c>
      <c r="Q55" s="899">
        <v>46284</v>
      </c>
      <c r="R55" s="616">
        <v>9.4E-2</v>
      </c>
      <c r="S55" s="616">
        <v>0.44</v>
      </c>
      <c r="T55" s="616">
        <v>10.73</v>
      </c>
    </row>
    <row r="56" spans="15:20" x14ac:dyDescent="0.3">
      <c r="O56" s="580" t="s">
        <v>481</v>
      </c>
      <c r="P56" s="483">
        <v>8</v>
      </c>
      <c r="Q56" s="899">
        <v>46284</v>
      </c>
      <c r="R56" s="616">
        <v>8.3000000000000004E-2</v>
      </c>
      <c r="S56" s="616">
        <v>0.53</v>
      </c>
      <c r="T56" s="616">
        <v>10.23</v>
      </c>
    </row>
    <row r="57" spans="15:20" x14ac:dyDescent="0.3">
      <c r="O57" s="580" t="s">
        <v>482</v>
      </c>
      <c r="P57" s="483">
        <v>8</v>
      </c>
      <c r="Q57" s="899">
        <v>46284</v>
      </c>
      <c r="R57" s="616">
        <v>9.0999999999999998E-2</v>
      </c>
      <c r="S57" s="616">
        <v>0.61</v>
      </c>
      <c r="T57" s="616">
        <v>10.7</v>
      </c>
    </row>
    <row r="58" spans="15:20" x14ac:dyDescent="0.3">
      <c r="O58" s="452" t="s">
        <v>533</v>
      </c>
      <c r="P58" s="1288">
        <v>9</v>
      </c>
      <c r="Q58" s="956">
        <v>46286</v>
      </c>
      <c r="R58" s="453">
        <v>8.5000000000000006E-2</v>
      </c>
      <c r="S58" s="453">
        <v>0.46</v>
      </c>
      <c r="T58" s="453">
        <v>13.61</v>
      </c>
    </row>
    <row r="59" spans="15:20" x14ac:dyDescent="0.3">
      <c r="O59" s="452" t="s">
        <v>534</v>
      </c>
      <c r="P59" s="1289"/>
      <c r="Q59" s="956">
        <v>46286</v>
      </c>
      <c r="R59" s="453">
        <v>0.104</v>
      </c>
      <c r="S59" s="453">
        <v>0.4</v>
      </c>
      <c r="T59" s="453">
        <v>14.11</v>
      </c>
    </row>
    <row r="60" spans="15:20" x14ac:dyDescent="0.3">
      <c r="O60" s="452" t="s">
        <v>480</v>
      </c>
      <c r="P60" s="1289"/>
      <c r="Q60" s="956">
        <v>46286</v>
      </c>
      <c r="R60" s="453">
        <v>0.1</v>
      </c>
      <c r="S60" s="453">
        <v>0.45</v>
      </c>
      <c r="T60" s="453">
        <v>12.47</v>
      </c>
    </row>
    <row r="61" spans="15:20" x14ac:dyDescent="0.3">
      <c r="O61" s="452" t="s">
        <v>481</v>
      </c>
      <c r="P61" s="1289"/>
      <c r="Q61" s="956">
        <v>46286</v>
      </c>
      <c r="R61" s="453">
        <v>9.5000000000000001E-2</v>
      </c>
      <c r="S61" s="453">
        <v>0.43</v>
      </c>
      <c r="T61" s="453">
        <v>12.99</v>
      </c>
    </row>
    <row r="62" spans="15:20" x14ac:dyDescent="0.3">
      <c r="O62" s="452" t="s">
        <v>533</v>
      </c>
      <c r="P62" s="1289"/>
      <c r="Q62" s="956">
        <v>46287</v>
      </c>
      <c r="R62" s="453">
        <v>0.11700000000000001</v>
      </c>
      <c r="S62" s="453">
        <v>0.45</v>
      </c>
      <c r="T62" s="453">
        <v>15.99</v>
      </c>
    </row>
    <row r="63" spans="15:20" x14ac:dyDescent="0.3">
      <c r="O63" s="452" t="s">
        <v>534</v>
      </c>
      <c r="P63" s="1289"/>
      <c r="Q63" s="956">
        <v>46287</v>
      </c>
      <c r="R63" s="453">
        <v>0.14799999999999999</v>
      </c>
      <c r="S63" s="453">
        <v>0.47</v>
      </c>
      <c r="T63" s="453">
        <v>15.98</v>
      </c>
    </row>
    <row r="64" spans="15:20" x14ac:dyDescent="0.3">
      <c r="O64" s="452" t="s">
        <v>535</v>
      </c>
      <c r="P64" s="1289"/>
      <c r="Q64" s="956">
        <v>46287</v>
      </c>
      <c r="R64" s="453">
        <v>0.11600000000000001</v>
      </c>
      <c r="S64" s="453">
        <v>0.47</v>
      </c>
      <c r="T64" s="453">
        <v>16.18</v>
      </c>
    </row>
    <row r="65" spans="15:20" x14ac:dyDescent="0.3">
      <c r="O65" s="452" t="s">
        <v>480</v>
      </c>
      <c r="P65" s="1289"/>
      <c r="Q65" s="956">
        <v>46287</v>
      </c>
      <c r="R65" s="453">
        <v>7.3999999999999996E-2</v>
      </c>
      <c r="S65" s="453">
        <v>0.33</v>
      </c>
      <c r="T65" s="453">
        <v>15.36</v>
      </c>
    </row>
    <row r="66" spans="15:20" x14ac:dyDescent="0.3">
      <c r="O66" s="452" t="s">
        <v>481</v>
      </c>
      <c r="P66" s="1289"/>
      <c r="Q66" s="956">
        <v>46287</v>
      </c>
      <c r="R66" s="453">
        <v>9.1999999999999998E-2</v>
      </c>
      <c r="S66" s="453">
        <v>0.28999999999999998</v>
      </c>
      <c r="T66" s="453">
        <v>15.39</v>
      </c>
    </row>
    <row r="67" spans="15:20" x14ac:dyDescent="0.3">
      <c r="O67" s="452" t="s">
        <v>482</v>
      </c>
      <c r="P67" s="1290"/>
      <c r="Q67" s="956">
        <v>46287</v>
      </c>
      <c r="R67" s="453">
        <v>9.7000000000000003E-2</v>
      </c>
      <c r="S67" s="453">
        <v>0.32</v>
      </c>
      <c r="T67" s="453">
        <v>15.44</v>
      </c>
    </row>
    <row r="68" spans="15:20" x14ac:dyDescent="0.3">
      <c r="O68" s="483" t="s">
        <v>533</v>
      </c>
      <c r="P68" s="1359">
        <v>10</v>
      </c>
      <c r="Q68" s="899">
        <v>46290</v>
      </c>
      <c r="R68" s="616"/>
      <c r="S68" s="616"/>
      <c r="T68" s="616"/>
    </row>
    <row r="69" spans="15:20" x14ac:dyDescent="0.3">
      <c r="O69" s="483" t="s">
        <v>534</v>
      </c>
      <c r="P69" s="1360"/>
      <c r="Q69" s="899">
        <v>46290</v>
      </c>
      <c r="R69" s="616"/>
      <c r="S69" s="616"/>
      <c r="T69" s="616"/>
    </row>
    <row r="70" spans="15:20" x14ac:dyDescent="0.3">
      <c r="O70" s="483" t="s">
        <v>535</v>
      </c>
      <c r="P70" s="1360"/>
      <c r="Q70" s="899">
        <v>46290</v>
      </c>
      <c r="R70" s="616"/>
      <c r="S70" s="616"/>
      <c r="T70" s="616"/>
    </row>
    <row r="71" spans="15:20" x14ac:dyDescent="0.3">
      <c r="O71" s="580" t="s">
        <v>480</v>
      </c>
      <c r="P71" s="1360"/>
      <c r="Q71" s="899">
        <v>46290</v>
      </c>
      <c r="R71" s="616">
        <v>0.158</v>
      </c>
      <c r="S71" s="616">
        <v>0.65</v>
      </c>
      <c r="T71" s="616">
        <v>18.88</v>
      </c>
    </row>
    <row r="72" spans="15:20" x14ac:dyDescent="0.3">
      <c r="O72" s="580" t="s">
        <v>481</v>
      </c>
      <c r="P72" s="1360"/>
      <c r="Q72" s="899">
        <v>46290</v>
      </c>
      <c r="R72" s="616">
        <v>0.14599999999999999</v>
      </c>
      <c r="S72" s="616">
        <v>0.68</v>
      </c>
      <c r="T72" s="616">
        <v>18.93</v>
      </c>
    </row>
    <row r="73" spans="15:20" x14ac:dyDescent="0.3">
      <c r="O73" s="580" t="s">
        <v>482</v>
      </c>
      <c r="P73" s="1360"/>
      <c r="Q73" s="899">
        <v>46290</v>
      </c>
      <c r="R73" s="616">
        <v>0.13400000000000001</v>
      </c>
      <c r="S73" s="616">
        <v>0.69</v>
      </c>
      <c r="T73" s="616">
        <v>18.739999999999998</v>
      </c>
    </row>
    <row r="74" spans="15:20" x14ac:dyDescent="0.3">
      <c r="O74" s="483" t="s">
        <v>533</v>
      </c>
      <c r="P74" s="1360"/>
      <c r="Q74" s="899">
        <v>46291</v>
      </c>
      <c r="R74" s="616">
        <v>0.13100000000000001</v>
      </c>
      <c r="S74" s="616">
        <v>0.32</v>
      </c>
      <c r="T74" s="616">
        <v>16.27</v>
      </c>
    </row>
    <row r="75" spans="15:20" x14ac:dyDescent="0.3">
      <c r="O75" s="483" t="s">
        <v>534</v>
      </c>
      <c r="P75" s="1360"/>
      <c r="Q75" s="899">
        <v>46291</v>
      </c>
      <c r="R75" s="616">
        <v>0.14499999999999999</v>
      </c>
      <c r="S75" s="616">
        <v>0.34</v>
      </c>
      <c r="T75" s="616">
        <v>16.149999999999999</v>
      </c>
    </row>
    <row r="76" spans="15:20" x14ac:dyDescent="0.3">
      <c r="O76" s="483" t="s">
        <v>535</v>
      </c>
      <c r="P76" s="1360"/>
      <c r="Q76" s="899">
        <v>46291</v>
      </c>
      <c r="R76" s="616">
        <v>0.15</v>
      </c>
      <c r="S76" s="616">
        <v>0.31</v>
      </c>
      <c r="T76" s="616">
        <v>16.809999999999999</v>
      </c>
    </row>
    <row r="77" spans="15:20" x14ac:dyDescent="0.3">
      <c r="O77" s="580" t="s">
        <v>480</v>
      </c>
      <c r="P77" s="1360"/>
      <c r="Q77" s="899">
        <v>46291</v>
      </c>
      <c r="R77" s="616">
        <v>0.1</v>
      </c>
      <c r="S77" s="616">
        <v>0.41</v>
      </c>
      <c r="T77" s="616">
        <v>17.16</v>
      </c>
    </row>
    <row r="78" spans="15:20" x14ac:dyDescent="0.3">
      <c r="O78" s="580" t="s">
        <v>481</v>
      </c>
      <c r="P78" s="1360"/>
      <c r="Q78" s="899">
        <v>46291</v>
      </c>
      <c r="R78" s="616">
        <v>0.11700000000000001</v>
      </c>
      <c r="S78" s="616">
        <v>0.41</v>
      </c>
      <c r="T78" s="616">
        <v>17.239999999999998</v>
      </c>
    </row>
    <row r="79" spans="15:20" x14ac:dyDescent="0.3">
      <c r="O79" s="580" t="s">
        <v>482</v>
      </c>
      <c r="P79" s="1361"/>
      <c r="Q79" s="899">
        <v>46291</v>
      </c>
      <c r="R79" s="616">
        <v>0.106</v>
      </c>
      <c r="S79" s="616">
        <v>0.41</v>
      </c>
      <c r="T79" s="616">
        <v>17.18</v>
      </c>
    </row>
    <row r="80" spans="15:20" ht="14.4" customHeight="1" x14ac:dyDescent="0.3">
      <c r="O80" s="452" t="s">
        <v>533</v>
      </c>
      <c r="P80" s="1350">
        <v>11</v>
      </c>
      <c r="Q80" s="956">
        <v>46292</v>
      </c>
      <c r="R80" s="453">
        <v>0.152</v>
      </c>
      <c r="S80" s="453">
        <v>0.5</v>
      </c>
      <c r="T80" s="453">
        <v>15.57</v>
      </c>
    </row>
    <row r="81" spans="15:20" ht="14.4" customHeight="1" x14ac:dyDescent="0.3">
      <c r="O81" s="452" t="s">
        <v>534</v>
      </c>
      <c r="P81" s="1351"/>
      <c r="Q81" s="956">
        <v>46292</v>
      </c>
      <c r="R81" s="453">
        <v>0.156</v>
      </c>
      <c r="S81" s="453">
        <v>0.47</v>
      </c>
      <c r="T81" s="453">
        <v>15.85</v>
      </c>
    </row>
    <row r="82" spans="15:20" ht="14.4" customHeight="1" x14ac:dyDescent="0.3">
      <c r="O82" s="452" t="s">
        <v>535</v>
      </c>
      <c r="P82" s="1351"/>
      <c r="Q82" s="956">
        <v>46292</v>
      </c>
      <c r="R82" s="453">
        <v>0.13500000000000001</v>
      </c>
      <c r="S82" s="453">
        <v>0.47</v>
      </c>
      <c r="T82" s="453">
        <v>15.75</v>
      </c>
    </row>
    <row r="83" spans="15:20" ht="14.4" customHeight="1" x14ac:dyDescent="0.3">
      <c r="O83" s="452" t="s">
        <v>480</v>
      </c>
      <c r="P83" s="1351"/>
      <c r="Q83" s="956">
        <v>46292</v>
      </c>
      <c r="R83" s="453"/>
      <c r="S83" s="453"/>
      <c r="T83" s="453"/>
    </row>
    <row r="84" spans="15:20" ht="14.4" customHeight="1" x14ac:dyDescent="0.3">
      <c r="O84" s="452" t="s">
        <v>481</v>
      </c>
      <c r="P84" s="1351"/>
      <c r="Q84" s="956">
        <v>46292</v>
      </c>
      <c r="R84" s="453"/>
      <c r="S84" s="453"/>
      <c r="T84" s="453"/>
    </row>
    <row r="85" spans="15:20" ht="14.4" customHeight="1" x14ac:dyDescent="0.3">
      <c r="O85" s="452" t="s">
        <v>482</v>
      </c>
      <c r="P85" s="1351"/>
      <c r="Q85" s="956">
        <v>46292</v>
      </c>
      <c r="R85" s="453"/>
      <c r="S85" s="453"/>
      <c r="T85" s="453"/>
    </row>
    <row r="86" spans="15:20" ht="14.4" customHeight="1" x14ac:dyDescent="0.3">
      <c r="O86" s="452" t="s">
        <v>533</v>
      </c>
      <c r="P86" s="1351"/>
      <c r="Q86" s="956">
        <v>46293</v>
      </c>
      <c r="R86" s="453">
        <v>0.1</v>
      </c>
      <c r="S86" s="453">
        <v>0.44</v>
      </c>
      <c r="T86" s="453">
        <v>13.09</v>
      </c>
    </row>
    <row r="87" spans="15:20" ht="14.4" customHeight="1" x14ac:dyDescent="0.3">
      <c r="O87" s="452" t="s">
        <v>534</v>
      </c>
      <c r="P87" s="1351"/>
      <c r="Q87" s="956">
        <v>46293</v>
      </c>
      <c r="R87" s="453">
        <v>0.109</v>
      </c>
      <c r="S87" s="453">
        <v>0.48</v>
      </c>
      <c r="T87" s="453">
        <v>13.04</v>
      </c>
    </row>
    <row r="88" spans="15:20" ht="14.4" customHeight="1" x14ac:dyDescent="0.3">
      <c r="O88" s="452" t="s">
        <v>535</v>
      </c>
      <c r="P88" s="1351"/>
      <c r="Q88" s="956">
        <v>46293</v>
      </c>
      <c r="R88" s="453">
        <v>0.125</v>
      </c>
      <c r="S88" s="453">
        <v>0.46</v>
      </c>
      <c r="T88" s="453">
        <v>13.19</v>
      </c>
    </row>
    <row r="89" spans="15:20" ht="14.4" customHeight="1" x14ac:dyDescent="0.3">
      <c r="O89" s="452" t="s">
        <v>480</v>
      </c>
      <c r="P89" s="1351"/>
      <c r="Q89" s="956">
        <v>46293</v>
      </c>
      <c r="R89" s="453">
        <v>0.14799999999999999</v>
      </c>
      <c r="S89" s="453">
        <v>0.51</v>
      </c>
      <c r="T89" s="453">
        <v>12.78</v>
      </c>
    </row>
    <row r="90" spans="15:20" ht="14.4" customHeight="1" x14ac:dyDescent="0.3">
      <c r="O90" s="452" t="s">
        <v>481</v>
      </c>
      <c r="P90" s="1351"/>
      <c r="Q90" s="956">
        <v>46293</v>
      </c>
      <c r="R90" s="453">
        <v>0.115</v>
      </c>
      <c r="S90" s="453">
        <v>0.55000000000000004</v>
      </c>
      <c r="T90" s="453">
        <v>12.75</v>
      </c>
    </row>
    <row r="91" spans="15:20" ht="14.4" customHeight="1" x14ac:dyDescent="0.3">
      <c r="O91" s="452" t="s">
        <v>482</v>
      </c>
      <c r="P91" s="1351"/>
      <c r="Q91" s="956">
        <v>46293</v>
      </c>
      <c r="R91" s="453">
        <v>0.13300000000000001</v>
      </c>
      <c r="S91" s="453">
        <v>0.56000000000000005</v>
      </c>
      <c r="T91" s="453">
        <v>12.66</v>
      </c>
    </row>
    <row r="92" spans="15:20" x14ac:dyDescent="0.3">
      <c r="O92" s="452" t="s">
        <v>533</v>
      </c>
      <c r="P92" s="1351"/>
      <c r="Q92" s="956">
        <v>46294</v>
      </c>
      <c r="R92" s="453">
        <v>0.14199999999999999</v>
      </c>
      <c r="S92" s="453">
        <v>0.79</v>
      </c>
      <c r="T92" s="453">
        <v>15.32</v>
      </c>
    </row>
    <row r="93" spans="15:20" x14ac:dyDescent="0.3">
      <c r="O93" s="452" t="s">
        <v>534</v>
      </c>
      <c r="P93" s="1351"/>
      <c r="Q93" s="956">
        <v>46294</v>
      </c>
      <c r="R93" s="453">
        <v>0.152</v>
      </c>
      <c r="S93" s="453">
        <v>0.77</v>
      </c>
      <c r="T93" s="453">
        <v>15.12</v>
      </c>
    </row>
    <row r="94" spans="15:20" x14ac:dyDescent="0.3">
      <c r="O94" s="452" t="s">
        <v>535</v>
      </c>
      <c r="P94" s="1352"/>
      <c r="Q94" s="956">
        <v>46294</v>
      </c>
      <c r="R94" s="453">
        <v>0.13</v>
      </c>
      <c r="S94" s="453">
        <v>0.78</v>
      </c>
      <c r="T94" s="453">
        <v>15.11</v>
      </c>
    </row>
  </sheetData>
  <mergeCells count="15">
    <mergeCell ref="P80:P94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8" zoomScale="89" workbookViewId="0">
      <selection activeCell="P49" sqref="P49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92" t="s">
        <v>562</v>
      </c>
      <c r="C2" s="1192"/>
      <c r="D2" s="1192"/>
      <c r="E2" s="1192"/>
      <c r="F2" s="1192"/>
      <c r="G2" s="1192"/>
      <c r="H2" s="1192"/>
      <c r="J2" s="1192" t="s">
        <v>563</v>
      </c>
      <c r="K2" s="1192"/>
      <c r="L2" s="1192"/>
      <c r="M2" s="1192"/>
      <c r="N2" s="1192"/>
      <c r="O2" s="1192"/>
      <c r="P2" s="1192"/>
      <c r="R2" s="1369" t="s">
        <v>564</v>
      </c>
      <c r="S2" s="1371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4" t="s">
        <v>568</v>
      </c>
      <c r="O3" s="14" t="s">
        <v>559</v>
      </c>
      <c r="P3" s="384" t="s">
        <v>569</v>
      </c>
      <c r="R3" s="957" t="s">
        <v>565</v>
      </c>
      <c r="S3" s="958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9">
        <v>6</v>
      </c>
      <c r="S4" s="1033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369" t="s">
        <v>567</v>
      </c>
      <c r="S10" s="1370"/>
      <c r="T10" s="1371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372">
        <f>SUM(P4:P234,H4:H233)</f>
        <v>3748.86</v>
      </c>
      <c r="S11" s="1373"/>
      <c r="T11" s="1374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70" customFormat="1" x14ac:dyDescent="0.3">
      <c r="A17" s="1376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70" customFormat="1" x14ac:dyDescent="0.3">
      <c r="A18" s="1376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70" customFormat="1" x14ac:dyDescent="0.3">
      <c r="A19" s="1376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70" customFormat="1" x14ac:dyDescent="0.3">
      <c r="A20" s="1376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5" customFormat="1" x14ac:dyDescent="0.3">
      <c r="A21" s="1375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5" customFormat="1" x14ac:dyDescent="0.3">
      <c r="A22" s="1375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5" customFormat="1" x14ac:dyDescent="0.3">
      <c r="A23" s="1375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75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375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375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375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375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375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375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375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9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9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9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9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243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9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243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9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243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9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243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9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243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9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/>
      <c r="P40" s="13">
        <f t="shared" ref="P40:P44" si="11">N40*(1-O40)</f>
        <v>96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9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/>
      <c r="P41" s="13">
        <f t="shared" si="11"/>
        <v>96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13"/>
      <c r="H42" s="669">
        <f t="shared" si="7"/>
        <v>24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6"/>
      <c r="P42" s="13">
        <f t="shared" si="11"/>
        <v>120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13"/>
      <c r="H43" s="669">
        <f t="shared" si="7"/>
        <v>30</v>
      </c>
      <c r="J43" s="13">
        <v>42</v>
      </c>
      <c r="K43" s="62">
        <v>46294</v>
      </c>
      <c r="L43" s="13" t="s">
        <v>13</v>
      </c>
      <c r="M43" s="13">
        <v>7</v>
      </c>
      <c r="N43" s="6">
        <f t="shared" si="10"/>
        <v>84</v>
      </c>
      <c r="O43" s="6"/>
      <c r="P43" s="6">
        <f t="shared" si="11"/>
        <v>84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9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6">
        <f t="shared" si="10"/>
        <v>96</v>
      </c>
      <c r="O44" s="6"/>
      <c r="P44" s="6">
        <f t="shared" si="11"/>
        <v>96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13"/>
      <c r="H45" s="669">
        <f t="shared" si="7"/>
        <v>42</v>
      </c>
      <c r="J45" s="13">
        <v>44</v>
      </c>
      <c r="K45" s="62">
        <v>46295</v>
      </c>
      <c r="L45" s="13" t="s">
        <v>13</v>
      </c>
      <c r="M45" s="13"/>
      <c r="N45" s="6"/>
      <c r="O45" s="6"/>
      <c r="P45" s="6"/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13"/>
      <c r="H46" s="669">
        <f t="shared" si="7"/>
        <v>18</v>
      </c>
      <c r="J46" s="13">
        <v>45</v>
      </c>
      <c r="K46" s="6"/>
      <c r="L46" s="13" t="s">
        <v>12</v>
      </c>
      <c r="M46" s="13"/>
      <c r="N46" s="6"/>
      <c r="O46" s="6"/>
      <c r="P46" s="6"/>
    </row>
    <row r="47" spans="2:16" x14ac:dyDescent="0.3">
      <c r="B47" s="13">
        <v>47</v>
      </c>
      <c r="C47" s="62">
        <v>46295</v>
      </c>
      <c r="D47" s="13" t="s">
        <v>13</v>
      </c>
      <c r="E47" s="13"/>
      <c r="F47" s="13">
        <f t="shared" si="9"/>
        <v>0</v>
      </c>
      <c r="G47" s="13"/>
      <c r="H47" s="669">
        <f t="shared" si="7"/>
        <v>0</v>
      </c>
      <c r="J47" s="13">
        <v>46</v>
      </c>
      <c r="K47" s="6"/>
      <c r="L47" s="13" t="s">
        <v>13</v>
      </c>
      <c r="M47" s="13"/>
      <c r="N47" s="6"/>
      <c r="O47" s="6"/>
      <c r="P47" s="6"/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9">
        <f t="shared" si="7"/>
        <v>0</v>
      </c>
      <c r="J48" s="13">
        <v>47</v>
      </c>
      <c r="K48" s="6"/>
      <c r="L48" s="13" t="s">
        <v>12</v>
      </c>
      <c r="M48" s="13"/>
      <c r="N48" s="6"/>
      <c r="O48" s="6"/>
      <c r="P48" s="6"/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9">
        <f t="shared" si="7"/>
        <v>0</v>
      </c>
      <c r="J49" s="13">
        <v>48</v>
      </c>
      <c r="K49" s="6"/>
      <c r="L49" s="13" t="s">
        <v>13</v>
      </c>
      <c r="M49" s="13"/>
      <c r="N49" s="6"/>
      <c r="O49" s="6"/>
      <c r="P49" s="6"/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9">
        <f t="shared" si="7"/>
        <v>0</v>
      </c>
      <c r="J50" s="13">
        <v>49</v>
      </c>
      <c r="K50" s="6"/>
      <c r="L50" s="13" t="s">
        <v>12</v>
      </c>
      <c r="M50" s="13"/>
      <c r="N50" s="6"/>
      <c r="O50" s="6"/>
      <c r="P50" s="6"/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9">
        <f t="shared" si="7"/>
        <v>0</v>
      </c>
      <c r="J51" s="13">
        <v>50</v>
      </c>
      <c r="K51" s="6"/>
      <c r="L51" s="13" t="s">
        <v>13</v>
      </c>
      <c r="M51" s="13"/>
      <c r="N51" s="6"/>
      <c r="O51" s="6"/>
      <c r="P51" s="6"/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9">
        <f t="shared" si="7"/>
        <v>0</v>
      </c>
      <c r="J52" s="13">
        <v>51</v>
      </c>
      <c r="K52" s="6"/>
      <c r="L52" s="13" t="s">
        <v>12</v>
      </c>
      <c r="M52" s="13"/>
      <c r="N52" s="6"/>
      <c r="O52" s="6"/>
      <c r="P52" s="6"/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9">
        <f t="shared" si="7"/>
        <v>0</v>
      </c>
      <c r="J53" s="13">
        <v>52</v>
      </c>
      <c r="K53" s="6"/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9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9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9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9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9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9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9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9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9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9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9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9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9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9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9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9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9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9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9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9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9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9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9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9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9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9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9">
        <f t="shared" ref="H80:H126" si="12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9">
        <f t="shared" si="12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9">
        <f t="shared" si="12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9">
        <f t="shared" si="12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9">
        <f t="shared" si="12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9">
        <f t="shared" si="12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9">
        <f t="shared" si="12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9">
        <f t="shared" si="12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9">
        <f t="shared" si="12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9">
        <f t="shared" si="12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9">
        <f t="shared" si="12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9">
        <f t="shared" si="12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9">
        <f t="shared" si="12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9">
        <f t="shared" si="12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9">
        <f t="shared" si="12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9">
        <f t="shared" si="12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9">
        <f t="shared" si="12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9">
        <f t="shared" si="12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9">
        <f t="shared" si="12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9">
        <f t="shared" si="12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9">
        <f t="shared" si="12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3">E101*$R$4</f>
        <v>0</v>
      </c>
      <c r="G101" s="13"/>
      <c r="H101" s="669">
        <f t="shared" si="12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3"/>
        <v>0</v>
      </c>
      <c r="G102" s="13"/>
      <c r="H102" s="669">
        <f t="shared" si="12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3"/>
        <v>0</v>
      </c>
      <c r="G103" s="13"/>
      <c r="H103" s="669">
        <f t="shared" si="12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3"/>
        <v>0</v>
      </c>
      <c r="G104" s="13"/>
      <c r="H104" s="669">
        <f t="shared" si="12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3"/>
        <v>0</v>
      </c>
      <c r="G105" s="13"/>
      <c r="H105" s="669">
        <f t="shared" si="12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3"/>
        <v>0</v>
      </c>
      <c r="G106" s="13"/>
      <c r="H106" s="669">
        <f t="shared" si="12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3"/>
        <v>0</v>
      </c>
      <c r="G107" s="13"/>
      <c r="H107" s="669">
        <f t="shared" si="12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3"/>
        <v>0</v>
      </c>
      <c r="G108" s="13"/>
      <c r="H108" s="669">
        <f t="shared" si="12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3"/>
        <v>0</v>
      </c>
      <c r="G109" s="13"/>
      <c r="H109" s="669">
        <f t="shared" si="12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3"/>
        <v>0</v>
      </c>
      <c r="G110" s="13"/>
      <c r="H110" s="669">
        <f t="shared" si="12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3"/>
        <v>0</v>
      </c>
      <c r="G111" s="13"/>
      <c r="H111" s="669">
        <f t="shared" si="12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3"/>
        <v>0</v>
      </c>
      <c r="G112" s="13"/>
      <c r="H112" s="669">
        <f t="shared" si="12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3"/>
        <v>0</v>
      </c>
      <c r="G113" s="13"/>
      <c r="H113" s="669">
        <f t="shared" si="12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3"/>
        <v>0</v>
      </c>
      <c r="G114" s="13"/>
      <c r="H114" s="669">
        <f t="shared" si="12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3"/>
        <v>0</v>
      </c>
      <c r="G115" s="13"/>
      <c r="H115" s="669">
        <f t="shared" si="12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3"/>
        <v>0</v>
      </c>
      <c r="G116" s="13"/>
      <c r="H116" s="669">
        <f t="shared" si="12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3"/>
        <v>0</v>
      </c>
      <c r="G117" s="13"/>
      <c r="H117" s="669">
        <f t="shared" si="12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3"/>
        <v>0</v>
      </c>
      <c r="G118" s="13"/>
      <c r="H118" s="669">
        <f t="shared" si="12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3"/>
        <v>0</v>
      </c>
      <c r="G119" s="13"/>
      <c r="H119" s="669">
        <f t="shared" si="12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3"/>
        <v>0</v>
      </c>
      <c r="G120" s="13"/>
      <c r="H120" s="669">
        <f t="shared" si="12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3"/>
        <v>0</v>
      </c>
      <c r="G121" s="13"/>
      <c r="H121" s="669">
        <f t="shared" si="12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3"/>
        <v>0</v>
      </c>
      <c r="G122" s="13"/>
      <c r="H122" s="669">
        <f t="shared" si="12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3"/>
        <v>0</v>
      </c>
      <c r="G123" s="13"/>
      <c r="H123" s="669">
        <f t="shared" si="12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3"/>
        <v>0</v>
      </c>
      <c r="G124" s="13"/>
      <c r="H124" s="669">
        <f t="shared" si="12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3"/>
        <v>0</v>
      </c>
      <c r="G125" s="13"/>
      <c r="H125" s="669">
        <f t="shared" si="12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3"/>
        <v>0</v>
      </c>
      <c r="G126" s="13"/>
      <c r="H126" s="669">
        <f t="shared" si="12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K1" zoomScale="72" zoomScaleNormal="85" workbookViewId="0">
      <pane ySplit="4" topLeftCell="A47" activePane="bottomLeft" state="frozen"/>
      <selection pane="bottomLeft" activeCell="T65" sqref="T65"/>
    </sheetView>
  </sheetViews>
  <sheetFormatPr defaultColWidth="8.77734375" defaultRowHeight="14.4" x14ac:dyDescent="0.3"/>
  <cols>
    <col min="1" max="1" width="8.77734375" style="585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5" customWidth="1"/>
    <col min="7" max="7" width="8.77734375" style="433" customWidth="1"/>
    <col min="8" max="8" width="20.5546875" style="12" customWidth="1"/>
    <col min="9" max="9" width="18.88671875" style="332" customWidth="1"/>
    <col min="10" max="10" width="18.88671875" style="433" customWidth="1"/>
    <col min="11" max="11" width="9.77734375" style="433" customWidth="1"/>
    <col min="12" max="12" width="20.88671875" style="433" bestFit="1" customWidth="1"/>
    <col min="13" max="13" width="27.88671875" style="332" customWidth="1"/>
    <col min="14" max="14" width="16.6640625" style="433" customWidth="1"/>
    <col min="15" max="15" width="8.77734375" style="332"/>
    <col min="16" max="16" width="18.88671875" style="433" bestFit="1" customWidth="1"/>
    <col min="17" max="17" width="18.88671875" style="332" customWidth="1"/>
    <col min="18" max="18" width="14.21875" style="433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5" customWidth="1"/>
    <col min="27" max="27" width="14.33203125" style="1" customWidth="1"/>
    <col min="28" max="28" width="21.88671875" style="925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9"/>
      <c r="E2" s="509"/>
      <c r="H2" s="1194" t="s">
        <v>32</v>
      </c>
      <c r="I2" s="1194"/>
      <c r="J2" s="1194"/>
      <c r="K2" s="1194"/>
    </row>
    <row r="3" spans="1:92" ht="15" thickBot="1" x14ac:dyDescent="0.35"/>
    <row r="4" spans="1:92" ht="29.4" thickBot="1" x14ac:dyDescent="0.35">
      <c r="A4" s="586" t="s">
        <v>544</v>
      </c>
      <c r="B4" s="1382" t="s">
        <v>0</v>
      </c>
      <c r="C4" s="1383"/>
      <c r="D4" s="805" t="s">
        <v>1</v>
      </c>
      <c r="E4" s="805" t="s">
        <v>176</v>
      </c>
      <c r="F4" s="806" t="s">
        <v>26</v>
      </c>
      <c r="G4" s="806" t="s">
        <v>33</v>
      </c>
      <c r="H4" s="807" t="s">
        <v>278</v>
      </c>
      <c r="I4" s="807" t="s">
        <v>438</v>
      </c>
      <c r="J4" s="807" t="s">
        <v>443</v>
      </c>
      <c r="K4" s="806" t="s">
        <v>34</v>
      </c>
      <c r="L4" s="807" t="s">
        <v>35</v>
      </c>
      <c r="M4" s="806" t="s">
        <v>437</v>
      </c>
      <c r="N4" s="806" t="s">
        <v>207</v>
      </c>
      <c r="O4" s="806" t="s">
        <v>36</v>
      </c>
      <c r="P4" s="806" t="s">
        <v>37</v>
      </c>
      <c r="Q4" s="806" t="s">
        <v>511</v>
      </c>
      <c r="R4" s="806" t="s">
        <v>127</v>
      </c>
      <c r="S4" s="806" t="s">
        <v>299</v>
      </c>
      <c r="T4" s="806" t="s">
        <v>153</v>
      </c>
      <c r="U4" s="806" t="s">
        <v>154</v>
      </c>
      <c r="V4" s="804" t="s">
        <v>155</v>
      </c>
      <c r="W4" s="806" t="s">
        <v>219</v>
      </c>
      <c r="X4" s="806" t="s">
        <v>220</v>
      </c>
      <c r="Y4" s="804" t="s">
        <v>221</v>
      </c>
      <c r="Z4" s="919" t="s">
        <v>583</v>
      </c>
      <c r="AB4" s="926" t="s">
        <v>512</v>
      </c>
      <c r="AC4" s="722" t="s">
        <v>580</v>
      </c>
    </row>
    <row r="5" spans="1:92" ht="30.6" customHeight="1" thickBot="1" x14ac:dyDescent="0.35">
      <c r="A5" s="1384">
        <v>1</v>
      </c>
      <c r="B5" s="1307">
        <v>46265</v>
      </c>
      <c r="C5" s="1307"/>
      <c r="D5" s="742" t="s">
        <v>440</v>
      </c>
      <c r="E5" s="742" t="s">
        <v>439</v>
      </c>
      <c r="F5" s="864" t="s">
        <v>12</v>
      </c>
      <c r="G5" s="813">
        <v>0.2271</v>
      </c>
      <c r="H5" s="554">
        <v>116.84</v>
      </c>
      <c r="I5" s="554">
        <f t="shared" ref="I5:I11" si="0">H5/((720-R5)/60)</f>
        <v>11.198722044728434</v>
      </c>
      <c r="J5" s="554">
        <f>H5</f>
        <v>116.84</v>
      </c>
      <c r="K5" s="877">
        <v>1.135</v>
      </c>
      <c r="L5" s="878">
        <v>0.68</v>
      </c>
      <c r="M5" s="554">
        <f>H5*K5*G5</f>
        <v>30.116503140000003</v>
      </c>
      <c r="N5" s="1385">
        <f>SUM(M5:M6)</f>
        <v>95.90021999999999</v>
      </c>
      <c r="O5" s="554">
        <f t="shared" ref="O5:O11" si="1">M5/((720-R5)/60)</f>
        <v>2.8865657961661344</v>
      </c>
      <c r="P5" s="1385">
        <f>'Milling Down Time Hours'!Q5</f>
        <v>22.433333333333334</v>
      </c>
      <c r="Q5" s="554">
        <f t="shared" ref="Q5:Q15" si="2">720-R5</f>
        <v>626</v>
      </c>
      <c r="R5" s="554">
        <f>'Milling Down Time Hours'!G5</f>
        <v>94</v>
      </c>
      <c r="S5" s="1404">
        <f>SUM(M5:M8)</f>
        <v>292.31360000000001</v>
      </c>
      <c r="T5" s="556">
        <f>IFERROR(AVERAGE('LT Ball Mill'!F4:F6),"")</f>
        <v>0.96699999999999997</v>
      </c>
      <c r="U5" s="556">
        <f>AVERAGE('LT Ball Mill'!G4:G6)</f>
        <v>0.41</v>
      </c>
      <c r="V5" s="556">
        <f>AVERAGE('LT Ball Mill'!H4:H6)</f>
        <v>6.1096666666666666</v>
      </c>
      <c r="W5" s="470">
        <f t="shared" ref="W5:W46" si="3">T5*M5</f>
        <v>29.122658536380001</v>
      </c>
      <c r="X5" s="554">
        <f>M5*U5</f>
        <v>12.347766287400001</v>
      </c>
      <c r="Y5" s="554">
        <f t="shared" ref="Y5:Y46" si="4">M5*V5</f>
        <v>184.00179535102001</v>
      </c>
      <c r="Z5" s="864"/>
      <c r="AB5" s="927">
        <f t="shared" ref="AB5:AB49" si="5">W5*$AC$5</f>
        <v>72806646.340949997</v>
      </c>
      <c r="AC5" s="723">
        <v>2500000</v>
      </c>
      <c r="AE5" s="720"/>
      <c r="AG5" s="1440" t="s">
        <v>38</v>
      </c>
      <c r="AH5" s="1441"/>
      <c r="AI5" s="1441"/>
      <c r="AJ5" s="1442"/>
      <c r="AL5" s="710" t="s">
        <v>214</v>
      </c>
      <c r="AM5" s="711">
        <v>10.7</v>
      </c>
      <c r="AN5" s="712" t="s">
        <v>216</v>
      </c>
    </row>
    <row r="6" spans="1:92" ht="16.2" thickBot="1" x14ac:dyDescent="0.35">
      <c r="A6" s="1384"/>
      <c r="B6" s="1307"/>
      <c r="C6" s="1307"/>
      <c r="D6" s="742" t="s">
        <v>441</v>
      </c>
      <c r="E6" s="742" t="s">
        <v>439</v>
      </c>
      <c r="F6" s="864" t="s">
        <v>13</v>
      </c>
      <c r="G6" s="813">
        <v>0.36</v>
      </c>
      <c r="H6" s="1100">
        <f>J6-H5</f>
        <v>98.859999999999985</v>
      </c>
      <c r="I6" s="554">
        <f t="shared" si="0"/>
        <v>8.2383333333333315</v>
      </c>
      <c r="J6" s="554">
        <v>215.7</v>
      </c>
      <c r="K6" s="877">
        <v>1.2350000000000001</v>
      </c>
      <c r="L6" s="878">
        <v>0.68</v>
      </c>
      <c r="M6" s="554">
        <f>(J6*K6*G6)-SUM(M5)</f>
        <v>65.783716859999984</v>
      </c>
      <c r="N6" s="1385"/>
      <c r="O6" s="554">
        <f t="shared" si="1"/>
        <v>5.4819764049999984</v>
      </c>
      <c r="P6" s="1385"/>
      <c r="Q6" s="554">
        <f t="shared" si="2"/>
        <v>720</v>
      </c>
      <c r="R6" s="554">
        <f>'Milling Down Time Hours'!G6</f>
        <v>0</v>
      </c>
      <c r="S6" s="1404"/>
      <c r="T6" s="556">
        <f>AVERAGE('LT Ball Mill'!F7:F9)</f>
        <v>0.60899999999999999</v>
      </c>
      <c r="U6" s="556">
        <f>AVERAGE('LT Ball Mill'!G7:G9)</f>
        <v>0.52833333333333343</v>
      </c>
      <c r="V6" s="556">
        <f>AVERAGE('LT Ball Mill'!H7:H9)</f>
        <v>7.623333333333334</v>
      </c>
      <c r="W6" s="470">
        <f>T6*M6</f>
        <v>40.062283567739989</v>
      </c>
      <c r="X6" s="554">
        <f>M6*U6</f>
        <v>34.7557304077</v>
      </c>
      <c r="Y6" s="554">
        <f t="shared" si="4"/>
        <v>501.49120152939992</v>
      </c>
      <c r="Z6" s="864"/>
      <c r="AB6" s="928">
        <f t="shared" si="5"/>
        <v>100155708.91934997</v>
      </c>
      <c r="AD6" s="720"/>
      <c r="AE6" s="720"/>
      <c r="AG6" s="700"/>
      <c r="AH6" s="707" t="s">
        <v>39</v>
      </c>
      <c r="AI6" s="721">
        <v>1235</v>
      </c>
      <c r="AJ6" s="701" t="s">
        <v>40</v>
      </c>
      <c r="AK6" s="706"/>
      <c r="AL6" s="713" t="s">
        <v>215</v>
      </c>
      <c r="AM6" s="719">
        <v>2.8</v>
      </c>
      <c r="AN6" s="715" t="s">
        <v>216</v>
      </c>
    </row>
    <row r="7" spans="1:92" s="427" customFormat="1" ht="15.6" x14ac:dyDescent="0.3">
      <c r="A7" s="1384"/>
      <c r="B7" s="1307">
        <v>46266</v>
      </c>
      <c r="C7" s="1307"/>
      <c r="D7" s="742" t="s">
        <v>440</v>
      </c>
      <c r="E7" s="742" t="s">
        <v>439</v>
      </c>
      <c r="F7" s="864" t="s">
        <v>12</v>
      </c>
      <c r="G7" s="878">
        <v>0.38790000000000002</v>
      </c>
      <c r="H7" s="554">
        <f>J7-SUM(H5:H6)</f>
        <v>143.30000000000001</v>
      </c>
      <c r="I7" s="554">
        <f t="shared" si="0"/>
        <v>11.941666666666668</v>
      </c>
      <c r="J7" s="554">
        <v>359</v>
      </c>
      <c r="K7" s="877">
        <v>1.2549999999999999</v>
      </c>
      <c r="L7" s="878">
        <v>0.7</v>
      </c>
      <c r="M7" s="554">
        <f>(J7*K7*G7)-SUM(M5:M6)</f>
        <v>78.8661855</v>
      </c>
      <c r="N7" s="1385">
        <f>SUM(M7:M8)</f>
        <v>196.41338000000002</v>
      </c>
      <c r="O7" s="554">
        <f t="shared" si="1"/>
        <v>6.5721821250000003</v>
      </c>
      <c r="P7" s="1385">
        <f>'Milling Down Time Hours'!Q6</f>
        <v>22.9</v>
      </c>
      <c r="Q7" s="554">
        <f t="shared" si="2"/>
        <v>720</v>
      </c>
      <c r="R7" s="554">
        <f>'Milling Down Time Hours'!G7</f>
        <v>0</v>
      </c>
      <c r="S7" s="1404"/>
      <c r="T7" s="556">
        <f>AVERAGE('LT Ball Mill'!F10:F12)</f>
        <v>0.64699999999999991</v>
      </c>
      <c r="U7" s="556">
        <f>AVERAGE('LT Ball Mill'!G10:G12)</f>
        <v>0.67433333333333334</v>
      </c>
      <c r="V7" s="556">
        <f>AVERAGE('LT Ball Mill'!H10:H12)</f>
        <v>7.5333333333333341</v>
      </c>
      <c r="W7" s="470">
        <f t="shared" si="3"/>
        <v>51.026422018499993</v>
      </c>
      <c r="X7" s="554">
        <f t="shared" ref="X7:X46" si="6">M7*U7</f>
        <v>53.182097755500003</v>
      </c>
      <c r="Y7" s="554">
        <f t="shared" si="4"/>
        <v>594.12526410000009</v>
      </c>
      <c r="Z7" s="864"/>
      <c r="AA7" s="1"/>
      <c r="AB7" s="928">
        <f t="shared" si="5"/>
        <v>127566055.04624999</v>
      </c>
      <c r="AC7" s="1"/>
      <c r="AD7" s="1"/>
      <c r="AE7" s="1"/>
      <c r="AF7" s="1"/>
      <c r="AG7" s="700"/>
      <c r="AH7" s="30" t="s">
        <v>41</v>
      </c>
      <c r="AI7" s="708">
        <v>1000</v>
      </c>
      <c r="AJ7" s="701" t="s">
        <v>42</v>
      </c>
      <c r="AK7" s="1"/>
      <c r="AL7" s="713" t="s">
        <v>217</v>
      </c>
      <c r="AM7" s="714">
        <f>AM5*0.5</f>
        <v>5.35</v>
      </c>
      <c r="AN7" s="715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7" customFormat="1" ht="16.2" thickBot="1" x14ac:dyDescent="0.35">
      <c r="A8" s="1384"/>
      <c r="B8" s="1307"/>
      <c r="C8" s="1307"/>
      <c r="D8" s="743" t="s">
        <v>441</v>
      </c>
      <c r="E8" s="743" t="s">
        <v>442</v>
      </c>
      <c r="F8" s="864" t="s">
        <v>13</v>
      </c>
      <c r="G8" s="878">
        <v>0.41</v>
      </c>
      <c r="H8" s="554">
        <f>J8-SUM(H5:H7)</f>
        <v>198</v>
      </c>
      <c r="I8" s="554">
        <f t="shared" si="0"/>
        <v>18.165137614678898</v>
      </c>
      <c r="J8" s="554">
        <v>557</v>
      </c>
      <c r="K8" s="877">
        <v>1.28</v>
      </c>
      <c r="L8" s="878">
        <v>0.7</v>
      </c>
      <c r="M8" s="554">
        <f>(K8*J8*G8)-(SUM(M5:M7))</f>
        <v>117.54719450000002</v>
      </c>
      <c r="N8" s="1385"/>
      <c r="O8" s="554">
        <f t="shared" si="1"/>
        <v>10.78414628440367</v>
      </c>
      <c r="P8" s="1385"/>
      <c r="Q8" s="554">
        <f t="shared" si="2"/>
        <v>654</v>
      </c>
      <c r="R8" s="554">
        <f>'Milling Down Time Hours'!G8</f>
        <v>66</v>
      </c>
      <c r="S8" s="1404"/>
      <c r="T8" s="556">
        <f>AVERAGE('LT Ball Mill'!F13:F15)</f>
        <v>0.60899999999999999</v>
      </c>
      <c r="U8" s="556">
        <f>AVERAGE('LT Ball Mill'!G13:G15)</f>
        <v>0.52833333333333343</v>
      </c>
      <c r="V8" s="556">
        <f>AVERAGE('LT Ball Mill'!H13:H15)</f>
        <v>7.623333333333334</v>
      </c>
      <c r="W8" s="470">
        <f t="shared" si="3"/>
        <v>71.586241450500012</v>
      </c>
      <c r="X8" s="554">
        <f t="shared" si="6"/>
        <v>62.104101094166687</v>
      </c>
      <c r="Y8" s="554">
        <f t="shared" si="4"/>
        <v>896.10144607166683</v>
      </c>
      <c r="Z8" s="864"/>
      <c r="AA8" s="1"/>
      <c r="AB8" s="928">
        <f t="shared" si="5"/>
        <v>178965603.62625003</v>
      </c>
      <c r="AC8" s="1"/>
      <c r="AD8" s="1"/>
      <c r="AE8" s="1"/>
      <c r="AF8" s="1"/>
      <c r="AG8" s="700"/>
      <c r="AH8" s="30" t="s">
        <v>43</v>
      </c>
      <c r="AI8" s="702">
        <f>+AI6/AI7</f>
        <v>1.2350000000000001</v>
      </c>
      <c r="AJ8" s="701" t="s">
        <v>44</v>
      </c>
      <c r="AK8" s="1"/>
      <c r="AL8" s="716" t="s">
        <v>218</v>
      </c>
      <c r="AM8" s="717">
        <f>3.14*AM7*AM7*AM6</f>
        <v>251.64901999999995</v>
      </c>
      <c r="AN8" s="718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01">
        <v>2</v>
      </c>
      <c r="B9" s="1303">
        <v>46267</v>
      </c>
      <c r="C9" s="1303"/>
      <c r="D9" s="744" t="s">
        <v>440</v>
      </c>
      <c r="E9" s="744" t="s">
        <v>445</v>
      </c>
      <c r="F9" s="782" t="s">
        <v>12</v>
      </c>
      <c r="G9" s="879">
        <v>0.39</v>
      </c>
      <c r="H9" s="618">
        <f>J9</f>
        <v>215</v>
      </c>
      <c r="I9" s="486">
        <f t="shared" si="0"/>
        <v>21.5</v>
      </c>
      <c r="J9" s="618">
        <v>215</v>
      </c>
      <c r="K9" s="1102">
        <v>1.26</v>
      </c>
      <c r="L9" s="879">
        <v>0.72</v>
      </c>
      <c r="M9" s="486">
        <f>J9*K9*G9</f>
        <v>105.651</v>
      </c>
      <c r="N9" s="1403">
        <f>SUM(M9:M10)</f>
        <v>209.804</v>
      </c>
      <c r="O9" s="486">
        <f t="shared" si="1"/>
        <v>10.565099999999999</v>
      </c>
      <c r="P9" s="1403">
        <f>'Milling Down Time Hours'!Q7</f>
        <v>22</v>
      </c>
      <c r="Q9" s="486">
        <f t="shared" si="2"/>
        <v>600</v>
      </c>
      <c r="R9" s="935">
        <f>'Milling Down Time Hours'!G9</f>
        <v>120.00000000000001</v>
      </c>
      <c r="S9" s="1408">
        <f>SUM(M9:M11)</f>
        <v>300.14215000000002</v>
      </c>
      <c r="T9" s="584">
        <f>AVERAGE('LT Ball Mill'!F16:F18)</f>
        <v>0.7446666666666667</v>
      </c>
      <c r="U9" s="584">
        <f>AVERAGE('LT Ball Mill'!G16:G18)</f>
        <v>0.59</v>
      </c>
      <c r="V9" s="584">
        <f>AVERAGE('LT Ball Mill'!H16:H18)</f>
        <v>9.8400000000000016</v>
      </c>
      <c r="W9" s="473">
        <f t="shared" si="3"/>
        <v>78.674778000000003</v>
      </c>
      <c r="X9" s="486">
        <f t="shared" si="6"/>
        <v>62.334089999999996</v>
      </c>
      <c r="Y9" s="486">
        <f t="shared" si="4"/>
        <v>1039.6058400000002</v>
      </c>
      <c r="Z9" s="782"/>
      <c r="AB9" s="929">
        <f t="shared" si="5"/>
        <v>196686945</v>
      </c>
      <c r="AG9" s="724"/>
      <c r="AH9" s="725" t="s">
        <v>45</v>
      </c>
      <c r="AI9" s="726">
        <f>2.1</f>
        <v>2.1</v>
      </c>
      <c r="AJ9" s="727" t="s">
        <v>44</v>
      </c>
    </row>
    <row r="10" spans="1:92" ht="16.2" thickBot="1" x14ac:dyDescent="0.35">
      <c r="A10" s="1401"/>
      <c r="B10" s="1303"/>
      <c r="C10" s="1303"/>
      <c r="D10" s="744" t="s">
        <v>444</v>
      </c>
      <c r="E10" s="498"/>
      <c r="F10" s="782" t="s">
        <v>13</v>
      </c>
      <c r="G10" s="879">
        <v>0.4</v>
      </c>
      <c r="H10" s="618">
        <f>J10-H9</f>
        <v>198</v>
      </c>
      <c r="I10" s="486">
        <f t="shared" si="0"/>
        <v>16.5</v>
      </c>
      <c r="J10" s="618">
        <v>413</v>
      </c>
      <c r="K10" s="1102">
        <v>1.27</v>
      </c>
      <c r="L10" s="879">
        <v>0.72</v>
      </c>
      <c r="M10" s="486">
        <f>K10*J10*G10-SUM(M9)</f>
        <v>104.15300000000001</v>
      </c>
      <c r="N10" s="1403"/>
      <c r="O10" s="486">
        <f t="shared" si="1"/>
        <v>8.6794166666666666</v>
      </c>
      <c r="P10" s="1403"/>
      <c r="Q10" s="486">
        <f t="shared" si="2"/>
        <v>720</v>
      </c>
      <c r="R10" s="935">
        <f>'Milling Down Time Hours'!G10</f>
        <v>0</v>
      </c>
      <c r="S10" s="1408"/>
      <c r="T10" s="584">
        <f>AVERAGE('LT Ball Mill'!F19:F21)</f>
        <v>0.64600000000000002</v>
      </c>
      <c r="U10" s="584">
        <f>AVERAGE('LT Ball Mill'!G19:G21)</f>
        <v>1.0666666666666667</v>
      </c>
      <c r="V10" s="584">
        <f>AVERAGE('LT Ball Mill'!H19:H21)</f>
        <v>9.2566666666666659</v>
      </c>
      <c r="W10" s="473">
        <f t="shared" si="3"/>
        <v>67.282838000000012</v>
      </c>
      <c r="X10" s="486">
        <f t="shared" si="6"/>
        <v>111.09653333333334</v>
      </c>
      <c r="Y10" s="486">
        <f t="shared" si="4"/>
        <v>964.10960333333333</v>
      </c>
      <c r="Z10" s="782"/>
      <c r="AB10" s="929">
        <f t="shared" si="5"/>
        <v>168207095.00000003</v>
      </c>
      <c r="AG10" s="724"/>
      <c r="AH10" s="725" t="s">
        <v>46</v>
      </c>
      <c r="AI10" s="726">
        <v>1</v>
      </c>
      <c r="AJ10" s="727" t="s">
        <v>44</v>
      </c>
    </row>
    <row r="11" spans="1:92" s="427" customFormat="1" ht="16.2" thickBot="1" x14ac:dyDescent="0.35">
      <c r="A11" s="1401"/>
      <c r="B11" s="1303">
        <v>46268</v>
      </c>
      <c r="C11" s="1303"/>
      <c r="D11" s="744" t="s">
        <v>440</v>
      </c>
      <c r="E11" s="745" t="s">
        <v>471</v>
      </c>
      <c r="F11" s="782" t="s">
        <v>12</v>
      </c>
      <c r="G11" s="879">
        <v>0.43</v>
      </c>
      <c r="H11" s="618">
        <f>J11-H10-H9</f>
        <v>126</v>
      </c>
      <c r="I11" s="486">
        <f t="shared" si="0"/>
        <v>10.5</v>
      </c>
      <c r="J11" s="618">
        <v>539</v>
      </c>
      <c r="K11" s="1102">
        <v>1.2949999999999999</v>
      </c>
      <c r="L11" s="879">
        <v>0.71</v>
      </c>
      <c r="M11" s="486">
        <f>J11*K11*G11-SUM(M9:M10)</f>
        <v>90.338150000000013</v>
      </c>
      <c r="N11" s="1403">
        <f>SUM(M11:M12)</f>
        <v>90.338150000000013</v>
      </c>
      <c r="O11" s="486">
        <f t="shared" si="1"/>
        <v>7.5281791666666678</v>
      </c>
      <c r="P11" s="1403">
        <f>'Milling Down Time Hours'!Q8</f>
        <v>23</v>
      </c>
      <c r="Q11" s="486">
        <f t="shared" si="2"/>
        <v>720</v>
      </c>
      <c r="R11" s="935">
        <f>'Milling Down Time Hours'!G11</f>
        <v>0</v>
      </c>
      <c r="S11" s="1408"/>
      <c r="T11" s="584">
        <f>AVERAGE('LT Ball Mill'!F22:F24)</f>
        <v>0.66133333333333333</v>
      </c>
      <c r="U11" s="584">
        <f>AVERAGE('LT Ball Mill'!G22:G24)</f>
        <v>0.72333333333333327</v>
      </c>
      <c r="V11" s="584">
        <f>AVERAGE('LT Ball Mill'!H22:H24)</f>
        <v>8.0566666666666666</v>
      </c>
      <c r="W11" s="473">
        <f t="shared" si="3"/>
        <v>59.743629866666673</v>
      </c>
      <c r="X11" s="486">
        <f t="shared" si="6"/>
        <v>65.344595166666664</v>
      </c>
      <c r="Y11" s="486">
        <f t="shared" si="4"/>
        <v>727.82436183333346</v>
      </c>
      <c r="Z11" s="782"/>
      <c r="AA11" s="1"/>
      <c r="AB11" s="929">
        <f t="shared" si="5"/>
        <v>149359074.66666669</v>
      </c>
      <c r="AC11" s="1"/>
      <c r="AD11" s="1"/>
      <c r="AE11" s="1"/>
      <c r="AF11" s="1"/>
      <c r="AG11" s="700"/>
      <c r="AH11" s="707" t="s">
        <v>47</v>
      </c>
      <c r="AI11" s="709">
        <f>+(AI8-1)/(AI8-AI8/AI9)</f>
        <v>0.36326831063673182</v>
      </c>
      <c r="AJ11" s="701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7" customFormat="1" ht="16.2" thickBot="1" x14ac:dyDescent="0.35">
      <c r="A12" s="1401"/>
      <c r="B12" s="1332"/>
      <c r="C12" s="1332"/>
      <c r="D12" s="788" t="s">
        <v>444</v>
      </c>
      <c r="E12" s="789" t="s">
        <v>467</v>
      </c>
      <c r="F12" s="912" t="s">
        <v>13</v>
      </c>
      <c r="G12" s="893"/>
      <c r="H12" s="870"/>
      <c r="I12" s="555"/>
      <c r="J12" s="870"/>
      <c r="K12" s="870"/>
      <c r="L12" s="880"/>
      <c r="M12" s="555">
        <f t="shared" ref="M12:M76" si="7">H12*K12*G12</f>
        <v>0</v>
      </c>
      <c r="N12" s="1413"/>
      <c r="O12" s="555"/>
      <c r="P12" s="1413"/>
      <c r="Q12" s="555">
        <f t="shared" si="2"/>
        <v>660</v>
      </c>
      <c r="R12" s="961">
        <f>'Milling Down Time Hours'!G12</f>
        <v>60.000000000000007</v>
      </c>
      <c r="S12" s="1410"/>
      <c r="T12" s="790"/>
      <c r="U12" s="790"/>
      <c r="V12" s="790"/>
      <c r="W12" s="544">
        <f t="shared" si="3"/>
        <v>0</v>
      </c>
      <c r="X12" s="555">
        <f t="shared" si="6"/>
        <v>0</v>
      </c>
      <c r="Y12" s="555">
        <f t="shared" si="4"/>
        <v>0</v>
      </c>
      <c r="Z12" s="912"/>
      <c r="AA12" s="1"/>
      <c r="AB12" s="930">
        <f t="shared" si="5"/>
        <v>0</v>
      </c>
      <c r="AC12" s="1"/>
      <c r="AD12" s="1"/>
      <c r="AE12" s="1"/>
      <c r="AF12" s="1"/>
      <c r="AG12" s="724"/>
      <c r="AH12" s="725" t="s">
        <v>48</v>
      </c>
      <c r="AI12" s="728">
        <f>+AI11*AI6</f>
        <v>448.6363636363638</v>
      </c>
      <c r="AJ12" s="727" t="s">
        <v>40</v>
      </c>
      <c r="AK12" s="7"/>
      <c r="AL12" s="1114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02"/>
      <c r="B13" s="1414">
        <v>46269</v>
      </c>
      <c r="C13" s="1305"/>
      <c r="D13" s="1399" t="s">
        <v>484</v>
      </c>
      <c r="E13" s="731"/>
      <c r="F13" s="913" t="s">
        <v>12</v>
      </c>
      <c r="G13" s="894"/>
      <c r="H13" s="871"/>
      <c r="I13" s="796"/>
      <c r="J13" s="871"/>
      <c r="K13" s="871"/>
      <c r="L13" s="871"/>
      <c r="M13" s="796">
        <f t="shared" si="7"/>
        <v>0</v>
      </c>
      <c r="N13" s="796"/>
      <c r="O13" s="871">
        <v>0</v>
      </c>
      <c r="P13" s="796">
        <f>'Milling Down Time Hours'!Q9</f>
        <v>0</v>
      </c>
      <c r="Q13" s="796"/>
      <c r="R13" s="1411">
        <f>'Milling Down Time Hours'!P9</f>
        <v>1440</v>
      </c>
      <c r="S13" s="808"/>
      <c r="T13" s="797"/>
      <c r="U13" s="797"/>
      <c r="V13" s="797"/>
      <c r="W13" s="798">
        <f t="shared" si="3"/>
        <v>0</v>
      </c>
      <c r="X13" s="796">
        <f t="shared" si="6"/>
        <v>0</v>
      </c>
      <c r="Y13" s="796">
        <f t="shared" si="4"/>
        <v>0</v>
      </c>
      <c r="Z13" s="920"/>
      <c r="AB13" s="930">
        <f t="shared" si="5"/>
        <v>0</v>
      </c>
      <c r="AG13" s="724"/>
      <c r="AH13" s="725" t="s">
        <v>49</v>
      </c>
      <c r="AI13" s="728">
        <f>(AI6-AI12)</f>
        <v>786.36363636363626</v>
      </c>
      <c r="AJ13" s="727" t="s">
        <v>40</v>
      </c>
      <c r="AK13" s="7"/>
      <c r="AL13" s="1114"/>
    </row>
    <row r="14" spans="1:92" ht="16.2" thickBot="1" x14ac:dyDescent="0.35">
      <c r="A14" s="1402"/>
      <c r="B14" s="1415"/>
      <c r="C14" s="1334"/>
      <c r="D14" s="1400"/>
      <c r="E14" s="799"/>
      <c r="F14" s="914" t="s">
        <v>13</v>
      </c>
      <c r="G14" s="881"/>
      <c r="H14" s="872"/>
      <c r="I14" s="801"/>
      <c r="J14" s="872"/>
      <c r="K14" s="872"/>
      <c r="L14" s="881"/>
      <c r="M14" s="801">
        <f t="shared" si="7"/>
        <v>0</v>
      </c>
      <c r="N14" s="801"/>
      <c r="O14" s="801">
        <f>(N14/SUM(P5:P14))</f>
        <v>0</v>
      </c>
      <c r="P14" s="801">
        <v>0</v>
      </c>
      <c r="Q14" s="801">
        <v>0</v>
      </c>
      <c r="R14" s="1412"/>
      <c r="S14" s="800"/>
      <c r="T14" s="802"/>
      <c r="U14" s="802"/>
      <c r="V14" s="802"/>
      <c r="W14" s="803">
        <f t="shared" si="3"/>
        <v>0</v>
      </c>
      <c r="X14" s="801">
        <f t="shared" si="6"/>
        <v>0</v>
      </c>
      <c r="Y14" s="801">
        <f t="shared" si="4"/>
        <v>0</v>
      </c>
      <c r="Z14" s="921"/>
      <c r="AB14" s="930">
        <f t="shared" si="5"/>
        <v>0</v>
      </c>
      <c r="AG14" s="703"/>
      <c r="AH14" s="704"/>
      <c r="AI14" s="704"/>
      <c r="AJ14" s="705"/>
      <c r="AK14" s="7"/>
      <c r="AL14" s="1114"/>
    </row>
    <row r="15" spans="1:92" x14ac:dyDescent="0.3">
      <c r="A15" s="746"/>
      <c r="B15" s="1405">
        <v>46270</v>
      </c>
      <c r="C15" s="1405"/>
      <c r="D15" s="791"/>
      <c r="E15" s="791" t="s">
        <v>485</v>
      </c>
      <c r="F15" s="910" t="s">
        <v>12</v>
      </c>
      <c r="G15" s="866"/>
      <c r="H15" s="866"/>
      <c r="I15" s="793"/>
      <c r="J15" s="866"/>
      <c r="K15" s="866"/>
      <c r="L15" s="882"/>
      <c r="M15" s="793">
        <f t="shared" si="7"/>
        <v>0</v>
      </c>
      <c r="N15" s="866"/>
      <c r="O15" s="866"/>
      <c r="P15" s="793">
        <v>0</v>
      </c>
      <c r="Q15" s="793">
        <f t="shared" si="2"/>
        <v>0</v>
      </c>
      <c r="R15" s="793">
        <f>'Milling Down Time Hours'!G15</f>
        <v>720</v>
      </c>
      <c r="S15" s="792"/>
      <c r="T15" s="794"/>
      <c r="U15" s="794"/>
      <c r="V15" s="794"/>
      <c r="W15" s="795">
        <f t="shared" si="3"/>
        <v>0</v>
      </c>
      <c r="X15" s="793">
        <f t="shared" si="6"/>
        <v>0</v>
      </c>
      <c r="Y15" s="793">
        <f t="shared" si="4"/>
        <v>0</v>
      </c>
      <c r="Z15" s="910"/>
      <c r="AB15" s="930">
        <f t="shared" si="5"/>
        <v>0</v>
      </c>
      <c r="AL15" s="1114"/>
      <c r="AM15" s="1114"/>
    </row>
    <row r="16" spans="1:92" x14ac:dyDescent="0.3">
      <c r="A16" s="1384">
        <v>3</v>
      </c>
      <c r="B16" s="1307">
        <v>46270</v>
      </c>
      <c r="C16" s="1307"/>
      <c r="D16" s="545" t="s">
        <v>441</v>
      </c>
      <c r="E16" s="571" t="s">
        <v>486</v>
      </c>
      <c r="F16" s="864" t="s">
        <v>13</v>
      </c>
      <c r="G16" s="878">
        <v>0.38</v>
      </c>
      <c r="H16" s="554">
        <f>J16-'Au Cal Leaching Tank'!$T$10</f>
        <v>62.150000000000006</v>
      </c>
      <c r="I16" s="554">
        <v>5.57</v>
      </c>
      <c r="J16" s="580">
        <v>170</v>
      </c>
      <c r="K16" s="580">
        <v>1.25</v>
      </c>
      <c r="L16" s="878">
        <v>0.7</v>
      </c>
      <c r="M16" s="554">
        <f>(J16*K16*G16)-'Au Cal Leaching Tank'!$U$10</f>
        <v>26.314330250000005</v>
      </c>
      <c r="N16" s="554">
        <f>SUM(M15:M16)</f>
        <v>26.314330250000005</v>
      </c>
      <c r="O16" s="554">
        <f t="shared" ref="O16:O23" si="8">M16/P16</f>
        <v>2.325272187039765</v>
      </c>
      <c r="P16" s="554">
        <f>Q16/60</f>
        <v>11.316666666666666</v>
      </c>
      <c r="Q16" s="554">
        <f>720-R16</f>
        <v>679</v>
      </c>
      <c r="R16" s="554">
        <v>41</v>
      </c>
      <c r="S16" s="1404">
        <f>SUM(M16:M19)</f>
        <v>326.97083025000006</v>
      </c>
      <c r="T16" s="556">
        <f>AVERAGE('LT Ball Mill'!F25:F27)</f>
        <v>1.087</v>
      </c>
      <c r="U16" s="556">
        <f>AVERAGE('LT Ball Mill'!G25:G27)</f>
        <v>0.77333333333333332</v>
      </c>
      <c r="V16" s="556">
        <f>AVERAGE('LT Ball Mill'!H25:H27)</f>
        <v>8.1166666666666671</v>
      </c>
      <c r="W16" s="470">
        <f t="shared" si="3"/>
        <v>28.603676981750006</v>
      </c>
      <c r="X16" s="554">
        <f t="shared" si="6"/>
        <v>20.349748726666668</v>
      </c>
      <c r="Y16" s="554">
        <f t="shared" si="4"/>
        <v>213.58464719583338</v>
      </c>
      <c r="Z16" s="864"/>
      <c r="AB16" s="928">
        <f t="shared" si="5"/>
        <v>71509192.454375014</v>
      </c>
    </row>
    <row r="17" spans="1:32" x14ac:dyDescent="0.3">
      <c r="A17" s="1384"/>
      <c r="B17" s="1307">
        <v>46271</v>
      </c>
      <c r="C17" s="1307"/>
      <c r="D17" s="600" t="s">
        <v>441</v>
      </c>
      <c r="E17" s="600" t="s">
        <v>506</v>
      </c>
      <c r="F17" s="864" t="s">
        <v>12</v>
      </c>
      <c r="G17" s="878">
        <v>0.47</v>
      </c>
      <c r="H17" s="554">
        <f>J17-SUM(H16)-'Au Cal Leaching Tank'!$T$10</f>
        <v>45</v>
      </c>
      <c r="I17" s="554">
        <f t="shared" ref="I17:I22" si="9">H17/((720-R17)/60)</f>
        <v>4.5762711864406773</v>
      </c>
      <c r="J17" s="580">
        <v>215</v>
      </c>
      <c r="K17" s="580">
        <v>1.33</v>
      </c>
      <c r="L17" s="878">
        <v>0.65</v>
      </c>
      <c r="M17" s="554">
        <f>J17*K17*G17-SUM(M16)-'Au Cal Leaching Tank'!$U$10</f>
        <v>53.646499999999968</v>
      </c>
      <c r="N17" s="1385">
        <f>SUM(M17:M18)</f>
        <v>173.32450000000003</v>
      </c>
      <c r="O17" s="554">
        <f t="shared" si="8"/>
        <v>5.4555762711864366</v>
      </c>
      <c r="P17" s="554">
        <f>(720-R17)/60</f>
        <v>9.8333333333333339</v>
      </c>
      <c r="Q17" s="554">
        <f t="shared" ref="Q17" si="10">720-R17</f>
        <v>590</v>
      </c>
      <c r="R17" s="554">
        <f>'Milling Down Time Hours'!P11</f>
        <v>130</v>
      </c>
      <c r="S17" s="1384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470">
        <f t="shared" si="3"/>
        <v>48.407025166666635</v>
      </c>
      <c r="X17" s="554">
        <f t="shared" si="6"/>
        <v>30.578504999999979</v>
      </c>
      <c r="Y17" s="554">
        <f t="shared" si="4"/>
        <v>517.86754666666639</v>
      </c>
      <c r="Z17" s="864"/>
      <c r="AB17" s="928">
        <f t="shared" si="5"/>
        <v>121017562.91666658</v>
      </c>
      <c r="AE17" s="43"/>
      <c r="AF17" s="7"/>
    </row>
    <row r="18" spans="1:32" x14ac:dyDescent="0.3">
      <c r="A18" s="1384"/>
      <c r="B18" s="1307"/>
      <c r="C18" s="1307"/>
      <c r="D18" s="600" t="s">
        <v>440</v>
      </c>
      <c r="E18" s="601"/>
      <c r="F18" s="864" t="s">
        <v>13</v>
      </c>
      <c r="G18" s="813">
        <v>0.45</v>
      </c>
      <c r="H18" s="554">
        <f>J18-SUM(H16:H17)-'Au Cal Leaching Tank'!$T$10</f>
        <v>216.00000000000003</v>
      </c>
      <c r="I18" s="554">
        <f t="shared" si="9"/>
        <v>18.000000000000004</v>
      </c>
      <c r="J18" s="580">
        <v>431</v>
      </c>
      <c r="K18" s="580">
        <v>1.31</v>
      </c>
      <c r="L18" s="878">
        <v>0.65</v>
      </c>
      <c r="M18" s="554">
        <f>J18*K18*G18-SUM(M16:M17)-'Au Cal Leaching Tank'!$U$10</f>
        <v>119.67800000000005</v>
      </c>
      <c r="N18" s="1385"/>
      <c r="O18" s="554">
        <f t="shared" si="8"/>
        <v>9.9731666666666712</v>
      </c>
      <c r="P18" s="554">
        <f>(720-R18)/60</f>
        <v>12</v>
      </c>
      <c r="Q18" s="554">
        <f>720-R18</f>
        <v>720</v>
      </c>
      <c r="R18" s="554">
        <v>0</v>
      </c>
      <c r="S18" s="1384"/>
      <c r="T18" s="556">
        <f>AVERAGE('LT Ball Mill'!F31:F33)</f>
        <v>0.81433333333333335</v>
      </c>
      <c r="U18" s="556">
        <f>AVERAGE('LT Ball Mill'!G31:G33)</f>
        <v>0.6333333333333333</v>
      </c>
      <c r="V18" s="556">
        <f>AVERAGE('LT Ball Mill'!H31:H33)</f>
        <v>9.4366666666666674</v>
      </c>
      <c r="W18" s="470">
        <f t="shared" si="3"/>
        <v>97.457784666666711</v>
      </c>
      <c r="X18" s="554">
        <f t="shared" si="6"/>
        <v>75.796066666666704</v>
      </c>
      <c r="Y18" s="554">
        <f t="shared" si="4"/>
        <v>1129.361393333334</v>
      </c>
      <c r="Z18" s="864"/>
      <c r="AB18" s="928">
        <f t="shared" si="5"/>
        <v>243644461.66666678</v>
      </c>
      <c r="AC18" s="117"/>
    </row>
    <row r="19" spans="1:32" x14ac:dyDescent="0.3">
      <c r="A19" s="1384"/>
      <c r="B19" s="1307">
        <v>46272</v>
      </c>
      <c r="C19" s="1307"/>
      <c r="D19" s="600" t="s">
        <v>169</v>
      </c>
      <c r="E19" s="747" t="s">
        <v>518</v>
      </c>
      <c r="F19" s="864" t="s">
        <v>12</v>
      </c>
      <c r="G19" s="878">
        <v>0.45</v>
      </c>
      <c r="H19" s="554">
        <f>J19-SUM(H16:H18)-'Au Cal Leaching Tank'!$T$10</f>
        <v>215.99999999999997</v>
      </c>
      <c r="I19" s="554">
        <f t="shared" si="9"/>
        <v>19.31445603576751</v>
      </c>
      <c r="J19" s="580">
        <v>647</v>
      </c>
      <c r="K19" s="580">
        <v>1.31</v>
      </c>
      <c r="L19" s="878">
        <v>0.73</v>
      </c>
      <c r="M19" s="554">
        <f>J19*K19*G19-SUM(M16:M18)-'Au Cal Leaching Tank'!$U$10</f>
        <v>127.33200000000005</v>
      </c>
      <c r="N19" s="1406">
        <f>SUM(M19:M20)</f>
        <v>185.59190000000007</v>
      </c>
      <c r="O19" s="554">
        <f t="shared" si="8"/>
        <v>8.9775793184488872</v>
      </c>
      <c r="P19" s="554">
        <f>(900-R19)/60</f>
        <v>14.183333333333334</v>
      </c>
      <c r="Q19" s="554">
        <f>900-R19</f>
        <v>851</v>
      </c>
      <c r="R19" s="554">
        <f>'Milling Down Time Hours'!G19+30</f>
        <v>49</v>
      </c>
      <c r="S19" s="1384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70">
        <f t="shared" si="3"/>
        <v>116.12678400000003</v>
      </c>
      <c r="X19" s="554">
        <f t="shared" si="6"/>
        <v>121.38984000000004</v>
      </c>
      <c r="Y19" s="554">
        <f t="shared" si="4"/>
        <v>1196.4963600000005</v>
      </c>
      <c r="Z19" s="864"/>
      <c r="AB19" s="928">
        <f t="shared" si="5"/>
        <v>290316960.00000006</v>
      </c>
    </row>
    <row r="20" spans="1:32" x14ac:dyDescent="0.3">
      <c r="A20" s="1401">
        <v>4</v>
      </c>
      <c r="B20" s="1303">
        <v>46272</v>
      </c>
      <c r="C20" s="1303"/>
      <c r="D20" s="549" t="s">
        <v>509</v>
      </c>
      <c r="E20" s="624" t="s">
        <v>549</v>
      </c>
      <c r="F20" s="782" t="s">
        <v>13</v>
      </c>
      <c r="G20" s="879">
        <v>0.41</v>
      </c>
      <c r="H20" s="486">
        <f>J20-'Au Cal Leaching Tank'!$T$11</f>
        <v>107.15</v>
      </c>
      <c r="I20" s="486">
        <f>H20/((720-R20)/60)</f>
        <v>9.5103550295857993</v>
      </c>
      <c r="J20" s="618">
        <v>215</v>
      </c>
      <c r="K20" s="618">
        <v>1.28</v>
      </c>
      <c r="L20" s="879">
        <v>0.73</v>
      </c>
      <c r="M20" s="486">
        <f>J20*K20*G20-'Au Cal Leaching Tank'!$U$11</f>
        <v>58.259900000000002</v>
      </c>
      <c r="N20" s="1407"/>
      <c r="O20" s="486">
        <f t="shared" si="8"/>
        <v>6.2870395683453237</v>
      </c>
      <c r="P20" s="486">
        <f>(600-R20)/60</f>
        <v>9.2666666666666675</v>
      </c>
      <c r="Q20" s="486">
        <f>600-R20</f>
        <v>556</v>
      </c>
      <c r="R20" s="486">
        <f>'Milling Down Time Hours'!G20-30</f>
        <v>44</v>
      </c>
      <c r="S20" s="1408">
        <f>SUM(M20:M23)</f>
        <v>316.93529999999998</v>
      </c>
      <c r="T20" s="584">
        <f>AVERAGE('LT Ball Mill'!F37:F39)</f>
        <v>0.53033333333333343</v>
      </c>
      <c r="U20" s="584">
        <f>AVERAGE('LT Ball Mill'!G37:G39)</f>
        <v>1.07</v>
      </c>
      <c r="V20" s="584">
        <f>AVERAGE('LT Ball Mill'!H37:H39)</f>
        <v>8.9266666666666676</v>
      </c>
      <c r="W20" s="473">
        <f t="shared" si="3"/>
        <v>30.897166966666674</v>
      </c>
      <c r="X20" s="486">
        <f t="shared" si="6"/>
        <v>62.338093000000008</v>
      </c>
      <c r="Y20" s="486">
        <f t="shared" si="4"/>
        <v>520.0667073333334</v>
      </c>
      <c r="Z20" s="782"/>
      <c r="AB20" s="929">
        <f t="shared" si="5"/>
        <v>77242917.416666687</v>
      </c>
    </row>
    <row r="21" spans="1:32" x14ac:dyDescent="0.3">
      <c r="A21" s="1401"/>
      <c r="B21" s="1303">
        <v>46273</v>
      </c>
      <c r="C21" s="1303"/>
      <c r="D21" s="550" t="s">
        <v>169</v>
      </c>
      <c r="E21" s="550" t="s">
        <v>519</v>
      </c>
      <c r="F21" s="782" t="s">
        <v>12</v>
      </c>
      <c r="G21" s="879">
        <v>0.42</v>
      </c>
      <c r="H21" s="486">
        <f>J21-'Au Cal Leaching Tank'!$T$11-SUM(H20)</f>
        <v>188.99999999999997</v>
      </c>
      <c r="I21" s="486">
        <f t="shared" si="9"/>
        <v>18.290322580645157</v>
      </c>
      <c r="J21" s="618">
        <v>404</v>
      </c>
      <c r="K21" s="618">
        <v>1.29</v>
      </c>
      <c r="L21" s="879">
        <v>0.75</v>
      </c>
      <c r="M21" s="486">
        <f>J21*K21*G21-'Au Cal Leaching Tank'!$U$11-SUM(M20)</f>
        <v>106.05519999999997</v>
      </c>
      <c r="N21" s="1403">
        <f>SUM(M21:M22)</f>
        <v>193.82679999999999</v>
      </c>
      <c r="O21" s="486">
        <f t="shared" si="8"/>
        <v>10.2634064516129</v>
      </c>
      <c r="P21" s="486">
        <f>(720-R21)/60</f>
        <v>10.333333333333334</v>
      </c>
      <c r="Q21" s="486">
        <f>720-R21</f>
        <v>620</v>
      </c>
      <c r="R21" s="486">
        <f>'Milling Down Time Hours'!G21</f>
        <v>100</v>
      </c>
      <c r="S21" s="1408"/>
      <c r="T21" s="584">
        <f>AVERAGE('LT Ball Mill'!F40:F42)</f>
        <v>0.64666666666666672</v>
      </c>
      <c r="U21" s="584">
        <f>AVERAGE('LT Ball Mill'!G40:G42)</f>
        <v>0.96333333333333326</v>
      </c>
      <c r="V21" s="584">
        <f>AVERAGE('LT Ball Mill'!H40:H42)</f>
        <v>9.1033333333333335</v>
      </c>
      <c r="W21" s="473">
        <f t="shared" si="3"/>
        <v>68.582362666666654</v>
      </c>
      <c r="X21" s="486">
        <f t="shared" si="6"/>
        <v>102.16650933333329</v>
      </c>
      <c r="Y21" s="486">
        <f t="shared" si="4"/>
        <v>965.45583733333308</v>
      </c>
      <c r="Z21" s="782"/>
      <c r="AB21" s="929">
        <f t="shared" si="5"/>
        <v>171455906.66666663</v>
      </c>
    </row>
    <row r="22" spans="1:32" x14ac:dyDescent="0.3">
      <c r="A22" s="1401"/>
      <c r="B22" s="1303"/>
      <c r="C22" s="1303"/>
      <c r="D22" s="748" t="s">
        <v>523</v>
      </c>
      <c r="E22" s="749" t="s">
        <v>529</v>
      </c>
      <c r="F22" s="782" t="s">
        <v>13</v>
      </c>
      <c r="G22" s="879">
        <v>0.42</v>
      </c>
      <c r="H22" s="486">
        <f>J22-'Au Cal Leaching Tank'!$T$11-SUM(H20:H21)</f>
        <v>162</v>
      </c>
      <c r="I22" s="486">
        <f t="shared" si="9"/>
        <v>17.142857142857146</v>
      </c>
      <c r="J22" s="618">
        <v>566</v>
      </c>
      <c r="K22" s="618">
        <v>1.29</v>
      </c>
      <c r="L22" s="879">
        <v>0.75</v>
      </c>
      <c r="M22" s="486">
        <f>J22*K22*G22-'Au Cal Leaching Tank'!$U$11-SUM(M20:M21)</f>
        <v>87.771600000000035</v>
      </c>
      <c r="N22" s="1409"/>
      <c r="O22" s="486">
        <f t="shared" si="8"/>
        <v>9.2880000000000038</v>
      </c>
      <c r="P22" s="486">
        <f>(720-R22)/60</f>
        <v>9.4499999999999993</v>
      </c>
      <c r="Q22" s="486">
        <f>720-R22</f>
        <v>567</v>
      </c>
      <c r="R22" s="486">
        <f>'Milling Down Time Hours'!G22</f>
        <v>153</v>
      </c>
      <c r="S22" s="1408"/>
      <c r="T22" s="584">
        <f>AVERAGE('LT Ball Mill'!F43:F45)</f>
        <v>0.6349999999999999</v>
      </c>
      <c r="U22" s="584">
        <f>AVERAGE('LT Ball Mill'!G43:G45)</f>
        <v>1.0333333333333334</v>
      </c>
      <c r="V22" s="584">
        <f>AVERAGE('LT Ball Mill'!H43:H45)</f>
        <v>7.81</v>
      </c>
      <c r="W22" s="473">
        <f t="shared" si="3"/>
        <v>55.734966000000014</v>
      </c>
      <c r="X22" s="486">
        <f t="shared" si="6"/>
        <v>90.697320000000047</v>
      </c>
      <c r="Y22" s="486">
        <f t="shared" si="4"/>
        <v>685.49619600000028</v>
      </c>
      <c r="Z22" s="782"/>
      <c r="AB22" s="929">
        <f t="shared" si="5"/>
        <v>139337415.00000003</v>
      </c>
    </row>
    <row r="23" spans="1:32" ht="28.8" x14ac:dyDescent="0.3">
      <c r="A23" s="1401"/>
      <c r="B23" s="1303">
        <v>46274</v>
      </c>
      <c r="C23" s="1303"/>
      <c r="D23" s="749" t="s">
        <v>169</v>
      </c>
      <c r="E23" s="750" t="s">
        <v>521</v>
      </c>
      <c r="F23" s="782" t="s">
        <v>12</v>
      </c>
      <c r="G23" s="879">
        <v>0.44</v>
      </c>
      <c r="H23" s="486">
        <f>J23-'Au Cal Leaching Tank'!$T$11-SUM(H20:H22)</f>
        <v>81</v>
      </c>
      <c r="I23" s="486">
        <f>H23/((720-R23)/60)</f>
        <v>27</v>
      </c>
      <c r="J23" s="618">
        <v>647</v>
      </c>
      <c r="K23" s="618">
        <v>1.3049999999999999</v>
      </c>
      <c r="L23" s="879">
        <v>0.75</v>
      </c>
      <c r="M23" s="486">
        <f>J23*K23*G23-'Au Cal Leaching Tank'!$U$11-SUM(M20:M22)</f>
        <v>64.848599999999976</v>
      </c>
      <c r="N23" s="486">
        <f>SUM(M23:M24)</f>
        <v>64.848599999999976</v>
      </c>
      <c r="O23" s="486">
        <f t="shared" si="8"/>
        <v>21.616199999999992</v>
      </c>
      <c r="P23" s="486">
        <f>(720-R23)/60</f>
        <v>3</v>
      </c>
      <c r="Q23" s="486">
        <f>720-R23</f>
        <v>180</v>
      </c>
      <c r="R23" s="486">
        <f>'Milling Down Time Hours'!G23</f>
        <v>540</v>
      </c>
      <c r="S23" s="1408"/>
      <c r="T23" s="584">
        <f>AVERAGE('LT Ball Mill'!F46:F48)</f>
        <v>0.59233333333333327</v>
      </c>
      <c r="U23" s="584">
        <f>AVERAGE('LT Ball Mill'!G46:G48)</f>
        <v>0.66666666666666663</v>
      </c>
      <c r="V23" s="584">
        <f>AVERAGE('LT Ball Mill'!H46:H48)</f>
        <v>7.2399999999999993</v>
      </c>
      <c r="W23" s="473">
        <f t="shared" si="3"/>
        <v>38.41198739999998</v>
      </c>
      <c r="X23" s="486">
        <f t="shared" si="6"/>
        <v>43.232399999999984</v>
      </c>
      <c r="Y23" s="486">
        <f t="shared" si="4"/>
        <v>469.50386399999979</v>
      </c>
      <c r="Z23" s="782"/>
      <c r="AB23" s="929">
        <f t="shared" si="5"/>
        <v>96029968.499999955</v>
      </c>
    </row>
    <row r="24" spans="1:32" x14ac:dyDescent="0.3">
      <c r="A24" s="746"/>
      <c r="B24" s="1326">
        <v>46274</v>
      </c>
      <c r="C24" s="1326"/>
      <c r="D24" s="751" t="s">
        <v>523</v>
      </c>
      <c r="E24" s="752" t="s">
        <v>548</v>
      </c>
      <c r="F24" s="746" t="s">
        <v>13</v>
      </c>
      <c r="G24" s="883"/>
      <c r="H24" s="233"/>
      <c r="I24" s="154"/>
      <c r="J24" s="233"/>
      <c r="K24" s="233"/>
      <c r="L24" s="883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9"/>
      <c r="T24" s="446"/>
      <c r="U24" s="446"/>
      <c r="V24" s="446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6"/>
      <c r="AB24" s="930">
        <f t="shared" si="5"/>
        <v>0</v>
      </c>
    </row>
    <row r="25" spans="1:32" x14ac:dyDescent="0.3">
      <c r="A25" s="1384">
        <v>5</v>
      </c>
      <c r="B25" s="1307">
        <v>46275</v>
      </c>
      <c r="C25" s="1307"/>
      <c r="D25" s="576" t="s">
        <v>169</v>
      </c>
      <c r="E25" s="577" t="s">
        <v>522</v>
      </c>
      <c r="F25" s="864" t="s">
        <v>12</v>
      </c>
      <c r="G25" s="878">
        <v>0.44</v>
      </c>
      <c r="H25" s="554">
        <f>J25-'Au Cal Leaching Tank'!$T$14</f>
        <v>215.15</v>
      </c>
      <c r="I25" s="554">
        <f t="shared" ref="I25:I29" si="11">H25/((720-R25)/60)</f>
        <v>20.361198738170348</v>
      </c>
      <c r="J25" s="580">
        <v>323</v>
      </c>
      <c r="K25" s="580">
        <v>1.3</v>
      </c>
      <c r="L25" s="878">
        <v>0.75</v>
      </c>
      <c r="M25" s="554">
        <f>J25*K25*G25-'Au Cal Leaching Tank'!$U$12</f>
        <v>123.06580000000004</v>
      </c>
      <c r="N25" s="1385">
        <f>SUM(M25:M26)</f>
        <v>262.08779999999996</v>
      </c>
      <c r="O25" s="554">
        <f t="shared" ref="O25:O26" si="12">M25/P25</f>
        <v>11.646605678233442</v>
      </c>
      <c r="P25" s="554">
        <f t="shared" ref="P25:P26" si="13">(720-R25)/60</f>
        <v>10.566666666666666</v>
      </c>
      <c r="Q25" s="554">
        <f t="shared" ref="Q25:Q26" si="14">720-R25</f>
        <v>634</v>
      </c>
      <c r="R25" s="554">
        <f>'Milling Down Time Hours'!G25</f>
        <v>86</v>
      </c>
      <c r="S25" s="1404">
        <f>SUM(M25:M27)</f>
        <v>266.98580000000004</v>
      </c>
      <c r="T25" s="556">
        <f>AVERAGE('LT Ball Mill'!F54)</f>
        <v>0.73</v>
      </c>
      <c r="U25" s="556">
        <f>AVERAGE('LT Ball Mill'!G54)</f>
        <v>0.63</v>
      </c>
      <c r="V25" s="556">
        <f>AVERAGE('LT Ball Mill'!H54)</f>
        <v>8.57</v>
      </c>
      <c r="W25" s="470">
        <f t="shared" si="3"/>
        <v>89.838034000000022</v>
      </c>
      <c r="X25" s="554">
        <f t="shared" si="6"/>
        <v>77.531454000000025</v>
      </c>
      <c r="Y25" s="554">
        <f t="shared" si="4"/>
        <v>1054.6739060000004</v>
      </c>
      <c r="Z25" s="864"/>
      <c r="AB25" s="928">
        <f t="shared" si="5"/>
        <v>224595085.00000006</v>
      </c>
    </row>
    <row r="26" spans="1:32" x14ac:dyDescent="0.3">
      <c r="A26" s="1384"/>
      <c r="B26" s="1307"/>
      <c r="C26" s="1307"/>
      <c r="D26" s="578" t="s">
        <v>541</v>
      </c>
      <c r="E26" s="579"/>
      <c r="F26" s="864" t="s">
        <v>13</v>
      </c>
      <c r="G26" s="878">
        <v>0.42</v>
      </c>
      <c r="H26" s="554">
        <f>J26-'Au Cal Leaching Tank'!$T$14-SUM(H25)</f>
        <v>270</v>
      </c>
      <c r="I26" s="554">
        <f t="shared" si="11"/>
        <v>25.796178343949045</v>
      </c>
      <c r="J26" s="580">
        <v>593</v>
      </c>
      <c r="K26" s="580">
        <v>1.3</v>
      </c>
      <c r="L26" s="878">
        <v>0.75</v>
      </c>
      <c r="M26" s="554">
        <f>(J26*K26*G26-'Au Cal Leaching Tank'!$U$12)-M25</f>
        <v>139.02199999999993</v>
      </c>
      <c r="N26" s="1407"/>
      <c r="O26" s="554">
        <f t="shared" si="12"/>
        <v>13.282356687898083</v>
      </c>
      <c r="P26" s="554">
        <f t="shared" si="13"/>
        <v>10.466666666666667</v>
      </c>
      <c r="Q26" s="554">
        <f t="shared" si="14"/>
        <v>628</v>
      </c>
      <c r="R26" s="554">
        <f>'Milling Down Time Hours'!G26</f>
        <v>92.000000000000014</v>
      </c>
      <c r="S26" s="1404"/>
      <c r="T26" s="556">
        <f>AVERAGE('LT Ball Mill'!F55:F57)</f>
        <v>0.51600000000000001</v>
      </c>
      <c r="U26" s="556">
        <f>AVERAGE('LT Ball Mill'!G55:G57)</f>
        <v>0.43</v>
      </c>
      <c r="V26" s="556">
        <f>AVERAGE('LT Ball Mill'!H55:H57)</f>
        <v>9.2766666666666655</v>
      </c>
      <c r="W26" s="470">
        <f t="shared" si="3"/>
        <v>71.735351999999963</v>
      </c>
      <c r="X26" s="554">
        <f t="shared" si="6"/>
        <v>59.779459999999972</v>
      </c>
      <c r="Y26" s="554">
        <f t="shared" si="4"/>
        <v>1289.6607533333327</v>
      </c>
      <c r="Z26" s="864"/>
      <c r="AB26" s="928">
        <f t="shared" si="5"/>
        <v>179338379.99999991</v>
      </c>
    </row>
    <row r="27" spans="1:32" ht="28.8" x14ac:dyDescent="0.3">
      <c r="A27" s="1384"/>
      <c r="B27" s="1307">
        <v>46276</v>
      </c>
      <c r="C27" s="1307"/>
      <c r="D27" s="578" t="s">
        <v>540</v>
      </c>
      <c r="E27" s="839" t="s">
        <v>554</v>
      </c>
      <c r="F27" s="864" t="s">
        <v>12</v>
      </c>
      <c r="G27" s="878">
        <v>0.4</v>
      </c>
      <c r="H27" s="554">
        <f>J27-'Au Cal Leaching Tank'!$T$14-SUM(H25:H26)</f>
        <v>54</v>
      </c>
      <c r="I27" s="554">
        <f t="shared" si="11"/>
        <v>4.9165402124430964</v>
      </c>
      <c r="J27" s="554">
        <v>647</v>
      </c>
      <c r="K27" s="580">
        <v>1.27</v>
      </c>
      <c r="L27" s="878">
        <v>0.75</v>
      </c>
      <c r="M27" s="554">
        <f>(J27*K27*G27-'Au Cal Leaching Tank'!$U$12)-SUM(M25:M26)</f>
        <v>4.8980000000000814</v>
      </c>
      <c r="N27" s="1385">
        <f>SUM(M27:M28)</f>
        <v>65.006412500000096</v>
      </c>
      <c r="O27" s="484">
        <f>M27/P27</f>
        <v>0.9828762541806183</v>
      </c>
      <c r="P27" s="554">
        <f>(360-R27)/60</f>
        <v>4.9833333333333334</v>
      </c>
      <c r="Q27" s="554">
        <f>360-R27</f>
        <v>299</v>
      </c>
      <c r="R27" s="554">
        <f>'Milling Down Time Hours'!G27</f>
        <v>61</v>
      </c>
      <c r="S27" s="1404"/>
      <c r="T27" s="556">
        <f>AVERAGE('LT Ball Mill'!F55:F57)</f>
        <v>0.51600000000000001</v>
      </c>
      <c r="U27" s="556">
        <f>AVERAGE('LT Ball Mill'!G55:G57)</f>
        <v>0.43</v>
      </c>
      <c r="V27" s="556">
        <f>AVERAGE('LT Ball Mill'!H55:H57)</f>
        <v>9.2766666666666655</v>
      </c>
      <c r="W27" s="470">
        <f>T27*M27</f>
        <v>2.5273680000000422</v>
      </c>
      <c r="X27" s="554">
        <f>M27*U27</f>
        <v>2.106140000000035</v>
      </c>
      <c r="Y27" s="554">
        <f>M27*V27</f>
        <v>45.437113333334082</v>
      </c>
      <c r="Z27" s="864"/>
      <c r="AB27" s="928">
        <f t="shared" si="5"/>
        <v>6318420.0000001052</v>
      </c>
      <c r="AD27" s="445"/>
    </row>
    <row r="28" spans="1:32" x14ac:dyDescent="0.3">
      <c r="A28" s="782"/>
      <c r="B28" s="1303">
        <v>46276</v>
      </c>
      <c r="C28" s="1303"/>
      <c r="D28" s="787" t="s">
        <v>540</v>
      </c>
      <c r="E28" s="973" t="s">
        <v>582</v>
      </c>
      <c r="F28" s="782" t="s">
        <v>12</v>
      </c>
      <c r="G28" s="879">
        <v>0.42</v>
      </c>
      <c r="H28" s="486">
        <f>J28-'Au Cal Leaching Tank'!$T$15</f>
        <v>107.15</v>
      </c>
      <c r="I28" s="486">
        <f>H28/((360-R28)/60)</f>
        <v>17.858333333333334</v>
      </c>
      <c r="J28" s="486">
        <v>215</v>
      </c>
      <c r="K28" s="618">
        <v>1.29</v>
      </c>
      <c r="L28" s="879">
        <v>0.75</v>
      </c>
      <c r="M28" s="486">
        <f>(J28*K28*G28)-'Au Cal Leaching Tank'!$U$13</f>
        <v>60.108412500000014</v>
      </c>
      <c r="N28" s="1385"/>
      <c r="O28" s="889">
        <f>M28/P28</f>
        <v>10.018068750000003</v>
      </c>
      <c r="P28" s="486">
        <f>(360-R28)/60</f>
        <v>6</v>
      </c>
      <c r="Q28" s="486">
        <v>360</v>
      </c>
      <c r="R28" s="486">
        <v>0</v>
      </c>
      <c r="S28" s="1408">
        <f>SUM(M28:M31)</f>
        <v>277.03691250000003</v>
      </c>
      <c r="T28" s="584">
        <f>AVERAGE('LT Ball Mill'!F58:F60)</f>
        <v>1.4286666666666665</v>
      </c>
      <c r="U28" s="584">
        <f>AVERAGE('LT Ball Mill'!G58:G60)</f>
        <v>0.99333333333333329</v>
      </c>
      <c r="V28" s="584">
        <f>AVERAGE('LT Ball Mill'!H58:H60)</f>
        <v>9.1333333333333329</v>
      </c>
      <c r="W28" s="473">
        <f>T28*M28</f>
        <v>85.874885325000008</v>
      </c>
      <c r="X28" s="486">
        <f>M28*U28</f>
        <v>59.707689750000014</v>
      </c>
      <c r="Y28" s="486">
        <f>M28*V28</f>
        <v>548.9901675000001</v>
      </c>
      <c r="Z28" s="782"/>
      <c r="AB28" s="929">
        <f t="shared" si="5"/>
        <v>214687213.31250003</v>
      </c>
      <c r="AD28" s="445"/>
    </row>
    <row r="29" spans="1:32" ht="28.8" x14ac:dyDescent="0.3">
      <c r="A29" s="1401">
        <v>6</v>
      </c>
      <c r="B29" s="1303">
        <v>46276</v>
      </c>
      <c r="C29" s="1303"/>
      <c r="D29" s="488" t="s">
        <v>550</v>
      </c>
      <c r="E29" s="838" t="s">
        <v>547</v>
      </c>
      <c r="F29" s="782" t="s">
        <v>13</v>
      </c>
      <c r="G29" s="879">
        <v>0.45</v>
      </c>
      <c r="H29" s="486">
        <f>J29-'Au Cal Leaching Tank'!$T$15-SUM(H28)</f>
        <v>72</v>
      </c>
      <c r="I29" s="486">
        <f t="shared" si="11"/>
        <v>36</v>
      </c>
      <c r="J29" s="618">
        <v>287</v>
      </c>
      <c r="K29" s="618">
        <v>1.29</v>
      </c>
      <c r="L29" s="879">
        <v>0.75</v>
      </c>
      <c r="M29" s="486">
        <f>(J29*K29*G29)-'Au Cal Leaching Tank'!$U$13-SUM(M28)</f>
        <v>50.116500000000016</v>
      </c>
      <c r="N29" s="486">
        <f>M29</f>
        <v>50.116500000000016</v>
      </c>
      <c r="O29" s="486">
        <f>M29/P29</f>
        <v>25.058250000000008</v>
      </c>
      <c r="P29" s="486">
        <f>(720-R29)/60</f>
        <v>2</v>
      </c>
      <c r="Q29" s="486">
        <f>720-R29</f>
        <v>120</v>
      </c>
      <c r="R29" s="486">
        <f>'Milling Down Time Hours'!G28</f>
        <v>600</v>
      </c>
      <c r="S29" s="1408"/>
      <c r="T29" s="584">
        <f>AVERAGE('LT Ball Mill'!F61:F63)</f>
        <v>0.26499999999999996</v>
      </c>
      <c r="U29" s="584">
        <f>AVERAGE('LT Ball Mill'!G61:G63)</f>
        <v>0.57333333333333336</v>
      </c>
      <c r="V29" s="584">
        <f>AVERAGE('LT Ball Mill'!H61:H63)</f>
        <v>7.5933333333333337</v>
      </c>
      <c r="W29" s="473">
        <f>T29*M29</f>
        <v>13.280872500000003</v>
      </c>
      <c r="X29" s="486">
        <f>M29*U29</f>
        <v>28.733460000000012</v>
      </c>
      <c r="Y29" s="486">
        <f>M29*V29</f>
        <v>380.55129000000017</v>
      </c>
      <c r="Z29" s="782"/>
      <c r="AB29" s="929">
        <f t="shared" si="5"/>
        <v>33202181.250000007</v>
      </c>
    </row>
    <row r="30" spans="1:32" ht="28.8" x14ac:dyDescent="0.3">
      <c r="A30" s="1401"/>
      <c r="B30" s="1303">
        <v>46277</v>
      </c>
      <c r="C30" s="1303"/>
      <c r="D30" s="624" t="s">
        <v>551</v>
      </c>
      <c r="E30" s="753" t="s">
        <v>552</v>
      </c>
      <c r="F30" s="782" t="s">
        <v>12</v>
      </c>
      <c r="G30" s="879">
        <v>0.33</v>
      </c>
      <c r="H30" s="486">
        <f>J30-'Au Cal Leaching Tank'!$T$15-SUM(H28:H29)</f>
        <v>432</v>
      </c>
      <c r="I30" s="486"/>
      <c r="J30" s="618">
        <v>719</v>
      </c>
      <c r="K30" s="618">
        <v>1.21</v>
      </c>
      <c r="L30" s="879">
        <v>0.75</v>
      </c>
      <c r="M30" s="486">
        <f>(J30*K30*G30)-'Au Cal Leaching Tank'!$U$13-SUM(M28:M29)</f>
        <v>120.49319999999999</v>
      </c>
      <c r="N30" s="1403">
        <f>SUM(M30:M31)</f>
        <v>166.81200000000001</v>
      </c>
      <c r="O30" s="486" t="str">
        <f>IFERROR(M30/P30,"")</f>
        <v/>
      </c>
      <c r="P30" s="486">
        <f>(720-R30)/60</f>
        <v>0</v>
      </c>
      <c r="Q30" s="486">
        <f>720-R30</f>
        <v>0</v>
      </c>
      <c r="R30" s="486">
        <f>'Milling Down Time Hours'!G29</f>
        <v>720</v>
      </c>
      <c r="S30" s="1408"/>
      <c r="T30" s="584">
        <f>AVERAGE('LT Ball Mill'!F64:F66)</f>
        <v>0.30533333333333329</v>
      </c>
      <c r="U30" s="584">
        <f>AVERAGE('LT Ball Mill'!G64:G66)</f>
        <v>0.55333333333333334</v>
      </c>
      <c r="V30" s="584">
        <f>AVERAGE('LT Ball Mill'!H64:H66)</f>
        <v>6.7966666666666669</v>
      </c>
      <c r="W30" s="473">
        <f t="shared" si="3"/>
        <v>36.790590399999992</v>
      </c>
      <c r="X30" s="486">
        <f t="shared" si="6"/>
        <v>66.672903999999988</v>
      </c>
      <c r="Y30" s="486">
        <f t="shared" si="4"/>
        <v>818.95211599999993</v>
      </c>
      <c r="Z30" s="782"/>
      <c r="AB30" s="929">
        <f t="shared" si="5"/>
        <v>91976475.999999985</v>
      </c>
    </row>
    <row r="31" spans="1:32" x14ac:dyDescent="0.3">
      <c r="A31" s="1401"/>
      <c r="B31" s="1303"/>
      <c r="C31" s="1303"/>
      <c r="D31" s="754" t="s">
        <v>570</v>
      </c>
      <c r="E31" s="754" t="s">
        <v>571</v>
      </c>
      <c r="F31" s="782" t="s">
        <v>13</v>
      </c>
      <c r="G31" s="879">
        <v>0.33</v>
      </c>
      <c r="H31" s="486">
        <f>J31-'Au Cal Leaching Tank'!$T$15-SUM(H28:H30)</f>
        <v>116</v>
      </c>
      <c r="I31" s="486"/>
      <c r="J31" s="618">
        <v>835</v>
      </c>
      <c r="K31" s="618">
        <v>1.21</v>
      </c>
      <c r="L31" s="879">
        <v>0.75</v>
      </c>
      <c r="M31" s="486">
        <f>(J31*K31*G31)-'Au Cal Leaching Tank'!$U$13-SUM(M28:M30)</f>
        <v>46.31880000000001</v>
      </c>
      <c r="N31" s="1403"/>
      <c r="O31" s="486" t="str">
        <f t="shared" ref="O31:O42" si="15">IFERROR(M31/P31,"")</f>
        <v/>
      </c>
      <c r="P31" s="486">
        <f t="shared" ref="P31:P32" si="16">(720-R31)/60</f>
        <v>0</v>
      </c>
      <c r="Q31" s="486">
        <f>720-R31</f>
        <v>0</v>
      </c>
      <c r="R31" s="486">
        <f>'Milling Down Time Hours'!G30</f>
        <v>720</v>
      </c>
      <c r="S31" s="1408"/>
      <c r="T31" s="584">
        <f>AVERAGE('LT Ball Mill'!F64:F66)</f>
        <v>0.30533333333333329</v>
      </c>
      <c r="U31" s="584">
        <f>AVERAGE('LT Ball Mill'!G64:G66)</f>
        <v>0.55333333333333334</v>
      </c>
      <c r="V31" s="584">
        <f>AVERAGE('LT Ball Mill'!H64:H66)</f>
        <v>6.7966666666666669</v>
      </c>
      <c r="W31" s="473">
        <f t="shared" si="3"/>
        <v>14.142673600000002</v>
      </c>
      <c r="X31" s="486">
        <f t="shared" si="6"/>
        <v>25.629736000000005</v>
      </c>
      <c r="Y31" s="486">
        <f t="shared" si="4"/>
        <v>314.81344400000006</v>
      </c>
      <c r="Z31" s="782"/>
      <c r="AB31" s="929">
        <f t="shared" si="5"/>
        <v>35356684.000000007</v>
      </c>
      <c r="AC31" s="136"/>
    </row>
    <row r="32" spans="1:32" x14ac:dyDescent="0.3">
      <c r="A32" s="1389"/>
      <c r="B32" s="1326">
        <v>46278</v>
      </c>
      <c r="C32" s="1326"/>
      <c r="D32" s="755" t="s">
        <v>572</v>
      </c>
      <c r="E32" s="755" t="s">
        <v>571</v>
      </c>
      <c r="F32" s="746" t="s">
        <v>12</v>
      </c>
      <c r="G32" s="895"/>
      <c r="H32" s="233"/>
      <c r="I32" s="154"/>
      <c r="J32" s="233"/>
      <c r="K32" s="233"/>
      <c r="L32" s="883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6"/>
      <c r="U32" s="446"/>
      <c r="V32" s="446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6"/>
      <c r="AB32" s="930">
        <f t="shared" si="5"/>
        <v>0</v>
      </c>
    </row>
    <row r="33" spans="1:33" x14ac:dyDescent="0.3">
      <c r="A33" s="1390"/>
      <c r="B33" s="1326">
        <v>46278</v>
      </c>
      <c r="C33" s="1326"/>
      <c r="D33" s="755" t="s">
        <v>572</v>
      </c>
      <c r="E33" s="755" t="s">
        <v>571</v>
      </c>
      <c r="F33" s="746" t="s">
        <v>13</v>
      </c>
      <c r="G33" s="233"/>
      <c r="H33" s="233"/>
      <c r="I33" s="873"/>
      <c r="J33" s="233"/>
      <c r="K33" s="233"/>
      <c r="L33" s="233"/>
      <c r="M33" s="873"/>
      <c r="N33" s="233"/>
      <c r="O33" s="873"/>
      <c r="P33" s="233"/>
      <c r="Q33" s="873"/>
      <c r="R33" s="233"/>
      <c r="S33" s="13"/>
      <c r="T33" s="6"/>
      <c r="U33" s="6"/>
      <c r="V33" s="6"/>
      <c r="W33" s="6"/>
      <c r="X33" s="13"/>
      <c r="Y33" s="13"/>
      <c r="Z33" s="746"/>
      <c r="AB33" s="930">
        <f t="shared" si="5"/>
        <v>0</v>
      </c>
    </row>
    <row r="34" spans="1:33" x14ac:dyDescent="0.3">
      <c r="B34" s="1435">
        <v>46279</v>
      </c>
      <c r="C34" s="1436"/>
      <c r="D34" s="755" t="s">
        <v>572</v>
      </c>
      <c r="E34" s="755" t="s">
        <v>571</v>
      </c>
      <c r="F34" s="746" t="s">
        <v>12</v>
      </c>
      <c r="G34" s="895"/>
      <c r="H34" s="233"/>
      <c r="I34" s="233"/>
      <c r="J34" s="233"/>
      <c r="K34" s="233"/>
      <c r="L34" s="883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6"/>
      <c r="U34" s="446"/>
      <c r="V34" s="446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6"/>
      <c r="AB34" s="930">
        <f t="shared" si="5"/>
        <v>0</v>
      </c>
    </row>
    <row r="35" spans="1:33" ht="15" thickBot="1" x14ac:dyDescent="0.35">
      <c r="A35" s="1398">
        <v>7</v>
      </c>
      <c r="B35" s="1437">
        <v>46279</v>
      </c>
      <c r="C35" s="1438"/>
      <c r="D35" s="756" t="s">
        <v>169</v>
      </c>
      <c r="E35" s="757" t="s">
        <v>581</v>
      </c>
      <c r="F35" s="864" t="s">
        <v>13</v>
      </c>
      <c r="G35" s="878">
        <v>0.38</v>
      </c>
      <c r="H35" s="554">
        <f>J35-'Au Cal Leaching Tank'!$T$14</f>
        <v>179.74888000000001</v>
      </c>
      <c r="I35" s="554">
        <f t="shared" ref="I35:I40" si="17">H35/((720-R35)/60)</f>
        <v>17.974888</v>
      </c>
      <c r="J35" s="554">
        <f t="shared" ref="J35:J42" si="18">3.14*Z35*((10.7/2)^2)</f>
        <v>287.59888000000001</v>
      </c>
      <c r="K35" s="580">
        <v>1.25</v>
      </c>
      <c r="L35" s="878">
        <v>0.75</v>
      </c>
      <c r="M35" s="554">
        <f>(J35*K35*G35)-'Au Cal Leaching Tank'!$U$14</f>
        <v>80.009787999999986</v>
      </c>
      <c r="N35" s="554">
        <f>SUM(M33:M35)</f>
        <v>80.009787999999986</v>
      </c>
      <c r="O35" s="554">
        <f>IFERROR(M35/P35,"")</f>
        <v>8.0009787999999986</v>
      </c>
      <c r="P35" s="554">
        <f t="shared" ref="P35:P42" si="19">(720-R35)/60</f>
        <v>10</v>
      </c>
      <c r="Q35" s="554">
        <f t="shared" ref="Q35:Q45" si="20">720-R35</f>
        <v>600</v>
      </c>
      <c r="R35" s="554">
        <f>'Milling Down Time Hours'!G34</f>
        <v>120.00000000000001</v>
      </c>
      <c r="S35" s="1422">
        <f>SUM(M35:M37)</f>
        <v>246.09634370699999</v>
      </c>
      <c r="T35" s="556">
        <f>AVERAGE('LT Ball Mill'!F67:F69)</f>
        <v>0.63200000000000001</v>
      </c>
      <c r="U35" s="556">
        <f>AVERAGE('LT Ball Mill'!G67:G69)</f>
        <v>0.58666666666666678</v>
      </c>
      <c r="V35" s="556">
        <f>AVERAGE('LT Ball Mill'!H67:H69)</f>
        <v>8.5966666666666658</v>
      </c>
      <c r="W35" s="470">
        <f>T35*M35</f>
        <v>50.566186015999989</v>
      </c>
      <c r="X35" s="554">
        <f>M35*U35</f>
        <v>46.939075626666664</v>
      </c>
      <c r="Y35" s="554">
        <f>M35*V35</f>
        <v>687.81747750666648</v>
      </c>
      <c r="Z35" s="864">
        <v>3.2</v>
      </c>
      <c r="AB35" s="929">
        <f t="shared" si="5"/>
        <v>126415465.03999998</v>
      </c>
      <c r="AC35" s="10"/>
    </row>
    <row r="36" spans="1:33" x14ac:dyDescent="0.3">
      <c r="A36" s="1398"/>
      <c r="B36" s="1431">
        <v>46280</v>
      </c>
      <c r="C36" s="1432"/>
      <c r="D36" s="817" t="s">
        <v>523</v>
      </c>
      <c r="E36" s="817" t="s">
        <v>590</v>
      </c>
      <c r="F36" s="915" t="s">
        <v>12</v>
      </c>
      <c r="G36" s="878">
        <v>0.37</v>
      </c>
      <c r="H36" s="554">
        <f>J36-'Au Cal Leaching Tank'!$T$14-H35</f>
        <v>188.73676499999985</v>
      </c>
      <c r="I36" s="554">
        <f t="shared" si="17"/>
        <v>15.728063749999988</v>
      </c>
      <c r="J36" s="554">
        <f t="shared" si="18"/>
        <v>476.33564499999989</v>
      </c>
      <c r="K36" s="580">
        <v>1.24</v>
      </c>
      <c r="L36" s="878">
        <v>0.75</v>
      </c>
      <c r="M36" s="554">
        <f>(J36*K36*G36)-'Au Cal Leaching Tank'!$U$14-SUM(M35)</f>
        <v>81.933325925999952</v>
      </c>
      <c r="N36" s="1385">
        <f>SUM(M36:M37)</f>
        <v>166.086555707</v>
      </c>
      <c r="O36" s="525">
        <f t="shared" si="15"/>
        <v>6.8277771604999957</v>
      </c>
      <c r="P36" s="554">
        <f t="shared" si="19"/>
        <v>12</v>
      </c>
      <c r="Q36" s="554">
        <f t="shared" si="20"/>
        <v>720</v>
      </c>
      <c r="R36" s="554">
        <f>'Milling Down Time Hours'!G35</f>
        <v>0</v>
      </c>
      <c r="S36" s="1367"/>
      <c r="T36" s="556">
        <f>AVERAGE('LT Ball Mill'!F70:F72)</f>
        <v>0.36466666666666664</v>
      </c>
      <c r="U36" s="556">
        <f>AVERAGE('LT Ball Mill'!G70:G72)</f>
        <v>0.46666666666666662</v>
      </c>
      <c r="V36" s="556">
        <f>AVERAGE('LT Ball Mill'!H70:H72)</f>
        <v>9.57</v>
      </c>
      <c r="W36" s="470">
        <f t="shared" si="3"/>
        <v>29.87835285434798</v>
      </c>
      <c r="X36" s="554">
        <f t="shared" si="6"/>
        <v>38.235552098799971</v>
      </c>
      <c r="Y36" s="554">
        <f t="shared" si="4"/>
        <v>784.10192911181957</v>
      </c>
      <c r="Z36" s="864">
        <v>5.3</v>
      </c>
      <c r="AB36" s="929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398"/>
      <c r="B37" s="1433"/>
      <c r="C37" s="1434"/>
      <c r="D37" s="770" t="s">
        <v>516</v>
      </c>
      <c r="E37" s="837" t="s">
        <v>630</v>
      </c>
      <c r="F37" s="916" t="s">
        <v>13</v>
      </c>
      <c r="G37" s="896">
        <v>0.33</v>
      </c>
      <c r="H37" s="554">
        <f>J37-'Au Cal Leaching Tank'!$T$14-SUM(H35:H36)</f>
        <v>278.61141499999997</v>
      </c>
      <c r="I37" s="554">
        <f t="shared" si="17"/>
        <v>23.217617916666665</v>
      </c>
      <c r="J37" s="554">
        <f t="shared" si="18"/>
        <v>754.94705999999985</v>
      </c>
      <c r="K37" s="864">
        <v>1.2150000000000001</v>
      </c>
      <c r="L37" s="878">
        <v>0.75</v>
      </c>
      <c r="M37" s="554">
        <f>(J37*K37*G37)-'Au Cal Leaching Tank'!$U$14-SUM(M35:M36)</f>
        <v>84.15322978100005</v>
      </c>
      <c r="N37" s="1385"/>
      <c r="O37" s="525">
        <f t="shared" si="15"/>
        <v>7.0127691484166705</v>
      </c>
      <c r="P37" s="554">
        <f t="shared" si="19"/>
        <v>12</v>
      </c>
      <c r="Q37" s="554">
        <f t="shared" si="20"/>
        <v>720</v>
      </c>
      <c r="R37" s="554">
        <f>'Milling Down Time Hours'!G36</f>
        <v>0</v>
      </c>
      <c r="S37" s="1368"/>
      <c r="T37" s="556">
        <f>AVERAGE('LT Ball Mill'!F73:F75)</f>
        <v>0.61</v>
      </c>
      <c r="U37" s="556">
        <f>AVERAGE('LT Ball Mill'!G73:G75)</f>
        <v>0.55333333333333334</v>
      </c>
      <c r="V37" s="556">
        <f>AVERAGE('LT Ball Mill'!H73:H75)</f>
        <v>11.276666666666666</v>
      </c>
      <c r="W37" s="470">
        <f t="shared" si="3"/>
        <v>51.333470166410031</v>
      </c>
      <c r="X37" s="554">
        <f t="shared" si="6"/>
        <v>46.564787145486697</v>
      </c>
      <c r="Y37" s="554">
        <f t="shared" si="4"/>
        <v>948.96792116374377</v>
      </c>
      <c r="Z37" s="864">
        <v>8.4</v>
      </c>
      <c r="AB37" s="929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97">
        <v>8</v>
      </c>
      <c r="B38" s="1427">
        <v>46281</v>
      </c>
      <c r="C38" s="1428"/>
      <c r="D38" s="488" t="s">
        <v>626</v>
      </c>
      <c r="E38" s="827" t="s">
        <v>592</v>
      </c>
      <c r="F38" s="917" t="s">
        <v>12</v>
      </c>
      <c r="G38" s="897">
        <v>0.3</v>
      </c>
      <c r="H38" s="486">
        <f>J38-'Au Cal Leaching Tank'!$T$15</f>
        <v>323.54831999999988</v>
      </c>
      <c r="I38" s="486">
        <f t="shared" si="17"/>
        <v>26.96235999999999</v>
      </c>
      <c r="J38" s="486">
        <f t="shared" si="18"/>
        <v>431.3983199999999</v>
      </c>
      <c r="K38" s="782">
        <v>1.19</v>
      </c>
      <c r="L38" s="879">
        <v>0.75</v>
      </c>
      <c r="M38" s="885">
        <f>(J38*K38*G38)-'Au Cal Leaching Tank'!$U$15</f>
        <v>117.10293023999996</v>
      </c>
      <c r="N38" s="1410">
        <f>SUM(M38:M39)</f>
        <v>171.64785532499997</v>
      </c>
      <c r="O38" s="533">
        <f t="shared" si="15"/>
        <v>9.7585775199999976</v>
      </c>
      <c r="P38" s="935">
        <f t="shared" si="19"/>
        <v>12</v>
      </c>
      <c r="Q38" s="486">
        <f t="shared" si="20"/>
        <v>720</v>
      </c>
      <c r="R38" s="486">
        <f>'Milling Down Time Hours'!G37</f>
        <v>0</v>
      </c>
      <c r="S38" s="1410">
        <f>SUM(M38:M41)</f>
        <v>365.71778205599998</v>
      </c>
      <c r="T38" s="828">
        <f>AVERAGE('LT Ball Mill'!F76:F78)</f>
        <v>0.45166666666666666</v>
      </c>
      <c r="U38" s="828">
        <f>AVERAGE('LT Ball Mill'!G76:G78)</f>
        <v>0.6333333333333333</v>
      </c>
      <c r="V38" s="828">
        <f>AVERAGE('LT Ball Mill'!H76:H78)</f>
        <v>11.63</v>
      </c>
      <c r="W38" s="473">
        <f t="shared" si="3"/>
        <v>52.891490158399982</v>
      </c>
      <c r="X38" s="486">
        <f t="shared" si="6"/>
        <v>74.165189151999968</v>
      </c>
      <c r="Y38" s="486">
        <f t="shared" si="4"/>
        <v>1361.9070786911996</v>
      </c>
      <c r="Z38" s="782">
        <f>1.2*4</f>
        <v>4.8</v>
      </c>
      <c r="AB38" s="929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97"/>
      <c r="B39" s="1429"/>
      <c r="C39" s="1430"/>
      <c r="D39" s="827" t="s">
        <v>598</v>
      </c>
      <c r="E39" s="827" t="s">
        <v>599</v>
      </c>
      <c r="F39" s="912" t="s">
        <v>13</v>
      </c>
      <c r="G39" s="897">
        <v>0.3</v>
      </c>
      <c r="H39" s="486">
        <f>J39-'Au Cal Leaching Tank'!$T$15-H38</f>
        <v>152.78690500000005</v>
      </c>
      <c r="I39" s="486">
        <f t="shared" si="17"/>
        <v>13.97441204268293</v>
      </c>
      <c r="J39" s="486">
        <f t="shared" si="18"/>
        <v>584.18522499999995</v>
      </c>
      <c r="K39" s="618">
        <v>1.19</v>
      </c>
      <c r="L39" s="879">
        <v>0.75</v>
      </c>
      <c r="M39" s="885">
        <f>(J39*K39*G39)-'Au Cal Leaching Tank'!$U$15-SUM(M38)</f>
        <v>54.544925085000003</v>
      </c>
      <c r="N39" s="1417"/>
      <c r="O39" s="533">
        <f>IFERROR(M39/P39,"")</f>
        <v>4.9888650992378052</v>
      </c>
      <c r="P39" s="935">
        <f t="shared" si="19"/>
        <v>10.933333333333334</v>
      </c>
      <c r="Q39" s="486">
        <f t="shared" si="20"/>
        <v>656</v>
      </c>
      <c r="R39" s="486">
        <f>'Milling Down Time Hours'!G38</f>
        <v>64</v>
      </c>
      <c r="S39" s="1416"/>
      <c r="T39" s="528">
        <f>AVERAGE('LT Ball Mill'!F79:F81)</f>
        <v>0.58799999999999997</v>
      </c>
      <c r="U39" s="528">
        <f>AVERAGE('LT Ball Mill'!G79:G81)</f>
        <v>0.57999999999999996</v>
      </c>
      <c r="V39" s="528">
        <f>AVERAGE('LT Ball Mill'!H79:H81)</f>
        <v>9.1866666666666674</v>
      </c>
      <c r="W39" s="473">
        <f t="shared" si="3"/>
        <v>32.072415949979998</v>
      </c>
      <c r="X39" s="486">
        <f t="shared" si="6"/>
        <v>31.636056549300001</v>
      </c>
      <c r="Y39" s="486">
        <f t="shared" si="4"/>
        <v>501.08604511420009</v>
      </c>
      <c r="Z39" s="782">
        <f>6.5</f>
        <v>6.5</v>
      </c>
      <c r="AB39" s="929">
        <f t="shared" si="5"/>
        <v>80181039.874949992</v>
      </c>
      <c r="AE39" s="1">
        <v>70</v>
      </c>
    </row>
    <row r="40" spans="1:33" ht="37.200000000000003" customHeight="1" thickBot="1" x14ac:dyDescent="0.35">
      <c r="A40" s="1397"/>
      <c r="B40" s="1427">
        <v>46282</v>
      </c>
      <c r="C40" s="1428"/>
      <c r="D40" s="488" t="s">
        <v>626</v>
      </c>
      <c r="E40" s="922" t="s">
        <v>627</v>
      </c>
      <c r="F40" s="917" t="s">
        <v>12</v>
      </c>
      <c r="G40" s="879">
        <v>0.35</v>
      </c>
      <c r="H40" s="486">
        <f>J40-'Au Cal Leaching Tank'!$T$15-SUM(H38:H39)</f>
        <v>170.76183499999991</v>
      </c>
      <c r="I40" s="486">
        <f t="shared" si="17"/>
        <v>14.230152916666659</v>
      </c>
      <c r="J40" s="486">
        <f t="shared" si="18"/>
        <v>754.94705999999985</v>
      </c>
      <c r="K40" s="618">
        <v>1.2250000000000001</v>
      </c>
      <c r="L40" s="879">
        <v>0.75</v>
      </c>
      <c r="M40" s="885">
        <f>(J40*K40*G40)-'Au Cal Leaching Tank'!$U$15-SUM(M38:M39)</f>
        <v>115.12942664999997</v>
      </c>
      <c r="N40" s="1413">
        <f>SUM(M40:M41)</f>
        <v>194.06992673100001</v>
      </c>
      <c r="O40" s="533">
        <f>IFERROR(M40/P40,"")</f>
        <v>9.594118887499997</v>
      </c>
      <c r="P40" s="935">
        <f t="shared" si="19"/>
        <v>12</v>
      </c>
      <c r="Q40" s="555">
        <f t="shared" si="20"/>
        <v>720</v>
      </c>
      <c r="R40" s="555">
        <f>'Milling Down Time Hours'!G39</f>
        <v>0</v>
      </c>
      <c r="S40" s="1416"/>
      <c r="T40" s="475">
        <f>AVERAGE('LT Ball Mill'!F82:F84)</f>
        <v>0.61433333333333329</v>
      </c>
      <c r="U40" s="475">
        <f>AVERAGE('LT Ball Mill'!G82:G84)</f>
        <v>0.59</v>
      </c>
      <c r="V40" s="475">
        <f>AVERAGE('LT Ball Mill'!H82:H84)</f>
        <v>11.076666666666668</v>
      </c>
      <c r="W40" s="473">
        <f t="shared" si="3"/>
        <v>70.727844438649981</v>
      </c>
      <c r="X40" s="486">
        <f>M40*U40</f>
        <v>67.92636172349998</v>
      </c>
      <c r="Y40" s="486">
        <f t="shared" si="4"/>
        <v>1275.2502825264999</v>
      </c>
      <c r="Z40" s="782">
        <f>1.2*7</f>
        <v>8.4</v>
      </c>
      <c r="AB40" s="929">
        <f t="shared" si="5"/>
        <v>176819611.09662494</v>
      </c>
      <c r="AC40" s="136"/>
      <c r="AE40" s="1">
        <v>60</v>
      </c>
    </row>
    <row r="41" spans="1:33" ht="29.4" thickBot="1" x14ac:dyDescent="0.35">
      <c r="A41" s="1397"/>
      <c r="B41" s="1429"/>
      <c r="C41" s="1430"/>
      <c r="D41" s="947" t="s">
        <v>598</v>
      </c>
      <c r="E41" s="960" t="s">
        <v>641</v>
      </c>
      <c r="F41" s="948" t="s">
        <v>13</v>
      </c>
      <c r="G41" s="938">
        <v>0.34</v>
      </c>
      <c r="H41" s="935">
        <f>J41-'Au Cal Leaching Tank'!$T$15-SUM(H38:H40)</f>
        <v>215.69916000000012</v>
      </c>
      <c r="I41" s="935">
        <f t="shared" ref="I41:I43" si="21">H41/((720-R41)/60)</f>
        <v>17.974930000000011</v>
      </c>
      <c r="J41" s="935">
        <f t="shared" si="18"/>
        <v>970.64621999999997</v>
      </c>
      <c r="K41" s="451">
        <v>1.22</v>
      </c>
      <c r="L41" s="938">
        <v>0.75</v>
      </c>
      <c r="M41" s="885">
        <f>(J41*K41*G41)-'Au Cal Leaching Tank'!$U$15-SUM(M38:M40)</f>
        <v>78.940500081000039</v>
      </c>
      <c r="N41" s="1439"/>
      <c r="O41" s="533">
        <f>IFERROR(M41/P41,"")</f>
        <v>6.5783750067500035</v>
      </c>
      <c r="P41" s="935">
        <f t="shared" si="19"/>
        <v>12</v>
      </c>
      <c r="Q41" s="555">
        <f t="shared" si="20"/>
        <v>720</v>
      </c>
      <c r="R41" s="555">
        <f>'Milling Down Time Hours'!G40</f>
        <v>0</v>
      </c>
      <c r="S41" s="1417"/>
      <c r="T41" s="979">
        <f>AVERAGE('LT Ball Mill'!F85:F87)</f>
        <v>0.68533333333333335</v>
      </c>
      <c r="U41" s="979">
        <f>AVERAGE('LT Ball Mill'!G85:G87)</f>
        <v>0.55000000000000004</v>
      </c>
      <c r="V41" s="979">
        <f>AVERAGE('LT Ball Mill'!H85:H87)</f>
        <v>9.6166666666666671</v>
      </c>
      <c r="W41" s="980">
        <f t="shared" si="3"/>
        <v>54.10055605551203</v>
      </c>
      <c r="X41" s="935">
        <f t="shared" si="6"/>
        <v>43.417275044550024</v>
      </c>
      <c r="Y41" s="935">
        <f t="shared" si="4"/>
        <v>759.14447577895044</v>
      </c>
      <c r="Z41" s="981">
        <v>10.8</v>
      </c>
      <c r="AB41" s="929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96">
        <v>9</v>
      </c>
      <c r="B42" s="1423">
        <v>46283</v>
      </c>
      <c r="C42" s="1424"/>
      <c r="D42" s="668" t="s">
        <v>646</v>
      </c>
      <c r="E42" s="668" t="s">
        <v>645</v>
      </c>
      <c r="F42" s="962" t="s">
        <v>12</v>
      </c>
      <c r="G42" s="963">
        <v>0.34</v>
      </c>
      <c r="H42" s="966">
        <f>J42-'Au Cal Leaching Tank'!$T$18</f>
        <v>323.54831999999988</v>
      </c>
      <c r="I42" s="966">
        <f t="shared" si="21"/>
        <v>35.619998532110074</v>
      </c>
      <c r="J42" s="966">
        <f t="shared" si="18"/>
        <v>431.3983199999999</v>
      </c>
      <c r="K42" s="964">
        <v>1.22</v>
      </c>
      <c r="L42" s="963">
        <v>0.75</v>
      </c>
      <c r="M42" s="965">
        <f>(J42*K42*G42)-'Au Cal Leaching Tank'!$U$16</f>
        <v>135.87951813599997</v>
      </c>
      <c r="N42" s="1418">
        <f>SUM(M42:M43)</f>
        <v>229.75179256799998</v>
      </c>
      <c r="O42" s="967">
        <f t="shared" si="15"/>
        <v>14.959213005798162</v>
      </c>
      <c r="P42" s="966">
        <f t="shared" si="19"/>
        <v>9.0833333333333339</v>
      </c>
      <c r="Q42" s="978">
        <f t="shared" si="20"/>
        <v>545</v>
      </c>
      <c r="R42" s="966">
        <f>'Milling Down Time Hours'!G41</f>
        <v>175</v>
      </c>
      <c r="S42" s="1418">
        <f>SUM(M42:M45)</f>
        <v>472.85193585999997</v>
      </c>
      <c r="T42" s="1004">
        <f>AVERAGE('LT Ball Mill'!F88:F90)</f>
        <v>0.7679999999999999</v>
      </c>
      <c r="U42" s="1004">
        <f>AVERAGE('LT Ball Mill'!G88:G90)</f>
        <v>0.53666666666666674</v>
      </c>
      <c r="V42" s="1004">
        <f>AVERAGE('LT Ball Mill'!H88:H90)</f>
        <v>12.049999999999999</v>
      </c>
      <c r="W42" s="968">
        <f t="shared" si="3"/>
        <v>104.35546992844796</v>
      </c>
      <c r="X42" s="966">
        <f t="shared" si="6"/>
        <v>72.922008066319989</v>
      </c>
      <c r="Y42" s="966">
        <f t="shared" si="4"/>
        <v>1637.3481935387995</v>
      </c>
      <c r="Z42" s="969">
        <v>4.8</v>
      </c>
      <c r="AB42" s="929">
        <f t="shared" si="5"/>
        <v>260888674.8211199</v>
      </c>
      <c r="AE42" s="1">
        <v>60</v>
      </c>
    </row>
    <row r="43" spans="1:33" ht="15" thickBot="1" x14ac:dyDescent="0.35">
      <c r="A43" s="1396"/>
      <c r="B43" s="1425"/>
      <c r="C43" s="1426"/>
      <c r="D43" s="987" t="s">
        <v>598</v>
      </c>
      <c r="E43" s="977" t="s">
        <v>644</v>
      </c>
      <c r="F43" s="971" t="s">
        <v>13</v>
      </c>
      <c r="G43" s="963">
        <v>0.36</v>
      </c>
      <c r="H43" s="966">
        <f>J43-'Au Cal Leaching Tank'!$T$18-SUM(H42)</f>
        <v>179.74930000000006</v>
      </c>
      <c r="I43" s="966">
        <f t="shared" si="21"/>
        <v>14.979108333333338</v>
      </c>
      <c r="J43" s="966">
        <f>3.14*Z43*((10.7/2)^2)</f>
        <v>611.14761999999996</v>
      </c>
      <c r="K43" s="964">
        <v>1.24</v>
      </c>
      <c r="L43" s="963">
        <v>0.75</v>
      </c>
      <c r="M43" s="965">
        <f>(J43*K43*G43)-'Au Cal Leaching Tank'!$U$16-SUM(M42)</f>
        <v>93.872274432000012</v>
      </c>
      <c r="N43" s="1419"/>
      <c r="O43" s="967">
        <f t="shared" ref="O43:O49" si="22">IFERROR(M43/P43,"")</f>
        <v>7.8226895360000013</v>
      </c>
      <c r="P43" s="966">
        <f t="shared" ref="P43:P45" si="23">(720-R43)/60</f>
        <v>12</v>
      </c>
      <c r="Q43" s="966">
        <f t="shared" si="20"/>
        <v>720</v>
      </c>
      <c r="R43" s="966">
        <f>'Milling Down Time Hours'!G42</f>
        <v>0</v>
      </c>
      <c r="S43" s="1420"/>
      <c r="T43" s="972">
        <f>AVERAGE('LT Ball Mill'!F91:F93)</f>
        <v>0.51666666666666672</v>
      </c>
      <c r="U43" s="972">
        <f>AVERAGE('LT Ball Mill'!G91:G93)</f>
        <v>0.71666666666666667</v>
      </c>
      <c r="V43" s="972">
        <f>AVERAGE('LT Ball Mill'!H91:H93)</f>
        <v>11.409999999999998</v>
      </c>
      <c r="W43" s="968">
        <f t="shared" si="3"/>
        <v>48.500675123200011</v>
      </c>
      <c r="X43" s="966">
        <f t="shared" si="6"/>
        <v>67.275130009600005</v>
      </c>
      <c r="Y43" s="966">
        <f t="shared" si="4"/>
        <v>1071.0826512691199</v>
      </c>
      <c r="Z43" s="969">
        <v>6.8</v>
      </c>
      <c r="AB43" s="929">
        <f t="shared" si="5"/>
        <v>121251687.80800003</v>
      </c>
      <c r="AE43" s="1">
        <v>72</v>
      </c>
    </row>
    <row r="44" spans="1:33" ht="15" thickBot="1" x14ac:dyDescent="0.35">
      <c r="A44" s="1396"/>
      <c r="B44" s="1423">
        <v>46284</v>
      </c>
      <c r="C44" s="1424"/>
      <c r="D44" s="668" t="s">
        <v>646</v>
      </c>
      <c r="E44" s="668" t="s">
        <v>644</v>
      </c>
      <c r="F44" s="962" t="s">
        <v>12</v>
      </c>
      <c r="G44" s="963">
        <v>0.35</v>
      </c>
      <c r="H44" s="966">
        <f>J44-'Au Cal Leaching Tank'!$T$18-SUM(H43)</f>
        <v>575.19733999999971</v>
      </c>
      <c r="I44" s="966">
        <f>H44/((720-R44)/60)</f>
        <v>47.93311166666664</v>
      </c>
      <c r="J44" s="966">
        <f>3.14*Z44*((10.7/2)^2)</f>
        <v>862.7966399999998</v>
      </c>
      <c r="K44" s="964">
        <v>1.23</v>
      </c>
      <c r="L44" s="963">
        <v>0.75</v>
      </c>
      <c r="M44" s="965">
        <f>(J44*K44*G44)-'Au Cal Leaching Tank'!$U$16-SUM(M42:M43)</f>
        <v>98.617655951999893</v>
      </c>
      <c r="N44" s="1418">
        <f>SUM(M44:M45)</f>
        <v>243.10014329199998</v>
      </c>
      <c r="O44" s="967">
        <f t="shared" si="22"/>
        <v>8.2181379959999905</v>
      </c>
      <c r="P44" s="966">
        <f t="shared" si="23"/>
        <v>12</v>
      </c>
      <c r="Q44" s="966">
        <f t="shared" si="20"/>
        <v>720</v>
      </c>
      <c r="R44" s="966">
        <f>'Milling Down Time Hours'!G43</f>
        <v>0</v>
      </c>
      <c r="S44" s="1420"/>
      <c r="T44" s="1004">
        <f>AVERAGE('LT Ball Mill'!F94:F96)</f>
        <v>0.59099999999999997</v>
      </c>
      <c r="U44" s="1004">
        <f>AVERAGE('LT Ball Mill'!G94:G96)</f>
        <v>0.96666666666666679</v>
      </c>
      <c r="V44" s="1004">
        <f>AVERAGE('LT Ball Mill'!H94:H96)</f>
        <v>16.586666666666662</v>
      </c>
      <c r="W44" s="968">
        <f t="shared" si="3"/>
        <v>58.283034667631931</v>
      </c>
      <c r="X44" s="966">
        <f t="shared" si="6"/>
        <v>95.330400753599903</v>
      </c>
      <c r="Y44" s="966">
        <f t="shared" si="4"/>
        <v>1635.7381867238378</v>
      </c>
      <c r="Z44" s="969">
        <v>9.6</v>
      </c>
      <c r="AB44" s="929">
        <f t="shared" si="5"/>
        <v>145707586.66907984</v>
      </c>
      <c r="AE44" s="1">
        <v>72</v>
      </c>
    </row>
    <row r="45" spans="1:33" ht="29.4" thickBot="1" x14ac:dyDescent="0.35">
      <c r="A45" s="1396"/>
      <c r="B45" s="1425"/>
      <c r="C45" s="1426"/>
      <c r="D45" s="987" t="s">
        <v>647</v>
      </c>
      <c r="E45" s="1041" t="s">
        <v>656</v>
      </c>
      <c r="F45" s="971" t="s">
        <v>13</v>
      </c>
      <c r="G45" s="963">
        <v>0.4</v>
      </c>
      <c r="H45" s="966">
        <f>J45-'Au Cal Leaching Tank'!$T$18-SUM(H44)</f>
        <v>332.53620500000022</v>
      </c>
      <c r="I45" s="966">
        <f>H45/((720-R45)/60)</f>
        <v>55.422700833333373</v>
      </c>
      <c r="J45" s="966">
        <f>3.14*Z45*((10.7/2)^2)</f>
        <v>1015.583545</v>
      </c>
      <c r="K45" s="964">
        <v>1.27</v>
      </c>
      <c r="L45" s="963">
        <v>0.75</v>
      </c>
      <c r="M45" s="965">
        <f>(J45*K45*G45)-'Au Cal Leaching Tank'!$U$16-SUM(M42:M44)</f>
        <v>144.48248734000009</v>
      </c>
      <c r="N45" s="1419"/>
      <c r="O45" s="967">
        <f>IFERROR(M45/P45,"")</f>
        <v>24.080414556666682</v>
      </c>
      <c r="P45" s="966">
        <f t="shared" si="23"/>
        <v>6</v>
      </c>
      <c r="Q45" s="966">
        <f t="shared" si="20"/>
        <v>360</v>
      </c>
      <c r="R45" s="966">
        <f>'Milling Down Time Hours'!G44</f>
        <v>360</v>
      </c>
      <c r="S45" s="1421"/>
      <c r="T45" s="972">
        <f>AVERAGE('LT Ball Mill'!F97:F99)</f>
        <v>0.54733333333333334</v>
      </c>
      <c r="U45" s="972">
        <f>AVERAGE('LT Ball Mill'!G97:G99)</f>
        <v>1.2333333333333332</v>
      </c>
      <c r="V45" s="972">
        <f>AVERAGE('LT Ball Mill'!H97:H99)</f>
        <v>18.656666666666666</v>
      </c>
      <c r="W45" s="968">
        <f t="shared" si="3"/>
        <v>79.080081404093377</v>
      </c>
      <c r="X45" s="966">
        <f>M45*U45</f>
        <v>178.19506771933342</v>
      </c>
      <c r="Y45" s="966">
        <f t="shared" si="4"/>
        <v>2695.5616054732682</v>
      </c>
      <c r="Z45" s="969">
        <v>11.3</v>
      </c>
      <c r="AB45" s="929">
        <f t="shared" si="5"/>
        <v>197700203.51023343</v>
      </c>
      <c r="AE45" s="1">
        <v>60</v>
      </c>
    </row>
    <row r="46" spans="1:33" ht="29.4" thickBot="1" x14ac:dyDescent="0.35">
      <c r="A46" s="1395">
        <v>10</v>
      </c>
      <c r="B46" s="1391">
        <v>46285</v>
      </c>
      <c r="C46" s="1392"/>
      <c r="D46" s="452" t="s">
        <v>508</v>
      </c>
      <c r="E46" s="452" t="s">
        <v>655</v>
      </c>
      <c r="F46" s="1036" t="s">
        <v>12</v>
      </c>
      <c r="G46" s="451" t="s">
        <v>684</v>
      </c>
      <c r="H46" s="935" t="s">
        <v>685</v>
      </c>
      <c r="I46" s="935" t="s">
        <v>686</v>
      </c>
      <c r="J46" s="1085" t="s">
        <v>687</v>
      </c>
      <c r="K46" s="451" t="s">
        <v>688</v>
      </c>
      <c r="L46" s="938" t="s">
        <v>689</v>
      </c>
      <c r="M46" s="1037" t="s">
        <v>690</v>
      </c>
      <c r="N46" s="1088" t="s">
        <v>693</v>
      </c>
      <c r="O46" s="1038" t="str">
        <f t="shared" si="22"/>
        <v/>
      </c>
      <c r="P46" s="935">
        <f t="shared" ref="P46" si="24">(720-R46)/60</f>
        <v>0</v>
      </c>
      <c r="Q46" s="935">
        <f t="shared" ref="Q46" si="25">720-R46</f>
        <v>0</v>
      </c>
      <c r="R46" s="935">
        <f>'Milling Down Time Hours'!G45</f>
        <v>720</v>
      </c>
      <c r="S46" s="452"/>
      <c r="T46" s="1039"/>
      <c r="U46" s="1039"/>
      <c r="V46" s="1040"/>
      <c r="W46" s="980" t="e">
        <f t="shared" si="3"/>
        <v>#VALUE!</v>
      </c>
      <c r="X46" s="935" t="e">
        <f t="shared" si="6"/>
        <v>#VALUE!</v>
      </c>
      <c r="Y46" s="935" t="e">
        <f t="shared" si="4"/>
        <v>#VALUE!</v>
      </c>
      <c r="Z46" s="981">
        <v>0</v>
      </c>
      <c r="AB46" s="929" t="e">
        <f>W46*$AC$5</f>
        <v>#VALUE!</v>
      </c>
      <c r="AE46" s="1">
        <v>72</v>
      </c>
    </row>
    <row r="47" spans="1:33" ht="15" customHeight="1" thickBot="1" x14ac:dyDescent="0.35">
      <c r="A47" s="1395"/>
      <c r="B47" s="1393"/>
      <c r="C47" s="1394"/>
      <c r="D47" s="1060" t="s">
        <v>509</v>
      </c>
      <c r="E47" s="1060" t="s">
        <v>655</v>
      </c>
      <c r="F47" s="948" t="s">
        <v>13</v>
      </c>
      <c r="G47" s="935" t="s">
        <v>679</v>
      </c>
      <c r="H47" s="935" t="s">
        <v>679</v>
      </c>
      <c r="I47" s="935" t="s">
        <v>679</v>
      </c>
      <c r="J47" s="935" t="s">
        <v>679</v>
      </c>
      <c r="K47" s="935" t="s">
        <v>679</v>
      </c>
      <c r="L47" s="935" t="s">
        <v>679</v>
      </c>
      <c r="M47" s="935" t="s">
        <v>679</v>
      </c>
      <c r="N47" s="935" t="s">
        <v>679</v>
      </c>
      <c r="O47" s="935" t="s">
        <v>679</v>
      </c>
      <c r="P47" s="935" t="s">
        <v>679</v>
      </c>
      <c r="Q47" s="935" t="s">
        <v>679</v>
      </c>
      <c r="R47" s="935" t="s">
        <v>679</v>
      </c>
      <c r="S47" s="935" t="s">
        <v>679</v>
      </c>
      <c r="T47" s="935" t="s">
        <v>679</v>
      </c>
      <c r="U47" s="935" t="s">
        <v>679</v>
      </c>
      <c r="V47" s="935" t="s">
        <v>679</v>
      </c>
      <c r="W47" s="935" t="s">
        <v>679</v>
      </c>
      <c r="X47" s="935" t="s">
        <v>679</v>
      </c>
      <c r="Y47" s="935" t="s">
        <v>679</v>
      </c>
      <c r="Z47" s="935" t="s">
        <v>679</v>
      </c>
      <c r="AB47" s="929" t="e">
        <f t="shared" si="5"/>
        <v>#VALUE!</v>
      </c>
      <c r="AE47" s="1">
        <v>72</v>
      </c>
    </row>
    <row r="48" spans="1:33" ht="15" customHeight="1" thickBot="1" x14ac:dyDescent="0.35">
      <c r="A48" s="1395"/>
      <c r="B48" s="1391">
        <v>46286</v>
      </c>
      <c r="C48" s="1392"/>
      <c r="D48" s="452" t="s">
        <v>508</v>
      </c>
      <c r="E48" s="452" t="s">
        <v>663</v>
      </c>
      <c r="F48" s="1036" t="s">
        <v>12</v>
      </c>
      <c r="G48" s="938">
        <v>0.3</v>
      </c>
      <c r="H48" s="935">
        <f>J48-'Au Cal Leaching Tank'!$T$18</f>
        <v>62.911834999999996</v>
      </c>
      <c r="I48" s="935">
        <f t="shared" ref="I48:I54" si="26">H48/((720-R48)/60)</f>
        <v>26.032483448275862</v>
      </c>
      <c r="J48" s="935">
        <f t="shared" ref="J48:J51" si="27">3.14*Z48*((10.7/2)^2)</f>
        <v>170.76183499999999</v>
      </c>
      <c r="K48" s="451">
        <v>1.19</v>
      </c>
      <c r="L48" s="938">
        <v>0.72</v>
      </c>
      <c r="M48" s="1037">
        <f>(J48*K48*G48)-'Au Cal Leaching Tank'!$U$17</f>
        <v>14.721287594999986</v>
      </c>
      <c r="N48" s="1386">
        <f>SUM(M48:M49)</f>
        <v>95.832260473499986</v>
      </c>
      <c r="O48" s="1038">
        <f>IFERROR(M48/P48,"")</f>
        <v>6.0915672806896497</v>
      </c>
      <c r="P48" s="935">
        <f t="shared" ref="P48:P49" si="28">(720-R48)/60</f>
        <v>2.4166666666666665</v>
      </c>
      <c r="Q48" s="935">
        <f t="shared" ref="Q48:Q49" si="29">720-R48</f>
        <v>145</v>
      </c>
      <c r="R48" s="935">
        <f>'Milling Down Time Hours'!G47</f>
        <v>575</v>
      </c>
      <c r="S48" s="1386">
        <f>SUM(M48:M54)</f>
        <v>389.3044488509999</v>
      </c>
      <c r="T48" s="1083">
        <f>AVERAGE('LT Ball Mill'!F100:F102)</f>
        <v>0.9860000000000001</v>
      </c>
      <c r="U48" s="1083">
        <f>AVERAGE('LT Ball Mill'!G100:G102)</f>
        <v>1.99</v>
      </c>
      <c r="V48" s="1083">
        <f>AVERAGE('LT Ball Mill'!H100:H102)</f>
        <v>20.026666666666667</v>
      </c>
      <c r="W48" s="935">
        <f>T48*M48</f>
        <v>14.515189568669987</v>
      </c>
      <c r="X48" s="935">
        <f>U48*M48</f>
        <v>29.295362314049971</v>
      </c>
      <c r="Y48" s="935">
        <f>V48*M48</f>
        <v>294.81831956919973</v>
      </c>
      <c r="Z48" s="981">
        <v>1.9</v>
      </c>
      <c r="AB48" s="929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95"/>
      <c r="B49" s="1393"/>
      <c r="C49" s="1394"/>
      <c r="D49" s="1078" t="s">
        <v>541</v>
      </c>
      <c r="E49" s="1084" t="s">
        <v>681</v>
      </c>
      <c r="F49" s="948" t="s">
        <v>13</v>
      </c>
      <c r="G49" s="938">
        <v>0.28999999999999998</v>
      </c>
      <c r="H49" s="935">
        <f>J49-'Au Cal Leaching Tank'!$T$18-SUM(H48)</f>
        <v>242.66155499999991</v>
      </c>
      <c r="I49" s="935">
        <f t="shared" si="26"/>
        <v>21.101004782608687</v>
      </c>
      <c r="J49" s="935">
        <f t="shared" si="27"/>
        <v>413.42338999999993</v>
      </c>
      <c r="K49" s="451">
        <v>1.1850000000000001</v>
      </c>
      <c r="L49" s="938">
        <v>0.67</v>
      </c>
      <c r="M49" s="1037">
        <f>(J49*K49*G49)-'Au Cal Leaching Tank'!$U$17-SUM(M48)</f>
        <v>81.110972878500007</v>
      </c>
      <c r="N49" s="1387"/>
      <c r="O49" s="1038">
        <f t="shared" si="22"/>
        <v>7.0531280763913049</v>
      </c>
      <c r="P49" s="935">
        <f t="shared" si="28"/>
        <v>11.5</v>
      </c>
      <c r="Q49" s="935">
        <f t="shared" si="29"/>
        <v>690</v>
      </c>
      <c r="R49" s="935">
        <f>'Milling Down Time Hours'!G48</f>
        <v>30</v>
      </c>
      <c r="S49" s="1388"/>
      <c r="T49" s="979">
        <f>AVERAGE('LT Ball Mill'!F103:F105)</f>
        <v>0.55333333333333334</v>
      </c>
      <c r="U49" s="979">
        <f>AVERAGE('LT Ball Mill'!G103:G105)</f>
        <v>1.2133333333333332</v>
      </c>
      <c r="V49" s="979">
        <f>AVERAGE('LT Ball Mill'!H103:H105)</f>
        <v>18.866666666666667</v>
      </c>
      <c r="W49" s="935">
        <f>T49*M49</f>
        <v>44.881404992770008</v>
      </c>
      <c r="X49" s="935">
        <f>U49*M49</f>
        <v>98.414647092579997</v>
      </c>
      <c r="Y49" s="935">
        <f>V49*M49</f>
        <v>1530.2936883077002</v>
      </c>
      <c r="Z49" s="981">
        <v>4.5999999999999996</v>
      </c>
      <c r="AB49" s="929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95"/>
      <c r="B50" s="1391">
        <v>46287</v>
      </c>
      <c r="C50" s="1392"/>
      <c r="D50" s="452" t="s">
        <v>682</v>
      </c>
      <c r="E50" s="452" t="s">
        <v>683</v>
      </c>
      <c r="F50" s="1036" t="s">
        <v>12</v>
      </c>
      <c r="G50" s="938">
        <v>0.35</v>
      </c>
      <c r="H50" s="935">
        <f>J50-'Au Cal Leaching Tank'!$T$18-SUM(H48:H49)</f>
        <v>143.79944</v>
      </c>
      <c r="I50" s="935">
        <f t="shared" si="26"/>
        <v>11.983286666666666</v>
      </c>
      <c r="J50" s="935">
        <f t="shared" si="27"/>
        <v>557.22282999999993</v>
      </c>
      <c r="K50" s="451">
        <v>1.2250000000000001</v>
      </c>
      <c r="L50" s="938">
        <v>0.61</v>
      </c>
      <c r="M50" s="1037">
        <f>(J50*K50*G50)-'Au Cal Leaching Tank'!$U$17-SUM(M48:M49)</f>
        <v>96.836340388999986</v>
      </c>
      <c r="N50" s="1386">
        <f>SUM(M50:M51)</f>
        <v>182.93176135649995</v>
      </c>
      <c r="O50" s="1038">
        <f t="shared" ref="O50:O53" si="30">IFERROR(M50/P50,"")</f>
        <v>8.0696950324166661</v>
      </c>
      <c r="P50" s="961">
        <f t="shared" ref="P50:P58" si="31">(720-R50)/60</f>
        <v>12</v>
      </c>
      <c r="Q50" s="961">
        <f t="shared" ref="Q50:Q51" si="32">720-R50</f>
        <v>720</v>
      </c>
      <c r="R50" s="961">
        <f>'Milling Down Time Hours'!G49</f>
        <v>0</v>
      </c>
      <c r="S50" s="1388"/>
      <c r="T50" s="1108">
        <f>AVERAGE('LT Ball Mill'!F106:F108)</f>
        <v>0.82600000000000007</v>
      </c>
      <c r="U50" s="1108">
        <f>AVERAGE('LT Ball Mill'!G106:G108)</f>
        <v>1.1100000000000001</v>
      </c>
      <c r="V50" s="1108">
        <f>AVERAGE('LT Ball Mill'!H106:H108)</f>
        <v>19.606666666666669</v>
      </c>
      <c r="W50" s="1094">
        <f>T50*M50</f>
        <v>79.986817161313994</v>
      </c>
      <c r="X50" s="961">
        <f>U50*M50</f>
        <v>107.48833783178999</v>
      </c>
      <c r="Y50" s="961">
        <f>V50*M50</f>
        <v>1898.6378472269932</v>
      </c>
      <c r="Z50" s="948">
        <v>6.2</v>
      </c>
      <c r="AE50" s="1">
        <v>72</v>
      </c>
      <c r="AG50" s="1">
        <v>69</v>
      </c>
    </row>
    <row r="51" spans="1:33" ht="15" customHeight="1" thickBot="1" x14ac:dyDescent="0.35">
      <c r="A51" s="1395"/>
      <c r="B51" s="1393"/>
      <c r="C51" s="1394"/>
      <c r="D51" s="1091" t="s">
        <v>509</v>
      </c>
      <c r="E51" s="1091" t="s">
        <v>697</v>
      </c>
      <c r="F51" s="948" t="s">
        <v>13</v>
      </c>
      <c r="G51" s="938">
        <v>0.35</v>
      </c>
      <c r="H51" s="935">
        <f>J51-'Au Cal Leaching Tank'!$T$18-SUM(H48:H50)</f>
        <v>197.72422999999992</v>
      </c>
      <c r="I51" s="935">
        <f t="shared" si="26"/>
        <v>21.375592432432423</v>
      </c>
      <c r="J51" s="935">
        <f t="shared" si="27"/>
        <v>754.94705999999985</v>
      </c>
      <c r="K51" s="451">
        <v>1.23</v>
      </c>
      <c r="L51" s="938">
        <v>0.67</v>
      </c>
      <c r="M51" s="1037">
        <f>(J51*K51*G51)-'Au Cal Leaching Tank'!$U$17-SUM(M48:M50)</f>
        <v>86.095420967499962</v>
      </c>
      <c r="N51" s="1387"/>
      <c r="O51" s="1038">
        <f t="shared" si="30"/>
        <v>9.307613077567563</v>
      </c>
      <c r="P51" s="935">
        <f t="shared" si="31"/>
        <v>9.25</v>
      </c>
      <c r="Q51" s="935">
        <f t="shared" si="32"/>
        <v>555</v>
      </c>
      <c r="R51" s="935">
        <f>'Milling Down Time Hours'!G50</f>
        <v>165</v>
      </c>
      <c r="S51" s="1388"/>
      <c r="T51" s="1120">
        <f>AVERAGE('LT Ball Mill'!F109:F111)</f>
        <v>0.749</v>
      </c>
      <c r="U51" s="1120">
        <f>AVERAGE('LT Ball Mill'!G109:G111)</f>
        <v>1.0666666666666667</v>
      </c>
      <c r="V51" s="1120">
        <f>AVERAGE('LT Ball Mill'!H109:H111)</f>
        <v>15.506666666666668</v>
      </c>
      <c r="W51" s="980">
        <f t="shared" ref="W51:W53" si="33">T51*M51</f>
        <v>64.485470304657468</v>
      </c>
      <c r="X51" s="935">
        <f t="shared" ref="X51:X53" si="34">U51*M51</f>
        <v>91.835115698666627</v>
      </c>
      <c r="Y51" s="935">
        <f t="shared" ref="Y51:Y53" si="35">V51*M51</f>
        <v>1335.0529944693662</v>
      </c>
      <c r="Z51" s="981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395"/>
      <c r="B52" s="1391">
        <v>46288</v>
      </c>
      <c r="C52" s="1392"/>
      <c r="D52" s="452" t="s">
        <v>508</v>
      </c>
      <c r="E52" s="452" t="s">
        <v>699</v>
      </c>
      <c r="F52" s="1036" t="s">
        <v>12</v>
      </c>
      <c r="G52" s="938">
        <v>0.36</v>
      </c>
      <c r="H52" s="935">
        <f>J52-'Au Cal Leaching Tank'!$T$18-SUM(H48:H51)</f>
        <v>80.887185000000045</v>
      </c>
      <c r="I52" s="935">
        <f t="shared" si="26"/>
        <v>10.784958000000007</v>
      </c>
      <c r="J52" s="935">
        <f>3.14*Z52*((10.7/2)^2)</f>
        <v>835.8342449999999</v>
      </c>
      <c r="K52" s="451">
        <v>1.2350000000000001</v>
      </c>
      <c r="L52" s="938">
        <v>0.64</v>
      </c>
      <c r="M52" s="1037">
        <f>(J52*K52*G52)-'Au Cal Leaching Tank'!$U$17-SUM(M48:M51)</f>
        <v>46.607195997000019</v>
      </c>
      <c r="N52" s="1386">
        <f>SUM(M52:M53)</f>
        <v>69.643866285000001</v>
      </c>
      <c r="O52" s="1038">
        <f t="shared" si="30"/>
        <v>6.2142927996000026</v>
      </c>
      <c r="P52" s="935">
        <f t="shared" si="31"/>
        <v>7.5</v>
      </c>
      <c r="Q52" s="935">
        <f t="shared" ref="Q52:Q53" si="36">720-R52</f>
        <v>450</v>
      </c>
      <c r="R52" s="935">
        <f>'Milling Down Time Hours'!G51</f>
        <v>270</v>
      </c>
      <c r="S52" s="1388"/>
      <c r="T52" s="1121">
        <f>AVERAGE('LT Ball Mill'!F112:F114)</f>
        <v>1.0543333333333333</v>
      </c>
      <c r="U52" s="1121">
        <f>AVERAGE('LT Ball Mill'!G112:G114)</f>
        <v>0.93333333333333324</v>
      </c>
      <c r="V52" s="1121">
        <f>AVERAGE('LT Ball Mill'!H112:H114)</f>
        <v>18.046666666666667</v>
      </c>
      <c r="W52" s="1095">
        <f t="shared" si="33"/>
        <v>49.139520312837021</v>
      </c>
      <c r="X52" s="1038">
        <f t="shared" si="34"/>
        <v>43.500049597200011</v>
      </c>
      <c r="Y52" s="1038">
        <f t="shared" si="35"/>
        <v>841.10453042586039</v>
      </c>
      <c r="Z52" s="1096">
        <v>9.3000000000000007</v>
      </c>
      <c r="AE52" s="1">
        <v>72</v>
      </c>
      <c r="AG52" s="1">
        <v>76</v>
      </c>
    </row>
    <row r="53" spans="1:33" ht="15" thickBot="1" x14ac:dyDescent="0.35">
      <c r="A53" s="1395"/>
      <c r="B53" s="1393"/>
      <c r="C53" s="1394"/>
      <c r="D53" s="1103" t="s">
        <v>509</v>
      </c>
      <c r="E53" s="1107" t="s">
        <v>702</v>
      </c>
      <c r="F53" s="948" t="s">
        <v>13</v>
      </c>
      <c r="G53" s="938">
        <v>0.35</v>
      </c>
      <c r="H53" s="935">
        <f>J53-'Au Cal Leaching Tank'!$T$18-SUM(H48:H52)</f>
        <v>80.887184999999931</v>
      </c>
      <c r="I53" s="935">
        <f t="shared" si="26"/>
        <v>6.740598749999994</v>
      </c>
      <c r="J53" s="935">
        <f>3.14*Z53*((10.7/2)^2)</f>
        <v>916.72142999999983</v>
      </c>
      <c r="K53" s="451">
        <v>1.23</v>
      </c>
      <c r="L53" s="938">
        <v>0.69</v>
      </c>
      <c r="M53" s="1037">
        <f>(J53*K53*G53)-'Au Cal Leaching Tank'!$U$17-SUM(M48:M52)</f>
        <v>23.036670287999982</v>
      </c>
      <c r="N53" s="1387"/>
      <c r="O53" s="1038">
        <f t="shared" si="30"/>
        <v>1.9197225239999984</v>
      </c>
      <c r="P53" s="935">
        <f t="shared" si="31"/>
        <v>12</v>
      </c>
      <c r="Q53" s="935">
        <f t="shared" si="36"/>
        <v>720</v>
      </c>
      <c r="R53" s="935">
        <f>'Milling Down Time Hours'!G52</f>
        <v>0</v>
      </c>
      <c r="S53" s="1388"/>
      <c r="T53" s="979">
        <f>AVERAGE('LT Ball Mill'!F115:F117)</f>
        <v>0.73499999999999999</v>
      </c>
      <c r="U53" s="979">
        <f>AVERAGE('LT Ball Mill'!G115:G117)</f>
        <v>0.64666666666666661</v>
      </c>
      <c r="V53" s="979">
        <f>AVERAGE('LT Ball Mill'!H115:H117)</f>
        <v>16.513333333333332</v>
      </c>
      <c r="W53" s="980">
        <f t="shared" si="33"/>
        <v>16.931952661679986</v>
      </c>
      <c r="X53" s="935">
        <f t="shared" si="34"/>
        <v>14.897046786239986</v>
      </c>
      <c r="Y53" s="935">
        <f t="shared" si="35"/>
        <v>380.41221535583969</v>
      </c>
      <c r="Z53" s="981">
        <v>10.199999999999999</v>
      </c>
      <c r="AE53" s="1">
        <v>72</v>
      </c>
      <c r="AG53" s="1">
        <v>74</v>
      </c>
    </row>
    <row r="54" spans="1:33" ht="15" thickBot="1" x14ac:dyDescent="0.35">
      <c r="B54" s="1443">
        <v>46289</v>
      </c>
      <c r="C54" s="1444"/>
      <c r="D54" s="452" t="s">
        <v>508</v>
      </c>
      <c r="E54" s="452" t="s">
        <v>703</v>
      </c>
      <c r="F54" s="1036" t="s">
        <v>12</v>
      </c>
      <c r="G54" s="938">
        <v>0.36</v>
      </c>
      <c r="H54" s="935">
        <f>J54-'Au Cal Leaching Tank'!$T$18-SUM(H48:H53)</f>
        <v>62.912254999999959</v>
      </c>
      <c r="I54" s="935">
        <f t="shared" si="26"/>
        <v>5.2426879166666636</v>
      </c>
      <c r="J54" s="935">
        <f>3.14*Z54*((10.7/2)^2)</f>
        <v>979.63368499999979</v>
      </c>
      <c r="K54" s="451">
        <v>1.2350000000000001</v>
      </c>
      <c r="L54" s="938">
        <v>0.74</v>
      </c>
      <c r="M54" s="1037">
        <f>(J54*K54*G54)-'Au Cal Leaching Tank'!$U$17-SUM(M48:M53)</f>
        <v>40.896560735999969</v>
      </c>
      <c r="N54" s="1386">
        <f>SUM(M54:M56)</f>
        <v>299.60957198599993</v>
      </c>
      <c r="O54" s="1386">
        <f>(N54)/24</f>
        <v>12.48373216608333</v>
      </c>
      <c r="P54" s="935">
        <f t="shared" si="31"/>
        <v>12</v>
      </c>
      <c r="Q54" s="935">
        <f t="shared" ref="Q54" si="37">720-R54</f>
        <v>720</v>
      </c>
      <c r="R54" s="935">
        <f>'Milling Down Time Hours'!G53</f>
        <v>0</v>
      </c>
      <c r="S54" s="1457"/>
      <c r="T54" s="1083">
        <f>AVERAGE('LT Ball Mill'!F118:F120)</f>
        <v>0.87766666666666671</v>
      </c>
      <c r="U54" s="1083">
        <f>AVERAGE('LT Ball Mill'!G118:G120)</f>
        <v>1.0133333333333334</v>
      </c>
      <c r="V54" s="1083">
        <f>AVERAGE('LT Ball Mill'!H118:H120)</f>
        <v>16.686666666666667</v>
      </c>
      <c r="W54" s="980">
        <f t="shared" ref="W54" si="38">T54*M54</f>
        <v>35.893548139295973</v>
      </c>
      <c r="X54" s="935">
        <f t="shared" ref="X54" si="39">U54*M54</f>
        <v>41.441848212479975</v>
      </c>
      <c r="Y54" s="935">
        <f t="shared" ref="Y54" si="40">V54*M54</f>
        <v>682.42727681471956</v>
      </c>
      <c r="Z54" s="981">
        <v>10.9</v>
      </c>
      <c r="AA54" s="10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449"/>
      <c r="C55" s="1450"/>
      <c r="D55" s="668" t="s">
        <v>508</v>
      </c>
      <c r="E55" s="668" t="s">
        <v>748</v>
      </c>
      <c r="F55" s="1147" t="s">
        <v>12</v>
      </c>
      <c r="G55" s="963">
        <v>0.36</v>
      </c>
      <c r="H55" s="966">
        <f>J55-108</f>
        <v>152.63648499999994</v>
      </c>
      <c r="I55" s="966"/>
      <c r="J55" s="966">
        <f>3.14*Z55*((10.7/2)^2)</f>
        <v>260.63648499999994</v>
      </c>
      <c r="K55" s="964">
        <v>1.24</v>
      </c>
      <c r="L55" s="963">
        <v>0.74</v>
      </c>
      <c r="M55" s="965">
        <f>(J55*G55*K55)-'Au Cal Leaching Tank'!$U$18</f>
        <v>76.227926903999972</v>
      </c>
      <c r="N55" s="1388"/>
      <c r="O55" s="1388"/>
      <c r="P55" s="966"/>
      <c r="Q55" s="966"/>
      <c r="R55" s="966"/>
      <c r="S55" s="1148"/>
      <c r="T55" s="1149">
        <f>T54</f>
        <v>0.87766666666666671</v>
      </c>
      <c r="U55" s="1149">
        <f t="shared" ref="U55:V55" si="41">U54</f>
        <v>1.0133333333333334</v>
      </c>
      <c r="V55" s="1149">
        <f t="shared" si="41"/>
        <v>16.686666666666667</v>
      </c>
      <c r="W55" s="966">
        <f>T55*$M$55</f>
        <v>66.90271051274398</v>
      </c>
      <c r="X55" s="966">
        <f t="shared" ref="X55:Y55" si="42">U55*$M$55</f>
        <v>77.244299262719977</v>
      </c>
      <c r="Y55" s="966">
        <f t="shared" si="42"/>
        <v>1271.9900069380797</v>
      </c>
      <c r="Z55" s="969">
        <v>2.9</v>
      </c>
      <c r="AA55" s="10"/>
      <c r="AE55" s="1">
        <v>82</v>
      </c>
    </row>
    <row r="56" spans="1:33" ht="15" thickBot="1" x14ac:dyDescent="0.35">
      <c r="A56" s="1381">
        <v>11</v>
      </c>
      <c r="B56" s="1445"/>
      <c r="C56" s="1446"/>
      <c r="D56" s="1119" t="s">
        <v>541</v>
      </c>
      <c r="E56" s="1125" t="s">
        <v>707</v>
      </c>
      <c r="F56" s="971" t="s">
        <v>13</v>
      </c>
      <c r="G56" s="963">
        <v>0.38</v>
      </c>
      <c r="H56" s="966">
        <f>J56-'Au Cal Leaching Tank'!$T$18</f>
        <v>521.27254999999991</v>
      </c>
      <c r="I56" s="966">
        <f>H56/((720-R56)/60)</f>
        <v>43.439379166666662</v>
      </c>
      <c r="J56" s="966">
        <f>3.14*Z56*((10.7/2)^2)</f>
        <v>629.12254999999993</v>
      </c>
      <c r="K56" s="1124">
        <v>1.25</v>
      </c>
      <c r="L56" s="963">
        <v>0.77</v>
      </c>
      <c r="M56" s="965">
        <f>(J56*G56*K56)-'Au Cal Leaching Tank'!$U$18-SUM(M55)</f>
        <v>182.48508434600001</v>
      </c>
      <c r="N56" s="1387"/>
      <c r="O56" s="1457"/>
      <c r="P56" s="966">
        <f t="shared" si="31"/>
        <v>12</v>
      </c>
      <c r="Q56" s="966">
        <f>720-R56</f>
        <v>720</v>
      </c>
      <c r="R56" s="966">
        <f>'Milling Down Time Hours'!G54</f>
        <v>0</v>
      </c>
      <c r="S56" s="1418">
        <f>SUM(M55:M59)</f>
        <v>354.52837561499985</v>
      </c>
      <c r="T56" s="972">
        <f>AVERAGE('LT Ball Mill'!F121:F123)</f>
        <v>0.57966666666666666</v>
      </c>
      <c r="U56" s="972">
        <f>AVERAGE('LT Ball Mill'!G121:G123)</f>
        <v>1.8533333333333333</v>
      </c>
      <c r="V56" s="972">
        <f>AVERAGE('LT Ball Mill'!H121:H123)</f>
        <v>17.643333333333334</v>
      </c>
      <c r="W56" s="966">
        <f>T56*$M$56</f>
        <v>105.78052055923133</v>
      </c>
      <c r="X56" s="966">
        <f t="shared" ref="X56:Y56" si="43">U56*$M$56</f>
        <v>338.20568965458665</v>
      </c>
      <c r="Y56" s="966">
        <f t="shared" si="43"/>
        <v>3219.6451714779269</v>
      </c>
      <c r="Z56" s="969">
        <v>7</v>
      </c>
      <c r="AA56" s="10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381"/>
      <c r="B57" s="1423">
        <v>46290</v>
      </c>
      <c r="C57" s="1424"/>
      <c r="D57" s="668" t="s">
        <v>682</v>
      </c>
      <c r="E57" s="668" t="s">
        <v>708</v>
      </c>
      <c r="F57" s="962" t="s">
        <v>12</v>
      </c>
      <c r="G57" s="963">
        <v>0.35</v>
      </c>
      <c r="H57" s="966">
        <f>J57-'Au Cal Leaching Tank'!$T$18-SUM(H56)</f>
        <v>251.64901999999995</v>
      </c>
      <c r="I57" s="966">
        <f>H57/((720-R57)/60)</f>
        <v>27.010628264758491</v>
      </c>
      <c r="J57" s="966">
        <f t="shared" ref="J57:J64" si="44">3.14*Z57*((10.7/2)^2)</f>
        <v>880.77156999999988</v>
      </c>
      <c r="K57" s="964">
        <v>1.23</v>
      </c>
      <c r="L57" s="963">
        <v>0.77</v>
      </c>
      <c r="M57" s="965">
        <f>(J57*G57*K57)-'Au Cal Leaching Tank'!$U$18-SUM(M55:M56)</f>
        <v>80.338949634999892</v>
      </c>
      <c r="N57" s="1418">
        <f>SUM(M57:M58)</f>
        <v>91.946260682499883</v>
      </c>
      <c r="O57" s="1109"/>
      <c r="P57" s="966">
        <f t="shared" si="31"/>
        <v>9.3166666666666664</v>
      </c>
      <c r="Q57" s="966">
        <f t="shared" ref="Q57:Q58" si="45">720-R57</f>
        <v>559</v>
      </c>
      <c r="R57" s="966">
        <f>'Milling Down Time Hours'!G55</f>
        <v>161</v>
      </c>
      <c r="S57" s="1420"/>
      <c r="T57" s="1004">
        <f>AVERAGE('LT Ball Mill'!F124:F126)</f>
        <v>0.73</v>
      </c>
      <c r="U57" s="1004">
        <f>AVERAGE('LT Ball Mill'!G124:G126)</f>
        <v>1.2166666666666668</v>
      </c>
      <c r="V57" s="1004">
        <f>AVERAGE('LT Ball Mill'!H124:H126)</f>
        <v>20.023333333333337</v>
      </c>
      <c r="W57" s="968">
        <f>T57*$M$57</f>
        <v>58.647433233549918</v>
      </c>
      <c r="X57" s="968">
        <f t="shared" ref="X57:Y57" si="46">U57*$M$57</f>
        <v>97.745722055916545</v>
      </c>
      <c r="Y57" s="968">
        <f t="shared" si="46"/>
        <v>1608.6535681914816</v>
      </c>
      <c r="Z57" s="969">
        <v>9.8000000000000007</v>
      </c>
      <c r="AE57" s="1">
        <v>80</v>
      </c>
      <c r="AG57" s="1">
        <v>82</v>
      </c>
    </row>
    <row r="58" spans="1:33" ht="15" thickBot="1" x14ac:dyDescent="0.35">
      <c r="A58" s="1381"/>
      <c r="B58" s="1425"/>
      <c r="C58" s="1426"/>
      <c r="D58" s="1119" t="s">
        <v>541</v>
      </c>
      <c r="E58" s="1139" t="s">
        <v>746</v>
      </c>
      <c r="F58" s="971" t="s">
        <v>13</v>
      </c>
      <c r="G58" s="963">
        <v>0.35</v>
      </c>
      <c r="H58" s="966">
        <f>J58-'Au Cal Leaching Tank'!$T$18-SUM(H56:H57)</f>
        <v>26.962394999999901</v>
      </c>
      <c r="I58" s="966"/>
      <c r="J58" s="966">
        <f t="shared" si="44"/>
        <v>907.73396499999978</v>
      </c>
      <c r="K58" s="964">
        <v>1.23</v>
      </c>
      <c r="L58" s="963">
        <v>0.77</v>
      </c>
      <c r="M58" s="965">
        <f>(J58*G58*K58)-'Au Cal Leaching Tank'!$U$18-SUM(M55:M57)</f>
        <v>11.607311047499991</v>
      </c>
      <c r="N58" s="1419"/>
      <c r="O58" s="1109"/>
      <c r="P58" s="966">
        <f t="shared" si="31"/>
        <v>0</v>
      </c>
      <c r="Q58" s="966">
        <f t="shared" si="45"/>
        <v>0</v>
      </c>
      <c r="R58" s="966">
        <f>'Milling Down Time Hours'!G56</f>
        <v>720</v>
      </c>
      <c r="S58" s="1421"/>
      <c r="T58" s="972">
        <f>T57</f>
        <v>0.73</v>
      </c>
      <c r="U58" s="972">
        <f t="shared" ref="U58:V59" si="47">U57</f>
        <v>1.2166666666666668</v>
      </c>
      <c r="V58" s="972">
        <f t="shared" si="47"/>
        <v>20.023333333333337</v>
      </c>
      <c r="W58" s="968">
        <f>T58*$M$58</f>
        <v>8.4733370646749933</v>
      </c>
      <c r="X58" s="968">
        <f t="shared" ref="X58:Y58" si="48">U58*$M$58</f>
        <v>14.122228441124991</v>
      </c>
      <c r="Y58" s="968">
        <f t="shared" si="48"/>
        <v>232.41705820777486</v>
      </c>
      <c r="Z58" s="969">
        <v>10.1</v>
      </c>
      <c r="AG58" s="1">
        <v>83</v>
      </c>
    </row>
    <row r="59" spans="1:33" ht="15" thickBot="1" x14ac:dyDescent="0.35">
      <c r="A59" s="1380">
        <v>12</v>
      </c>
      <c r="B59" s="1391">
        <v>46291</v>
      </c>
      <c r="C59" s="1392"/>
      <c r="D59" s="668"/>
      <c r="E59" s="668"/>
      <c r="F59" s="962" t="s">
        <v>12</v>
      </c>
      <c r="G59" s="963">
        <v>0.35</v>
      </c>
      <c r="H59" s="966"/>
      <c r="I59" s="966"/>
      <c r="J59" s="966">
        <f t="shared" si="44"/>
        <v>916.72142999999983</v>
      </c>
      <c r="K59" s="964">
        <v>1.23</v>
      </c>
      <c r="L59" s="964"/>
      <c r="M59" s="965">
        <f>(J59*G59*K59)-'Au Cal Leaching Tank'!$U$18-SUM(M55:M58)</f>
        <v>3.8691036824999969</v>
      </c>
      <c r="N59" s="964"/>
      <c r="O59" s="1109"/>
      <c r="P59" s="966">
        <f t="shared" ref="P59:P61" si="49">(720-R59)/60</f>
        <v>0</v>
      </c>
      <c r="Q59" s="966">
        <f t="shared" ref="Q59:Q61" si="50">720-R59</f>
        <v>0</v>
      </c>
      <c r="R59" s="966">
        <f>'Milling Down Time Hours'!G57</f>
        <v>720</v>
      </c>
      <c r="S59" s="668"/>
      <c r="T59" s="1004">
        <f>T58</f>
        <v>0.73</v>
      </c>
      <c r="U59" s="1004">
        <f t="shared" si="47"/>
        <v>1.2166666666666668</v>
      </c>
      <c r="V59" s="1004">
        <f t="shared" si="47"/>
        <v>20.023333333333337</v>
      </c>
      <c r="W59" s="968">
        <f>T59*$M$59</f>
        <v>2.8244456882249978</v>
      </c>
      <c r="X59" s="968">
        <f t="shared" ref="X59:Y59" si="51">U59*$M$59</f>
        <v>4.7074094803749968</v>
      </c>
      <c r="Y59" s="968">
        <f t="shared" si="51"/>
        <v>77.472352735924957</v>
      </c>
      <c r="Z59" s="969">
        <v>10.199999999999999</v>
      </c>
      <c r="AG59" s="1">
        <v>80</v>
      </c>
    </row>
    <row r="60" spans="1:33" ht="15" thickBot="1" x14ac:dyDescent="0.35">
      <c r="A60" s="1380"/>
      <c r="B60" s="1393"/>
      <c r="C60" s="1394"/>
      <c r="D60" s="911"/>
      <c r="E60" s="911"/>
      <c r="F60" s="948" t="s">
        <v>13</v>
      </c>
      <c r="G60" s="451"/>
      <c r="H60" s="935"/>
      <c r="I60" s="935"/>
      <c r="J60" s="935">
        <f>3.14*Z60*((10.7/2)^2)</f>
        <v>0</v>
      </c>
      <c r="K60" s="451"/>
      <c r="L60" s="451"/>
      <c r="M60" s="1037">
        <f t="shared" si="7"/>
        <v>0</v>
      </c>
      <c r="N60" s="451"/>
      <c r="O60" s="1140"/>
      <c r="P60" s="935">
        <f t="shared" si="49"/>
        <v>0</v>
      </c>
      <c r="Q60" s="935">
        <f t="shared" si="50"/>
        <v>0</v>
      </c>
      <c r="R60" s="935">
        <f>'Milling Down Time Hours'!G58</f>
        <v>720</v>
      </c>
      <c r="S60" s="452"/>
      <c r="T60" s="1141"/>
      <c r="U60" s="1141"/>
      <c r="V60" s="1142"/>
      <c r="W60" s="980"/>
      <c r="X60" s="935"/>
      <c r="Y60" s="935"/>
      <c r="Z60" s="981"/>
      <c r="AG60" s="1">
        <v>80</v>
      </c>
    </row>
    <row r="61" spans="1:33" ht="15" thickBot="1" x14ac:dyDescent="0.35">
      <c r="A61" s="1380"/>
      <c r="B61" s="1391">
        <v>46292</v>
      </c>
      <c r="C61" s="1392"/>
      <c r="D61" s="452" t="s">
        <v>508</v>
      </c>
      <c r="E61" s="452" t="s">
        <v>753</v>
      </c>
      <c r="F61" s="1036" t="s">
        <v>12</v>
      </c>
      <c r="G61" s="938">
        <v>0.34</v>
      </c>
      <c r="H61" s="935">
        <f>J61-'Au Cal Leaching Tank'!$T$19</f>
        <v>17.824509999999975</v>
      </c>
      <c r="I61" s="935">
        <f t="shared" ref="I61:I62" si="52">H61/((720-R61)/60)</f>
        <v>2.2280637499999969</v>
      </c>
      <c r="J61" s="935">
        <f t="shared" si="44"/>
        <v>125.82450999999998</v>
      </c>
      <c r="K61" s="451">
        <v>1.22</v>
      </c>
      <c r="L61" s="938">
        <v>0.75</v>
      </c>
      <c r="M61" s="1037">
        <f>(J61*K61*G61)-'Au Cal Leaching Tank'!$U$19</f>
        <v>5.6980067479999974</v>
      </c>
      <c r="N61" s="1386">
        <f>SUM(M61:M62)</f>
        <v>100.53193993499997</v>
      </c>
      <c r="O61" s="935">
        <f>(M61/P61)</f>
        <v>0.71225084349999968</v>
      </c>
      <c r="P61" s="935">
        <f t="shared" si="49"/>
        <v>8</v>
      </c>
      <c r="Q61" s="935">
        <f t="shared" si="50"/>
        <v>480</v>
      </c>
      <c r="R61" s="935">
        <f>'Milling Down Time Hours'!G59</f>
        <v>240</v>
      </c>
      <c r="S61" s="1377">
        <f>SUM(M61:M65)</f>
        <v>385.05530941200004</v>
      </c>
      <c r="T61" s="1083">
        <f>AVERAGE('LT Ball Mill'!F130:F132)</f>
        <v>0.52033333333333331</v>
      </c>
      <c r="U61" s="1083">
        <f>AVERAGE('LT Ball Mill'!G130:G132)</f>
        <v>1.1033333333333333</v>
      </c>
      <c r="V61" s="1083">
        <f>AVERAGE('LT Ball Mill'!H130:H132)</f>
        <v>13.643333333333333</v>
      </c>
      <c r="W61" s="980">
        <f>M61*T61</f>
        <v>2.9648628445426652</v>
      </c>
      <c r="X61" s="980">
        <f>M61*U61</f>
        <v>6.2868007786266631</v>
      </c>
      <c r="Y61" s="935">
        <f>M61*V61</f>
        <v>77.739805398546622</v>
      </c>
      <c r="Z61" s="981">
        <v>1.4</v>
      </c>
      <c r="AG61" s="1">
        <v>78</v>
      </c>
    </row>
    <row r="62" spans="1:33" ht="15" thickBot="1" x14ac:dyDescent="0.35">
      <c r="A62" s="1380"/>
      <c r="B62" s="1393"/>
      <c r="C62" s="1394"/>
      <c r="D62" s="1169" t="s">
        <v>508</v>
      </c>
      <c r="E62" s="1169" t="s">
        <v>754</v>
      </c>
      <c r="F62" s="948" t="s">
        <v>13</v>
      </c>
      <c r="G62" s="938">
        <v>0.35</v>
      </c>
      <c r="H62" s="935">
        <f>(J62)-'Au Cal Leaching Tank'!$T$19-SUM(H61)</f>
        <v>215.69916000000001</v>
      </c>
      <c r="I62" s="935">
        <f t="shared" si="52"/>
        <v>19.609014545454546</v>
      </c>
      <c r="J62" s="935">
        <f t="shared" si="44"/>
        <v>341.52366999999998</v>
      </c>
      <c r="K62" s="451">
        <v>1.23</v>
      </c>
      <c r="L62" s="938">
        <v>0.72</v>
      </c>
      <c r="M62" s="1037">
        <f>(J62*K62*G62)-'Au Cal Leaching Tank'!$U$19-SUM(M61)</f>
        <v>94.833933186999971</v>
      </c>
      <c r="N62" s="1387"/>
      <c r="O62" s="935">
        <f>(M62/P62)</f>
        <v>8.6212666533636337</v>
      </c>
      <c r="P62" s="935">
        <f t="shared" ref="P62:P63" si="53">(720-R62)/60</f>
        <v>11</v>
      </c>
      <c r="Q62" s="935">
        <f t="shared" ref="Q62:Q63" si="54">720-R62</f>
        <v>660</v>
      </c>
      <c r="R62" s="935">
        <f>'Milling Down Time Hours'!G60</f>
        <v>60.000000000000007</v>
      </c>
      <c r="S62" s="1378"/>
      <c r="T62" s="979">
        <f>AVERAGE('LT Ball Mill'!F133:F135)</f>
        <v>0.74766666666666659</v>
      </c>
      <c r="U62" s="979">
        <f>AVERAGE('LT Ball Mill'!G133:G135)</f>
        <v>1.4400000000000002</v>
      </c>
      <c r="V62" s="979">
        <f>AVERAGE('LT Ball Mill'!H133:H135)</f>
        <v>15.363333333333335</v>
      </c>
      <c r="W62" s="980">
        <f>M62*T62</f>
        <v>70.904170712813638</v>
      </c>
      <c r="X62" s="935">
        <f>M62*U62</f>
        <v>136.56086378927998</v>
      </c>
      <c r="Y62" s="935">
        <f>M62*V62</f>
        <v>1456.9653268629431</v>
      </c>
      <c r="Z62" s="981">
        <v>3.8</v>
      </c>
      <c r="AG62" s="1">
        <v>67</v>
      </c>
    </row>
    <row r="63" spans="1:33" ht="15" thickBot="1" x14ac:dyDescent="0.35">
      <c r="A63" s="1380"/>
      <c r="B63" s="1391">
        <v>46293</v>
      </c>
      <c r="C63" s="1392"/>
      <c r="D63" s="452" t="s">
        <v>541</v>
      </c>
      <c r="E63" s="452" t="s">
        <v>755</v>
      </c>
      <c r="F63" s="1036" t="s">
        <v>12</v>
      </c>
      <c r="G63" s="938">
        <v>0.35</v>
      </c>
      <c r="H63" s="935">
        <f>(J63)-'Au Cal Leaching Tank'!$T$19-SUM(H61:H62)</f>
        <v>188.73676500000005</v>
      </c>
      <c r="I63" s="935">
        <f t="shared" ref="I63" si="55">H63/((720-R63)/60)</f>
        <v>15.728063750000004</v>
      </c>
      <c r="J63" s="935">
        <f t="shared" si="44"/>
        <v>530.26043500000003</v>
      </c>
      <c r="K63" s="451">
        <v>1.23</v>
      </c>
      <c r="L63" s="938">
        <v>0.71</v>
      </c>
      <c r="M63" s="1037">
        <f>(J63*K63*G63)-'Au Cal Leaching Tank'!$U$19-SUM(M61:M62)</f>
        <v>81.251177332500021</v>
      </c>
      <c r="N63" s="1386">
        <f>SUM(M63:M64)</f>
        <v>158.63325098249993</v>
      </c>
      <c r="O63" s="935">
        <f t="shared" ref="O63:O66" si="56">(M63/P63)</f>
        <v>6.7709314443750017</v>
      </c>
      <c r="P63" s="935">
        <f t="shared" si="53"/>
        <v>12</v>
      </c>
      <c r="Q63" s="935">
        <f t="shared" si="54"/>
        <v>720</v>
      </c>
      <c r="R63" s="935">
        <f>'Milling Down Time Hours'!G61</f>
        <v>0</v>
      </c>
      <c r="S63" s="1378"/>
      <c r="T63" s="1083">
        <f>AVERAGE('LT Ball Mill'!F136:F138)</f>
        <v>0.58499999999999996</v>
      </c>
      <c r="U63" s="1083">
        <f>AVERAGE('LT Ball Mill'!G136:G138)</f>
        <v>1.0999999999999999</v>
      </c>
      <c r="V63" s="1083">
        <f>AVERAGE('LT Ball Mill'!H136:H138)</f>
        <v>14.276666666666666</v>
      </c>
      <c r="W63" s="980">
        <f>M63*T63</f>
        <v>47.531938739512512</v>
      </c>
      <c r="X63" s="980">
        <f>M63*U63</f>
        <v>89.376295065750014</v>
      </c>
      <c r="Y63" s="935">
        <f>M63*V63</f>
        <v>1159.9959750503251</v>
      </c>
      <c r="Z63" s="981">
        <v>5.9</v>
      </c>
      <c r="AG63" s="1">
        <v>72</v>
      </c>
    </row>
    <row r="64" spans="1:33" ht="15" thickBot="1" x14ac:dyDescent="0.35">
      <c r="A64" s="1380"/>
      <c r="B64" s="1393"/>
      <c r="C64" s="1394"/>
      <c r="D64" s="1170" t="s">
        <v>756</v>
      </c>
      <c r="E64" s="1170" t="s">
        <v>755</v>
      </c>
      <c r="F64" s="948" t="s">
        <v>13</v>
      </c>
      <c r="G64" s="938">
        <v>0.35</v>
      </c>
      <c r="H64" s="935">
        <f>(J64)-'Au Cal Leaching Tank'!$T$19-SUM(H61:H63)</f>
        <v>179.74929999999983</v>
      </c>
      <c r="I64" s="935">
        <f t="shared" ref="I64:I65" si="57">H64/((720-R64)/60)</f>
        <v>14.97910833333332</v>
      </c>
      <c r="J64" s="935">
        <f t="shared" si="44"/>
        <v>710.00973499999986</v>
      </c>
      <c r="K64" s="451">
        <v>1.23</v>
      </c>
      <c r="L64" s="938">
        <v>0.71</v>
      </c>
      <c r="M64" s="1037">
        <f>(J64*K64*G64)-'Au Cal Leaching Tank'!$U$19-SUM(M61:M63)</f>
        <v>77.38207364999991</v>
      </c>
      <c r="N64" s="1387"/>
      <c r="O64" s="935">
        <f t="shared" si="56"/>
        <v>6.4485061374999928</v>
      </c>
      <c r="P64" s="935">
        <f t="shared" ref="P64" si="58">(720-R64)/60</f>
        <v>12</v>
      </c>
      <c r="Q64" s="935">
        <f t="shared" ref="Q64" si="59">720-R64</f>
        <v>720</v>
      </c>
      <c r="R64" s="935">
        <f>'Milling Down Time Hours'!G62</f>
        <v>0</v>
      </c>
      <c r="S64" s="1378"/>
      <c r="T64" s="979">
        <f>AVERAGE('LT Ball Mill'!F139:F141)</f>
        <v>0.54866666666666664</v>
      </c>
      <c r="U64" s="979">
        <f>AVERAGE('LT Ball Mill'!G139:G141)</f>
        <v>2.0799999999999996</v>
      </c>
      <c r="V64" s="979">
        <f>AVERAGE('LT Ball Mill'!H139:H141)</f>
        <v>17.903333333333336</v>
      </c>
      <c r="W64" s="980">
        <f t="shared" ref="W64:W99" si="60">T64*M64</f>
        <v>42.45696440929995</v>
      </c>
      <c r="X64" s="935">
        <f t="shared" ref="X64:X99" si="61">M64*U64</f>
        <v>160.95471319199979</v>
      </c>
      <c r="Y64" s="935">
        <f t="shared" ref="Y64:Y99" si="62">M64*V64</f>
        <v>1385.3970585804987</v>
      </c>
      <c r="Z64" s="981">
        <v>7.9</v>
      </c>
      <c r="AG64" s="1">
        <v>78</v>
      </c>
    </row>
    <row r="65" spans="1:30" ht="15" thickBot="1" x14ac:dyDescent="0.35">
      <c r="A65" s="677"/>
      <c r="B65" s="1423">
        <v>46294</v>
      </c>
      <c r="C65" s="1424"/>
      <c r="D65" s="452" t="s">
        <v>542</v>
      </c>
      <c r="E65" s="452" t="s">
        <v>760</v>
      </c>
      <c r="F65" s="1036" t="s">
        <v>12</v>
      </c>
      <c r="G65" s="938">
        <v>0.36</v>
      </c>
      <c r="H65" s="935">
        <f>(J65)-'Au Cal Leaching Tank'!$T$19-SUM(H61:H64)</f>
        <v>260.63648500000011</v>
      </c>
      <c r="I65" s="935">
        <f t="shared" si="57"/>
        <v>22.340270142857154</v>
      </c>
      <c r="J65" s="935">
        <f>3.14*Z65*((10.7/2)^2)</f>
        <v>970.64621999999997</v>
      </c>
      <c r="K65" s="451">
        <v>1.2350000000000001</v>
      </c>
      <c r="L65" s="938">
        <v>0.71</v>
      </c>
      <c r="M65" s="1037">
        <f>(J65*K65*G65)-'Au Cal Leaching Tank'!$U$19-SUM(M61:M64)</f>
        <v>125.89011849450014</v>
      </c>
      <c r="N65" s="1418">
        <f>SUM(M65:M66)</f>
        <v>125.89011849450014</v>
      </c>
      <c r="O65" s="935">
        <f t="shared" si="56"/>
        <v>10.790581585242871</v>
      </c>
      <c r="P65" s="935">
        <f t="shared" ref="P65:P66" si="63">(720-R65)/60</f>
        <v>11.666666666666666</v>
      </c>
      <c r="Q65" s="935">
        <f t="shared" ref="Q65:Q66" si="64">720-R65</f>
        <v>700</v>
      </c>
      <c r="R65" s="935">
        <f>'Milling Down Time Hours'!G63</f>
        <v>20</v>
      </c>
      <c r="S65" s="1379"/>
      <c r="T65" s="1174"/>
      <c r="U65" s="1174"/>
      <c r="V65" s="1175"/>
      <c r="W65" s="980">
        <f t="shared" si="60"/>
        <v>0</v>
      </c>
      <c r="X65" s="935">
        <f t="shared" si="61"/>
        <v>0</v>
      </c>
      <c r="Y65" s="935">
        <f t="shared" si="62"/>
        <v>0</v>
      </c>
      <c r="Z65" s="981">
        <v>10.8</v>
      </c>
    </row>
    <row r="66" spans="1:30" ht="15" thickBot="1" x14ac:dyDescent="0.35">
      <c r="A66" s="677"/>
      <c r="B66" s="1425"/>
      <c r="C66" s="1426"/>
      <c r="D66" s="970"/>
      <c r="E66" s="1188" t="s">
        <v>766</v>
      </c>
      <c r="F66" s="971" t="s">
        <v>13</v>
      </c>
      <c r="G66" s="964"/>
      <c r="H66" s="964"/>
      <c r="I66" s="1109"/>
      <c r="J66" s="964"/>
      <c r="K66" s="964"/>
      <c r="L66" s="964"/>
      <c r="M66" s="965">
        <f t="shared" si="7"/>
        <v>0</v>
      </c>
      <c r="N66" s="1421"/>
      <c r="O66" s="966">
        <f t="shared" si="56"/>
        <v>0</v>
      </c>
      <c r="P66" s="966">
        <f t="shared" si="63"/>
        <v>12</v>
      </c>
      <c r="Q66" s="966">
        <f t="shared" si="64"/>
        <v>720</v>
      </c>
      <c r="R66" s="966">
        <f>'Milling Down Time Hours'!G64</f>
        <v>0</v>
      </c>
      <c r="S66" s="668"/>
      <c r="T66" s="1186"/>
      <c r="U66" s="1186"/>
      <c r="V66" s="1187"/>
      <c r="W66" s="968">
        <f t="shared" si="60"/>
        <v>0</v>
      </c>
      <c r="X66" s="966">
        <f t="shared" si="61"/>
        <v>0</v>
      </c>
      <c r="Y66" s="966">
        <f t="shared" si="62"/>
        <v>0</v>
      </c>
      <c r="Z66" s="969"/>
    </row>
    <row r="67" spans="1:30" ht="15" thickBot="1" x14ac:dyDescent="0.35">
      <c r="B67" s="1443">
        <v>46295</v>
      </c>
      <c r="C67" s="1444"/>
      <c r="D67" s="13"/>
      <c r="E67" s="13"/>
      <c r="F67" s="918" t="s">
        <v>12</v>
      </c>
      <c r="G67" s="233"/>
      <c r="H67" s="233"/>
      <c r="I67" s="873"/>
      <c r="J67" s="233"/>
      <c r="K67" s="233"/>
      <c r="L67" s="233"/>
      <c r="M67" s="886">
        <f t="shared" si="7"/>
        <v>0</v>
      </c>
      <c r="N67" s="233"/>
      <c r="O67" s="873"/>
      <c r="P67" s="890"/>
      <c r="Q67" s="868"/>
      <c r="R67" s="890"/>
      <c r="S67" s="13"/>
      <c r="T67" s="990"/>
      <c r="U67" s="990"/>
      <c r="V67" s="995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6"/>
    </row>
    <row r="68" spans="1:30" ht="15" thickBot="1" x14ac:dyDescent="0.35">
      <c r="B68" s="1445"/>
      <c r="C68" s="1446"/>
      <c r="D68" s="36"/>
      <c r="E68" s="36"/>
      <c r="F68" s="909" t="s">
        <v>13</v>
      </c>
      <c r="G68" s="233"/>
      <c r="H68" s="233"/>
      <c r="I68" s="873"/>
      <c r="J68" s="233"/>
      <c r="K68" s="233"/>
      <c r="L68" s="233"/>
      <c r="M68" s="886">
        <f t="shared" si="7"/>
        <v>0</v>
      </c>
      <c r="N68" s="233"/>
      <c r="O68" s="873"/>
      <c r="P68" s="932"/>
      <c r="Q68" s="891"/>
      <c r="R68" s="1447">
        <f>'Milling Down Time Hours'!L73</f>
        <v>0</v>
      </c>
      <c r="S68" s="13"/>
      <c r="T68" s="989"/>
      <c r="U68" s="989"/>
      <c r="V68" s="994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6"/>
    </row>
    <row r="69" spans="1:30" ht="15" thickBot="1" x14ac:dyDescent="0.35">
      <c r="B69" s="1443">
        <v>46296</v>
      </c>
      <c r="C69" s="1444"/>
      <c r="D69" s="13"/>
      <c r="E69" s="13"/>
      <c r="F69" s="918" t="s">
        <v>12</v>
      </c>
      <c r="G69" s="233"/>
      <c r="H69" s="233"/>
      <c r="I69" s="873"/>
      <c r="J69" s="233"/>
      <c r="K69" s="233"/>
      <c r="L69" s="233"/>
      <c r="M69" s="886">
        <f t="shared" si="7"/>
        <v>0</v>
      </c>
      <c r="N69" s="233"/>
      <c r="O69" s="873"/>
      <c r="P69" s="933"/>
      <c r="Q69" s="892"/>
      <c r="R69" s="1448"/>
      <c r="S69" s="13"/>
      <c r="T69" s="990"/>
      <c r="U69" s="990"/>
      <c r="V69" s="995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6"/>
    </row>
    <row r="70" spans="1:30" ht="15" thickBot="1" x14ac:dyDescent="0.35">
      <c r="B70" s="1445"/>
      <c r="C70" s="1446"/>
      <c r="D70" s="36"/>
      <c r="E70" s="36"/>
      <c r="F70" s="909" t="s">
        <v>13</v>
      </c>
      <c r="G70" s="233"/>
      <c r="H70" s="233"/>
      <c r="I70" s="873"/>
      <c r="J70" s="233"/>
      <c r="K70" s="233"/>
      <c r="L70" s="233"/>
      <c r="M70" s="886">
        <f t="shared" si="7"/>
        <v>0</v>
      </c>
      <c r="N70" s="233"/>
      <c r="O70" s="873"/>
      <c r="P70" s="931"/>
      <c r="Q70" s="867"/>
      <c r="R70" s="1447">
        <f>'Milling Down Time Hours'!L75</f>
        <v>0</v>
      </c>
      <c r="S70" s="13"/>
      <c r="T70" s="989"/>
      <c r="U70" s="989"/>
      <c r="V70" s="992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6"/>
    </row>
    <row r="71" spans="1:30" ht="15" thickBot="1" x14ac:dyDescent="0.35">
      <c r="B71" s="1443">
        <v>46297</v>
      </c>
      <c r="C71" s="1444"/>
      <c r="D71" s="13"/>
      <c r="E71" s="13"/>
      <c r="F71" s="918" t="s">
        <v>12</v>
      </c>
      <c r="G71" s="233"/>
      <c r="H71" s="13"/>
      <c r="I71" s="873"/>
      <c r="J71" s="233"/>
      <c r="K71" s="233"/>
      <c r="L71" s="233"/>
      <c r="M71" s="886">
        <f t="shared" si="7"/>
        <v>0</v>
      </c>
      <c r="N71" s="233"/>
      <c r="O71" s="873"/>
      <c r="P71" s="890"/>
      <c r="Q71" s="868"/>
      <c r="R71" s="1448"/>
      <c r="S71" s="13"/>
      <c r="T71" s="990"/>
      <c r="U71" s="990"/>
      <c r="V71" s="993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6"/>
    </row>
    <row r="72" spans="1:30" ht="15" thickBot="1" x14ac:dyDescent="0.35">
      <c r="B72" s="1445"/>
      <c r="C72" s="1446"/>
      <c r="D72" s="36"/>
      <c r="E72" s="36"/>
      <c r="F72" s="909" t="s">
        <v>13</v>
      </c>
      <c r="G72" s="883"/>
      <c r="H72" s="13"/>
      <c r="I72" s="873"/>
      <c r="J72" s="233"/>
      <c r="K72" s="233"/>
      <c r="L72" s="883"/>
      <c r="M72" s="886">
        <f t="shared" si="7"/>
        <v>0</v>
      </c>
      <c r="N72" s="883"/>
      <c r="O72" s="873"/>
      <c r="P72" s="931"/>
      <c r="Q72" s="867"/>
      <c r="R72" s="1447">
        <f>'Milling Down Time Hours'!L77</f>
        <v>0</v>
      </c>
      <c r="S72" s="13"/>
      <c r="T72" s="989"/>
      <c r="U72" s="989"/>
      <c r="V72" s="992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6"/>
    </row>
    <row r="73" spans="1:30" ht="15" thickBot="1" x14ac:dyDescent="0.35">
      <c r="B73" s="1443">
        <v>46298</v>
      </c>
      <c r="C73" s="1444"/>
      <c r="D73" s="13"/>
      <c r="E73" s="13"/>
      <c r="F73" s="918" t="s">
        <v>12</v>
      </c>
      <c r="G73" s="233"/>
      <c r="H73" s="13"/>
      <c r="I73" s="873"/>
      <c r="J73" s="233"/>
      <c r="K73" s="233"/>
      <c r="L73" s="233"/>
      <c r="M73" s="886">
        <f t="shared" si="7"/>
        <v>0</v>
      </c>
      <c r="N73" s="233"/>
      <c r="O73" s="873"/>
      <c r="P73" s="890"/>
      <c r="Q73" s="868"/>
      <c r="R73" s="1448"/>
      <c r="S73" s="13"/>
      <c r="T73" s="990"/>
      <c r="U73" s="990"/>
      <c r="V73" s="993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6"/>
    </row>
    <row r="74" spans="1:30" ht="15" thickBot="1" x14ac:dyDescent="0.35">
      <c r="B74" s="1445"/>
      <c r="C74" s="1446"/>
      <c r="D74" s="36"/>
      <c r="E74" s="36"/>
      <c r="F74" s="909" t="s">
        <v>13</v>
      </c>
      <c r="G74" s="883"/>
      <c r="H74" s="13"/>
      <c r="I74" s="873"/>
      <c r="J74" s="233"/>
      <c r="K74" s="233"/>
      <c r="L74" s="883"/>
      <c r="M74" s="886">
        <f t="shared" si="7"/>
        <v>0</v>
      </c>
      <c r="N74" s="883"/>
      <c r="O74" s="873"/>
      <c r="P74" s="931"/>
      <c r="Q74" s="867"/>
      <c r="R74" s="1447">
        <f>'Milling Down Time Hours'!L79</f>
        <v>0</v>
      </c>
      <c r="S74" s="13"/>
      <c r="T74" s="989"/>
      <c r="U74" s="989"/>
      <c r="V74" s="992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6"/>
    </row>
    <row r="75" spans="1:30" ht="15" thickBot="1" x14ac:dyDescent="0.35">
      <c r="B75" s="1443">
        <v>46299</v>
      </c>
      <c r="C75" s="1444"/>
      <c r="D75" s="13"/>
      <c r="E75" s="13"/>
      <c r="F75" s="918" t="s">
        <v>12</v>
      </c>
      <c r="G75" s="233"/>
      <c r="H75" s="13"/>
      <c r="I75" s="873"/>
      <c r="J75" s="233"/>
      <c r="K75" s="233"/>
      <c r="L75" s="233"/>
      <c r="M75" s="886">
        <f t="shared" si="7"/>
        <v>0</v>
      </c>
      <c r="N75" s="233"/>
      <c r="O75" s="873"/>
      <c r="P75" s="890"/>
      <c r="Q75" s="868"/>
      <c r="R75" s="1448"/>
      <c r="S75" s="13"/>
      <c r="T75" s="990"/>
      <c r="U75" s="990"/>
      <c r="V75" s="993"/>
      <c r="W75" s="159">
        <f t="shared" si="60"/>
        <v>0</v>
      </c>
      <c r="X75" s="154">
        <f t="shared" si="61"/>
        <v>0</v>
      </c>
      <c r="Y75" s="154">
        <f t="shared" si="62"/>
        <v>0</v>
      </c>
      <c r="Z75" s="746"/>
      <c r="AD75" s="1">
        <v>0.41899999999999998</v>
      </c>
    </row>
    <row r="76" spans="1:30" ht="15" thickBot="1" x14ac:dyDescent="0.35">
      <c r="B76" s="1445"/>
      <c r="C76" s="1446"/>
      <c r="D76" s="36"/>
      <c r="E76" s="36"/>
      <c r="F76" s="909" t="s">
        <v>13</v>
      </c>
      <c r="G76" s="233"/>
      <c r="H76" s="13"/>
      <c r="I76" s="873"/>
      <c r="J76" s="233"/>
      <c r="K76" s="233"/>
      <c r="L76" s="233"/>
      <c r="M76" s="886">
        <f t="shared" si="7"/>
        <v>0</v>
      </c>
      <c r="N76" s="233"/>
      <c r="O76" s="873"/>
      <c r="P76" s="931"/>
      <c r="Q76" s="867"/>
      <c r="R76" s="1447">
        <f>'Milling Down Time Hours'!L81</f>
        <v>0</v>
      </c>
      <c r="S76" s="13"/>
      <c r="T76" s="988"/>
      <c r="U76" s="988"/>
      <c r="V76" s="991"/>
      <c r="W76" s="159">
        <f t="shared" si="60"/>
        <v>0</v>
      </c>
      <c r="X76" s="154">
        <f t="shared" si="61"/>
        <v>0</v>
      </c>
      <c r="Y76" s="154">
        <f t="shared" si="62"/>
        <v>0</v>
      </c>
      <c r="Z76" s="746"/>
      <c r="AD76" s="1">
        <v>0.41299999999999998</v>
      </c>
    </row>
    <row r="77" spans="1:30" ht="15" thickBot="1" x14ac:dyDescent="0.35">
      <c r="B77" s="1443">
        <v>46300</v>
      </c>
      <c r="C77" s="1444"/>
      <c r="D77" s="13"/>
      <c r="E77" s="13"/>
      <c r="F77" s="918" t="s">
        <v>12</v>
      </c>
      <c r="G77" s="233"/>
      <c r="H77" s="13"/>
      <c r="I77" s="873"/>
      <c r="J77" s="233"/>
      <c r="K77" s="233"/>
      <c r="L77" s="233"/>
      <c r="M77" s="886">
        <f t="shared" ref="M77:M99" si="65">H77*K77*G77</f>
        <v>0</v>
      </c>
      <c r="N77" s="233"/>
      <c r="O77" s="873"/>
      <c r="P77" s="890"/>
      <c r="Q77" s="868"/>
      <c r="R77" s="1448"/>
      <c r="S77" s="13"/>
      <c r="T77" s="237"/>
      <c r="U77" s="237"/>
      <c r="V77" s="238"/>
      <c r="W77" s="159">
        <f t="shared" si="60"/>
        <v>0</v>
      </c>
      <c r="X77" s="154">
        <f t="shared" si="61"/>
        <v>0</v>
      </c>
      <c r="Y77" s="154">
        <f t="shared" si="62"/>
        <v>0</v>
      </c>
      <c r="Z77" s="746"/>
      <c r="AD77" s="1">
        <v>0.40400000000000003</v>
      </c>
    </row>
    <row r="78" spans="1:30" ht="15" thickBot="1" x14ac:dyDescent="0.35">
      <c r="B78" s="1445"/>
      <c r="C78" s="1446"/>
      <c r="D78" s="36"/>
      <c r="E78" s="36"/>
      <c r="F78" s="909" t="s">
        <v>13</v>
      </c>
      <c r="G78" s="883"/>
      <c r="H78" s="13"/>
      <c r="I78" s="873"/>
      <c r="J78" s="233"/>
      <c r="K78" s="233"/>
      <c r="L78" s="883"/>
      <c r="M78" s="886">
        <f t="shared" si="65"/>
        <v>0</v>
      </c>
      <c r="N78" s="883"/>
      <c r="O78" s="873"/>
      <c r="P78" s="931"/>
      <c r="Q78" s="867"/>
      <c r="R78" s="1447">
        <f>'Milling Down Time Hours'!L83</f>
        <v>0</v>
      </c>
      <c r="S78" s="13"/>
      <c r="T78" s="989"/>
      <c r="U78" s="989"/>
      <c r="V78" s="992"/>
      <c r="W78" s="159">
        <f t="shared" si="60"/>
        <v>0</v>
      </c>
      <c r="X78" s="154">
        <f t="shared" si="61"/>
        <v>0</v>
      </c>
      <c r="Y78" s="154">
        <f t="shared" si="62"/>
        <v>0</v>
      </c>
      <c r="Z78" s="746"/>
      <c r="AD78" s="1">
        <v>0.47</v>
      </c>
    </row>
    <row r="79" spans="1:30" ht="15" thickBot="1" x14ac:dyDescent="0.35">
      <c r="B79" s="1443">
        <v>46301</v>
      </c>
      <c r="C79" s="1444"/>
      <c r="D79" s="13"/>
      <c r="E79" s="13"/>
      <c r="F79" s="918" t="s">
        <v>12</v>
      </c>
      <c r="G79" s="233"/>
      <c r="H79" s="13"/>
      <c r="I79" s="873"/>
      <c r="J79" s="233"/>
      <c r="K79" s="233"/>
      <c r="L79" s="233"/>
      <c r="M79" s="886">
        <f t="shared" si="65"/>
        <v>0</v>
      </c>
      <c r="N79" s="233"/>
      <c r="O79" s="873"/>
      <c r="P79" s="890"/>
      <c r="Q79" s="868"/>
      <c r="R79" s="1448"/>
      <c r="S79" s="13"/>
      <c r="T79" s="990"/>
      <c r="U79" s="990"/>
      <c r="V79" s="993"/>
      <c r="W79" s="159">
        <f t="shared" si="60"/>
        <v>0</v>
      </c>
      <c r="X79" s="154">
        <f t="shared" si="61"/>
        <v>0</v>
      </c>
      <c r="Y79" s="154">
        <f t="shared" si="62"/>
        <v>0</v>
      </c>
      <c r="Z79" s="746"/>
      <c r="AD79" s="1">
        <v>0.46500000000000002</v>
      </c>
    </row>
    <row r="80" spans="1:30" ht="14.55" hidden="1" customHeight="1" thickBot="1" x14ac:dyDescent="0.35">
      <c r="B80" s="1449"/>
      <c r="C80" s="1450"/>
      <c r="D80" s="36"/>
      <c r="E80" s="36"/>
      <c r="F80" s="909" t="s">
        <v>13</v>
      </c>
      <c r="G80" s="883"/>
      <c r="H80" s="13"/>
      <c r="I80" s="873"/>
      <c r="J80" s="233"/>
      <c r="K80" s="233"/>
      <c r="L80" s="233"/>
      <c r="M80" s="886">
        <f t="shared" si="65"/>
        <v>0</v>
      </c>
      <c r="N80" s="233"/>
      <c r="O80" s="873"/>
      <c r="P80" s="1447">
        <f>'Milling Down Time Hours'!Q43</f>
        <v>0</v>
      </c>
      <c r="Q80" s="867"/>
      <c r="R80" s="1447">
        <f>'Milling Down Time Hours'!L85</f>
        <v>0</v>
      </c>
      <c r="S80" s="13"/>
      <c r="T80" s="1453">
        <v>0.35699999999999998</v>
      </c>
      <c r="U80" s="1453">
        <v>1.056</v>
      </c>
      <c r="V80" s="1455">
        <v>32.25</v>
      </c>
      <c r="W80" s="159">
        <f t="shared" si="60"/>
        <v>0</v>
      </c>
      <c r="X80" s="154">
        <f t="shared" si="61"/>
        <v>0</v>
      </c>
      <c r="Y80" s="154">
        <f t="shared" si="62"/>
        <v>0</v>
      </c>
      <c r="Z80" s="746"/>
      <c r="AD80" s="1">
        <v>0.51600000000000001</v>
      </c>
    </row>
    <row r="81" spans="2:30" ht="15" hidden="1" customHeight="1" thickBot="1" x14ac:dyDescent="0.35">
      <c r="B81" s="1449"/>
      <c r="C81" s="1450"/>
      <c r="D81" s="13"/>
      <c r="E81" s="13"/>
      <c r="F81" s="918" t="s">
        <v>12</v>
      </c>
      <c r="G81" s="233"/>
      <c r="H81" s="13"/>
      <c r="I81" s="873"/>
      <c r="J81" s="233"/>
      <c r="K81" s="233"/>
      <c r="L81" s="233"/>
      <c r="M81" s="886">
        <f t="shared" si="65"/>
        <v>0</v>
      </c>
      <c r="N81" s="233"/>
      <c r="O81" s="873"/>
      <c r="P81" s="1448"/>
      <c r="Q81" s="868"/>
      <c r="R81" s="1448"/>
      <c r="S81" s="13"/>
      <c r="T81" s="1454"/>
      <c r="U81" s="1454"/>
      <c r="V81" s="1456"/>
      <c r="W81" s="159">
        <f t="shared" si="60"/>
        <v>0</v>
      </c>
      <c r="X81" s="154">
        <f t="shared" si="61"/>
        <v>0</v>
      </c>
      <c r="Y81" s="154">
        <f t="shared" si="62"/>
        <v>0</v>
      </c>
      <c r="Z81" s="746"/>
      <c r="AD81" s="117">
        <f>AVERAGE(AD75:AD80)</f>
        <v>0.44783333333333331</v>
      </c>
    </row>
    <row r="82" spans="2:30" ht="14.55" hidden="1" customHeight="1" thickBot="1" x14ac:dyDescent="0.35">
      <c r="B82" s="1449"/>
      <c r="C82" s="1450"/>
      <c r="D82" s="36"/>
      <c r="E82" s="36"/>
      <c r="F82" s="909" t="s">
        <v>13</v>
      </c>
      <c r="G82" s="233"/>
      <c r="H82" s="13"/>
      <c r="I82" s="873"/>
      <c r="J82" s="233"/>
      <c r="K82" s="233"/>
      <c r="L82" s="233"/>
      <c r="M82" s="886">
        <f t="shared" si="65"/>
        <v>0</v>
      </c>
      <c r="N82" s="233"/>
      <c r="O82" s="873"/>
      <c r="P82" s="1447">
        <f>'Milling Down Time Hours'!M87</f>
        <v>0</v>
      </c>
      <c r="Q82" s="867"/>
      <c r="R82" s="1447">
        <f>'Milling Down Time Hours'!L87</f>
        <v>0</v>
      </c>
      <c r="S82" s="13"/>
      <c r="T82" s="1451" t="e">
        <f>SUM(#REF!)</f>
        <v>#REF!</v>
      </c>
      <c r="U82" s="1451" t="e">
        <f t="shared" ref="U82:V82" si="66">SUM(T82:T84)</f>
        <v>#REF!</v>
      </c>
      <c r="V82" s="1458" t="e">
        <f t="shared" si="66"/>
        <v>#REF!</v>
      </c>
      <c r="W82" s="159" t="e">
        <f t="shared" si="60"/>
        <v>#REF!</v>
      </c>
      <c r="X82" s="154" t="e">
        <f t="shared" si="61"/>
        <v>#REF!</v>
      </c>
      <c r="Y82" s="154" t="e">
        <f t="shared" si="62"/>
        <v>#REF!</v>
      </c>
      <c r="Z82" s="746"/>
    </row>
    <row r="83" spans="2:30" ht="15" hidden="1" customHeight="1" thickBot="1" x14ac:dyDescent="0.35">
      <c r="B83" s="1449"/>
      <c r="C83" s="1450"/>
      <c r="D83" s="13"/>
      <c r="E83" s="13"/>
      <c r="F83" s="918" t="s">
        <v>12</v>
      </c>
      <c r="G83" s="233"/>
      <c r="H83" s="13"/>
      <c r="I83" s="873"/>
      <c r="J83" s="233"/>
      <c r="K83" s="233"/>
      <c r="L83" s="233"/>
      <c r="M83" s="886">
        <f t="shared" si="65"/>
        <v>0</v>
      </c>
      <c r="N83" s="233"/>
      <c r="O83" s="873"/>
      <c r="P83" s="1448"/>
      <c r="Q83" s="868"/>
      <c r="R83" s="1448"/>
      <c r="S83" s="13"/>
      <c r="T83" s="1452"/>
      <c r="U83" s="1452"/>
      <c r="V83" s="1459"/>
      <c r="W83" s="159">
        <f t="shared" si="60"/>
        <v>0</v>
      </c>
      <c r="X83" s="154">
        <f t="shared" si="61"/>
        <v>0</v>
      </c>
      <c r="Y83" s="154">
        <f t="shared" si="62"/>
        <v>0</v>
      </c>
      <c r="Z83" s="746"/>
    </row>
    <row r="84" spans="2:30" ht="14.55" hidden="1" customHeight="1" thickBot="1" x14ac:dyDescent="0.35">
      <c r="B84" s="1449"/>
      <c r="C84" s="1450"/>
      <c r="D84" s="36"/>
      <c r="E84" s="36"/>
      <c r="F84" s="909" t="s">
        <v>13</v>
      </c>
      <c r="G84" s="233"/>
      <c r="H84" s="13"/>
      <c r="I84" s="873"/>
      <c r="J84" s="233"/>
      <c r="K84" s="233"/>
      <c r="L84" s="233"/>
      <c r="M84" s="886">
        <f t="shared" si="65"/>
        <v>0</v>
      </c>
      <c r="N84" s="233"/>
      <c r="O84" s="873"/>
      <c r="P84" s="1447">
        <f>'Milling Down Time Hours'!M89</f>
        <v>0</v>
      </c>
      <c r="Q84" s="867"/>
      <c r="R84" s="1447">
        <f>'Milling Down Time Hours'!L89</f>
        <v>0</v>
      </c>
      <c r="S84" s="13"/>
      <c r="T84" s="1451" t="e">
        <f>SUM(#REF!)</f>
        <v>#REF!</v>
      </c>
      <c r="U84" s="1451" t="e">
        <f t="shared" ref="U84:V84" si="67">SUM(T84:T86)</f>
        <v>#REF!</v>
      </c>
      <c r="V84" s="1458" t="e">
        <f t="shared" si="67"/>
        <v>#REF!</v>
      </c>
      <c r="W84" s="159" t="e">
        <f t="shared" si="60"/>
        <v>#REF!</v>
      </c>
      <c r="X84" s="154" t="e">
        <f t="shared" si="61"/>
        <v>#REF!</v>
      </c>
      <c r="Y84" s="154" t="e">
        <f t="shared" si="62"/>
        <v>#REF!</v>
      </c>
      <c r="Z84" s="746"/>
    </row>
    <row r="85" spans="2:30" ht="15" hidden="1" customHeight="1" thickBot="1" x14ac:dyDescent="0.35">
      <c r="B85" s="1449"/>
      <c r="C85" s="1450"/>
      <c r="D85" s="13"/>
      <c r="E85" s="13"/>
      <c r="F85" s="918" t="s">
        <v>12</v>
      </c>
      <c r="G85" s="233"/>
      <c r="H85" s="13"/>
      <c r="I85" s="873"/>
      <c r="J85" s="233"/>
      <c r="K85" s="233"/>
      <c r="L85" s="233"/>
      <c r="M85" s="886">
        <f t="shared" si="65"/>
        <v>0</v>
      </c>
      <c r="N85" s="233"/>
      <c r="O85" s="873"/>
      <c r="P85" s="1448"/>
      <c r="Q85" s="868"/>
      <c r="R85" s="1448"/>
      <c r="S85" s="13"/>
      <c r="T85" s="1452"/>
      <c r="U85" s="1452"/>
      <c r="V85" s="1459"/>
      <c r="W85" s="159">
        <f t="shared" si="60"/>
        <v>0</v>
      </c>
      <c r="X85" s="154">
        <f t="shared" si="61"/>
        <v>0</v>
      </c>
      <c r="Y85" s="154">
        <f t="shared" si="62"/>
        <v>0</v>
      </c>
      <c r="Z85" s="746"/>
    </row>
    <row r="86" spans="2:30" ht="14.55" hidden="1" customHeight="1" thickBot="1" x14ac:dyDescent="0.35">
      <c r="B86" s="1449"/>
      <c r="C86" s="1450"/>
      <c r="D86" s="36"/>
      <c r="E86" s="36"/>
      <c r="F86" s="909" t="s">
        <v>13</v>
      </c>
      <c r="G86" s="233"/>
      <c r="H86" s="13"/>
      <c r="I86" s="873"/>
      <c r="J86" s="233"/>
      <c r="K86" s="233"/>
      <c r="L86" s="233"/>
      <c r="M86" s="886">
        <f t="shared" si="65"/>
        <v>0</v>
      </c>
      <c r="N86" s="233"/>
      <c r="O86" s="873"/>
      <c r="P86" s="1447">
        <f>'Milling Down Time Hours'!M91</f>
        <v>0</v>
      </c>
      <c r="Q86" s="867"/>
      <c r="R86" s="1447">
        <f>'Milling Down Time Hours'!L91</f>
        <v>0</v>
      </c>
      <c r="S86" s="13"/>
      <c r="T86" s="1451" t="e">
        <f>SUM(#REF!)</f>
        <v>#REF!</v>
      </c>
      <c r="U86" s="1451" t="e">
        <f t="shared" ref="U86:V86" si="68">SUM(T86:T88)</f>
        <v>#REF!</v>
      </c>
      <c r="V86" s="1458" t="e">
        <f t="shared" si="68"/>
        <v>#REF!</v>
      </c>
      <c r="W86" s="159" t="e">
        <f t="shared" si="60"/>
        <v>#REF!</v>
      </c>
      <c r="X86" s="154" t="e">
        <f t="shared" si="61"/>
        <v>#REF!</v>
      </c>
      <c r="Y86" s="154" t="e">
        <f t="shared" si="62"/>
        <v>#REF!</v>
      </c>
      <c r="Z86" s="746"/>
    </row>
    <row r="87" spans="2:30" ht="15" hidden="1" customHeight="1" thickBot="1" x14ac:dyDescent="0.35">
      <c r="B87" s="1449"/>
      <c r="C87" s="1450"/>
      <c r="D87" s="13"/>
      <c r="E87" s="13"/>
      <c r="F87" s="918" t="s">
        <v>12</v>
      </c>
      <c r="G87" s="233"/>
      <c r="H87" s="13"/>
      <c r="I87" s="873"/>
      <c r="J87" s="233"/>
      <c r="K87" s="233"/>
      <c r="L87" s="233"/>
      <c r="M87" s="886">
        <f t="shared" si="65"/>
        <v>0</v>
      </c>
      <c r="N87" s="233"/>
      <c r="O87" s="873"/>
      <c r="P87" s="1448"/>
      <c r="Q87" s="868"/>
      <c r="R87" s="1448"/>
      <c r="S87" s="13"/>
      <c r="T87" s="1452"/>
      <c r="U87" s="1452"/>
      <c r="V87" s="1459"/>
      <c r="W87" s="159">
        <f t="shared" si="60"/>
        <v>0</v>
      </c>
      <c r="X87" s="154">
        <f t="shared" si="61"/>
        <v>0</v>
      </c>
      <c r="Y87" s="154">
        <f t="shared" si="62"/>
        <v>0</v>
      </c>
      <c r="Z87" s="746"/>
    </row>
    <row r="88" spans="2:30" ht="14.55" hidden="1" customHeight="1" thickBot="1" x14ac:dyDescent="0.35">
      <c r="B88" s="1449"/>
      <c r="C88" s="1450"/>
      <c r="D88" s="36"/>
      <c r="E88" s="36"/>
      <c r="F88" s="909" t="s">
        <v>13</v>
      </c>
      <c r="G88" s="233"/>
      <c r="H88" s="13"/>
      <c r="I88" s="873"/>
      <c r="J88" s="233"/>
      <c r="K88" s="233"/>
      <c r="L88" s="233"/>
      <c r="M88" s="886">
        <f t="shared" si="65"/>
        <v>0</v>
      </c>
      <c r="N88" s="233"/>
      <c r="O88" s="873"/>
      <c r="P88" s="1447">
        <f>'Milling Down Time Hours'!M93</f>
        <v>0</v>
      </c>
      <c r="Q88" s="867"/>
      <c r="R88" s="1447">
        <f>'Milling Down Time Hours'!L93</f>
        <v>0</v>
      </c>
      <c r="S88" s="13"/>
      <c r="T88" s="1451" t="e">
        <f>SUM(#REF!)</f>
        <v>#REF!</v>
      </c>
      <c r="U88" s="1451" t="e">
        <f t="shared" ref="U88:V88" si="69">SUM(T88:T90)</f>
        <v>#REF!</v>
      </c>
      <c r="V88" s="1458" t="e">
        <f t="shared" si="69"/>
        <v>#REF!</v>
      </c>
      <c r="W88" s="159" t="e">
        <f t="shared" si="60"/>
        <v>#REF!</v>
      </c>
      <c r="X88" s="154" t="e">
        <f t="shared" si="61"/>
        <v>#REF!</v>
      </c>
      <c r="Y88" s="154" t="e">
        <f t="shared" si="62"/>
        <v>#REF!</v>
      </c>
      <c r="Z88" s="746"/>
    </row>
    <row r="89" spans="2:30" ht="15" hidden="1" customHeight="1" thickBot="1" x14ac:dyDescent="0.35">
      <c r="B89" s="1449"/>
      <c r="C89" s="1450"/>
      <c r="D89" s="13"/>
      <c r="E89" s="13"/>
      <c r="F89" s="918" t="s">
        <v>12</v>
      </c>
      <c r="G89" s="233"/>
      <c r="H89" s="13"/>
      <c r="I89" s="873"/>
      <c r="J89" s="233"/>
      <c r="K89" s="233"/>
      <c r="L89" s="233"/>
      <c r="M89" s="886">
        <f t="shared" si="65"/>
        <v>0</v>
      </c>
      <c r="N89" s="233"/>
      <c r="O89" s="873"/>
      <c r="P89" s="1448"/>
      <c r="Q89" s="868"/>
      <c r="R89" s="1448"/>
      <c r="S89" s="13"/>
      <c r="T89" s="1452"/>
      <c r="U89" s="1452"/>
      <c r="V89" s="1459"/>
      <c r="W89" s="159">
        <f t="shared" si="60"/>
        <v>0</v>
      </c>
      <c r="X89" s="154">
        <f t="shared" si="61"/>
        <v>0</v>
      </c>
      <c r="Y89" s="154">
        <f t="shared" si="62"/>
        <v>0</v>
      </c>
      <c r="Z89" s="746"/>
    </row>
    <row r="90" spans="2:30" ht="14.55" hidden="1" customHeight="1" thickBot="1" x14ac:dyDescent="0.35">
      <c r="B90" s="1449"/>
      <c r="C90" s="1450"/>
      <c r="D90" s="36"/>
      <c r="E90" s="36"/>
      <c r="F90" s="909" t="s">
        <v>13</v>
      </c>
      <c r="G90" s="233"/>
      <c r="H90" s="13"/>
      <c r="I90" s="873"/>
      <c r="J90" s="233"/>
      <c r="K90" s="233"/>
      <c r="L90" s="233"/>
      <c r="M90" s="886">
        <f t="shared" si="65"/>
        <v>0</v>
      </c>
      <c r="N90" s="233"/>
      <c r="O90" s="873"/>
      <c r="P90" s="1447">
        <f>'Milling Down Time Hours'!M95</f>
        <v>0</v>
      </c>
      <c r="Q90" s="867"/>
      <c r="R90" s="1447">
        <f>'Milling Down Time Hours'!L95</f>
        <v>0</v>
      </c>
      <c r="S90" s="13"/>
      <c r="T90" s="1451" t="e">
        <f>SUM(#REF!)</f>
        <v>#REF!</v>
      </c>
      <c r="U90" s="1451" t="e">
        <f t="shared" ref="U90:V90" si="70">SUM(T90:T92)</f>
        <v>#REF!</v>
      </c>
      <c r="V90" s="1458" t="e">
        <f t="shared" si="70"/>
        <v>#REF!</v>
      </c>
      <c r="W90" s="159" t="e">
        <f t="shared" si="60"/>
        <v>#REF!</v>
      </c>
      <c r="X90" s="154" t="e">
        <f t="shared" si="61"/>
        <v>#REF!</v>
      </c>
      <c r="Y90" s="154" t="e">
        <f t="shared" si="62"/>
        <v>#REF!</v>
      </c>
      <c r="Z90" s="746"/>
    </row>
    <row r="91" spans="2:30" ht="15" hidden="1" customHeight="1" thickBot="1" x14ac:dyDescent="0.35">
      <c r="B91" s="1449"/>
      <c r="C91" s="1450"/>
      <c r="D91" s="13"/>
      <c r="E91" s="13"/>
      <c r="F91" s="918" t="s">
        <v>12</v>
      </c>
      <c r="G91" s="233"/>
      <c r="H91" s="13"/>
      <c r="I91" s="873"/>
      <c r="J91" s="233"/>
      <c r="K91" s="233"/>
      <c r="L91" s="233"/>
      <c r="M91" s="886">
        <f t="shared" si="65"/>
        <v>0</v>
      </c>
      <c r="N91" s="233"/>
      <c r="O91" s="873"/>
      <c r="P91" s="1448"/>
      <c r="Q91" s="868"/>
      <c r="R91" s="1448"/>
      <c r="S91" s="13"/>
      <c r="T91" s="1452"/>
      <c r="U91" s="1452"/>
      <c r="V91" s="1459"/>
      <c r="W91" s="159">
        <f t="shared" si="60"/>
        <v>0</v>
      </c>
      <c r="X91" s="154">
        <f t="shared" si="61"/>
        <v>0</v>
      </c>
      <c r="Y91" s="154">
        <f t="shared" si="62"/>
        <v>0</v>
      </c>
      <c r="Z91" s="746"/>
    </row>
    <row r="92" spans="2:30" ht="14.55" hidden="1" customHeight="1" thickBot="1" x14ac:dyDescent="0.35">
      <c r="B92" s="1449"/>
      <c r="C92" s="1450"/>
      <c r="D92" s="36"/>
      <c r="E92" s="36"/>
      <c r="F92" s="909" t="s">
        <v>13</v>
      </c>
      <c r="G92" s="233"/>
      <c r="H92" s="13"/>
      <c r="I92" s="873"/>
      <c r="J92" s="233"/>
      <c r="K92" s="233"/>
      <c r="L92" s="233"/>
      <c r="M92" s="886">
        <f t="shared" si="65"/>
        <v>0</v>
      </c>
      <c r="N92" s="233"/>
      <c r="O92" s="873"/>
      <c r="P92" s="1447">
        <f>'Milling Down Time Hours'!M97</f>
        <v>0</v>
      </c>
      <c r="Q92" s="867"/>
      <c r="R92" s="1447">
        <f>'Milling Down Time Hours'!L97</f>
        <v>0</v>
      </c>
      <c r="S92" s="13"/>
      <c r="T92" s="1451" t="e">
        <f>SUM(#REF!)</f>
        <v>#REF!</v>
      </c>
      <c r="U92" s="1451" t="e">
        <f t="shared" ref="U92:V92" si="71">SUM(T92:T94)</f>
        <v>#REF!</v>
      </c>
      <c r="V92" s="1458" t="e">
        <f t="shared" si="71"/>
        <v>#REF!</v>
      </c>
      <c r="W92" s="159" t="e">
        <f t="shared" si="60"/>
        <v>#REF!</v>
      </c>
      <c r="X92" s="154" t="e">
        <f t="shared" si="61"/>
        <v>#REF!</v>
      </c>
      <c r="Y92" s="154" t="e">
        <f t="shared" si="62"/>
        <v>#REF!</v>
      </c>
      <c r="Z92" s="746"/>
    </row>
    <row r="93" spans="2:30" ht="15" hidden="1" customHeight="1" thickBot="1" x14ac:dyDescent="0.35">
      <c r="B93" s="1449"/>
      <c r="C93" s="1450"/>
      <c r="D93" s="13"/>
      <c r="E93" s="13"/>
      <c r="F93" s="918" t="s">
        <v>12</v>
      </c>
      <c r="G93" s="233"/>
      <c r="H93" s="13"/>
      <c r="I93" s="873"/>
      <c r="J93" s="233"/>
      <c r="K93" s="233"/>
      <c r="L93" s="233"/>
      <c r="M93" s="886">
        <f t="shared" si="65"/>
        <v>0</v>
      </c>
      <c r="N93" s="233"/>
      <c r="O93" s="873"/>
      <c r="P93" s="1448"/>
      <c r="Q93" s="868"/>
      <c r="R93" s="1448"/>
      <c r="S93" s="13"/>
      <c r="T93" s="1452"/>
      <c r="U93" s="1452"/>
      <c r="V93" s="1459"/>
      <c r="W93" s="159">
        <f t="shared" si="60"/>
        <v>0</v>
      </c>
      <c r="X93" s="154">
        <f t="shared" si="61"/>
        <v>0</v>
      </c>
      <c r="Y93" s="154">
        <f t="shared" si="62"/>
        <v>0</v>
      </c>
      <c r="Z93" s="746"/>
    </row>
    <row r="94" spans="2:30" ht="14.55" hidden="1" customHeight="1" thickBot="1" x14ac:dyDescent="0.35">
      <c r="B94" s="1449"/>
      <c r="C94" s="1450"/>
      <c r="D94" s="36"/>
      <c r="E94" s="36"/>
      <c r="F94" s="909" t="s">
        <v>13</v>
      </c>
      <c r="G94" s="233"/>
      <c r="H94" s="13"/>
      <c r="I94" s="873"/>
      <c r="J94" s="233"/>
      <c r="K94" s="233"/>
      <c r="L94" s="233"/>
      <c r="M94" s="886">
        <f t="shared" si="65"/>
        <v>0</v>
      </c>
      <c r="N94" s="233"/>
      <c r="O94" s="873"/>
      <c r="P94" s="1447">
        <f>'Milling Down Time Hours'!M99</f>
        <v>0</v>
      </c>
      <c r="Q94" s="867"/>
      <c r="R94" s="1447">
        <f>'Milling Down Time Hours'!L99</f>
        <v>0</v>
      </c>
      <c r="S94" s="13"/>
      <c r="T94" s="1451" t="e">
        <f>SUM(#REF!)</f>
        <v>#REF!</v>
      </c>
      <c r="U94" s="1451" t="e">
        <f t="shared" ref="U94:V94" si="72">SUM(T94:T96)</f>
        <v>#REF!</v>
      </c>
      <c r="V94" s="1458" t="e">
        <f t="shared" si="72"/>
        <v>#REF!</v>
      </c>
      <c r="W94" s="159" t="e">
        <f t="shared" si="60"/>
        <v>#REF!</v>
      </c>
      <c r="X94" s="154" t="e">
        <f t="shared" si="61"/>
        <v>#REF!</v>
      </c>
      <c r="Y94" s="154" t="e">
        <f t="shared" si="62"/>
        <v>#REF!</v>
      </c>
      <c r="Z94" s="746"/>
    </row>
    <row r="95" spans="2:30" ht="15" hidden="1" customHeight="1" thickBot="1" x14ac:dyDescent="0.35">
      <c r="B95" s="1449"/>
      <c r="C95" s="1450"/>
      <c r="D95" s="13"/>
      <c r="E95" s="13"/>
      <c r="F95" s="918" t="s">
        <v>12</v>
      </c>
      <c r="G95" s="233"/>
      <c r="H95" s="13"/>
      <c r="I95" s="873"/>
      <c r="J95" s="233"/>
      <c r="K95" s="233"/>
      <c r="L95" s="233"/>
      <c r="M95" s="886">
        <f t="shared" si="65"/>
        <v>0</v>
      </c>
      <c r="N95" s="233"/>
      <c r="O95" s="873"/>
      <c r="P95" s="1448"/>
      <c r="Q95" s="868"/>
      <c r="R95" s="1448"/>
      <c r="S95" s="13"/>
      <c r="T95" s="1452"/>
      <c r="U95" s="1452"/>
      <c r="V95" s="1459"/>
      <c r="W95" s="159">
        <f t="shared" si="60"/>
        <v>0</v>
      </c>
      <c r="X95" s="154">
        <f t="shared" si="61"/>
        <v>0</v>
      </c>
      <c r="Y95" s="154">
        <f t="shared" si="62"/>
        <v>0</v>
      </c>
      <c r="Z95" s="746"/>
    </row>
    <row r="96" spans="2:30" ht="14.55" hidden="1" customHeight="1" thickBot="1" x14ac:dyDescent="0.35">
      <c r="B96" s="1449"/>
      <c r="C96" s="1450"/>
      <c r="D96" s="36"/>
      <c r="E96" s="36"/>
      <c r="F96" s="909" t="s">
        <v>13</v>
      </c>
      <c r="G96" s="233"/>
      <c r="H96" s="13"/>
      <c r="I96" s="873"/>
      <c r="J96" s="233"/>
      <c r="K96" s="233"/>
      <c r="L96" s="233"/>
      <c r="M96" s="886">
        <f t="shared" si="65"/>
        <v>0</v>
      </c>
      <c r="N96" s="233"/>
      <c r="O96" s="873"/>
      <c r="P96" s="1447">
        <f>'Milling Down Time Hours'!M101</f>
        <v>0</v>
      </c>
      <c r="Q96" s="867"/>
      <c r="R96" s="1447">
        <f>'Milling Down Time Hours'!L101</f>
        <v>0</v>
      </c>
      <c r="S96" s="13"/>
      <c r="T96" s="1451" t="e">
        <f>SUM(#REF!)</f>
        <v>#REF!</v>
      </c>
      <c r="U96" s="1451" t="e">
        <f>SUM(T96:T100)</f>
        <v>#REF!</v>
      </c>
      <c r="V96" s="1458" t="e">
        <f>SUM(U96:U100)</f>
        <v>#REF!</v>
      </c>
      <c r="W96" s="159" t="e">
        <f t="shared" si="60"/>
        <v>#REF!</v>
      </c>
      <c r="X96" s="154" t="e">
        <f t="shared" si="61"/>
        <v>#REF!</v>
      </c>
      <c r="Y96" s="154" t="e">
        <f t="shared" si="62"/>
        <v>#REF!</v>
      </c>
      <c r="Z96" s="746"/>
    </row>
    <row r="97" spans="2:27" ht="14.55" hidden="1" customHeight="1" thickBot="1" x14ac:dyDescent="0.35">
      <c r="B97" s="1449"/>
      <c r="C97" s="1450"/>
      <c r="D97" s="95"/>
      <c r="E97" s="95"/>
      <c r="F97" s="918" t="s">
        <v>12</v>
      </c>
      <c r="G97" s="865"/>
      <c r="H97" s="95"/>
      <c r="I97" s="874"/>
      <c r="J97" s="865"/>
      <c r="K97" s="865"/>
      <c r="L97" s="865"/>
      <c r="M97" s="886">
        <f t="shared" si="65"/>
        <v>0</v>
      </c>
      <c r="N97" s="865"/>
      <c r="O97" s="874"/>
      <c r="P97" s="1460"/>
      <c r="Q97" s="459"/>
      <c r="R97" s="1461"/>
      <c r="S97" s="95"/>
      <c r="T97" s="1462"/>
      <c r="U97" s="1462"/>
      <c r="V97" s="1463"/>
      <c r="W97" s="159">
        <f t="shared" si="60"/>
        <v>0</v>
      </c>
      <c r="X97" s="154">
        <f t="shared" si="61"/>
        <v>0</v>
      </c>
      <c r="Y97" s="154">
        <f t="shared" si="62"/>
        <v>0</v>
      </c>
      <c r="Z97" s="746"/>
    </row>
    <row r="98" spans="2:27" ht="15" thickBot="1" x14ac:dyDescent="0.35">
      <c r="B98" s="1445"/>
      <c r="C98" s="1446"/>
      <c r="D98" s="513"/>
      <c r="E98" s="513"/>
      <c r="F98" s="909" t="s">
        <v>13</v>
      </c>
      <c r="G98" s="883"/>
      <c r="H98" s="13"/>
      <c r="I98" s="873"/>
      <c r="J98" s="233"/>
      <c r="K98" s="233"/>
      <c r="L98" s="883"/>
      <c r="M98" s="886">
        <f t="shared" si="65"/>
        <v>0</v>
      </c>
      <c r="N98" s="883"/>
      <c r="O98" s="873"/>
      <c r="P98" s="154"/>
      <c r="Q98" s="154"/>
      <c r="R98" s="154"/>
      <c r="S98" s="13"/>
      <c r="T98" s="154"/>
      <c r="U98" s="154"/>
      <c r="V98" s="419"/>
      <c r="W98" s="159">
        <f t="shared" si="60"/>
        <v>0</v>
      </c>
      <c r="X98" s="154">
        <f t="shared" si="61"/>
        <v>0</v>
      </c>
      <c r="Y98" s="154">
        <f t="shared" si="62"/>
        <v>0</v>
      </c>
      <c r="Z98" s="746"/>
    </row>
    <row r="99" spans="2:27" ht="15" thickBot="1" x14ac:dyDescent="0.35">
      <c r="B99" s="448"/>
      <c r="C99" s="449"/>
      <c r="D99" s="513"/>
      <c r="E99" s="513"/>
      <c r="F99" s="918" t="s">
        <v>12</v>
      </c>
      <c r="G99" s="233"/>
      <c r="H99" s="13"/>
      <c r="I99" s="873"/>
      <c r="J99" s="233"/>
      <c r="K99" s="233"/>
      <c r="L99" s="233"/>
      <c r="M99" s="886">
        <f t="shared" si="65"/>
        <v>0</v>
      </c>
      <c r="N99" s="233"/>
      <c r="O99" s="873"/>
      <c r="P99" s="154"/>
      <c r="Q99" s="154"/>
      <c r="R99" s="154"/>
      <c r="S99" s="13"/>
      <c r="T99" s="154"/>
      <c r="U99" s="154"/>
      <c r="V99" s="419"/>
      <c r="W99" s="159">
        <f t="shared" si="60"/>
        <v>0</v>
      </c>
      <c r="X99" s="154">
        <f t="shared" si="61"/>
        <v>0</v>
      </c>
      <c r="Y99" s="154">
        <f t="shared" si="62"/>
        <v>0</v>
      </c>
      <c r="Z99" s="746"/>
      <c r="AA99" s="447">
        <f>SUM(AB5:AB17)</f>
        <v>1186273883.9705083</v>
      </c>
    </row>
    <row r="100" spans="2:27" ht="18" x14ac:dyDescent="0.35">
      <c r="B100" s="125" t="s">
        <v>121</v>
      </c>
      <c r="C100" s="126"/>
      <c r="D100" s="466"/>
      <c r="E100" s="466"/>
      <c r="F100" s="876"/>
      <c r="G100" s="876"/>
      <c r="H100" s="466"/>
      <c r="I100" s="875"/>
      <c r="J100" s="876"/>
      <c r="K100" s="876"/>
      <c r="L100" s="884">
        <f>AVERAGE(L5:L99)</f>
        <v>0.72469387755102033</v>
      </c>
      <c r="M100" s="887">
        <f>SUM(M5:M99)</f>
        <v>3993.9387882510005</v>
      </c>
      <c r="N100" s="884"/>
      <c r="O100" s="934">
        <f>AVERAGE(O5:O99)</f>
        <v>8.2608080133720563</v>
      </c>
      <c r="P100" s="934">
        <f>SUM(P5:P99)</f>
        <v>478.4</v>
      </c>
      <c r="Q100" s="934">
        <f>SUM(Q5:Q99)</f>
        <v>28704</v>
      </c>
      <c r="R100" s="934">
        <f>SUM(R5:R99)</f>
        <v>12396</v>
      </c>
      <c r="S100" s="1099">
        <f>SUM(S5:S99)</f>
        <v>3993.9387882509996</v>
      </c>
      <c r="T100" s="118">
        <f>AVERAGE(T5:T43)</f>
        <v>0.65487096774193554</v>
      </c>
      <c r="U100" s="118">
        <f>AVERAGE(U5:U43)</f>
        <v>0.6632580645161289</v>
      </c>
      <c r="V100" s="118">
        <f>AVERAGE(V5:V43)</f>
        <v>8.9542903225806452</v>
      </c>
      <c r="W100" s="119" t="e">
        <f>SUM(W5:W99)</f>
        <v>#VALUE!</v>
      </c>
      <c r="X100" s="119">
        <f>SUM(X5:X16)</f>
        <v>421.51466277143334</v>
      </c>
      <c r="Y100" s="119">
        <f>SUM(Y5:Y16)</f>
        <v>5120.844159414587</v>
      </c>
      <c r="Z100" s="746"/>
    </row>
    <row r="102" spans="2:27" x14ac:dyDescent="0.3">
      <c r="Z102" s="585" t="s">
        <v>203</v>
      </c>
      <c r="AA102" s="1">
        <f>MIN(Z5:Z99)</f>
        <v>0</v>
      </c>
    </row>
    <row r="103" spans="2:27" x14ac:dyDescent="0.3">
      <c r="N103" s="888"/>
      <c r="Z103" s="585" t="s">
        <v>202</v>
      </c>
      <c r="AA103" s="136">
        <f>MAX(Z5:Z99)</f>
        <v>11.3</v>
      </c>
    </row>
    <row r="104" spans="2:27" x14ac:dyDescent="0.3">
      <c r="W104" s="136"/>
    </row>
  </sheetData>
  <mergeCells count="153"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B69:C70"/>
    <mergeCell ref="R70:R71"/>
    <mergeCell ref="B71:C72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B34:C34"/>
    <mergeCell ref="B35:C35"/>
    <mergeCell ref="N40:N41"/>
    <mergeCell ref="B40:C4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0" zoomScale="77" zoomScaleNormal="55" workbookViewId="0">
      <selection activeCell="K26" sqref="K26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8" customWidth="1"/>
    <col min="9" max="9" width="9.5546875" style="358" customWidth="1"/>
    <col min="10" max="10" width="11.21875" style="358" customWidth="1"/>
    <col min="11" max="11" width="12" style="358" customWidth="1"/>
    <col min="12" max="12" width="11.77734375" style="358" customWidth="1"/>
    <col min="13" max="13" width="14.44140625" style="358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189" t="s">
        <v>664</v>
      </c>
      <c r="C2" s="1190"/>
      <c r="D2" s="1190"/>
      <c r="E2" s="1190"/>
      <c r="F2" s="1190"/>
      <c r="G2" s="1190"/>
      <c r="H2" s="1190"/>
      <c r="I2" s="1190"/>
      <c r="J2" s="1190"/>
      <c r="K2" s="1190"/>
      <c r="L2" s="1190"/>
      <c r="M2" s="1191"/>
      <c r="AD2" s="13">
        <v>2</v>
      </c>
      <c r="AE2" s="13">
        <v>9.9000000000000005E-2</v>
      </c>
    </row>
    <row r="3" spans="2:31" ht="15" thickBot="1" x14ac:dyDescent="0.35">
      <c r="B3" s="1189" t="s">
        <v>197</v>
      </c>
      <c r="C3" s="1190"/>
      <c r="D3" s="1190"/>
      <c r="E3" s="1190"/>
      <c r="F3" s="1190"/>
      <c r="G3" s="1190"/>
      <c r="H3" s="1190"/>
      <c r="I3" s="1190"/>
      <c r="J3" s="1190"/>
      <c r="K3" s="1190"/>
      <c r="L3" s="1190"/>
      <c r="M3" s="1191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9"/>
      <c r="I4" s="359"/>
      <c r="J4" s="359"/>
      <c r="K4" s="359"/>
      <c r="L4" s="359"/>
      <c r="M4" s="359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9"/>
      <c r="I5" s="359"/>
      <c r="J5" s="359"/>
      <c r="K5" s="359"/>
      <c r="L5" s="359"/>
      <c r="M5" s="359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22" t="s">
        <v>70</v>
      </c>
      <c r="C7" s="1122" t="s">
        <v>0</v>
      </c>
      <c r="D7" s="1123" t="s">
        <v>178</v>
      </c>
      <c r="E7" s="1123" t="s">
        <v>179</v>
      </c>
      <c r="F7" s="1123" t="s">
        <v>180</v>
      </c>
      <c r="G7" s="1123" t="s">
        <v>181</v>
      </c>
      <c r="H7" s="1123" t="s">
        <v>182</v>
      </c>
      <c r="I7" s="1123" t="s">
        <v>183</v>
      </c>
      <c r="J7" s="1123" t="s">
        <v>662</v>
      </c>
      <c r="K7" s="1123" t="s">
        <v>371</v>
      </c>
      <c r="L7" s="1123" t="s">
        <v>185</v>
      </c>
      <c r="M7" s="1123" t="s">
        <v>195</v>
      </c>
      <c r="Q7" s="1192" t="s">
        <v>337</v>
      </c>
      <c r="R7" s="1192"/>
      <c r="S7" s="1192"/>
      <c r="T7" s="1192"/>
      <c r="U7" s="1192"/>
      <c r="V7" s="1192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60">
        <v>41</v>
      </c>
      <c r="I8" s="360">
        <v>1.35</v>
      </c>
      <c r="J8" s="364">
        <f>H8*I8</f>
        <v>55.35</v>
      </c>
      <c r="K8" s="364">
        <f>I8*G8</f>
        <v>0</v>
      </c>
      <c r="L8" s="360">
        <v>1.0269999999999999</v>
      </c>
      <c r="M8" s="364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60">
        <v>16</v>
      </c>
      <c r="I9" s="360">
        <v>1.35</v>
      </c>
      <c r="J9" s="364">
        <f t="shared" ref="J9:J12" si="1">H9*I9</f>
        <v>21.6</v>
      </c>
      <c r="K9" s="364">
        <f t="shared" ref="K9:K12" si="2">I9*G9</f>
        <v>0</v>
      </c>
      <c r="L9" s="360">
        <v>1.228</v>
      </c>
      <c r="M9" s="364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60">
        <v>93</v>
      </c>
      <c r="I10" s="360">
        <v>1.35</v>
      </c>
      <c r="J10" s="364">
        <f t="shared" si="1"/>
        <v>125.55000000000001</v>
      </c>
      <c r="K10" s="364">
        <f t="shared" si="2"/>
        <v>0</v>
      </c>
      <c r="L10" s="366">
        <v>0.6</v>
      </c>
      <c r="M10" s="364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60">
        <v>40</v>
      </c>
      <c r="I11" s="360">
        <v>1.35</v>
      </c>
      <c r="J11" s="364">
        <f t="shared" si="1"/>
        <v>54</v>
      </c>
      <c r="K11" s="364">
        <f t="shared" si="2"/>
        <v>0</v>
      </c>
      <c r="L11" s="360">
        <v>1.0269999999999999</v>
      </c>
      <c r="M11" s="364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60">
        <v>13</v>
      </c>
      <c r="I12" s="360">
        <v>1.35</v>
      </c>
      <c r="J12" s="364">
        <f t="shared" si="1"/>
        <v>17.55</v>
      </c>
      <c r="K12" s="364">
        <f t="shared" si="2"/>
        <v>0</v>
      </c>
      <c r="L12" s="360">
        <v>1.228</v>
      </c>
      <c r="M12" s="364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60">
        <v>310</v>
      </c>
      <c r="I13" s="360">
        <v>1.39</v>
      </c>
      <c r="J13" s="364">
        <f>H13*I13</f>
        <v>430.9</v>
      </c>
      <c r="K13" s="364">
        <f t="shared" ref="K13:K26" si="3">I13*G13</f>
        <v>278</v>
      </c>
      <c r="L13" s="360">
        <v>1.1220000000000001</v>
      </c>
      <c r="M13" s="364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60">
        <v>190</v>
      </c>
      <c r="I14" s="360">
        <v>1.39</v>
      </c>
      <c r="J14" s="364">
        <f>H14*I14</f>
        <v>264.09999999999997</v>
      </c>
      <c r="K14" s="364">
        <f t="shared" si="3"/>
        <v>305.79999999999995</v>
      </c>
      <c r="L14" s="360">
        <v>1.1220000000000001</v>
      </c>
      <c r="M14" s="364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60">
        <v>34</v>
      </c>
      <c r="I15" s="360">
        <v>1.39</v>
      </c>
      <c r="J15" s="364">
        <f>H15*I15</f>
        <v>47.26</v>
      </c>
      <c r="K15" s="364">
        <f t="shared" si="3"/>
        <v>291.89999999999998</v>
      </c>
      <c r="L15" s="360">
        <v>1.02</v>
      </c>
      <c r="M15" s="364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60"/>
      <c r="E16" s="13"/>
      <c r="F16" s="13" t="s">
        <v>334</v>
      </c>
      <c r="G16" s="13">
        <v>30</v>
      </c>
      <c r="H16" s="360">
        <v>64</v>
      </c>
      <c r="I16" s="360">
        <v>1.39</v>
      </c>
      <c r="J16" s="364">
        <f>H16*I16</f>
        <v>88.96</v>
      </c>
      <c r="K16" s="364">
        <f t="shared" si="3"/>
        <v>41.699999999999996</v>
      </c>
      <c r="L16" s="396">
        <v>1.02</v>
      </c>
      <c r="M16" s="364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60">
        <v>62</v>
      </c>
      <c r="I17" s="360">
        <v>1.39</v>
      </c>
      <c r="J17" s="364">
        <f t="shared" ref="J17:J33" si="4">H17*I17</f>
        <v>86.179999999999993</v>
      </c>
      <c r="K17" s="364">
        <f t="shared" si="3"/>
        <v>83.399999999999991</v>
      </c>
      <c r="L17" s="360">
        <v>0.93500000000000005</v>
      </c>
      <c r="M17" s="364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60">
        <v>108</v>
      </c>
      <c r="I18" s="360">
        <v>1.39</v>
      </c>
      <c r="J18" s="364">
        <f t="shared" si="4"/>
        <v>150.11999999999998</v>
      </c>
      <c r="K18" s="364">
        <f t="shared" si="3"/>
        <v>83.399999999999991</v>
      </c>
      <c r="L18" s="360">
        <v>1.1100000000000001</v>
      </c>
      <c r="M18" s="364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60">
        <v>130</v>
      </c>
      <c r="I19" s="360">
        <v>1.39</v>
      </c>
      <c r="J19" s="364">
        <f>H19*I19</f>
        <v>180.7</v>
      </c>
      <c r="K19" s="364">
        <f t="shared" si="3"/>
        <v>208.49999999999997</v>
      </c>
      <c r="L19" s="360">
        <v>12.308999999999999</v>
      </c>
      <c r="M19" s="364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60">
        <v>94</v>
      </c>
      <c r="I20" s="360">
        <v>1.39</v>
      </c>
      <c r="J20" s="364">
        <f t="shared" si="4"/>
        <v>130.66</v>
      </c>
      <c r="K20" s="364">
        <f t="shared" si="3"/>
        <v>152.89999999999998</v>
      </c>
      <c r="L20" s="360">
        <v>0.86</v>
      </c>
      <c r="M20" s="364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60">
        <v>310</v>
      </c>
      <c r="I21" s="383">
        <v>1.3</v>
      </c>
      <c r="J21" s="364">
        <f t="shared" si="4"/>
        <v>403</v>
      </c>
      <c r="K21" s="364">
        <f t="shared" si="3"/>
        <v>130</v>
      </c>
      <c r="L21" s="360">
        <v>1.2969999999999999</v>
      </c>
      <c r="M21" s="364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60">
        <v>56</v>
      </c>
      <c r="I22" s="383">
        <v>1.3</v>
      </c>
      <c r="J22" s="364">
        <f t="shared" si="4"/>
        <v>72.8</v>
      </c>
      <c r="K22" s="364">
        <f t="shared" si="3"/>
        <v>364</v>
      </c>
      <c r="L22" s="360">
        <v>1.4970000000000001</v>
      </c>
      <c r="M22" s="364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8">
        <v>46265</v>
      </c>
      <c r="D23" s="6"/>
      <c r="E23" s="6"/>
      <c r="F23" s="13" t="s">
        <v>334</v>
      </c>
      <c r="G23" s="6"/>
      <c r="H23" s="360">
        <v>23</v>
      </c>
      <c r="I23" s="360">
        <v>1.3</v>
      </c>
      <c r="J23" s="364">
        <f t="shared" si="4"/>
        <v>29.900000000000002</v>
      </c>
      <c r="K23" s="364">
        <f t="shared" si="3"/>
        <v>0</v>
      </c>
      <c r="L23" s="360">
        <v>1.23</v>
      </c>
      <c r="M23" s="364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8">
        <v>46269</v>
      </c>
      <c r="D24" s="6"/>
      <c r="E24" s="6"/>
      <c r="F24" s="13" t="s">
        <v>334</v>
      </c>
      <c r="G24" s="6"/>
      <c r="H24" s="360">
        <v>90</v>
      </c>
      <c r="I24" s="360">
        <v>1.3</v>
      </c>
      <c r="J24" s="364">
        <f t="shared" si="4"/>
        <v>117</v>
      </c>
      <c r="K24" s="364">
        <f t="shared" si="3"/>
        <v>0</v>
      </c>
      <c r="L24" s="360">
        <v>0.8</v>
      </c>
      <c r="M24" s="364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8">
        <v>46275</v>
      </c>
      <c r="D25" s="6"/>
      <c r="E25" s="6"/>
      <c r="F25" s="13" t="s">
        <v>334</v>
      </c>
      <c r="G25" s="6"/>
      <c r="H25" s="360">
        <v>312</v>
      </c>
      <c r="I25" s="360">
        <v>1.3</v>
      </c>
      <c r="J25" s="364">
        <f t="shared" si="4"/>
        <v>405.6</v>
      </c>
      <c r="K25" s="364">
        <f t="shared" si="3"/>
        <v>0</v>
      </c>
      <c r="L25" s="360">
        <v>1.3</v>
      </c>
      <c r="M25" s="364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8">
        <v>46282</v>
      </c>
      <c r="D26" s="6"/>
      <c r="E26" s="6"/>
      <c r="F26" s="13" t="s">
        <v>660</v>
      </c>
      <c r="G26" s="6"/>
      <c r="H26" s="360">
        <v>2291</v>
      </c>
      <c r="I26" s="360">
        <v>1.3</v>
      </c>
      <c r="J26" s="364">
        <f t="shared" si="4"/>
        <v>2978.3</v>
      </c>
      <c r="K26" s="364">
        <f t="shared" si="3"/>
        <v>0</v>
      </c>
      <c r="L26" s="360">
        <v>0.8</v>
      </c>
      <c r="M26" s="364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8">
        <v>46286</v>
      </c>
      <c r="D27" s="6"/>
      <c r="E27" s="6"/>
      <c r="F27" s="13" t="s">
        <v>372</v>
      </c>
      <c r="G27" s="13">
        <v>113</v>
      </c>
      <c r="H27" s="360">
        <v>92</v>
      </c>
      <c r="I27" s="360">
        <v>1.3</v>
      </c>
      <c r="J27" s="364">
        <f t="shared" si="4"/>
        <v>119.60000000000001</v>
      </c>
      <c r="K27" s="364">
        <f>I27*G27</f>
        <v>146.9</v>
      </c>
      <c r="L27" s="360">
        <v>0.93</v>
      </c>
      <c r="M27" s="364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8">
        <v>46288</v>
      </c>
      <c r="D28" s="6"/>
      <c r="E28" s="6"/>
      <c r="F28" s="13" t="s">
        <v>747</v>
      </c>
      <c r="G28" s="13">
        <v>182</v>
      </c>
      <c r="H28" s="360">
        <v>171</v>
      </c>
      <c r="I28" s="360">
        <v>1.3</v>
      </c>
      <c r="J28" s="364">
        <f t="shared" si="4"/>
        <v>222.3</v>
      </c>
      <c r="K28" s="364">
        <f>I28*G28</f>
        <v>236.6</v>
      </c>
      <c r="L28" s="360">
        <v>2.81</v>
      </c>
      <c r="M28" s="364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8">
        <v>46289</v>
      </c>
      <c r="D29" s="6"/>
      <c r="E29" s="6"/>
      <c r="F29" s="13" t="s">
        <v>372</v>
      </c>
      <c r="G29" s="13">
        <v>86</v>
      </c>
      <c r="H29" s="360">
        <f>59+27</f>
        <v>86</v>
      </c>
      <c r="I29" s="360">
        <v>1.3</v>
      </c>
      <c r="J29" s="364">
        <f t="shared" si="4"/>
        <v>111.8</v>
      </c>
      <c r="K29" s="364">
        <f>I29*G29</f>
        <v>111.8</v>
      </c>
      <c r="L29" s="360">
        <v>0.89</v>
      </c>
      <c r="M29" s="364">
        <f t="shared" si="0"/>
        <v>99.501999999999995</v>
      </c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8">
        <v>46290</v>
      </c>
      <c r="D30" s="6"/>
      <c r="E30" s="6"/>
      <c r="F30" s="13" t="s">
        <v>372</v>
      </c>
      <c r="G30" s="13">
        <v>113</v>
      </c>
      <c r="H30" s="360">
        <v>92</v>
      </c>
      <c r="I30" s="360">
        <v>1.3</v>
      </c>
      <c r="J30" s="364">
        <f t="shared" si="4"/>
        <v>119.60000000000001</v>
      </c>
      <c r="K30" s="364">
        <f>I30*G30</f>
        <v>146.9</v>
      </c>
      <c r="L30" s="360">
        <v>0.64</v>
      </c>
      <c r="M30" s="364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8">
        <v>46291</v>
      </c>
      <c r="D31" s="6"/>
      <c r="E31" s="6"/>
      <c r="F31" s="13" t="s">
        <v>769</v>
      </c>
      <c r="G31" s="6"/>
      <c r="H31" s="361">
        <v>153</v>
      </c>
      <c r="I31" s="360">
        <v>1.3</v>
      </c>
      <c r="J31" s="364">
        <f t="shared" si="4"/>
        <v>198.9</v>
      </c>
      <c r="K31" s="364"/>
      <c r="L31" s="360"/>
      <c r="M31" s="364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8">
        <v>46292</v>
      </c>
      <c r="D32" s="6"/>
      <c r="E32" s="6"/>
      <c r="F32" s="6" t="s">
        <v>334</v>
      </c>
      <c r="G32" s="6"/>
      <c r="H32" s="361">
        <v>169</v>
      </c>
      <c r="I32" s="360">
        <v>1.3</v>
      </c>
      <c r="J32" s="364">
        <f t="shared" si="4"/>
        <v>219.70000000000002</v>
      </c>
      <c r="K32" s="364"/>
      <c r="L32" s="360"/>
      <c r="M32" s="364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8">
        <v>46294</v>
      </c>
      <c r="D33" s="6"/>
      <c r="E33" s="6"/>
      <c r="F33" s="6" t="s">
        <v>769</v>
      </c>
      <c r="G33" s="6"/>
      <c r="H33" s="361">
        <v>21</v>
      </c>
      <c r="I33" s="360">
        <v>1.3</v>
      </c>
      <c r="J33" s="364">
        <f t="shared" si="4"/>
        <v>27.3</v>
      </c>
      <c r="K33" s="364"/>
      <c r="L33" s="360"/>
      <c r="M33" s="364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5"/>
      <c r="D34" s="131"/>
      <c r="E34" s="131"/>
      <c r="F34" s="131"/>
      <c r="G34" s="131"/>
      <c r="H34" s="362"/>
      <c r="I34" s="397">
        <f>AVERAGE(I8:I33)</f>
        <v>1.3373076923076925</v>
      </c>
      <c r="J34" s="362"/>
      <c r="K34" s="362"/>
      <c r="L34" s="397">
        <f>AVERAGE(L8:L22)</f>
        <v>1.8267999999999998</v>
      </c>
      <c r="M34" s="368">
        <f>SUM(M8:M33)</f>
        <v>8322.1650500000014</v>
      </c>
      <c r="N34" s="244"/>
      <c r="O34" s="1118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193"/>
      <c r="AH34" s="1194"/>
      <c r="AI34" s="1194"/>
      <c r="AJ34" s="1194"/>
      <c r="AK34" s="1194"/>
      <c r="AL34" s="1195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2">
        <f>SUM(H8:H33)</f>
        <v>5061</v>
      </c>
      <c r="I35" s="362"/>
      <c r="J35" s="368">
        <f>SUM(J8:J33)</f>
        <v>6678.7300000000014</v>
      </c>
      <c r="K35" s="368">
        <f>SUM(K8:K30)</f>
        <v>2581.8000000000002</v>
      </c>
      <c r="L35" s="397">
        <f>MEDIAN(L8:L22)</f>
        <v>1.1100000000000001</v>
      </c>
      <c r="M35" s="368">
        <f>L35*J35</f>
        <v>7413.3903000000018</v>
      </c>
      <c r="N35" s="1113"/>
      <c r="O35" s="1118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9">
        <v>1</v>
      </c>
      <c r="AH35" s="29">
        <v>0.81</v>
      </c>
      <c r="AJ35" s="1">
        <v>1</v>
      </c>
      <c r="AK35" s="174">
        <v>1.6</v>
      </c>
      <c r="AL35" s="370"/>
    </row>
    <row r="36" spans="2:38" x14ac:dyDescent="0.3">
      <c r="J36" s="363">
        <f>J35-Crushing!N107</f>
        <v>720.72048000000086</v>
      </c>
      <c r="L36" s="367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9">
        <v>2</v>
      </c>
      <c r="AH36" s="29">
        <v>0.81</v>
      </c>
      <c r="AJ36" s="1">
        <v>2</v>
      </c>
      <c r="AK36" s="174">
        <v>1.6</v>
      </c>
      <c r="AL36" s="370"/>
    </row>
    <row r="37" spans="2:38" ht="43.2" x14ac:dyDescent="0.3">
      <c r="I37" s="363"/>
      <c r="J37" s="363"/>
      <c r="L37" s="384" t="s">
        <v>427</v>
      </c>
      <c r="M37" s="1064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9">
        <v>3</v>
      </c>
      <c r="AH37" s="29">
        <v>0.81</v>
      </c>
      <c r="AJ37" s="1">
        <v>3</v>
      </c>
      <c r="AK37" s="174">
        <v>1.6</v>
      </c>
      <c r="AL37" s="370"/>
    </row>
    <row r="38" spans="2:38" x14ac:dyDescent="0.3">
      <c r="I38" s="363"/>
      <c r="J38" s="363"/>
      <c r="K38" s="363"/>
      <c r="L38" s="367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9">
        <v>4</v>
      </c>
      <c r="AH38" s="29">
        <v>0.81</v>
      </c>
      <c r="AJ38" s="1">
        <v>4</v>
      </c>
      <c r="AK38" s="174">
        <v>1.6</v>
      </c>
      <c r="AL38" s="370"/>
    </row>
    <row r="39" spans="2:38" x14ac:dyDescent="0.3">
      <c r="I39" s="363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9">
        <v>5</v>
      </c>
      <c r="AH39" s="29">
        <v>0.81</v>
      </c>
      <c r="AJ39" s="1">
        <v>5</v>
      </c>
      <c r="AK39" s="174">
        <v>1.6</v>
      </c>
      <c r="AL39" s="370"/>
    </row>
    <row r="40" spans="2:38" x14ac:dyDescent="0.3">
      <c r="J40" s="363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9">
        <v>6</v>
      </c>
      <c r="AH40" s="29">
        <v>0.81</v>
      </c>
      <c r="AJ40" s="1">
        <v>6</v>
      </c>
      <c r="AK40" s="174">
        <v>1.6</v>
      </c>
      <c r="AL40" s="370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60">
        <v>271</v>
      </c>
      <c r="I41" s="360">
        <v>1.35</v>
      </c>
      <c r="J41" s="364">
        <f>H41*I41</f>
        <v>365.85</v>
      </c>
      <c r="K41" s="365"/>
      <c r="M41" s="363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9">
        <v>7</v>
      </c>
      <c r="AH41" s="29">
        <v>0.81</v>
      </c>
      <c r="AJ41" s="1">
        <v>7</v>
      </c>
      <c r="AK41" s="174">
        <v>1.6</v>
      </c>
      <c r="AL41" s="370"/>
    </row>
    <row r="42" spans="2:38" x14ac:dyDescent="0.3">
      <c r="J42" s="363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9">
        <v>8</v>
      </c>
      <c r="AH42" s="29">
        <v>0.81</v>
      </c>
      <c r="AJ42" s="1">
        <v>8</v>
      </c>
      <c r="AK42" s="174">
        <v>1.6</v>
      </c>
      <c r="AL42" s="370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9">
        <v>9</v>
      </c>
      <c r="AH43" s="29">
        <v>0.81</v>
      </c>
      <c r="AJ43" s="1">
        <v>9</v>
      </c>
      <c r="AK43" s="174">
        <v>1.6</v>
      </c>
      <c r="AL43" s="370"/>
    </row>
    <row r="44" spans="2:38" x14ac:dyDescent="0.3">
      <c r="G44" s="13">
        <v>41</v>
      </c>
      <c r="J44" s="363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9">
        <v>10</v>
      </c>
      <c r="AH44" s="29">
        <v>0.81</v>
      </c>
      <c r="AJ44" s="1">
        <v>10</v>
      </c>
      <c r="AK44" s="174">
        <v>1.6</v>
      </c>
      <c r="AL44" s="370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9">
        <v>11</v>
      </c>
      <c r="AH45" s="29">
        <v>0.81</v>
      </c>
      <c r="AJ45" s="1">
        <v>11</v>
      </c>
      <c r="AK45" s="174">
        <v>1.6</v>
      </c>
      <c r="AL45" s="370"/>
    </row>
    <row r="46" spans="2:38" x14ac:dyDescent="0.3">
      <c r="G46" s="13">
        <v>93</v>
      </c>
      <c r="I46" s="363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9">
        <v>12</v>
      </c>
      <c r="AH46" s="29">
        <v>0.81</v>
      </c>
      <c r="AJ46" s="1">
        <v>12</v>
      </c>
      <c r="AK46" s="174">
        <v>1.6</v>
      </c>
      <c r="AL46" s="370"/>
    </row>
    <row r="47" spans="2:38" x14ac:dyDescent="0.3">
      <c r="G47" s="13">
        <v>40</v>
      </c>
      <c r="H47" s="358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9">
        <v>13</v>
      </c>
      <c r="AH47" s="29">
        <v>0.81</v>
      </c>
      <c r="AJ47" s="1">
        <v>13</v>
      </c>
      <c r="AK47" s="174">
        <v>1.6</v>
      </c>
      <c r="AL47" s="370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9">
        <v>14</v>
      </c>
      <c r="AH48" s="29">
        <v>0.81</v>
      </c>
      <c r="AJ48" s="1">
        <v>14</v>
      </c>
      <c r="AK48" s="174">
        <v>1.6</v>
      </c>
      <c r="AL48" s="370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9">
        <v>15</v>
      </c>
      <c r="AH49" s="29">
        <v>0.81</v>
      </c>
      <c r="AJ49" s="1">
        <v>15</v>
      </c>
      <c r="AK49" s="174">
        <v>1.6</v>
      </c>
      <c r="AL49" s="370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9">
        <v>16</v>
      </c>
      <c r="AH50" s="29">
        <v>0.81</v>
      </c>
      <c r="AJ50" s="1">
        <v>16</v>
      </c>
      <c r="AK50" s="174">
        <v>1.6</v>
      </c>
      <c r="AL50" s="370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9">
        <v>17</v>
      </c>
      <c r="AH51" s="29">
        <v>0.81</v>
      </c>
      <c r="AJ51" s="1">
        <v>17</v>
      </c>
      <c r="AK51" s="174">
        <v>1.6</v>
      </c>
      <c r="AL51" s="370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9">
        <v>18</v>
      </c>
      <c r="AH52" s="29">
        <v>0.81</v>
      </c>
      <c r="AJ52" s="1">
        <v>18</v>
      </c>
      <c r="AK52" s="174">
        <v>1.6</v>
      </c>
      <c r="AL52" s="370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9">
        <v>19</v>
      </c>
      <c r="AH53" s="29">
        <v>0.81</v>
      </c>
      <c r="AJ53" s="1">
        <v>19</v>
      </c>
      <c r="AK53" s="174">
        <v>1.6</v>
      </c>
      <c r="AL53" s="370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9">
        <v>20</v>
      </c>
      <c r="AH54" s="29">
        <v>0.81</v>
      </c>
      <c r="AJ54" s="1">
        <v>20</v>
      </c>
      <c r="AK54" s="174">
        <v>1.6</v>
      </c>
      <c r="AL54" s="370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9">
        <v>21</v>
      </c>
      <c r="AH55" s="29">
        <v>0.81</v>
      </c>
      <c r="AJ55" s="1">
        <v>21</v>
      </c>
      <c r="AK55" s="174">
        <v>1.6</v>
      </c>
      <c r="AL55" s="370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9">
        <v>22</v>
      </c>
      <c r="AH56" s="29">
        <v>0.81</v>
      </c>
      <c r="AJ56" s="1">
        <v>22</v>
      </c>
      <c r="AK56" s="174">
        <v>1.6</v>
      </c>
      <c r="AL56" s="370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9">
        <v>23</v>
      </c>
      <c r="AH57" s="29">
        <v>0.81</v>
      </c>
      <c r="AJ57" s="1">
        <v>23</v>
      </c>
      <c r="AK57" s="174">
        <v>1.6</v>
      </c>
      <c r="AL57" s="370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9">
        <v>24</v>
      </c>
      <c r="AH58" s="29">
        <v>0.81</v>
      </c>
      <c r="AJ58" s="1">
        <v>24</v>
      </c>
      <c r="AK58" s="174">
        <v>1.6</v>
      </c>
      <c r="AL58" s="370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9">
        <v>25</v>
      </c>
      <c r="AH59" s="29">
        <v>0.81</v>
      </c>
      <c r="AJ59" s="1">
        <v>25</v>
      </c>
      <c r="AK59" s="174">
        <v>1.6</v>
      </c>
      <c r="AL59" s="370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9">
        <v>26</v>
      </c>
      <c r="AH60" s="29">
        <v>0.81</v>
      </c>
      <c r="AJ60" s="1">
        <v>26</v>
      </c>
      <c r="AK60" s="174">
        <v>1.6</v>
      </c>
      <c r="AL60" s="370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9">
        <v>27</v>
      </c>
      <c r="AH61" s="29">
        <v>0.81</v>
      </c>
      <c r="AJ61" s="1">
        <v>27</v>
      </c>
      <c r="AK61" s="174">
        <v>1.6</v>
      </c>
      <c r="AL61" s="370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9">
        <v>28</v>
      </c>
      <c r="AH62" s="29">
        <v>0.81</v>
      </c>
      <c r="AJ62" s="1">
        <v>28</v>
      </c>
      <c r="AK62" s="174">
        <v>1.6</v>
      </c>
      <c r="AL62" s="370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9">
        <v>29</v>
      </c>
      <c r="AH63" s="29">
        <v>0.81</v>
      </c>
      <c r="AJ63" s="1">
        <v>29</v>
      </c>
      <c r="AK63" s="174">
        <v>1.6</v>
      </c>
      <c r="AL63" s="370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9">
        <v>30</v>
      </c>
      <c r="AH64" s="29">
        <v>0.81</v>
      </c>
      <c r="AJ64" s="1">
        <v>30</v>
      </c>
      <c r="AK64" s="174">
        <v>1.6</v>
      </c>
      <c r="AL64" s="370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9">
        <v>31</v>
      </c>
      <c r="AH65" s="29">
        <v>0.81</v>
      </c>
      <c r="AJ65" s="1">
        <v>31</v>
      </c>
      <c r="AK65" s="174">
        <v>1.6</v>
      </c>
      <c r="AL65" s="370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9">
        <v>32</v>
      </c>
      <c r="AH66" s="29">
        <v>0.81</v>
      </c>
      <c r="AJ66" s="1">
        <v>32</v>
      </c>
      <c r="AK66" s="174">
        <v>1.6</v>
      </c>
      <c r="AL66" s="370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9">
        <v>33</v>
      </c>
      <c r="AH67" s="29">
        <v>0.81</v>
      </c>
      <c r="AJ67" s="1">
        <v>33</v>
      </c>
      <c r="AK67" s="174">
        <v>1.6</v>
      </c>
      <c r="AL67" s="370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9">
        <v>34</v>
      </c>
      <c r="AH68" s="29">
        <v>0.81</v>
      </c>
      <c r="AJ68" s="1">
        <v>34</v>
      </c>
      <c r="AK68" s="174">
        <v>1.6</v>
      </c>
      <c r="AL68" s="370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9">
        <v>35</v>
      </c>
      <c r="AH69" s="29">
        <v>0.81</v>
      </c>
      <c r="AJ69" s="1">
        <v>35</v>
      </c>
      <c r="AK69" s="174">
        <v>1.6</v>
      </c>
      <c r="AL69" s="370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9">
        <v>36</v>
      </c>
      <c r="AH70" s="29">
        <v>0.81</v>
      </c>
      <c r="AJ70" s="1">
        <v>36</v>
      </c>
      <c r="AK70" s="174">
        <v>1.6</v>
      </c>
      <c r="AL70" s="370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9">
        <v>37</v>
      </c>
      <c r="AH71" s="29">
        <v>0.81</v>
      </c>
      <c r="AJ71" s="1">
        <v>37</v>
      </c>
      <c r="AK71" s="174">
        <v>1.6</v>
      </c>
      <c r="AL71" s="370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9">
        <v>38</v>
      </c>
      <c r="AH72" s="29">
        <v>0.81</v>
      </c>
      <c r="AJ72" s="1">
        <v>38</v>
      </c>
      <c r="AK72" s="174">
        <v>1.6</v>
      </c>
      <c r="AL72" s="370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9">
        <v>39</v>
      </c>
      <c r="AH73" s="29">
        <v>0.81</v>
      </c>
      <c r="AJ73" s="1">
        <v>39</v>
      </c>
      <c r="AK73" s="174">
        <v>1.6</v>
      </c>
      <c r="AL73" s="370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9">
        <v>40</v>
      </c>
      <c r="AH74" s="29">
        <v>0.81</v>
      </c>
      <c r="AJ74" s="1">
        <v>40</v>
      </c>
      <c r="AK74" s="174">
        <v>1.6</v>
      </c>
      <c r="AL74" s="370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9">
        <v>41</v>
      </c>
      <c r="AH75" s="29">
        <v>0.81</v>
      </c>
      <c r="AJ75" s="1">
        <v>41</v>
      </c>
      <c r="AK75" s="174">
        <v>1.6</v>
      </c>
      <c r="AL75" s="370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9">
        <v>42</v>
      </c>
      <c r="AH76" s="29">
        <v>0.81</v>
      </c>
      <c r="AJ76" s="1">
        <v>42</v>
      </c>
      <c r="AK76" s="174">
        <v>1.6</v>
      </c>
      <c r="AL76" s="370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9">
        <v>43</v>
      </c>
      <c r="AH77" s="29">
        <v>0.81</v>
      </c>
      <c r="AJ77" s="1">
        <v>43</v>
      </c>
      <c r="AK77" s="174">
        <v>1.6</v>
      </c>
      <c r="AL77" s="370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9">
        <v>44</v>
      </c>
      <c r="AH78" s="29">
        <v>0.81</v>
      </c>
      <c r="AJ78" s="1">
        <v>44</v>
      </c>
      <c r="AK78" s="174">
        <v>1.6</v>
      </c>
      <c r="AL78" s="370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9">
        <v>45</v>
      </c>
      <c r="AH79" s="29">
        <v>0.81</v>
      </c>
      <c r="AJ79" s="1">
        <v>45</v>
      </c>
      <c r="AK79" s="174">
        <v>1.6</v>
      </c>
      <c r="AL79" s="370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9">
        <v>46</v>
      </c>
      <c r="AH80" s="29">
        <v>0.81</v>
      </c>
      <c r="AJ80" s="1">
        <v>46</v>
      </c>
      <c r="AK80" s="174">
        <v>1.6</v>
      </c>
      <c r="AL80" s="370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9">
        <v>47</v>
      </c>
      <c r="AH81" s="29">
        <v>0.81</v>
      </c>
      <c r="AJ81" s="1">
        <v>47</v>
      </c>
      <c r="AK81" s="174">
        <v>1.6</v>
      </c>
      <c r="AL81" s="370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9">
        <v>48</v>
      </c>
      <c r="AH82" s="29">
        <v>0.81</v>
      </c>
      <c r="AJ82" s="1">
        <v>48</v>
      </c>
      <c r="AK82" s="174">
        <v>1.6</v>
      </c>
      <c r="AL82" s="370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9">
        <v>49</v>
      </c>
      <c r="AH83" s="29">
        <v>0.81</v>
      </c>
      <c r="AJ83" s="1">
        <v>49</v>
      </c>
      <c r="AK83" s="174">
        <v>1.6</v>
      </c>
      <c r="AL83" s="370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9">
        <v>50</v>
      </c>
      <c r="AH84" s="29">
        <v>0.81</v>
      </c>
      <c r="AJ84" s="1">
        <v>50</v>
      </c>
      <c r="AK84" s="174">
        <v>1.6</v>
      </c>
      <c r="AL84" s="370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9">
        <v>51</v>
      </c>
      <c r="AH85" s="29">
        <v>0.81</v>
      </c>
      <c r="AJ85" s="1">
        <v>51</v>
      </c>
      <c r="AK85" s="174">
        <v>1.6</v>
      </c>
      <c r="AL85" s="370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9">
        <v>52</v>
      </c>
      <c r="AH86" s="29">
        <v>0.81</v>
      </c>
      <c r="AJ86" s="1">
        <v>52</v>
      </c>
      <c r="AK86" s="174">
        <v>1.6</v>
      </c>
      <c r="AL86" s="370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9">
        <v>53</v>
      </c>
      <c r="AH87" s="29">
        <v>0.81</v>
      </c>
      <c r="AJ87" s="1">
        <v>53</v>
      </c>
      <c r="AK87" s="174">
        <v>1.6</v>
      </c>
      <c r="AL87" s="370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9">
        <v>54</v>
      </c>
      <c r="AH88" s="29">
        <v>0.81</v>
      </c>
      <c r="AJ88" s="1">
        <v>54</v>
      </c>
      <c r="AK88" s="174">
        <v>1.6</v>
      </c>
      <c r="AL88" s="370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9">
        <v>55</v>
      </c>
      <c r="AH89" s="29">
        <v>0.81</v>
      </c>
      <c r="AJ89" s="1">
        <v>55</v>
      </c>
      <c r="AK89" s="174">
        <v>1.6</v>
      </c>
      <c r="AL89" s="370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9">
        <v>56</v>
      </c>
      <c r="AH90" s="29">
        <v>0.81</v>
      </c>
      <c r="AJ90" s="1">
        <v>56</v>
      </c>
      <c r="AK90" s="174">
        <v>1.6</v>
      </c>
      <c r="AL90" s="370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9">
        <v>57</v>
      </c>
      <c r="AH91" s="29">
        <v>0.81</v>
      </c>
      <c r="AJ91" s="1">
        <v>57</v>
      </c>
      <c r="AK91" s="174">
        <v>1.6</v>
      </c>
      <c r="AL91" s="370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9">
        <v>58</v>
      </c>
      <c r="AH92" s="29">
        <v>0.81</v>
      </c>
      <c r="AJ92" s="1">
        <v>58</v>
      </c>
      <c r="AK92" s="174">
        <v>1.6</v>
      </c>
      <c r="AL92" s="370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9">
        <v>59</v>
      </c>
      <c r="AH93" s="29">
        <v>0.81</v>
      </c>
      <c r="AJ93" s="1">
        <v>59</v>
      </c>
      <c r="AK93" s="174">
        <v>1.6</v>
      </c>
      <c r="AL93" s="370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9">
        <v>60</v>
      </c>
      <c r="AH94" s="29">
        <v>0.81</v>
      </c>
      <c r="AJ94" s="1">
        <v>60</v>
      </c>
      <c r="AK94" s="174">
        <v>1.6</v>
      </c>
      <c r="AL94" s="370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9">
        <v>61</v>
      </c>
      <c r="AH95" s="29">
        <v>0.81</v>
      </c>
      <c r="AJ95" s="1">
        <v>61</v>
      </c>
      <c r="AK95" s="174">
        <v>1.6</v>
      </c>
      <c r="AL95" s="370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9">
        <v>62</v>
      </c>
      <c r="AH96" s="29">
        <v>0.81</v>
      </c>
      <c r="AJ96" s="1">
        <v>62</v>
      </c>
      <c r="AK96" s="174">
        <v>1.6</v>
      </c>
      <c r="AL96" s="370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9">
        <v>63</v>
      </c>
      <c r="AH97" s="29">
        <v>0.81</v>
      </c>
      <c r="AJ97" s="1">
        <v>63</v>
      </c>
      <c r="AK97" s="174">
        <v>1.6</v>
      </c>
      <c r="AL97" s="370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9">
        <v>64</v>
      </c>
      <c r="AH98" s="29">
        <v>0.81</v>
      </c>
      <c r="AJ98" s="1">
        <v>64</v>
      </c>
      <c r="AK98" s="174">
        <v>1.6</v>
      </c>
      <c r="AL98" s="370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9">
        <v>65</v>
      </c>
      <c r="AH99" s="29">
        <v>0.81</v>
      </c>
      <c r="AJ99" s="1">
        <v>65</v>
      </c>
      <c r="AK99" s="174">
        <v>1.6</v>
      </c>
      <c r="AL99" s="370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9">
        <v>66</v>
      </c>
      <c r="AH100" s="29">
        <v>0.81</v>
      </c>
      <c r="AJ100" s="1">
        <v>66</v>
      </c>
      <c r="AK100" s="174">
        <v>1.6</v>
      </c>
      <c r="AL100" s="370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9">
        <v>67</v>
      </c>
      <c r="AH101" s="29">
        <v>0.81</v>
      </c>
      <c r="AJ101" s="1">
        <v>67</v>
      </c>
      <c r="AK101" s="174">
        <v>1.6</v>
      </c>
      <c r="AL101" s="370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9">
        <v>68</v>
      </c>
      <c r="AH102" s="29">
        <v>0.81</v>
      </c>
      <c r="AJ102" s="1">
        <v>68</v>
      </c>
      <c r="AK102" s="174">
        <v>1.6</v>
      </c>
      <c r="AL102" s="370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9">
        <v>69</v>
      </c>
      <c r="AH103" s="29">
        <v>0.81</v>
      </c>
      <c r="AJ103" s="1">
        <v>69</v>
      </c>
      <c r="AK103" s="174">
        <v>1.6</v>
      </c>
      <c r="AL103" s="370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9">
        <v>70</v>
      </c>
      <c r="AH104" s="29">
        <v>0.81</v>
      </c>
      <c r="AJ104" s="1">
        <v>70</v>
      </c>
      <c r="AK104" s="174">
        <v>1.6</v>
      </c>
      <c r="AL104" s="370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9">
        <v>71</v>
      </c>
      <c r="AH105" s="29">
        <v>0.81</v>
      </c>
      <c r="AJ105" s="1">
        <v>71</v>
      </c>
      <c r="AK105" s="174">
        <v>1.6</v>
      </c>
      <c r="AL105" s="370"/>
    </row>
    <row r="106" spans="2:38" x14ac:dyDescent="0.3">
      <c r="B106" s="1196" t="s">
        <v>422</v>
      </c>
      <c r="C106" s="1196"/>
      <c r="D106" s="1196"/>
      <c r="E106" s="1196"/>
      <c r="F106" s="1196"/>
      <c r="G106" s="1196"/>
      <c r="H106" s="1196"/>
      <c r="I106" s="1196"/>
      <c r="J106" s="1196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9">
        <v>72</v>
      </c>
      <c r="AH106" s="29">
        <v>0.81</v>
      </c>
      <c r="AJ106" s="1">
        <v>72</v>
      </c>
      <c r="AK106" s="174">
        <v>1.6</v>
      </c>
      <c r="AL106" s="370"/>
    </row>
    <row r="107" spans="2:38" x14ac:dyDescent="0.3">
      <c r="B107" s="1196"/>
      <c r="C107" s="1196"/>
      <c r="D107" s="1196"/>
      <c r="E107" s="1196"/>
      <c r="F107" s="1196"/>
      <c r="G107" s="1196"/>
      <c r="H107" s="1196"/>
      <c r="I107" s="1196"/>
      <c r="J107" s="1196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9">
        <v>73</v>
      </c>
      <c r="AH107" s="29">
        <v>0.81</v>
      </c>
      <c r="AJ107" s="1">
        <v>73</v>
      </c>
      <c r="AK107" s="174">
        <v>1.6</v>
      </c>
      <c r="AL107" s="370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9">
        <v>74</v>
      </c>
      <c r="AH108" s="29">
        <v>0.81</v>
      </c>
      <c r="AJ108" s="1">
        <v>74</v>
      </c>
      <c r="AK108" s="174">
        <v>1.6</v>
      </c>
      <c r="AL108" s="370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9">
        <v>75</v>
      </c>
      <c r="AH109" s="29">
        <v>0.81</v>
      </c>
      <c r="AJ109" s="1">
        <v>75</v>
      </c>
      <c r="AK109" s="174">
        <v>1.6</v>
      </c>
      <c r="AL109" s="370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9">
        <v>76</v>
      </c>
      <c r="AH110" s="29">
        <v>0.81</v>
      </c>
      <c r="AJ110" s="1">
        <v>76</v>
      </c>
      <c r="AK110" s="174">
        <v>1.6</v>
      </c>
      <c r="AL110" s="370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9">
        <v>77</v>
      </c>
      <c r="AH111" s="29">
        <v>0.81</v>
      </c>
      <c r="AJ111" s="1">
        <v>77</v>
      </c>
      <c r="AK111" s="174">
        <v>1.6</v>
      </c>
      <c r="AL111" s="370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9">
        <v>78</v>
      </c>
      <c r="AH112" s="29">
        <v>0.81</v>
      </c>
      <c r="AJ112" s="1">
        <v>78</v>
      </c>
      <c r="AK112" s="174">
        <v>1.6</v>
      </c>
      <c r="AL112" s="370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9">
        <v>79</v>
      </c>
      <c r="AH113" s="29">
        <v>0.81</v>
      </c>
      <c r="AJ113" s="1">
        <v>79</v>
      </c>
      <c r="AK113" s="174">
        <v>1.6</v>
      </c>
      <c r="AL113" s="370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9">
        <v>80</v>
      </c>
      <c r="AH114" s="29">
        <v>0.81</v>
      </c>
      <c r="AJ114" s="1">
        <v>80</v>
      </c>
      <c r="AK114" s="174">
        <v>1.6</v>
      </c>
      <c r="AL114" s="370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9">
        <v>81</v>
      </c>
      <c r="AH115" s="29">
        <v>0.81</v>
      </c>
      <c r="AJ115" s="1">
        <v>81</v>
      </c>
      <c r="AK115" s="174">
        <v>1.6</v>
      </c>
      <c r="AL115" s="370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9">
        <v>82</v>
      </c>
      <c r="AH116" s="29">
        <v>0.81</v>
      </c>
      <c r="AJ116" s="1">
        <v>82</v>
      </c>
      <c r="AK116" s="174">
        <v>1.6</v>
      </c>
      <c r="AL116" s="370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9">
        <v>83</v>
      </c>
      <c r="AH117" s="29">
        <v>0.81</v>
      </c>
      <c r="AJ117" s="1">
        <v>83</v>
      </c>
      <c r="AK117" s="174">
        <v>1.6</v>
      </c>
      <c r="AL117" s="370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9">
        <v>84</v>
      </c>
      <c r="AH118" s="29">
        <v>0.81</v>
      </c>
      <c r="AJ118" s="1">
        <v>84</v>
      </c>
      <c r="AK118" s="174">
        <v>1.6</v>
      </c>
      <c r="AL118" s="370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1">
        <v>85</v>
      </c>
      <c r="AH119" s="29">
        <v>0.81</v>
      </c>
      <c r="AI119" s="372"/>
      <c r="AJ119" s="1">
        <v>85</v>
      </c>
      <c r="AK119" s="174">
        <v>1.6</v>
      </c>
      <c r="AL119" s="373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9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9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1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9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9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1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9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9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9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1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9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9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9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1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9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9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9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1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9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9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9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1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9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9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9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1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8">
        <v>69</v>
      </c>
      <c r="K146" s="358">
        <v>0.56999999999999995</v>
      </c>
      <c r="L146" s="358">
        <f>J146*1.3</f>
        <v>89.7</v>
      </c>
      <c r="M146" s="363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9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8">
        <v>9</v>
      </c>
      <c r="K147" s="358">
        <v>0.36899999999999999</v>
      </c>
      <c r="L147" s="358">
        <f t="shared" ref="L147:L154" si="8">J147*1.3</f>
        <v>11.700000000000001</v>
      </c>
      <c r="M147" s="363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9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8">
        <v>331</v>
      </c>
      <c r="K148" s="358">
        <v>0.36899999999999999</v>
      </c>
      <c r="L148" s="358">
        <f t="shared" si="8"/>
        <v>430.3</v>
      </c>
      <c r="M148" s="363">
        <f t="shared" si="9"/>
        <v>158.7807</v>
      </c>
      <c r="Q148" s="208">
        <v>152</v>
      </c>
      <c r="R148" s="6" t="s">
        <v>631</v>
      </c>
      <c r="S148" s="262">
        <v>46278</v>
      </c>
      <c r="T148" s="937">
        <v>1.4</v>
      </c>
      <c r="U148" s="6"/>
      <c r="V148" s="6"/>
      <c r="AG148" s="369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8">
        <v>431</v>
      </c>
      <c r="K149" s="358">
        <v>0.36099999999999999</v>
      </c>
      <c r="L149" s="358">
        <f t="shared" si="8"/>
        <v>560.30000000000007</v>
      </c>
      <c r="M149" s="363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1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8">
        <v>73</v>
      </c>
      <c r="K150" s="358">
        <v>0.38100000000000001</v>
      </c>
      <c r="L150" s="358">
        <f t="shared" si="8"/>
        <v>94.9</v>
      </c>
      <c r="M150" s="363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9">
        <v>116</v>
      </c>
      <c r="AH150" s="29">
        <v>0.81</v>
      </c>
    </row>
    <row r="151" spans="4:34" x14ac:dyDescent="0.3">
      <c r="G151" s="10">
        <f>SUM(G145:G150)</f>
        <v>717.95490000000007</v>
      </c>
      <c r="J151" s="358">
        <v>78</v>
      </c>
      <c r="K151" s="358">
        <v>0.32</v>
      </c>
      <c r="L151" s="358">
        <f t="shared" si="8"/>
        <v>101.4</v>
      </c>
      <c r="M151" s="363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9">
        <v>117</v>
      </c>
      <c r="AH151" s="29">
        <v>0.81</v>
      </c>
    </row>
    <row r="152" spans="4:34" x14ac:dyDescent="0.3">
      <c r="G152" s="10">
        <f>G150+M155</f>
        <v>680.33940000000007</v>
      </c>
      <c r="J152" s="358">
        <v>46</v>
      </c>
      <c r="K152" s="358">
        <v>0.432</v>
      </c>
      <c r="L152" s="358">
        <f t="shared" si="8"/>
        <v>59.800000000000004</v>
      </c>
      <c r="M152" s="363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9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8">
        <v>193</v>
      </c>
      <c r="K153" s="358">
        <v>0.505</v>
      </c>
      <c r="L153" s="358">
        <f t="shared" si="8"/>
        <v>250.9</v>
      </c>
      <c r="M153" s="363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1">
        <v>119</v>
      </c>
      <c r="AH153" s="29">
        <v>0.81</v>
      </c>
    </row>
    <row r="154" spans="4:34" x14ac:dyDescent="0.3">
      <c r="F154" s="10">
        <f>F153+L156</f>
        <v>2598.7000000000003</v>
      </c>
      <c r="J154" s="358">
        <v>32</v>
      </c>
      <c r="K154" s="358">
        <v>0.39</v>
      </c>
      <c r="L154" s="358">
        <f t="shared" si="8"/>
        <v>41.6</v>
      </c>
      <c r="M154" s="363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9">
        <v>120</v>
      </c>
      <c r="AH154" s="29">
        <v>0.81</v>
      </c>
    </row>
    <row r="155" spans="4:34" x14ac:dyDescent="0.3">
      <c r="F155" s="117">
        <f>G152/F154</f>
        <v>0.26179989994997499</v>
      </c>
      <c r="M155" s="363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9">
        <v>121</v>
      </c>
      <c r="AH155" s="29">
        <v>0.81</v>
      </c>
    </row>
    <row r="156" spans="4:34" x14ac:dyDescent="0.3">
      <c r="G156" s="1">
        <f>F153/250</f>
        <v>3.8324000000000003</v>
      </c>
      <c r="L156" s="358">
        <f>SUM(L146:L154)</f>
        <v>1640.6000000000001</v>
      </c>
      <c r="M156" s="1126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7">
        <v>0.82299999999999995</v>
      </c>
      <c r="U156" s="6"/>
      <c r="V156" s="6"/>
      <c r="AG156" s="369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1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9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9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9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1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9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9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9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1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9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9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9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33" t="s">
        <v>714</v>
      </c>
      <c r="C8" s="1133">
        <v>1</v>
      </c>
      <c r="D8" s="1133"/>
      <c r="E8" s="1133">
        <v>20</v>
      </c>
      <c r="F8" s="1133">
        <v>1.3</v>
      </c>
      <c r="G8" s="1134">
        <f t="shared" si="0"/>
        <v>26</v>
      </c>
      <c r="H8" s="1133">
        <v>0.92100000000000004</v>
      </c>
      <c r="I8" s="1134">
        <f t="shared" si="1"/>
        <v>23.946000000000002</v>
      </c>
    </row>
    <row r="9" spans="1:12" x14ac:dyDescent="0.3">
      <c r="A9" s="1">
        <v>2</v>
      </c>
      <c r="B9" s="1133" t="s">
        <v>714</v>
      </c>
      <c r="C9" s="1133">
        <v>1</v>
      </c>
      <c r="D9" s="1133"/>
      <c r="E9" s="1133">
        <v>132</v>
      </c>
      <c r="F9" s="1133">
        <v>1.3</v>
      </c>
      <c r="G9" s="1134">
        <f t="shared" si="0"/>
        <v>171.6</v>
      </c>
      <c r="H9" s="1133">
        <v>0.92100000000000004</v>
      </c>
      <c r="I9" s="1134">
        <f t="shared" si="1"/>
        <v>158.0436</v>
      </c>
      <c r="K9" s="10"/>
    </row>
    <row r="10" spans="1:12" x14ac:dyDescent="0.3">
      <c r="A10" s="1">
        <v>3</v>
      </c>
      <c r="B10" s="1130" t="s">
        <v>715</v>
      </c>
      <c r="C10" s="1130">
        <v>1</v>
      </c>
      <c r="D10" s="1130"/>
      <c r="E10" s="1130">
        <v>31</v>
      </c>
      <c r="F10" s="1130">
        <v>1.3</v>
      </c>
      <c r="G10" s="460">
        <f t="shared" si="0"/>
        <v>40.300000000000004</v>
      </c>
      <c r="H10" s="1130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33" t="s">
        <v>717</v>
      </c>
      <c r="C12" s="1133">
        <v>1</v>
      </c>
      <c r="D12" s="1133"/>
      <c r="E12" s="1133">
        <v>24</v>
      </c>
      <c r="F12" s="1133">
        <v>1.3</v>
      </c>
      <c r="G12" s="1134">
        <f t="shared" si="0"/>
        <v>31.200000000000003</v>
      </c>
      <c r="H12" s="1133">
        <v>0.88700000000000001</v>
      </c>
      <c r="I12" s="1134">
        <f t="shared" si="1"/>
        <v>27.674400000000002</v>
      </c>
    </row>
    <row r="13" spans="1:12" x14ac:dyDescent="0.3">
      <c r="A13" s="1">
        <v>6</v>
      </c>
      <c r="B13" s="1133" t="s">
        <v>717</v>
      </c>
      <c r="C13" s="1133">
        <v>1</v>
      </c>
      <c r="D13" s="1133"/>
      <c r="E13" s="1133">
        <v>54</v>
      </c>
      <c r="F13" s="1133">
        <v>1.3</v>
      </c>
      <c r="G13" s="1134">
        <f t="shared" si="0"/>
        <v>70.2</v>
      </c>
      <c r="H13" s="1133">
        <v>0.88700000000000001</v>
      </c>
      <c r="I13" s="1134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30" t="s">
        <v>724</v>
      </c>
      <c r="C17" s="1130">
        <v>1</v>
      </c>
      <c r="D17" s="1130"/>
      <c r="E17" s="1130">
        <v>476</v>
      </c>
      <c r="F17" s="1130">
        <v>1.3</v>
      </c>
      <c r="G17" s="460">
        <f t="shared" si="0"/>
        <v>618.80000000000007</v>
      </c>
      <c r="H17" s="1130">
        <v>0.67800000000000005</v>
      </c>
      <c r="I17" s="460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1"/>
    </row>
    <row r="28" spans="1:9" x14ac:dyDescent="0.3">
      <c r="B28" s="6"/>
      <c r="C28" s="6"/>
      <c r="D28" s="6" t="s">
        <v>731</v>
      </c>
      <c r="E28" s="6" t="s">
        <v>735</v>
      </c>
      <c r="F28" s="1132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12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62" t="s">
        <v>270</v>
      </c>
      <c r="B3" s="1263"/>
      <c r="C3" s="1263"/>
      <c r="D3" s="1263"/>
      <c r="E3" s="1263"/>
      <c r="F3" s="1263"/>
      <c r="G3" s="1264"/>
      <c r="I3" s="1">
        <f>I2/2</f>
        <v>720</v>
      </c>
    </row>
    <row r="4" spans="1:14" ht="15" thickBot="1" x14ac:dyDescent="0.35">
      <c r="A4" s="1265" t="s">
        <v>0</v>
      </c>
      <c r="B4" s="126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464">
        <v>46268</v>
      </c>
      <c r="B5" s="1261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1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464">
        <v>46269</v>
      </c>
      <c r="B6" s="1261"/>
      <c r="C6" s="160"/>
      <c r="D6" s="60">
        <v>6.9444444444444447E-4</v>
      </c>
      <c r="E6" s="60">
        <v>2.9166666666666667E-2</v>
      </c>
      <c r="F6" s="61">
        <f>(E6-D6)*720</f>
        <v>20.5</v>
      </c>
      <c r="G6" s="442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464">
        <v>46270</v>
      </c>
      <c r="B7" s="1261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464">
        <v>46271</v>
      </c>
      <c r="B8" s="1261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464">
        <v>46272</v>
      </c>
      <c r="B9" s="1261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464">
        <v>46273</v>
      </c>
      <c r="B10" s="1261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464">
        <v>46274</v>
      </c>
      <c r="B11" s="1261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464">
        <v>46275</v>
      </c>
      <c r="B12" s="1261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464">
        <v>46276</v>
      </c>
      <c r="B13" s="1261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464">
        <v>46277</v>
      </c>
      <c r="B14" s="1261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464">
        <v>46278</v>
      </c>
      <c r="B15" s="1261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464">
        <v>46279</v>
      </c>
      <c r="B16" s="1261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464">
        <v>46280</v>
      </c>
      <c r="B17" s="1261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464">
        <v>46281</v>
      </c>
      <c r="B18" s="1261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464">
        <v>46282</v>
      </c>
      <c r="B19" s="1261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464">
        <v>46283</v>
      </c>
      <c r="B20" s="1261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464">
        <v>46284</v>
      </c>
      <c r="B21" s="1261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464">
        <v>46285</v>
      </c>
      <c r="B22" s="1261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464">
        <v>46286</v>
      </c>
      <c r="B23" s="1261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464">
        <v>46287</v>
      </c>
      <c r="B24" s="1261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464">
        <v>46288</v>
      </c>
      <c r="B25" s="1261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464">
        <v>46289</v>
      </c>
      <c r="B26" s="1261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464">
        <v>46290</v>
      </c>
      <c r="B27" s="1261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464">
        <v>46291</v>
      </c>
      <c r="B28" s="1261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464">
        <v>46292</v>
      </c>
      <c r="B29" s="1261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464">
        <v>46293</v>
      </c>
      <c r="B30" s="1261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464">
        <v>46294</v>
      </c>
      <c r="B31" s="1261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464">
        <v>46295</v>
      </c>
      <c r="B32" s="1261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464">
        <v>46296</v>
      </c>
      <c r="B33" s="1261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464">
        <v>46297</v>
      </c>
      <c r="B34" s="1261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464">
        <v>46298</v>
      </c>
      <c r="B35" s="1261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464">
        <v>46299</v>
      </c>
      <c r="B36" s="1261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464">
        <v>46300</v>
      </c>
      <c r="B37" s="1261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464">
        <v>46301</v>
      </c>
      <c r="B38" s="1261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464">
        <v>46302</v>
      </c>
      <c r="B39" s="1261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464">
        <v>46303</v>
      </c>
      <c r="B40" s="1261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464">
        <v>46304</v>
      </c>
      <c r="B41" s="1261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464">
        <v>46305</v>
      </c>
      <c r="B42" s="1261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464">
        <v>46306</v>
      </c>
      <c r="B43" s="1261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464">
        <v>46307</v>
      </c>
      <c r="B44" s="1261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464">
        <v>46308</v>
      </c>
      <c r="B45" s="1261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464">
        <v>46309</v>
      </c>
      <c r="B46" s="1261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464">
        <v>46310</v>
      </c>
      <c r="B47" s="1261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464">
        <v>46311</v>
      </c>
      <c r="B48" s="1261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464">
        <v>46312</v>
      </c>
      <c r="B49" s="1261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464">
        <v>46313</v>
      </c>
      <c r="B50" s="1261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464">
        <v>46314</v>
      </c>
      <c r="B51" s="1261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464">
        <v>46315</v>
      </c>
      <c r="B52" s="1261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464">
        <v>46316</v>
      </c>
      <c r="B53" s="1261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464">
        <v>46317</v>
      </c>
      <c r="B54" s="1261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464">
        <v>46318</v>
      </c>
      <c r="B55" s="1261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464">
        <v>46319</v>
      </c>
      <c r="B56" s="1261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464">
        <v>46320</v>
      </c>
      <c r="B57" s="1261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464">
        <v>46321</v>
      </c>
      <c r="B58" s="1261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464">
        <v>46322</v>
      </c>
      <c r="B59" s="1261"/>
      <c r="C59" s="64"/>
      <c r="D59" s="67"/>
      <c r="E59" s="67"/>
      <c r="F59" s="61">
        <f t="shared" si="5"/>
        <v>0</v>
      </c>
      <c r="G59" s="65"/>
    </row>
    <row r="60" spans="1:18" x14ac:dyDescent="0.3">
      <c r="A60" s="1464">
        <v>46323</v>
      </c>
      <c r="B60" s="1261"/>
      <c r="C60" s="64"/>
      <c r="D60" s="67"/>
      <c r="E60" s="67"/>
      <c r="F60" s="61">
        <f t="shared" si="5"/>
        <v>0</v>
      </c>
      <c r="G60" s="65"/>
    </row>
    <row r="61" spans="1:18" x14ac:dyDescent="0.3">
      <c r="A61" s="1464">
        <v>46324</v>
      </c>
      <c r="B61" s="1261"/>
      <c r="C61" s="64"/>
      <c r="D61" s="67"/>
      <c r="E61" s="67"/>
      <c r="F61" s="61">
        <f t="shared" si="5"/>
        <v>0</v>
      </c>
      <c r="G61" s="65"/>
    </row>
    <row r="62" spans="1:18" x14ac:dyDescent="0.3">
      <c r="A62" s="1464">
        <v>46325</v>
      </c>
      <c r="B62" s="1261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C1" zoomScale="81" zoomScaleNormal="100" workbookViewId="0">
      <pane ySplit="9" topLeftCell="A10" activePane="bottomLeft" state="frozen"/>
      <selection pane="bottomLeft" activeCell="O21" sqref="O2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67" t="s">
        <v>243</v>
      </c>
      <c r="F2" s="1468"/>
      <c r="G2" s="1468"/>
      <c r="H2" s="1468"/>
      <c r="I2" s="1468"/>
      <c r="J2" s="1468"/>
      <c r="K2" s="1468"/>
      <c r="L2" s="1468"/>
      <c r="M2" s="1468"/>
      <c r="N2" s="1468"/>
      <c r="O2" s="1468"/>
      <c r="P2" s="1468"/>
      <c r="Q2" s="1468"/>
      <c r="R2" s="1468"/>
      <c r="S2" s="1468"/>
      <c r="T2" s="1468"/>
      <c r="U2" s="1468"/>
      <c r="V2" s="1468"/>
      <c r="W2" s="1468"/>
      <c r="X2" s="1468"/>
      <c r="Y2" s="1468"/>
      <c r="Z2" s="1468"/>
      <c r="AA2" s="1468"/>
      <c r="AB2" s="1468"/>
      <c r="AC2" s="1468"/>
      <c r="AD2" s="1468"/>
      <c r="AE2" s="1468"/>
      <c r="AF2" s="1469"/>
    </row>
    <row r="3" spans="1:68" ht="24" thickBot="1" x14ac:dyDescent="0.5">
      <c r="E3" s="1467" t="s">
        <v>197</v>
      </c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9"/>
      <c r="AJ3" s="136"/>
    </row>
    <row r="4" spans="1:68" ht="24" thickBot="1" x14ac:dyDescent="0.5">
      <c r="E4" s="1471" t="s">
        <v>537</v>
      </c>
      <c r="F4" s="1472"/>
      <c r="G4" s="1472"/>
      <c r="H4" s="1472"/>
      <c r="I4" s="1472"/>
      <c r="J4" s="1472"/>
      <c r="K4" s="1472"/>
      <c r="L4" s="1472"/>
      <c r="M4" s="1472"/>
      <c r="N4" s="1472"/>
      <c r="O4" s="1472"/>
      <c r="P4" s="1472"/>
      <c r="Q4" s="1472"/>
      <c r="R4" s="1472"/>
      <c r="S4" s="1472"/>
      <c r="T4" s="1472"/>
      <c r="U4" s="1472"/>
      <c r="V4" s="1472"/>
      <c r="W4" s="1472"/>
      <c r="X4" s="1472"/>
      <c r="Y4" s="1472"/>
      <c r="Z4" s="1472"/>
      <c r="AA4" s="1472"/>
      <c r="AB4" s="1472"/>
      <c r="AC4" s="1472"/>
      <c r="AD4" s="1472"/>
      <c r="AE4" s="1472"/>
      <c r="AF4" s="1473"/>
      <c r="AH4" s="423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13"/>
      <c r="AE6" s="1151"/>
      <c r="AG6" s="2"/>
      <c r="AI6" s="10"/>
      <c r="AL6" s="43"/>
    </row>
    <row r="7" spans="1:68" x14ac:dyDescent="0.3">
      <c r="B7" s="1365" t="s">
        <v>259</v>
      </c>
      <c r="C7" s="205" t="s">
        <v>325</v>
      </c>
      <c r="D7" s="205" t="s">
        <v>706</v>
      </c>
      <c r="E7" s="1365" t="s">
        <v>244</v>
      </c>
      <c r="F7" s="1365" t="s">
        <v>245</v>
      </c>
      <c r="G7" s="1365" t="s">
        <v>246</v>
      </c>
      <c r="H7" s="1365" t="s">
        <v>247</v>
      </c>
      <c r="I7" s="1365" t="s">
        <v>248</v>
      </c>
      <c r="J7" s="1470" t="s">
        <v>144</v>
      </c>
      <c r="K7" s="1474" t="s">
        <v>680</v>
      </c>
      <c r="L7" s="1474" t="s">
        <v>767</v>
      </c>
      <c r="M7" s="1365" t="s">
        <v>250</v>
      </c>
      <c r="N7" s="1353" t="s">
        <v>249</v>
      </c>
      <c r="O7" s="224" t="s">
        <v>249</v>
      </c>
      <c r="P7" s="1353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365" t="s">
        <v>251</v>
      </c>
      <c r="W7" s="205" t="s">
        <v>303</v>
      </c>
      <c r="X7" s="1365" t="s">
        <v>260</v>
      </c>
      <c r="Y7" s="1365"/>
      <c r="Z7" s="1365"/>
      <c r="AA7" s="1219" t="s">
        <v>262</v>
      </c>
      <c r="AB7" s="1219"/>
      <c r="AC7" s="1219"/>
      <c r="AD7" s="1365" t="s">
        <v>269</v>
      </c>
      <c r="AE7" s="1365" t="s">
        <v>290</v>
      </c>
      <c r="AF7" s="1219" t="s">
        <v>256</v>
      </c>
      <c r="AG7" s="1219"/>
      <c r="AH7" s="1219"/>
      <c r="AI7" s="1219"/>
      <c r="AJ7" s="1219"/>
      <c r="AK7" s="1219"/>
      <c r="AL7" s="1219" t="s">
        <v>266</v>
      </c>
      <c r="AM7" s="1219"/>
      <c r="AN7" s="1219"/>
      <c r="AO7" s="1219" t="s">
        <v>267</v>
      </c>
      <c r="AP7" s="1219"/>
      <c r="AQ7" s="1219"/>
      <c r="AR7" s="131"/>
      <c r="AS7" s="247" t="s">
        <v>331</v>
      </c>
      <c r="AT7" s="1477" t="s">
        <v>273</v>
      </c>
      <c r="AU7" s="1478"/>
      <c r="AV7" s="1479"/>
      <c r="AW7" s="1483" t="s">
        <v>300</v>
      </c>
      <c r="AX7" s="1154"/>
      <c r="AY7" s="1353" t="s">
        <v>301</v>
      </c>
      <c r="AZ7" s="1219" t="s">
        <v>661</v>
      </c>
      <c r="BA7" s="1219"/>
      <c r="BB7" s="1219"/>
      <c r="BC7" s="131" t="s">
        <v>293</v>
      </c>
      <c r="BD7" s="1219" t="s">
        <v>277</v>
      </c>
      <c r="BE7" s="1219"/>
      <c r="BF7" s="1219"/>
      <c r="BG7" s="1219" t="s">
        <v>761</v>
      </c>
      <c r="BH7" s="1219"/>
      <c r="BI7" s="1219"/>
      <c r="BJ7" s="1219" t="s">
        <v>763</v>
      </c>
      <c r="BK7" s="1219"/>
      <c r="BL7" s="1219"/>
    </row>
    <row r="8" spans="1:68" x14ac:dyDescent="0.3">
      <c r="B8" s="1365"/>
      <c r="C8" s="205" t="s">
        <v>296</v>
      </c>
      <c r="D8" s="205" t="s">
        <v>36</v>
      </c>
      <c r="E8" s="1365"/>
      <c r="F8" s="1365"/>
      <c r="G8" s="1365"/>
      <c r="H8" s="1365"/>
      <c r="I8" s="1365"/>
      <c r="J8" s="1470"/>
      <c r="K8" s="1475"/>
      <c r="L8" s="1475"/>
      <c r="M8" s="1365"/>
      <c r="N8" s="1354"/>
      <c r="O8" s="225" t="s">
        <v>316</v>
      </c>
      <c r="P8" s="1354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365"/>
      <c r="W8" s="205" t="s">
        <v>184</v>
      </c>
      <c r="X8" s="1365" t="s">
        <v>261</v>
      </c>
      <c r="Y8" s="1365"/>
      <c r="Z8" s="1365"/>
      <c r="AA8" s="1219" t="s">
        <v>466</v>
      </c>
      <c r="AB8" s="1219"/>
      <c r="AC8" s="1219"/>
      <c r="AD8" s="1365"/>
      <c r="AE8" s="1365"/>
      <c r="AF8" s="1219" t="s">
        <v>263</v>
      </c>
      <c r="AG8" s="1219"/>
      <c r="AH8" s="1219"/>
      <c r="AI8" s="1219" t="s">
        <v>264</v>
      </c>
      <c r="AJ8" s="1219"/>
      <c r="AK8" s="1219"/>
      <c r="AL8" s="1219" t="s">
        <v>265</v>
      </c>
      <c r="AM8" s="1219"/>
      <c r="AN8" s="1219"/>
      <c r="AO8" s="1219" t="s">
        <v>257</v>
      </c>
      <c r="AP8" s="1219"/>
      <c r="AQ8" s="1219"/>
      <c r="AR8" s="131" t="s">
        <v>258</v>
      </c>
      <c r="AS8" s="248" t="s">
        <v>294</v>
      </c>
      <c r="AT8" s="1480"/>
      <c r="AU8" s="1481"/>
      <c r="AV8" s="1482"/>
      <c r="AW8" s="1484"/>
      <c r="AX8" s="1155"/>
      <c r="AY8" s="1355"/>
      <c r="AZ8" s="1219" t="s">
        <v>261</v>
      </c>
      <c r="BA8" s="1219"/>
      <c r="BB8" s="1219"/>
      <c r="BC8" s="131" t="s">
        <v>294</v>
      </c>
      <c r="BD8" s="1219" t="s">
        <v>40</v>
      </c>
      <c r="BE8" s="1219"/>
      <c r="BF8" s="1219"/>
      <c r="BG8" s="1219" t="s">
        <v>762</v>
      </c>
      <c r="BH8" s="1219"/>
      <c r="BI8" s="1219"/>
      <c r="BJ8" s="1219" t="s">
        <v>40</v>
      </c>
      <c r="BK8" s="1219"/>
      <c r="BL8" s="1219"/>
    </row>
    <row r="9" spans="1:68" x14ac:dyDescent="0.3">
      <c r="B9" s="1365"/>
      <c r="C9" s="205" t="s">
        <v>297</v>
      </c>
      <c r="D9" s="205" t="s">
        <v>743</v>
      </c>
      <c r="E9" s="1365"/>
      <c r="F9" s="1365"/>
      <c r="G9" s="1365"/>
      <c r="H9" s="1365"/>
      <c r="I9" s="1365"/>
      <c r="J9" s="1470"/>
      <c r="K9" s="1476"/>
      <c r="L9" s="1476"/>
      <c r="M9" s="1365"/>
      <c r="N9" s="1355"/>
      <c r="O9" s="204" t="s">
        <v>315</v>
      </c>
      <c r="P9" s="1355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365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365"/>
      <c r="AE9" s="1365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485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1" customFormat="1" x14ac:dyDescent="0.3">
      <c r="A10" s="823">
        <f>J10/T10</f>
        <v>5.1645804357904499</v>
      </c>
      <c r="B10" s="488">
        <v>1</v>
      </c>
      <c r="C10" s="472">
        <f>SUM('Milling and Leach Feed_OLD'!P5:P8)</f>
        <v>45.333333333333329</v>
      </c>
      <c r="D10" s="472">
        <f>N10/C10</f>
        <v>6.4480941176470585</v>
      </c>
      <c r="E10" s="488">
        <v>2</v>
      </c>
      <c r="F10" s="639">
        <v>46266</v>
      </c>
      <c r="G10" s="818">
        <v>0.25</v>
      </c>
      <c r="H10" s="639">
        <v>46268</v>
      </c>
      <c r="I10" s="818">
        <v>0.79166666666666663</v>
      </c>
      <c r="J10" s="488">
        <v>557</v>
      </c>
      <c r="K10" s="1097">
        <f>(AY10*1000)/J10</f>
        <v>1.7953321364452424</v>
      </c>
      <c r="L10" s="1097"/>
      <c r="M10" s="487">
        <v>0.41</v>
      </c>
      <c r="N10" s="472">
        <f t="shared" ref="N10:N21" si="0">M10*J10*P10</f>
        <v>292.31359999999995</v>
      </c>
      <c r="O10" s="472"/>
      <c r="P10" s="488">
        <v>1.28</v>
      </c>
      <c r="Q10" s="488">
        <v>2</v>
      </c>
      <c r="R10" s="487">
        <v>0.39900000000000002</v>
      </c>
      <c r="S10" s="819">
        <v>1.2649999999999999</v>
      </c>
      <c r="T10" s="472">
        <v>107.85</v>
      </c>
      <c r="U10" s="472">
        <f t="shared" ref="U10:U15" si="1">T10*S10*R10</f>
        <v>54.435669749999995</v>
      </c>
      <c r="V10" s="472">
        <f t="shared" ref="V10:V15" si="2">N10*((1-M10)/M10)</f>
        <v>420.64640000000003</v>
      </c>
      <c r="W10" s="472">
        <f>N10</f>
        <v>292.31359999999995</v>
      </c>
      <c r="X10" s="819">
        <f>AVERAGE('Milling and Leach Feed_OLD'!T5:T8)</f>
        <v>0.70799999999999996</v>
      </c>
      <c r="Y10" s="819">
        <f>AVERAGE('Milling and Leach Feed_OLD'!U5:U8)</f>
        <v>0.53525</v>
      </c>
      <c r="Z10" s="819">
        <f>AVERAGE('Milling and Leach Feed_OLD'!V5:V8)</f>
        <v>7.2224166666666676</v>
      </c>
      <c r="AA10" s="819">
        <f>SUM('Milling and Leach Feed_OLD'!W5:W8)/'Au Cal Leaching Tank'!N10</f>
        <v>0.65897435796966009</v>
      </c>
      <c r="AB10" s="819">
        <f>SUM('Milling and Leach Feed_OLD'!X5:X8)/'Au Cal Leaching Tank'!N10</f>
        <v>0.56643603797540276</v>
      </c>
      <c r="AC10" s="819">
        <f>SUM('Milling and Leach Feed_OLD'!Y5:Y8)/'Au Cal Leaching Tank'!N10</f>
        <v>7.4363798214475381</v>
      </c>
      <c r="AD10" s="820">
        <f>X10-AA10</f>
        <v>4.9025642030339878E-2</v>
      </c>
      <c r="AE10" s="821">
        <f>((X10-AA10)/(X10+AA10)/2)</f>
        <v>1.7932173249817464E-2</v>
      </c>
      <c r="AF10" s="819">
        <f>'LT Floculation'!G6</f>
        <v>5.5750000000000001E-2</v>
      </c>
      <c r="AG10" s="819">
        <v>0.17</v>
      </c>
      <c r="AH10" s="819">
        <v>6.55</v>
      </c>
      <c r="AI10" s="819">
        <v>0.02</v>
      </c>
      <c r="AJ10" s="619"/>
      <c r="AK10" s="619"/>
      <c r="AL10" s="472">
        <f>X10*$N$10</f>
        <v>206.95802879999997</v>
      </c>
      <c r="AM10" s="472">
        <f t="shared" ref="AM10" si="3">AB10*$N$10</f>
        <v>165.57695743032667</v>
      </c>
      <c r="AN10" s="472">
        <f>AC10*$N$10</f>
        <v>2173.7549565746867</v>
      </c>
      <c r="AO10" s="472">
        <f>AF10*N10</f>
        <v>16.296483199999997</v>
      </c>
      <c r="AP10" s="472">
        <f>AG10*N10</f>
        <v>49.693311999999999</v>
      </c>
      <c r="AQ10" s="472">
        <f>AH10*N10</f>
        <v>1914.6540799999996</v>
      </c>
      <c r="AR10" s="472">
        <f>AI10*V10</f>
        <v>8.4129280000000008</v>
      </c>
      <c r="AS10" s="472">
        <v>1</v>
      </c>
      <c r="AT10" s="821">
        <f>((AL10-(AO10+AR10))/AL10)</f>
        <v>0.88060665564282758</v>
      </c>
      <c r="AU10" s="821">
        <f t="shared" ref="AU10" si="4">((AM10-AP10)/AM10)*0.95</f>
        <v>0.66488396010740214</v>
      </c>
      <c r="AV10" s="821">
        <f>((AN10-AQ10)/AN10)*0.95</f>
        <v>0.11323531753267131</v>
      </c>
      <c r="AW10" s="822">
        <v>2</v>
      </c>
      <c r="AX10" s="822"/>
      <c r="AY10" s="822">
        <v>1</v>
      </c>
      <c r="AZ10" s="472">
        <f>BD10/$AY10</f>
        <v>182.24861759999996</v>
      </c>
      <c r="BA10" s="472">
        <f t="shared" ref="BA10:BB11" si="5">BE10/$AY10</f>
        <v>115.88364543032668</v>
      </c>
      <c r="BB10" s="472">
        <f t="shared" si="5"/>
        <v>259.10087657468716</v>
      </c>
      <c r="BC10" s="472">
        <v>1</v>
      </c>
      <c r="BD10" s="472">
        <f>(AL10-AO10-AR10)</f>
        <v>182.24861759999996</v>
      </c>
      <c r="BE10" s="472">
        <f>(AM10-AP10)</f>
        <v>115.88364543032668</v>
      </c>
      <c r="BF10" s="472">
        <f>(AN10-AQ10)</f>
        <v>259.10087657468716</v>
      </c>
      <c r="BG10" s="618">
        <v>229</v>
      </c>
      <c r="BH10" s="486">
        <v>231</v>
      </c>
      <c r="BI10" s="1180">
        <v>133</v>
      </c>
      <c r="BJ10" s="1180">
        <f>BG10*$AY$10</f>
        <v>229</v>
      </c>
      <c r="BK10" s="1180">
        <f t="shared" ref="BK10:BL10" si="6">BH10*$AY$10</f>
        <v>231</v>
      </c>
      <c r="BL10" s="1180">
        <f t="shared" si="6"/>
        <v>133</v>
      </c>
      <c r="BM10" s="1181">
        <f>(BJ10+AR10+AO10)/N10</f>
        <v>0.86793570740465043</v>
      </c>
      <c r="BN10" s="825">
        <f>BM10*N10</f>
        <v>253.70941119999998</v>
      </c>
      <c r="BO10" s="1184">
        <f>BJ10/BN10</f>
        <v>0.9026074315370135</v>
      </c>
      <c r="BP10" s="1185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8">
        <f t="shared" ref="K11:K20" si="7">(AY11*1000)/J11</f>
        <v>1.8552875695732838</v>
      </c>
      <c r="L11" s="1098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1" customFormat="1" x14ac:dyDescent="0.3">
      <c r="A12" s="823">
        <f>J12/T12</f>
        <v>5.9990727862772371</v>
      </c>
      <c r="B12" s="488">
        <v>3</v>
      </c>
      <c r="C12" s="472">
        <f>SUM('Milling and Leach Feed_OLD'!P16:P19)</f>
        <v>47.333333333333329</v>
      </c>
      <c r="D12" s="472">
        <f>O12/C12</f>
        <v>6.9078344419014108</v>
      </c>
      <c r="E12" s="488">
        <v>2</v>
      </c>
      <c r="F12" s="639">
        <v>46272</v>
      </c>
      <c r="G12" s="818">
        <v>0.91666666666666663</v>
      </c>
      <c r="H12" s="639">
        <v>46274</v>
      </c>
      <c r="I12" s="818">
        <v>0.41666666666666669</v>
      </c>
      <c r="J12" s="488">
        <v>647</v>
      </c>
      <c r="K12" s="1097">
        <f t="shared" si="7"/>
        <v>1.545595054095827</v>
      </c>
      <c r="L12" s="1097"/>
      <c r="M12" s="487">
        <v>0.45</v>
      </c>
      <c r="N12" s="472">
        <f t="shared" si="0"/>
        <v>381.40650000000005</v>
      </c>
      <c r="O12" s="472">
        <f t="shared" ref="O12:O17" si="15">N12-U10</f>
        <v>326.97083025000006</v>
      </c>
      <c r="P12" s="488">
        <v>1.31</v>
      </c>
      <c r="Q12" s="488">
        <v>2</v>
      </c>
      <c r="R12" s="487">
        <v>0.44</v>
      </c>
      <c r="S12" s="819">
        <v>1.3</v>
      </c>
      <c r="T12" s="472">
        <v>107.85</v>
      </c>
      <c r="U12" s="472">
        <f t="shared" si="1"/>
        <v>61.69019999999999</v>
      </c>
      <c r="V12" s="472">
        <f t="shared" si="2"/>
        <v>466.16350000000011</v>
      </c>
      <c r="W12" s="472">
        <f>O12+W11</f>
        <v>919.42658025000003</v>
      </c>
      <c r="X12" s="819">
        <f>AVERAGE('Milling and Leach Feed_OLD'!T16:T18)</f>
        <v>0.93455555555555547</v>
      </c>
      <c r="Y12" s="819">
        <f>AVERAGE('Milling and Leach Feed_OLD'!U16:U18)</f>
        <v>0.65888888888888886</v>
      </c>
      <c r="Z12" s="819">
        <f>AVERAGE('Milling and Leach Feed_OLD'!V16:V18)</f>
        <v>9.0688888888888908</v>
      </c>
      <c r="AA12" s="819">
        <f>SUM('Milling and Leach Feed_OLD'!W16:W19)/'Au Cal Leaching Tank'!$O$12</f>
        <v>0.88874983310558886</v>
      </c>
      <c r="AB12" s="819">
        <f>SUM('Milling and Leach Feed_OLD'!X16:X18)/'Au Cal Leaching Tank'!$O$12</f>
        <v>0.38757072090021194</v>
      </c>
      <c r="AC12" s="819">
        <f>SUM('Milling and Leach Feed_OLD'!Y16:Y18)/'Au Cal Leaching Tank'!$O$12</f>
        <v>5.6910690955920016</v>
      </c>
      <c r="AD12" s="820">
        <f>X12-AA12</f>
        <v>4.5805722449966613E-2</v>
      </c>
      <c r="AE12" s="821">
        <f>((X12-AA12)/(X12+AA12)/2)</f>
        <v>1.2561176732879022E-2</v>
      </c>
      <c r="AF12" s="819">
        <f>'LT Floculation'!G8</f>
        <v>9.816666666666668E-2</v>
      </c>
      <c r="AG12" s="819">
        <f>'LT Floculation'!H8</f>
        <v>0.23333333333333331</v>
      </c>
      <c r="AH12" s="819">
        <f>'LT Floculation'!I8</f>
        <v>8.9633333333333329</v>
      </c>
      <c r="AI12" s="488">
        <v>2.3E-2</v>
      </c>
      <c r="AJ12" s="619"/>
      <c r="AK12" s="619"/>
      <c r="AL12" s="472">
        <f>$O12*X12</f>
        <v>305.57240591475005</v>
      </c>
      <c r="AM12" s="472">
        <f t="shared" ref="AM12:AN12" si="16">$O12*Y12</f>
        <v>215.43744704250003</v>
      </c>
      <c r="AN12" s="472">
        <f t="shared" si="16"/>
        <v>2965.2621294450014</v>
      </c>
      <c r="AO12" s="472">
        <f>AF12*$O12</f>
        <v>32.097636502875012</v>
      </c>
      <c r="AP12" s="472">
        <f>AG12*$O12</f>
        <v>76.293193725000009</v>
      </c>
      <c r="AQ12" s="472">
        <f>AH12*$O12</f>
        <v>2930.7485418075003</v>
      </c>
      <c r="AR12" s="472">
        <f t="shared" ref="AR12:AR16" si="17">AI12*V12</f>
        <v>10.721760500000002</v>
      </c>
      <c r="AS12" s="472">
        <v>3</v>
      </c>
      <c r="AT12" s="821">
        <f>IFERROR(((AL12-(AO12+AR12))/AL12),"")</f>
        <v>0.85987151924044825</v>
      </c>
      <c r="AU12" s="821">
        <f>IFERROR((AM12-AP12)/AM12,"")</f>
        <v>0.64586846543001686</v>
      </c>
      <c r="AV12" s="821">
        <f>IFERROR((AN12-AQ12)/AN12,"")</f>
        <v>1.1639304092134657E-2</v>
      </c>
      <c r="AW12" s="822">
        <v>2</v>
      </c>
      <c r="AX12" s="822"/>
      <c r="AY12" s="1159">
        <v>1</v>
      </c>
      <c r="AZ12" s="472">
        <f>(BD10+BD12)/AY12</f>
        <v>445.00162651187497</v>
      </c>
      <c r="BA12" s="472">
        <f>(BE10+BE12)/AY12</f>
        <v>255.0278987478267</v>
      </c>
      <c r="BB12" s="824">
        <f>(BB10+BF12)/AY12</f>
        <v>293.6144642121883</v>
      </c>
      <c r="BC12" s="824">
        <v>3</v>
      </c>
      <c r="BD12" s="472">
        <f>(AL12-AO12-AR12)</f>
        <v>262.75300891187504</v>
      </c>
      <c r="BE12" s="472">
        <f t="shared" ref="BE12:BE13" si="18">(AM12-AP12)</f>
        <v>139.14425331750002</v>
      </c>
      <c r="BF12" s="472">
        <f t="shared" ref="BF12" si="19">(AN12-AQ12)</f>
        <v>34.513587637501132</v>
      </c>
      <c r="BG12" s="618">
        <v>489</v>
      </c>
      <c r="BH12" s="486">
        <v>482</v>
      </c>
      <c r="BI12" s="486">
        <v>280</v>
      </c>
      <c r="BJ12" s="486">
        <f>BG12*$AY$12</f>
        <v>489</v>
      </c>
      <c r="BK12" s="486">
        <f t="shared" ref="BK12:BL12" si="20">BH12*$AY$12</f>
        <v>482</v>
      </c>
      <c r="BL12" s="486">
        <f t="shared" si="20"/>
        <v>280</v>
      </c>
      <c r="BM12" s="1182">
        <f>(BJ12+AR12+AO12)/O12</f>
        <v>1.6265041031221315</v>
      </c>
      <c r="BN12" s="825">
        <f>BM12*O12</f>
        <v>531.81939700287501</v>
      </c>
      <c r="BO12" s="1184">
        <f t="shared" si="13"/>
        <v>0.91948507849809857</v>
      </c>
      <c r="BP12" s="1185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8">
        <f t="shared" si="7"/>
        <v>1.545595054095827</v>
      </c>
      <c r="L13" s="1098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8" customFormat="1" x14ac:dyDescent="0.3">
      <c r="A14" s="823">
        <f t="shared" si="21"/>
        <v>5.9990727862772371</v>
      </c>
      <c r="B14" s="488">
        <v>5</v>
      </c>
      <c r="C14" s="472">
        <f>SUM('Milling and Leach Feed_OLD'!P25:P27)</f>
        <v>26.016666666666666</v>
      </c>
      <c r="D14" s="472">
        <f>O14/C14</f>
        <v>10.262106342088407</v>
      </c>
      <c r="E14" s="488">
        <v>2</v>
      </c>
      <c r="F14" s="639">
        <v>46276</v>
      </c>
      <c r="G14" s="818">
        <v>0.43263888888888891</v>
      </c>
      <c r="H14" s="639">
        <v>46277</v>
      </c>
      <c r="I14" s="818">
        <v>0.29166666666666669</v>
      </c>
      <c r="J14" s="488">
        <v>647</v>
      </c>
      <c r="K14" s="1097">
        <f t="shared" si="7"/>
        <v>2.3183925811437405</v>
      </c>
      <c r="L14" s="1097"/>
      <c r="M14" s="487">
        <v>0.4</v>
      </c>
      <c r="N14" s="472">
        <f t="shared" si="0"/>
        <v>328.67600000000004</v>
      </c>
      <c r="O14" s="472">
        <f t="shared" si="15"/>
        <v>266.98580000000004</v>
      </c>
      <c r="P14" s="488">
        <v>1.27</v>
      </c>
      <c r="Q14" s="488">
        <v>2</v>
      </c>
      <c r="R14" s="487">
        <v>0.41</v>
      </c>
      <c r="S14" s="819">
        <v>1.28</v>
      </c>
      <c r="T14" s="472">
        <f>$T$10</f>
        <v>107.85</v>
      </c>
      <c r="U14" s="472">
        <f t="shared" si="1"/>
        <v>56.599679999999999</v>
      </c>
      <c r="V14" s="472">
        <f t="shared" si="2"/>
        <v>493.01400000000001</v>
      </c>
      <c r="W14" s="472">
        <f>W13+O14</f>
        <v>1503.3476802499999</v>
      </c>
      <c r="X14" s="819">
        <f>AVERAGE('Milling and Leach Feed_OLD'!T25:T27)</f>
        <v>0.58733333333333337</v>
      </c>
      <c r="Y14" s="819">
        <f>AVERAGE('Milling and Leach Feed_OLD'!U25:U27)</f>
        <v>0.49666666666666665</v>
      </c>
      <c r="Z14" s="819">
        <f>AVERAGE('Milling and Leach Feed_OLD'!V25:V27)</f>
        <v>9.0411111111111087</v>
      </c>
      <c r="AA14" s="819">
        <f>SUM('Milling and Leach Feed_OLD'!W25:W27)/'Au Cal Leaching Tank'!$O$14</f>
        <v>0.61464225438206821</v>
      </c>
      <c r="AB14" s="819">
        <f>SUM('Milling and Leach Feed_OLD'!X25:X27)/'Au Cal Leaching Tank'!$O$14</f>
        <v>0.52218902278697976</v>
      </c>
      <c r="AC14" s="819">
        <f>SUM('Milling and Leach Feed_OLD'!Y25:Y27)/'Au Cal Leaching Tank'!$O$14</f>
        <v>8.950932119486005</v>
      </c>
      <c r="AD14" s="819">
        <f>AA14-X14</f>
        <v>2.7308921048734836E-2</v>
      </c>
      <c r="AE14" s="821">
        <f>((AA14-X14)/(AA14+X14)/2)</f>
        <v>1.1360014848821088E-2</v>
      </c>
      <c r="AF14" s="819">
        <f>AVERAGE('LT Floculation'!R28:R33)</f>
        <v>0.12466666666666666</v>
      </c>
      <c r="AG14" s="819">
        <f>AVERAGE('LT Floculation'!S28:S33)</f>
        <v>0.37833333333333335</v>
      </c>
      <c r="AH14" s="819">
        <f>AVERAGE('LT Floculation'!T28:T33)</f>
        <v>7.5183333333333335</v>
      </c>
      <c r="AI14" s="488">
        <v>2.5999999999999999E-2</v>
      </c>
      <c r="AJ14" s="488"/>
      <c r="AK14" s="488"/>
      <c r="AL14" s="472">
        <f t="shared" si="22"/>
        <v>156.80965986666669</v>
      </c>
      <c r="AM14" s="472">
        <f t="shared" si="23"/>
        <v>132.60294733333336</v>
      </c>
      <c r="AN14" s="472">
        <f t="shared" si="24"/>
        <v>2413.8482828888887</v>
      </c>
      <c r="AO14" s="472">
        <f>AF14*$O14</f>
        <v>33.284229733333341</v>
      </c>
      <c r="AP14" s="472">
        <f t="shared" si="25"/>
        <v>101.00962766666669</v>
      </c>
      <c r="AQ14" s="472">
        <f t="shared" si="25"/>
        <v>2007.2882396666671</v>
      </c>
      <c r="AR14" s="472">
        <f>AI14*V14</f>
        <v>12.818363999999999</v>
      </c>
      <c r="AS14" s="472">
        <v>5</v>
      </c>
      <c r="AT14" s="821">
        <f>IFERROR(((AL14-(AO14+AR14))/AL14),"")</f>
        <v>0.70599646876006361</v>
      </c>
      <c r="AU14" s="821">
        <f t="shared" si="27"/>
        <v>0.23825503355704697</v>
      </c>
      <c r="AV14" s="821">
        <f t="shared" si="28"/>
        <v>0.16842816762934718</v>
      </c>
      <c r="AW14" s="822">
        <v>2</v>
      </c>
      <c r="AX14" s="822"/>
      <c r="AY14" s="1160">
        <v>1.5</v>
      </c>
      <c r="AZ14" s="472">
        <f>(BD10+BD12+BD14)/AY14</f>
        <v>370.47246176347221</v>
      </c>
      <c r="BA14" s="472">
        <f>(BE10+BE12+BE14)/AY14</f>
        <v>191.08081227632888</v>
      </c>
      <c r="BB14" s="472">
        <f>(BF10+BF12+BF14)/AY14</f>
        <v>466.78300495627326</v>
      </c>
      <c r="BC14" s="472">
        <v>5</v>
      </c>
      <c r="BD14" s="472">
        <f t="shared" si="10"/>
        <v>110.70706613333334</v>
      </c>
      <c r="BE14" s="472">
        <f t="shared" ref="BE14" si="30">(AM14-AP14)</f>
        <v>31.593319666666673</v>
      </c>
      <c r="BF14" s="472">
        <f t="shared" ref="BF14" si="31">(AN14-AQ14)</f>
        <v>406.56004322222157</v>
      </c>
      <c r="BG14" s="618">
        <v>532</v>
      </c>
      <c r="BH14" s="486">
        <v>537</v>
      </c>
      <c r="BI14" s="486">
        <v>303</v>
      </c>
      <c r="BJ14" s="486">
        <f>BG14*$AY$14</f>
        <v>798</v>
      </c>
      <c r="BK14" s="486">
        <f t="shared" ref="BK14:BL14" si="32">BH14*$AY$14</f>
        <v>805.5</v>
      </c>
      <c r="BL14" s="486">
        <f t="shared" si="32"/>
        <v>454.5</v>
      </c>
      <c r="BM14" s="1182">
        <f>(BJ14+AR14+AO14)/O14</f>
        <v>3.161601080407022</v>
      </c>
      <c r="BN14" s="825">
        <f>BM14*O14</f>
        <v>844.10259373333326</v>
      </c>
      <c r="BO14" s="1184">
        <f t="shared" si="13"/>
        <v>0.9453827128649982</v>
      </c>
      <c r="BP14" s="1185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8">
        <f t="shared" si="7"/>
        <v>1.7964071856287425</v>
      </c>
      <c r="L15" s="1098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0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61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83">
        <f>BG15*$AY$15</f>
        <v>892.5</v>
      </c>
      <c r="BK15" s="1183">
        <f t="shared" ref="BK15:BL15" si="42">BH15*$AY$15</f>
        <v>891</v>
      </c>
      <c r="BL15" s="1183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1" customFormat="1" x14ac:dyDescent="0.3">
      <c r="A16" s="823">
        <f>J16/T16</f>
        <v>6.9995363931386185</v>
      </c>
      <c r="B16" s="488">
        <v>7</v>
      </c>
      <c r="C16" s="472">
        <f>SUM('Milling and Leach Feed'!P35:P37)-4.5</f>
        <v>29.5</v>
      </c>
      <c r="D16" s="472">
        <f t="shared" ref="D16:D21" si="44">O16/C16</f>
        <v>8.3416093220338983</v>
      </c>
      <c r="E16" s="488">
        <v>2</v>
      </c>
      <c r="F16" s="639">
        <v>46281</v>
      </c>
      <c r="G16" s="818">
        <v>0.10416666666666667</v>
      </c>
      <c r="H16" s="639">
        <v>46282</v>
      </c>
      <c r="I16" s="818">
        <v>0.70833333333333337</v>
      </c>
      <c r="J16" s="472">
        <v>754.9</v>
      </c>
      <c r="K16" s="1097">
        <f t="shared" si="7"/>
        <v>1.9870181480990861</v>
      </c>
      <c r="L16" s="1097"/>
      <c r="M16" s="487">
        <v>0.33</v>
      </c>
      <c r="N16" s="472">
        <f t="shared" si="0"/>
        <v>302.67715500000003</v>
      </c>
      <c r="O16" s="472">
        <f t="shared" si="15"/>
        <v>246.07747500000002</v>
      </c>
      <c r="P16" s="488">
        <v>1.2150000000000001</v>
      </c>
      <c r="Q16" s="488">
        <v>2</v>
      </c>
      <c r="R16" s="487">
        <v>0.33</v>
      </c>
      <c r="S16" s="819">
        <v>1.21</v>
      </c>
      <c r="T16" s="472">
        <f>$T$10</f>
        <v>107.85</v>
      </c>
      <c r="U16" s="472">
        <f>T16*S16*R16</f>
        <v>43.064504999999997</v>
      </c>
      <c r="V16" s="472">
        <f t="shared" ref="V16:V63" si="45">IFERROR(N16*((1-M16)/M16),"")</f>
        <v>614.52634499999988</v>
      </c>
      <c r="W16" s="472">
        <f>W15+O16</f>
        <v>2026.46206775</v>
      </c>
      <c r="X16" s="819">
        <f>AVERAGE('LT Ball Mill'!F67:F75)</f>
        <v>0.53555555555555556</v>
      </c>
      <c r="Y16" s="819">
        <f>AVERAGE('LT Ball Mill'!G67:G75)</f>
        <v>0.53555555555555556</v>
      </c>
      <c r="Z16" s="819">
        <f>AVERAGE('LT Ball Mill'!H67:H75)</f>
        <v>9.8144444444444439</v>
      </c>
      <c r="AA16" s="819">
        <f>SUM('Milling and Leach Feed'!W35:W37)/'Au Cal Leaching Tank'!$O$16</f>
        <v>0.53551430920996723</v>
      </c>
      <c r="AB16" s="819">
        <f>SUM('Milling and Leach Feed'!X35:X37)/'Au Cal Leaching Tank'!$O$16</f>
        <v>0.53535747175133896</v>
      </c>
      <c r="AC16" s="819">
        <f>SUM('Milling and Leach Feed'!Y35:Y37)/'Au Cal Leaching Tank'!$O$16</f>
        <v>9.8379070566382776</v>
      </c>
      <c r="AD16" s="819">
        <f>X16-AA16</f>
        <v>4.1246345588330513E-5</v>
      </c>
      <c r="AE16" s="821">
        <f t="shared" si="33"/>
        <v>1.9254740958172747E-5</v>
      </c>
      <c r="AF16" s="819">
        <f>'LT Floculation'!G12</f>
        <v>0.10016666666666667</v>
      </c>
      <c r="AG16" s="819">
        <f>AVERAGE('LT Floculation'!S43:S45)</f>
        <v>0.1466666666666667</v>
      </c>
      <c r="AH16" s="819">
        <f>'LT Floculation'!I12</f>
        <v>8.1666666666666661</v>
      </c>
      <c r="AI16" s="488">
        <v>2.1999999999999999E-2</v>
      </c>
      <c r="AJ16" s="619"/>
      <c r="AK16" s="619"/>
      <c r="AL16" s="674">
        <f>$O16*X16</f>
        <v>131.78815883333334</v>
      </c>
      <c r="AM16" s="674">
        <f t="shared" ref="AM16:AM18" si="46">$O16*Y16</f>
        <v>131.78815883333334</v>
      </c>
      <c r="AN16" s="674">
        <f t="shared" ref="AN16:AN17" si="47">$O16*Z16</f>
        <v>2415.1137074166668</v>
      </c>
      <c r="AO16" s="674">
        <f t="shared" ref="AO16:AO18" si="48">AF16*$O16</f>
        <v>24.648760412500003</v>
      </c>
      <c r="AP16" s="674">
        <f>AG16*$O16</f>
        <v>36.091363000000008</v>
      </c>
      <c r="AQ16" s="674">
        <f t="shared" ref="AQ16:AQ18" si="49">AH16*$O16</f>
        <v>2009.6327125</v>
      </c>
      <c r="AR16" s="674">
        <f t="shared" si="17"/>
        <v>13.519579589999996</v>
      </c>
      <c r="AS16" s="472">
        <v>7</v>
      </c>
      <c r="AT16" s="821">
        <f>IFERROR(((AL16-(AO16+AR16))/AL16),"")</f>
        <v>0.71038111207874288</v>
      </c>
      <c r="AU16" s="821">
        <f>IFERROR((AM16-AP16)/AM16,"")</f>
        <v>0.72614107883817425</v>
      </c>
      <c r="AV16" s="821">
        <f t="shared" si="28"/>
        <v>0.16789312804256767</v>
      </c>
      <c r="AW16" s="982">
        <v>2</v>
      </c>
      <c r="AX16" s="982"/>
      <c r="AY16" s="488">
        <v>1.5</v>
      </c>
      <c r="AZ16" s="674">
        <f>(BD12+BD14+BD16+BD10)/AY16</f>
        <v>432.88567431736118</v>
      </c>
      <c r="BA16" s="674">
        <f t="shared" ref="BA16" si="50">(BE12+BE14+BE16)/AY16</f>
        <v>177.62291254500005</v>
      </c>
      <c r="BB16" s="674">
        <f t="shared" ref="BB16" si="51">(BF12+BF14+BF16)/AY16</f>
        <v>564.36975051759293</v>
      </c>
      <c r="BC16" s="826">
        <v>7</v>
      </c>
      <c r="BD16" s="674">
        <f t="shared" ref="BD16" si="52">(AL16-AO16-AR16)</f>
        <v>93.619818830833353</v>
      </c>
      <c r="BE16" s="674">
        <f t="shared" ref="BE16:BE18" si="53">(AM16-AP16)</f>
        <v>95.69679583333334</v>
      </c>
      <c r="BF16" s="674">
        <f t="shared" ref="BF16:BF17" si="54">(AN16-AQ16)</f>
        <v>405.48099491666676</v>
      </c>
      <c r="BG16" s="619"/>
      <c r="BH16" s="619"/>
      <c r="BI16" s="619"/>
      <c r="BJ16" s="619"/>
      <c r="BK16" s="619"/>
      <c r="BL16" s="619"/>
      <c r="BN16" s="688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8">
        <f t="shared" si="7"/>
        <v>1.5463917525773196</v>
      </c>
      <c r="L17" s="1098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20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3">
        <v>3</v>
      </c>
      <c r="AX17" s="983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9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1" customFormat="1" x14ac:dyDescent="0.3">
      <c r="A18" s="823">
        <f t="shared" si="21"/>
        <v>9.4204914232730648</v>
      </c>
      <c r="B18" s="488">
        <v>9</v>
      </c>
      <c r="C18" s="472">
        <f>SUM('Milling and Leach Feed'!P42:P45)</f>
        <v>39.083333333333336</v>
      </c>
      <c r="D18" s="472">
        <f t="shared" si="44"/>
        <v>12.103970021321961</v>
      </c>
      <c r="E18" s="488">
        <v>2</v>
      </c>
      <c r="F18" s="639">
        <v>46285</v>
      </c>
      <c r="G18" s="818">
        <v>0.1388888888888889</v>
      </c>
      <c r="H18" s="898">
        <v>46286</v>
      </c>
      <c r="I18" s="818">
        <v>0.33333333333333331</v>
      </c>
      <c r="J18" s="488">
        <v>1016</v>
      </c>
      <c r="K18" s="1097">
        <f t="shared" si="7"/>
        <v>1.4763779527559056</v>
      </c>
      <c r="L18" s="1097"/>
      <c r="M18" s="487">
        <v>0.4</v>
      </c>
      <c r="N18" s="472">
        <f t="shared" si="0"/>
        <v>516.12800000000004</v>
      </c>
      <c r="O18" s="472">
        <f>N18-U16</f>
        <v>473.06349500000005</v>
      </c>
      <c r="P18" s="488">
        <v>1.27</v>
      </c>
      <c r="Q18" s="488">
        <v>2</v>
      </c>
      <c r="R18" s="487">
        <v>0.31</v>
      </c>
      <c r="S18" s="819">
        <v>1.2</v>
      </c>
      <c r="T18" s="472">
        <f t="shared" si="55"/>
        <v>107.85</v>
      </c>
      <c r="U18" s="472">
        <f>T18*S18*R18</f>
        <v>40.120199999999997</v>
      </c>
      <c r="V18" s="674">
        <f t="shared" si="45"/>
        <v>774.19199999999989</v>
      </c>
      <c r="W18" s="472">
        <f>W17+O18</f>
        <v>2864.9752927499999</v>
      </c>
      <c r="X18" s="819">
        <f>AVERAGE('Milling and Leach Feed'!T42:T45)</f>
        <v>0.60575000000000001</v>
      </c>
      <c r="Y18" s="819">
        <f>AVERAGE('Milling and Leach Feed'!U42:U45)</f>
        <v>0.86333333333333329</v>
      </c>
      <c r="Z18" s="819">
        <f>AVERAGE('Milling and Leach Feed'!V42:V45)</f>
        <v>14.675833333333332</v>
      </c>
      <c r="AA18" s="819">
        <f>SUM('Milling and Leach Feed'!W42:W45)/$O$18</f>
        <v>0.61348902249025417</v>
      </c>
      <c r="AB18" s="819">
        <f>SUM('Milling and Leach Feed'!X42:X45)/$O$18</f>
        <v>0.87456041508519555</v>
      </c>
      <c r="AC18" s="819">
        <f>SUM('Milling and Leach Feed'!Y42:Y45)/$O$18</f>
        <v>14.881153822712584</v>
      </c>
      <c r="AD18" s="819">
        <f>AA18-X18</f>
        <v>7.7390224902541549E-3</v>
      </c>
      <c r="AE18" s="1029">
        <f t="shared" si="33"/>
        <v>-3.1737101370195096E-3</v>
      </c>
      <c r="AF18" s="819">
        <f>'LT Floculation'!G14</f>
        <v>0.1028</v>
      </c>
      <c r="AG18" s="819">
        <f>'LT Floculation'!H14</f>
        <v>0.40700000000000003</v>
      </c>
      <c r="AH18" s="819">
        <f>'LT Floculation'!I14</f>
        <v>14.752000000000001</v>
      </c>
      <c r="AI18" s="488">
        <v>1.7000000000000001E-2</v>
      </c>
      <c r="AJ18" s="619"/>
      <c r="AK18" s="619"/>
      <c r="AL18" s="674">
        <f t="shared" si="56"/>
        <v>286.55821209625003</v>
      </c>
      <c r="AM18" s="674">
        <f t="shared" si="46"/>
        <v>408.41148401666669</v>
      </c>
      <c r="AN18" s="674">
        <f>$O18*AC18</f>
        <v>7039.7306370050255</v>
      </c>
      <c r="AO18" s="674">
        <f t="shared" si="48"/>
        <v>48.630927286000009</v>
      </c>
      <c r="AP18" s="674">
        <f t="shared" si="57"/>
        <v>192.53684246500003</v>
      </c>
      <c r="AQ18" s="674">
        <f t="shared" si="49"/>
        <v>6978.632678240001</v>
      </c>
      <c r="AR18" s="674">
        <f>IFERROR(AI18*V18,"")</f>
        <v>13.161263999999999</v>
      </c>
      <c r="AS18" s="472">
        <v>9</v>
      </c>
      <c r="AT18" s="821">
        <f>IFERROR(((AL18-(AO18+AR18))/AL18),"")</f>
        <v>0.78436426290500083</v>
      </c>
      <c r="AU18" s="821">
        <f t="shared" si="27"/>
        <v>0.52857142857142847</v>
      </c>
      <c r="AV18" s="821">
        <f t="shared" si="28"/>
        <v>8.6790193993868392E-3</v>
      </c>
      <c r="AW18" s="982">
        <v>2</v>
      </c>
      <c r="AX18" s="982"/>
      <c r="AY18" s="488">
        <v>1.5</v>
      </c>
      <c r="AZ18" s="472">
        <f>(BD10+BD12+BD14+BD16+BD18)/$AY$18</f>
        <v>582.72968819086111</v>
      </c>
      <c r="BA18" s="472">
        <f>(BE10+BE12+BE14+BE16+BE18)/$AY$18</f>
        <v>398.79510386632887</v>
      </c>
      <c r="BB18" s="472">
        <f>(BF10+BF12+BF14+BF16+BF18)/$AY$18</f>
        <v>777.8356407440674</v>
      </c>
      <c r="BC18" s="984">
        <v>9</v>
      </c>
      <c r="BD18" s="674">
        <f>IFERROR((AL18-AO18-AR18),"")</f>
        <v>224.76602081025004</v>
      </c>
      <c r="BE18" s="674">
        <f t="shared" si="53"/>
        <v>215.87464155166666</v>
      </c>
      <c r="BF18" s="674">
        <f>(AN18-AQ18)</f>
        <v>61.097958765024487</v>
      </c>
      <c r="BG18" s="619"/>
      <c r="BH18" s="619"/>
      <c r="BI18" s="619"/>
      <c r="BJ18" s="619"/>
      <c r="BK18" s="619"/>
      <c r="BL18" s="619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8">
        <f t="shared" si="7"/>
        <v>1.5306122448979591</v>
      </c>
      <c r="L19" s="1098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3">
        <v>3</v>
      </c>
      <c r="AX19" s="983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9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5" customFormat="1" x14ac:dyDescent="0.3">
      <c r="A20" s="823">
        <f>J20/T20</f>
        <v>8.4907407407407405</v>
      </c>
      <c r="B20" s="452">
        <v>11</v>
      </c>
      <c r="C20" s="674">
        <f>SUM('Milling and Leach Feed'!P56:P58)+5.5</f>
        <v>26.816666666666666</v>
      </c>
      <c r="D20" s="674">
        <f t="shared" si="44"/>
        <v>13.224921068986946</v>
      </c>
      <c r="E20" s="452">
        <v>2</v>
      </c>
      <c r="F20" s="1143">
        <v>46291</v>
      </c>
      <c r="G20" s="1144">
        <v>0.52083333333333337</v>
      </c>
      <c r="H20" s="956">
        <v>46292</v>
      </c>
      <c r="I20" s="1144">
        <v>0.625</v>
      </c>
      <c r="J20" s="452">
        <v>917</v>
      </c>
      <c r="K20" s="1145">
        <f t="shared" si="7"/>
        <v>1.6357688113413305</v>
      </c>
      <c r="L20" s="1145"/>
      <c r="M20" s="1146">
        <v>0.35</v>
      </c>
      <c r="N20" s="674">
        <f t="shared" si="0"/>
        <v>394.76849999999996</v>
      </c>
      <c r="O20" s="674">
        <f>N20-U18</f>
        <v>354.64829999999995</v>
      </c>
      <c r="P20" s="452">
        <v>1.23</v>
      </c>
      <c r="Q20" s="452">
        <v>2</v>
      </c>
      <c r="R20" s="452"/>
      <c r="S20" s="452"/>
      <c r="T20" s="452">
        <v>108</v>
      </c>
      <c r="U20" s="453"/>
      <c r="V20" s="674">
        <f t="shared" si="45"/>
        <v>733.14150000000006</v>
      </c>
      <c r="W20" s="674">
        <f>W19+O20</f>
        <v>3609.0909052499997</v>
      </c>
      <c r="X20" s="1150">
        <f>AVERAGE('Milling and Leach Feed'!T55:T59)</f>
        <v>0.7294666666666666</v>
      </c>
      <c r="Y20" s="1150">
        <f>AVERAGE('Milling and Leach Feed'!U55:U59)</f>
        <v>1.3033333333333335</v>
      </c>
      <c r="Z20" s="1150">
        <f>AVERAGE('Milling and Leach Feed'!V55:V59)</f>
        <v>18.880000000000003</v>
      </c>
      <c r="AA20" s="1150">
        <f>SUM('Milling and Leach Feed'!W55:W59)/'Au Cal Leaching Tank'!$O$20</f>
        <v>0.68413819284746402</v>
      </c>
      <c r="AB20" s="1150">
        <f>SUM('Milling and Leach Feed'!X55:X58)/'Au Cal Leaching Tank'!$O$20</f>
        <v>1.4868757002764379</v>
      </c>
      <c r="AC20" s="1150">
        <f>SUM('Milling and Leach Feed'!Y55:Y58)/'Au Cal Leaching Tank'!$O$20</f>
        <v>17.856298210974828</v>
      </c>
      <c r="AD20" s="1150">
        <f>X20-AA20</f>
        <v>4.5328473819202575E-2</v>
      </c>
      <c r="AE20" s="1029">
        <f t="shared" si="33"/>
        <v>1.6032936472354233E-2</v>
      </c>
      <c r="AF20" s="1150">
        <f>'LT Floculation'!G16</f>
        <v>0.13308333333333333</v>
      </c>
      <c r="AG20" s="1150">
        <f>'LT Floculation'!H16</f>
        <v>0.56500000000000006</v>
      </c>
      <c r="AH20" s="1150">
        <f>'LT Floculation'!I16</f>
        <v>14.185833333333335</v>
      </c>
      <c r="AI20" s="452">
        <v>3.6999999999999998E-2</v>
      </c>
      <c r="AJ20" s="453"/>
      <c r="AK20" s="453"/>
      <c r="AL20" s="674">
        <f t="shared" si="59"/>
        <v>258.70411323999991</v>
      </c>
      <c r="AM20" s="674">
        <f t="shared" ref="AM20" si="66">$O20*Y20</f>
        <v>462.22495099999998</v>
      </c>
      <c r="AN20" s="674">
        <f>$O20*AC20</f>
        <v>6332.705804815263</v>
      </c>
      <c r="AO20" s="674">
        <f t="shared" si="61"/>
        <v>47.19777792499999</v>
      </c>
      <c r="AP20" s="674">
        <f t="shared" si="62"/>
        <v>200.37628949999998</v>
      </c>
      <c r="AQ20" s="674">
        <f t="shared" si="63"/>
        <v>5030.9816757500002</v>
      </c>
      <c r="AR20" s="674">
        <f>IFERROR(AI20*V20,"")</f>
        <v>27.1262355</v>
      </c>
      <c r="AS20" s="674">
        <v>11</v>
      </c>
      <c r="AT20" s="1029">
        <f t="shared" si="26"/>
        <v>0.71270648736825626</v>
      </c>
      <c r="AU20" s="1029">
        <f>IFERROR((AM20-AP20)/AM20,"")</f>
        <v>0.56649616368286448</v>
      </c>
      <c r="AV20" s="1029">
        <f t="shared" ref="AV20" si="67">IFERROR((AN20-AQ20)/AN20,"")</f>
        <v>0.20555575597329309</v>
      </c>
      <c r="AW20" s="1030">
        <v>2</v>
      </c>
      <c r="AX20" s="1030"/>
      <c r="AY20" s="452">
        <v>1.5</v>
      </c>
      <c r="AZ20" s="674">
        <f>(BD10+BD12+BD14++BD16+BD18+BD20)/$AY$20</f>
        <v>705.64975473419452</v>
      </c>
      <c r="BA20" s="674">
        <f t="shared" ref="BA20:BB20" si="68">(BE10+BE12+BE14++BE16+BE18+BE20)/$AY$20</f>
        <v>573.36087819966224</v>
      </c>
      <c r="BB20" s="674">
        <f t="shared" si="68"/>
        <v>1645.6517267875759</v>
      </c>
      <c r="BC20" s="1129">
        <v>11</v>
      </c>
      <c r="BD20" s="674">
        <f>IFERROR((AL20-AO20-AR20),"")</f>
        <v>184.38009981499991</v>
      </c>
      <c r="BE20" s="674">
        <f t="shared" ref="BE20:BE59" si="69">(AM20-AP20)</f>
        <v>261.84866149999999</v>
      </c>
      <c r="BF20" s="674">
        <f>(AN20-AQ20)</f>
        <v>1301.7241290652628</v>
      </c>
      <c r="BG20" s="453"/>
      <c r="BH20" s="453"/>
      <c r="BI20" s="674"/>
      <c r="BJ20" s="674"/>
      <c r="BK20" s="674"/>
      <c r="BL20" s="453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20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0.6004166666666666</v>
      </c>
      <c r="Y21" s="133">
        <f>AVERAGE('Milling and Leach Feed'!U61:U65)</f>
        <v>1.4308333333333332</v>
      </c>
      <c r="Z21" s="133">
        <f>AVERAGE('Milling and Leach Feed'!V61:V65)</f>
        <v>15.296666666666667</v>
      </c>
      <c r="AA21" s="133">
        <f>SUM('Milling and Leach Feed'!W61:W65)/'Au Cal Leaching Tank'!$O$21</f>
        <v>0.42537013770102211</v>
      </c>
      <c r="AB21" s="133">
        <f>SUM('Milling and Leach Feed'!X61:X65)/'Au Cal Leaching Tank'!$O$21</f>
        <v>1.0206796787687018</v>
      </c>
      <c r="AC21" s="133">
        <f>SUM('Milling and Leach Feed'!Y61:Y65)/'Au Cal Leaching Tank'!$O$21</f>
        <v>10.591808694451617</v>
      </c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39">
        <v>12</v>
      </c>
      <c r="AT21" s="38" t="str">
        <f t="shared" si="26"/>
        <v/>
      </c>
      <c r="AU21" s="38" t="str">
        <f t="shared" si="27"/>
        <v/>
      </c>
      <c r="AV21" s="38" t="str">
        <f t="shared" si="28"/>
        <v/>
      </c>
      <c r="AW21" s="983">
        <v>3</v>
      </c>
      <c r="AX21" s="983"/>
      <c r="AY21" s="13">
        <v>1.5</v>
      </c>
      <c r="AZ21" s="6"/>
      <c r="BA21" s="6"/>
      <c r="BB21" s="215"/>
      <c r="BC21" s="939">
        <v>12</v>
      </c>
      <c r="BD21" s="39">
        <f t="shared" ref="BD21:BD59" si="70">IFERROR((AL21-AO21-AR21),"")</f>
        <v>0</v>
      </c>
      <c r="BE21" s="39">
        <f t="shared" si="69"/>
        <v>0</v>
      </c>
      <c r="BF21" s="39">
        <f t="shared" ref="BF21:BF59" si="71">(AN21-AQ21)</f>
        <v>0</v>
      </c>
      <c r="BG21" s="6"/>
      <c r="BH21" s="6"/>
      <c r="BI21" s="6"/>
      <c r="BJ21" s="6"/>
      <c r="BK21" s="6"/>
      <c r="BL21" s="6"/>
    </row>
    <row r="22" spans="1:66" s="955" customFormat="1" x14ac:dyDescent="0.3">
      <c r="B22" s="452">
        <v>13</v>
      </c>
      <c r="C22" s="453"/>
      <c r="D22" s="453"/>
      <c r="E22" s="452">
        <v>2</v>
      </c>
      <c r="F22" s="452"/>
      <c r="G22" s="453"/>
      <c r="H22" s="453"/>
      <c r="I22" s="453"/>
      <c r="J22" s="452"/>
      <c r="K22" s="452"/>
      <c r="L22" s="452"/>
      <c r="M22" s="452"/>
      <c r="N22" s="453"/>
      <c r="O22" s="453"/>
      <c r="P22" s="452"/>
      <c r="Q22" s="452">
        <v>2</v>
      </c>
      <c r="R22" s="452"/>
      <c r="S22" s="452"/>
      <c r="T22" s="452">
        <v>108</v>
      </c>
      <c r="U22" s="453"/>
      <c r="V22" s="674" t="str">
        <f t="shared" si="45"/>
        <v/>
      </c>
      <c r="W22" s="453"/>
      <c r="X22" s="453"/>
      <c r="Y22" s="453"/>
      <c r="Z22" s="453"/>
      <c r="AA22" s="453"/>
      <c r="AB22" s="453"/>
      <c r="AC22" s="453"/>
      <c r="AD22" s="453"/>
      <c r="AE22" s="453"/>
      <c r="AF22" s="453"/>
      <c r="AG22" s="453"/>
      <c r="AH22" s="453"/>
      <c r="AI22" s="453"/>
      <c r="AJ22" s="453"/>
      <c r="AK22" s="453"/>
      <c r="AL22" s="453"/>
      <c r="AM22" s="453"/>
      <c r="AN22" s="453"/>
      <c r="AO22" s="453"/>
      <c r="AP22" s="453"/>
      <c r="AQ22" s="453"/>
      <c r="AR22" s="453"/>
      <c r="AS22" s="674">
        <v>13</v>
      </c>
      <c r="AT22" s="1029" t="str">
        <f t="shared" si="26"/>
        <v/>
      </c>
      <c r="AU22" s="1029" t="str">
        <f t="shared" si="27"/>
        <v/>
      </c>
      <c r="AV22" s="1029" t="str">
        <f t="shared" si="28"/>
        <v/>
      </c>
      <c r="AW22" s="1030">
        <v>2</v>
      </c>
      <c r="AX22" s="1030"/>
      <c r="AY22" s="452">
        <v>1.5</v>
      </c>
      <c r="AZ22" s="453"/>
      <c r="BA22" s="453"/>
      <c r="BB22" s="1031"/>
      <c r="BC22" s="1031"/>
      <c r="BD22" s="674">
        <f t="shared" si="70"/>
        <v>0</v>
      </c>
      <c r="BE22" s="674">
        <f t="shared" si="69"/>
        <v>0</v>
      </c>
      <c r="BF22" s="674">
        <f t="shared" si="71"/>
        <v>0</v>
      </c>
      <c r="BG22" s="453"/>
      <c r="BH22" s="453"/>
      <c r="BI22" s="1179"/>
      <c r="BJ22" s="453"/>
      <c r="BK22" s="453"/>
      <c r="BL22" s="453"/>
    </row>
    <row r="23" spans="1:66" x14ac:dyDescent="0.3">
      <c r="B23" s="13">
        <v>14</v>
      </c>
      <c r="C23" s="6"/>
      <c r="D23" s="6"/>
      <c r="E23" s="13">
        <v>3</v>
      </c>
      <c r="F23" s="13"/>
      <c r="G23" s="6"/>
      <c r="H23" s="6"/>
      <c r="I23" s="6"/>
      <c r="J23" s="13"/>
      <c r="K23" s="13"/>
      <c r="L23" s="13"/>
      <c r="M23" s="13"/>
      <c r="N23" s="6"/>
      <c r="O23" s="6"/>
      <c r="P23" s="13"/>
      <c r="Q23" s="13">
        <v>3</v>
      </c>
      <c r="R23" s="13"/>
      <c r="S23" s="13"/>
      <c r="T23" s="13">
        <v>108</v>
      </c>
      <c r="U23" s="6"/>
      <c r="V23" s="39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3">
        <v>3</v>
      </c>
      <c r="AX23" s="983"/>
      <c r="AY23" s="13">
        <v>1.5</v>
      </c>
      <c r="AZ23" s="6"/>
      <c r="BA23" s="6"/>
      <c r="BB23" s="215"/>
      <c r="BC23" s="215"/>
      <c r="BD23" s="39">
        <f t="shared" si="70"/>
        <v>0</v>
      </c>
      <c r="BE23" s="39">
        <f t="shared" si="69"/>
        <v>0</v>
      </c>
      <c r="BF23" s="39">
        <f t="shared" si="71"/>
        <v>0</v>
      </c>
      <c r="BG23" s="6"/>
      <c r="BH23" s="6"/>
      <c r="BI23" s="6"/>
      <c r="BJ23" s="6"/>
      <c r="BK23" s="6"/>
      <c r="BL23" s="6"/>
    </row>
    <row r="24" spans="1:66" s="955" customFormat="1" x14ac:dyDescent="0.3">
      <c r="B24" s="452">
        <v>15</v>
      </c>
      <c r="C24" s="453"/>
      <c r="D24" s="453"/>
      <c r="E24" s="452">
        <v>2</v>
      </c>
      <c r="F24" s="452"/>
      <c r="G24" s="453"/>
      <c r="H24" s="453"/>
      <c r="I24" s="453"/>
      <c r="J24" s="452"/>
      <c r="K24" s="452"/>
      <c r="L24" s="452"/>
      <c r="M24" s="452"/>
      <c r="N24" s="453"/>
      <c r="O24" s="453"/>
      <c r="P24" s="452"/>
      <c r="Q24" s="452">
        <v>2</v>
      </c>
      <c r="R24" s="452"/>
      <c r="S24" s="452"/>
      <c r="T24" s="452">
        <v>108</v>
      </c>
      <c r="U24" s="453"/>
      <c r="V24" s="674" t="str">
        <f t="shared" si="45"/>
        <v/>
      </c>
      <c r="W24" s="453"/>
      <c r="X24" s="453"/>
      <c r="Y24" s="453"/>
      <c r="Z24" s="453"/>
      <c r="AA24" s="453"/>
      <c r="AB24" s="453"/>
      <c r="AC24" s="453"/>
      <c r="AD24" s="453"/>
      <c r="AE24" s="453"/>
      <c r="AF24" s="453"/>
      <c r="AG24" s="453"/>
      <c r="AH24" s="453"/>
      <c r="AI24" s="453"/>
      <c r="AJ24" s="453"/>
      <c r="AK24" s="453"/>
      <c r="AM24" s="453"/>
      <c r="AN24" s="453"/>
      <c r="AO24" s="453"/>
      <c r="AP24" s="453"/>
      <c r="AQ24" s="453"/>
      <c r="AR24" s="453"/>
      <c r="AS24" s="674">
        <v>15</v>
      </c>
      <c r="AT24" s="1029" t="str">
        <f t="shared" si="26"/>
        <v/>
      </c>
      <c r="AU24" s="1029" t="str">
        <f t="shared" si="27"/>
        <v/>
      </c>
      <c r="AV24" s="1029" t="str">
        <f t="shared" si="28"/>
        <v/>
      </c>
      <c r="AW24" s="1032"/>
      <c r="AX24" s="1032"/>
      <c r="AY24" s="452"/>
      <c r="AZ24" s="453"/>
      <c r="BA24" s="453"/>
      <c r="BB24" s="1031"/>
      <c r="BC24" s="1031"/>
      <c r="BD24" s="674">
        <f t="shared" si="70"/>
        <v>0</v>
      </c>
      <c r="BE24" s="674">
        <f t="shared" si="69"/>
        <v>0</v>
      </c>
      <c r="BF24" s="674">
        <f t="shared" si="71"/>
        <v>0</v>
      </c>
      <c r="BG24" s="453"/>
      <c r="BH24" s="453"/>
      <c r="BI24" s="453"/>
      <c r="BJ24" s="453"/>
      <c r="BK24" s="453"/>
      <c r="BL24" s="453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6"/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>
        <f t="shared" si="70"/>
        <v>0</v>
      </c>
      <c r="BE25" s="39">
        <f t="shared" si="69"/>
        <v>0</v>
      </c>
      <c r="BF25" s="39">
        <f t="shared" si="71"/>
        <v>0</v>
      </c>
      <c r="BG25" s="6"/>
      <c r="BH25" s="6"/>
      <c r="BI25" s="6"/>
      <c r="BJ25" s="6"/>
      <c r="BK25" s="6"/>
      <c r="BL25" s="6"/>
    </row>
    <row r="26" spans="1:66" s="955" customFormat="1" x14ac:dyDescent="0.3">
      <c r="B26" s="452">
        <v>17</v>
      </c>
      <c r="C26" s="453"/>
      <c r="D26" s="453"/>
      <c r="E26" s="452">
        <v>2</v>
      </c>
      <c r="F26" s="452"/>
      <c r="G26" s="453"/>
      <c r="H26" s="453"/>
      <c r="I26" s="453"/>
      <c r="J26" s="452"/>
      <c r="K26" s="452"/>
      <c r="L26" s="452"/>
      <c r="M26" s="452"/>
      <c r="N26" s="453"/>
      <c r="O26" s="453"/>
      <c r="P26" s="452"/>
      <c r="Q26" s="452">
        <v>2</v>
      </c>
      <c r="R26" s="452"/>
      <c r="S26" s="452"/>
      <c r="T26" s="452">
        <v>108</v>
      </c>
      <c r="U26" s="453"/>
      <c r="V26" s="674" t="str">
        <f t="shared" si="45"/>
        <v/>
      </c>
      <c r="W26" s="453"/>
      <c r="X26" s="453"/>
      <c r="Y26" s="453"/>
      <c r="Z26" s="453"/>
      <c r="AA26" s="453"/>
      <c r="AB26" s="453"/>
      <c r="AC26" s="453"/>
      <c r="AD26" s="453"/>
      <c r="AE26" s="453"/>
      <c r="AF26" s="453"/>
      <c r="AG26" s="453"/>
      <c r="AH26" s="453"/>
      <c r="AI26" s="453"/>
      <c r="AJ26" s="453"/>
      <c r="AK26" s="453"/>
      <c r="AL26" s="453"/>
      <c r="AM26" s="453"/>
      <c r="AN26" s="453"/>
      <c r="AO26" s="453"/>
      <c r="AP26" s="453"/>
      <c r="AQ26" s="453"/>
      <c r="AR26" s="453"/>
      <c r="AS26" s="674">
        <v>17</v>
      </c>
      <c r="AT26" s="1029" t="str">
        <f t="shared" si="26"/>
        <v/>
      </c>
      <c r="AU26" s="1029" t="str">
        <f t="shared" si="27"/>
        <v/>
      </c>
      <c r="AV26" s="1029" t="str">
        <f t="shared" si="28"/>
        <v/>
      </c>
      <c r="AW26" s="1032"/>
      <c r="AX26" s="1032"/>
      <c r="AY26" s="452"/>
      <c r="AZ26" s="453"/>
      <c r="BA26" s="453"/>
      <c r="BB26" s="1031"/>
      <c r="BC26" s="1031"/>
      <c r="BD26" s="674">
        <f t="shared" si="70"/>
        <v>0</v>
      </c>
      <c r="BE26" s="674">
        <f t="shared" si="69"/>
        <v>0</v>
      </c>
      <c r="BF26" s="674">
        <f t="shared" si="71"/>
        <v>0</v>
      </c>
      <c r="BG26" s="453"/>
      <c r="BH26" s="453"/>
      <c r="BI26" s="453"/>
      <c r="BJ26" s="453"/>
      <c r="BK26" s="453"/>
      <c r="BL26" s="453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6"/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>
        <f t="shared" si="70"/>
        <v>0</v>
      </c>
      <c r="BE27" s="39">
        <f t="shared" si="69"/>
        <v>0</v>
      </c>
      <c r="BF27" s="39">
        <f t="shared" si="71"/>
        <v>0</v>
      </c>
      <c r="BG27" s="6"/>
      <c r="BH27" s="6"/>
      <c r="BI27" s="6"/>
      <c r="BJ27" s="6"/>
      <c r="BK27" s="6"/>
      <c r="BL27" s="6"/>
    </row>
    <row r="28" spans="1:66" s="955" customFormat="1" x14ac:dyDescent="0.3">
      <c r="B28" s="452">
        <v>19</v>
      </c>
      <c r="C28" s="453"/>
      <c r="D28" s="453"/>
      <c r="E28" s="452">
        <v>2</v>
      </c>
      <c r="F28" s="452"/>
      <c r="G28" s="453"/>
      <c r="H28" s="453"/>
      <c r="I28" s="453"/>
      <c r="J28" s="452"/>
      <c r="K28" s="452"/>
      <c r="L28" s="452"/>
      <c r="M28" s="452"/>
      <c r="N28" s="453"/>
      <c r="O28" s="453"/>
      <c r="P28" s="452"/>
      <c r="Q28" s="452">
        <v>2</v>
      </c>
      <c r="R28" s="452"/>
      <c r="S28" s="452"/>
      <c r="T28" s="452">
        <v>108</v>
      </c>
      <c r="U28" s="453"/>
      <c r="V28" s="674" t="str">
        <f t="shared" si="45"/>
        <v/>
      </c>
      <c r="W28" s="453"/>
      <c r="X28" s="453"/>
      <c r="Y28" s="453"/>
      <c r="Z28" s="453"/>
      <c r="AA28" s="453"/>
      <c r="AB28" s="453"/>
      <c r="AC28" s="453"/>
      <c r="AD28" s="453"/>
      <c r="AE28" s="453"/>
      <c r="AF28" s="453"/>
      <c r="AG28" s="453"/>
      <c r="AH28" s="453"/>
      <c r="AI28" s="453"/>
      <c r="AJ28" s="453"/>
      <c r="AK28" s="453"/>
      <c r="AL28" s="453"/>
      <c r="AM28" s="453"/>
      <c r="AN28" s="453"/>
      <c r="AO28" s="453"/>
      <c r="AP28" s="453"/>
      <c r="AQ28" s="453"/>
      <c r="AR28" s="453"/>
      <c r="AS28" s="674">
        <v>19</v>
      </c>
      <c r="AT28" s="1029" t="str">
        <f t="shared" si="26"/>
        <v/>
      </c>
      <c r="AU28" s="1029" t="str">
        <f t="shared" si="27"/>
        <v/>
      </c>
      <c r="AV28" s="1029" t="str">
        <f t="shared" si="28"/>
        <v/>
      </c>
      <c r="AW28" s="1032"/>
      <c r="AX28" s="1032"/>
      <c r="AY28" s="452"/>
      <c r="AZ28" s="453"/>
      <c r="BA28" s="453"/>
      <c r="BB28" s="1031"/>
      <c r="BC28" s="1031"/>
      <c r="BD28" s="674">
        <f t="shared" si="70"/>
        <v>0</v>
      </c>
      <c r="BE28" s="674">
        <f t="shared" si="69"/>
        <v>0</v>
      </c>
      <c r="BF28" s="674">
        <f t="shared" si="71"/>
        <v>0</v>
      </c>
      <c r="BG28" s="453"/>
      <c r="BH28" s="453"/>
      <c r="BI28" s="453"/>
      <c r="BJ28" s="453"/>
      <c r="BK28" s="453"/>
      <c r="BL28" s="453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6"/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>
        <f t="shared" si="70"/>
        <v>0</v>
      </c>
      <c r="BE29" s="39">
        <f t="shared" si="69"/>
        <v>0</v>
      </c>
      <c r="BF29" s="39">
        <f t="shared" si="71"/>
        <v>0</v>
      </c>
      <c r="BG29" s="6"/>
      <c r="BH29" s="6"/>
      <c r="BI29" s="6"/>
      <c r="BJ29" s="6"/>
      <c r="BK29" s="6"/>
      <c r="BL29" s="6"/>
    </row>
    <row r="30" spans="1:66" s="955" customFormat="1" x14ac:dyDescent="0.3">
      <c r="B30" s="452">
        <v>21</v>
      </c>
      <c r="C30" s="453"/>
      <c r="D30" s="453"/>
      <c r="E30" s="452">
        <v>2</v>
      </c>
      <c r="F30" s="452"/>
      <c r="G30" s="453"/>
      <c r="H30" s="453"/>
      <c r="I30" s="453"/>
      <c r="J30" s="452"/>
      <c r="K30" s="452"/>
      <c r="L30" s="452"/>
      <c r="M30" s="452"/>
      <c r="N30" s="453"/>
      <c r="O30" s="453"/>
      <c r="P30" s="452"/>
      <c r="Q30" s="452">
        <v>2</v>
      </c>
      <c r="R30" s="452"/>
      <c r="S30" s="452"/>
      <c r="T30" s="452">
        <v>108</v>
      </c>
      <c r="U30" s="453"/>
      <c r="V30" s="674" t="str">
        <f t="shared" si="45"/>
        <v/>
      </c>
      <c r="W30" s="453"/>
      <c r="X30" s="453"/>
      <c r="Y30" s="453"/>
      <c r="Z30" s="453"/>
      <c r="AA30" s="453"/>
      <c r="AB30" s="453"/>
      <c r="AC30" s="453"/>
      <c r="AD30" s="453"/>
      <c r="AE30" s="453"/>
      <c r="AF30" s="453"/>
      <c r="AG30" s="453"/>
      <c r="AH30" s="453"/>
      <c r="AI30" s="453"/>
      <c r="AJ30" s="453"/>
      <c r="AK30" s="453"/>
      <c r="AL30" s="453"/>
      <c r="AM30" s="453"/>
      <c r="AN30" s="453"/>
      <c r="AO30" s="453"/>
      <c r="AP30" s="453"/>
      <c r="AQ30" s="453"/>
      <c r="AR30" s="453"/>
      <c r="AS30" s="674">
        <v>21</v>
      </c>
      <c r="AT30" s="1029" t="str">
        <f t="shared" si="26"/>
        <v/>
      </c>
      <c r="AU30" s="1029" t="str">
        <f t="shared" si="27"/>
        <v/>
      </c>
      <c r="AV30" s="1029" t="str">
        <f t="shared" si="28"/>
        <v/>
      </c>
      <c r="AW30" s="1032"/>
      <c r="AX30" s="1032"/>
      <c r="AY30" s="452"/>
      <c r="AZ30" s="453"/>
      <c r="BA30" s="453"/>
      <c r="BB30" s="1031"/>
      <c r="BC30" s="1031"/>
      <c r="BD30" s="674">
        <f t="shared" si="70"/>
        <v>0</v>
      </c>
      <c r="BE30" s="674">
        <f t="shared" si="69"/>
        <v>0</v>
      </c>
      <c r="BF30" s="674">
        <f t="shared" si="71"/>
        <v>0</v>
      </c>
      <c r="BG30" s="453"/>
      <c r="BH30" s="453"/>
      <c r="BI30" s="453"/>
      <c r="BJ30" s="453"/>
      <c r="BK30" s="453"/>
      <c r="BL30" s="453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6"/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>
        <f t="shared" si="70"/>
        <v>0</v>
      </c>
      <c r="BE31" s="39">
        <f t="shared" si="69"/>
        <v>0</v>
      </c>
      <c r="BF31" s="39">
        <f t="shared" si="71"/>
        <v>0</v>
      </c>
      <c r="BG31" s="6"/>
      <c r="BH31" s="6"/>
      <c r="BI31" s="6"/>
      <c r="BJ31" s="6"/>
      <c r="BK31" s="6"/>
      <c r="BL31" s="6"/>
    </row>
    <row r="32" spans="1:66" x14ac:dyDescent="0.3">
      <c r="B32" s="452">
        <v>23</v>
      </c>
      <c r="C32" s="6"/>
      <c r="D32" s="6"/>
      <c r="E32" s="452">
        <v>2</v>
      </c>
      <c r="F32" s="13"/>
      <c r="G32" s="6"/>
      <c r="H32" s="6"/>
      <c r="I32" s="6"/>
      <c r="J32" s="13"/>
      <c r="K32" s="13"/>
      <c r="L32" s="13"/>
      <c r="M32" s="13"/>
      <c r="N32" s="6"/>
      <c r="O32" s="6"/>
      <c r="P32" s="13"/>
      <c r="Q32" s="452">
        <v>2</v>
      </c>
      <c r="R32" s="13"/>
      <c r="S32" s="13"/>
      <c r="T32" s="452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60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4">
        <f t="shared" si="70"/>
        <v>0</v>
      </c>
      <c r="BE32" s="674">
        <f t="shared" si="69"/>
        <v>0</v>
      </c>
      <c r="BF32" s="674">
        <f t="shared" si="71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6"/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>
        <f t="shared" si="70"/>
        <v>0</v>
      </c>
      <c r="BE33" s="39">
        <f t="shared" si="69"/>
        <v>0</v>
      </c>
      <c r="BF33" s="39">
        <f t="shared" si="71"/>
        <v>0</v>
      </c>
      <c r="BG33" s="6"/>
      <c r="BH33" s="6"/>
      <c r="BI33" s="6"/>
      <c r="BJ33" s="6"/>
      <c r="BK33" s="6"/>
      <c r="BL33" s="6"/>
    </row>
    <row r="34" spans="2:64" x14ac:dyDescent="0.3">
      <c r="B34" s="452">
        <v>25</v>
      </c>
      <c r="C34" s="6"/>
      <c r="D34" s="6"/>
      <c r="E34" s="452">
        <v>2</v>
      </c>
      <c r="F34" s="13"/>
      <c r="G34" s="6"/>
      <c r="H34" s="6"/>
      <c r="I34" s="6"/>
      <c r="J34" s="13"/>
      <c r="K34" s="13"/>
      <c r="L34" s="13"/>
      <c r="M34" s="13"/>
      <c r="N34" s="6"/>
      <c r="O34" s="6"/>
      <c r="P34" s="13"/>
      <c r="Q34" s="452">
        <v>2</v>
      </c>
      <c r="R34" s="13"/>
      <c r="S34" s="13"/>
      <c r="T34" s="452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4">
        <f t="shared" si="70"/>
        <v>0</v>
      </c>
      <c r="BE34" s="674">
        <f t="shared" si="69"/>
        <v>0</v>
      </c>
      <c r="BF34" s="674">
        <f t="shared" si="71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"/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>
        <f t="shared" si="70"/>
        <v>0</v>
      </c>
      <c r="BE35" s="39">
        <f t="shared" si="69"/>
        <v>0</v>
      </c>
      <c r="BF35" s="39">
        <f t="shared" si="71"/>
        <v>0</v>
      </c>
      <c r="BG35" s="6"/>
      <c r="BH35" s="6"/>
      <c r="BI35" s="6"/>
      <c r="BJ35" s="6"/>
      <c r="BK35" s="6"/>
      <c r="BL35" s="6"/>
    </row>
    <row r="36" spans="2:64" x14ac:dyDescent="0.3">
      <c r="B36" s="452">
        <v>27</v>
      </c>
      <c r="C36" s="6"/>
      <c r="D36" s="6"/>
      <c r="E36" s="452">
        <v>2</v>
      </c>
      <c r="F36" s="13"/>
      <c r="G36" s="6"/>
      <c r="H36" s="6"/>
      <c r="I36" s="6"/>
      <c r="J36" s="13"/>
      <c r="K36" s="13"/>
      <c r="L36" s="13"/>
      <c r="M36" s="13"/>
      <c r="N36" s="6"/>
      <c r="O36" s="6"/>
      <c r="P36" s="13"/>
      <c r="Q36" s="452">
        <v>2</v>
      </c>
      <c r="R36" s="13"/>
      <c r="S36" s="13"/>
      <c r="T36" s="452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4">
        <f t="shared" si="70"/>
        <v>0</v>
      </c>
      <c r="BE36" s="674">
        <f t="shared" si="69"/>
        <v>0</v>
      </c>
      <c r="BF36" s="674">
        <f t="shared" si="71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"/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>
        <f t="shared" si="70"/>
        <v>0</v>
      </c>
      <c r="BE37" s="39">
        <f t="shared" si="69"/>
        <v>0</v>
      </c>
      <c r="BF37" s="39">
        <f t="shared" si="71"/>
        <v>0</v>
      </c>
      <c r="BG37" s="6"/>
      <c r="BH37" s="6"/>
      <c r="BI37" s="6"/>
      <c r="BJ37" s="6"/>
      <c r="BK37" s="6"/>
      <c r="BL37" s="6"/>
    </row>
    <row r="38" spans="2:64" x14ac:dyDescent="0.3">
      <c r="B38" s="452">
        <v>29</v>
      </c>
      <c r="C38" s="6"/>
      <c r="D38" s="6"/>
      <c r="E38" s="452">
        <v>2</v>
      </c>
      <c r="F38" s="13"/>
      <c r="G38" s="6"/>
      <c r="H38" s="6"/>
      <c r="I38" s="6"/>
      <c r="J38" s="13"/>
      <c r="K38" s="13"/>
      <c r="L38" s="13"/>
      <c r="M38" s="13"/>
      <c r="N38" s="6"/>
      <c r="O38" s="6"/>
      <c r="P38" s="13"/>
      <c r="Q38" s="452">
        <v>2</v>
      </c>
      <c r="R38" s="13"/>
      <c r="S38" s="13"/>
      <c r="T38" s="452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60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4">
        <f t="shared" si="70"/>
        <v>0</v>
      </c>
      <c r="BE38" s="674">
        <f t="shared" si="69"/>
        <v>0</v>
      </c>
      <c r="BF38" s="674">
        <f t="shared" si="71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"/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>
        <f t="shared" si="70"/>
        <v>0</v>
      </c>
      <c r="BE39" s="39">
        <f t="shared" si="69"/>
        <v>0</v>
      </c>
      <c r="BF39" s="39">
        <f t="shared" si="71"/>
        <v>0</v>
      </c>
      <c r="BG39" s="6"/>
      <c r="BH39" s="6"/>
      <c r="BI39" s="6"/>
      <c r="BJ39" s="6"/>
      <c r="BK39" s="6"/>
      <c r="BL39" s="6"/>
    </row>
    <row r="40" spans="2:64" x14ac:dyDescent="0.3">
      <c r="B40" s="452">
        <v>31</v>
      </c>
      <c r="C40" s="6"/>
      <c r="D40" s="6"/>
      <c r="E40" s="452">
        <v>2</v>
      </c>
      <c r="F40" s="13"/>
      <c r="G40" s="6"/>
      <c r="H40" s="6"/>
      <c r="I40" s="6"/>
      <c r="J40" s="13"/>
      <c r="K40" s="13"/>
      <c r="L40" s="13"/>
      <c r="M40" s="13"/>
      <c r="N40" s="6"/>
      <c r="O40" s="6"/>
      <c r="P40" s="13"/>
      <c r="Q40" s="452">
        <v>2</v>
      </c>
      <c r="R40" s="13"/>
      <c r="S40" s="13"/>
      <c r="T40" s="452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4">
        <f t="shared" si="70"/>
        <v>0</v>
      </c>
      <c r="BE40" s="674">
        <f t="shared" si="69"/>
        <v>0</v>
      </c>
      <c r="BF40" s="674">
        <f t="shared" si="71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"/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>
        <f t="shared" si="70"/>
        <v>0</v>
      </c>
      <c r="BE41" s="39">
        <f t="shared" si="69"/>
        <v>0</v>
      </c>
      <c r="BF41" s="39">
        <f t="shared" si="71"/>
        <v>0</v>
      </c>
      <c r="BG41" s="6"/>
      <c r="BH41" s="6"/>
      <c r="BI41" s="6"/>
      <c r="BJ41" s="6"/>
      <c r="BK41" s="6"/>
      <c r="BL41" s="6"/>
    </row>
    <row r="42" spans="2:64" x14ac:dyDescent="0.3">
      <c r="B42" s="452">
        <v>33</v>
      </c>
      <c r="C42" s="6"/>
      <c r="D42" s="6"/>
      <c r="E42" s="452">
        <v>2</v>
      </c>
      <c r="F42" s="13"/>
      <c r="G42" s="6"/>
      <c r="H42" s="6"/>
      <c r="I42" s="6"/>
      <c r="J42" s="13"/>
      <c r="K42" s="13"/>
      <c r="L42" s="13"/>
      <c r="M42" s="13"/>
      <c r="N42" s="6"/>
      <c r="O42" s="6"/>
      <c r="P42" s="13"/>
      <c r="Q42" s="452">
        <v>2</v>
      </c>
      <c r="R42" s="13"/>
      <c r="S42" s="13"/>
      <c r="T42" s="452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4">
        <f t="shared" si="70"/>
        <v>0</v>
      </c>
      <c r="BE42" s="674">
        <f t="shared" si="69"/>
        <v>0</v>
      </c>
      <c r="BF42" s="674">
        <f t="shared" si="71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"/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>
        <f t="shared" si="70"/>
        <v>0</v>
      </c>
      <c r="BE43" s="39">
        <f t="shared" si="69"/>
        <v>0</v>
      </c>
      <c r="BF43" s="39">
        <f t="shared" si="71"/>
        <v>0</v>
      </c>
      <c r="BG43" s="6"/>
      <c r="BH43" s="6"/>
      <c r="BI43" s="6"/>
      <c r="BJ43" s="6"/>
      <c r="BK43" s="6"/>
      <c r="BL43" s="6"/>
    </row>
    <row r="44" spans="2:64" x14ac:dyDescent="0.3">
      <c r="B44" s="452">
        <v>35</v>
      </c>
      <c r="C44" s="6"/>
      <c r="D44" s="6"/>
      <c r="E44" s="452">
        <v>2</v>
      </c>
      <c r="F44" s="13"/>
      <c r="G44" s="6"/>
      <c r="H44" s="6"/>
      <c r="I44" s="6"/>
      <c r="J44" s="13"/>
      <c r="K44" s="13"/>
      <c r="L44" s="13"/>
      <c r="M44" s="13"/>
      <c r="N44" s="6"/>
      <c r="O44" s="6"/>
      <c r="P44" s="13"/>
      <c r="Q44" s="452">
        <v>2</v>
      </c>
      <c r="R44" s="13"/>
      <c r="S44" s="13"/>
      <c r="T44" s="452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60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4">
        <f t="shared" si="70"/>
        <v>0</v>
      </c>
      <c r="BE44" s="674">
        <f t="shared" si="69"/>
        <v>0</v>
      </c>
      <c r="BF44" s="674">
        <f t="shared" si="71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"/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>
        <f t="shared" si="70"/>
        <v>0</v>
      </c>
      <c r="BE45" s="39">
        <f t="shared" si="69"/>
        <v>0</v>
      </c>
      <c r="BF45" s="39">
        <f t="shared" si="71"/>
        <v>0</v>
      </c>
      <c r="BG45" s="6"/>
      <c r="BH45" s="6"/>
      <c r="BI45" s="6"/>
      <c r="BJ45" s="6"/>
      <c r="BK45" s="6"/>
      <c r="BL45" s="6"/>
    </row>
    <row r="46" spans="2:64" x14ac:dyDescent="0.3">
      <c r="B46" s="452">
        <v>37</v>
      </c>
      <c r="C46" s="6"/>
      <c r="D46" s="6"/>
      <c r="E46" s="452">
        <v>2</v>
      </c>
      <c r="F46" s="13"/>
      <c r="G46" s="6"/>
      <c r="H46" s="6"/>
      <c r="I46" s="6"/>
      <c r="J46" s="13"/>
      <c r="K46" s="13"/>
      <c r="L46" s="13"/>
      <c r="M46" s="13"/>
      <c r="N46" s="6"/>
      <c r="O46" s="6"/>
      <c r="P46" s="13"/>
      <c r="Q46" s="452">
        <v>2</v>
      </c>
      <c r="R46" s="13"/>
      <c r="S46" s="13"/>
      <c r="T46" s="452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4">
        <f t="shared" si="70"/>
        <v>0</v>
      </c>
      <c r="BE46" s="674">
        <f t="shared" si="69"/>
        <v>0</v>
      </c>
      <c r="BF46" s="674">
        <f t="shared" si="71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"/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>
        <f t="shared" si="70"/>
        <v>0</v>
      </c>
      <c r="BE47" s="39">
        <f t="shared" si="69"/>
        <v>0</v>
      </c>
      <c r="BF47" s="39">
        <f t="shared" si="71"/>
        <v>0</v>
      </c>
      <c r="BG47" s="6"/>
      <c r="BH47" s="6"/>
      <c r="BI47" s="6"/>
      <c r="BJ47" s="6"/>
      <c r="BK47" s="6"/>
      <c r="BL47" s="6"/>
    </row>
    <row r="48" spans="2:64" x14ac:dyDescent="0.3">
      <c r="B48" s="452">
        <v>39</v>
      </c>
      <c r="C48" s="6"/>
      <c r="D48" s="6"/>
      <c r="E48" s="452">
        <v>2</v>
      </c>
      <c r="F48" s="13"/>
      <c r="G48" s="6"/>
      <c r="H48" s="6"/>
      <c r="I48" s="6"/>
      <c r="J48" s="13"/>
      <c r="K48" s="13"/>
      <c r="L48" s="13"/>
      <c r="M48" s="13"/>
      <c r="N48" s="6"/>
      <c r="O48" s="6"/>
      <c r="P48" s="13"/>
      <c r="Q48" s="452">
        <v>2</v>
      </c>
      <c r="R48" s="13"/>
      <c r="S48" s="13"/>
      <c r="T48" s="452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4">
        <f t="shared" si="70"/>
        <v>0</v>
      </c>
      <c r="BE48" s="674">
        <f t="shared" si="69"/>
        <v>0</v>
      </c>
      <c r="BF48" s="674">
        <f t="shared" si="71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"/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>
        <f t="shared" si="70"/>
        <v>0</v>
      </c>
      <c r="BE49" s="39">
        <f t="shared" si="69"/>
        <v>0</v>
      </c>
      <c r="BF49" s="39">
        <f t="shared" si="71"/>
        <v>0</v>
      </c>
      <c r="BG49" s="6"/>
      <c r="BH49" s="6"/>
      <c r="BI49" s="6"/>
      <c r="BJ49" s="6"/>
      <c r="BK49" s="6"/>
      <c r="BL49" s="6"/>
    </row>
    <row r="50" spans="2:64" x14ac:dyDescent="0.3">
      <c r="B50" s="452">
        <v>41</v>
      </c>
      <c r="C50" s="6"/>
      <c r="D50" s="6"/>
      <c r="E50" s="452">
        <v>2</v>
      </c>
      <c r="F50" s="13"/>
      <c r="G50" s="6"/>
      <c r="H50" s="6"/>
      <c r="I50" s="6"/>
      <c r="J50" s="13"/>
      <c r="K50" s="13"/>
      <c r="L50" s="13"/>
      <c r="M50" s="13"/>
      <c r="N50" s="6"/>
      <c r="O50" s="6"/>
      <c r="P50" s="13"/>
      <c r="Q50" s="452">
        <v>2</v>
      </c>
      <c r="R50" s="13"/>
      <c r="S50" s="13"/>
      <c r="T50" s="452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60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4">
        <f t="shared" si="70"/>
        <v>0</v>
      </c>
      <c r="BE50" s="674">
        <f t="shared" si="69"/>
        <v>0</v>
      </c>
      <c r="BF50" s="674">
        <f t="shared" si="71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"/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>
        <f t="shared" si="70"/>
        <v>0</v>
      </c>
      <c r="BE51" s="39">
        <f t="shared" si="69"/>
        <v>0</v>
      </c>
      <c r="BF51" s="39">
        <f t="shared" si="71"/>
        <v>0</v>
      </c>
      <c r="BG51" s="6"/>
      <c r="BH51" s="6"/>
      <c r="BI51" s="6"/>
      <c r="BJ51" s="6"/>
      <c r="BK51" s="6"/>
      <c r="BL51" s="6"/>
    </row>
    <row r="52" spans="2:64" x14ac:dyDescent="0.3">
      <c r="B52" s="452">
        <v>43</v>
      </c>
      <c r="C52" s="6"/>
      <c r="D52" s="6"/>
      <c r="E52" s="452">
        <v>2</v>
      </c>
      <c r="F52" s="13"/>
      <c r="G52" s="6"/>
      <c r="H52" s="6"/>
      <c r="I52" s="6"/>
      <c r="J52" s="13"/>
      <c r="K52" s="13"/>
      <c r="L52" s="13"/>
      <c r="M52" s="13"/>
      <c r="N52" s="6"/>
      <c r="O52" s="6"/>
      <c r="P52" s="13"/>
      <c r="Q52" s="452">
        <v>2</v>
      </c>
      <c r="R52" s="13"/>
      <c r="S52" s="13"/>
      <c r="T52" s="452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4">
        <f t="shared" si="70"/>
        <v>0</v>
      </c>
      <c r="BE52" s="674">
        <f t="shared" si="69"/>
        <v>0</v>
      </c>
      <c r="BF52" s="674">
        <f t="shared" si="71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"/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>
        <f t="shared" si="70"/>
        <v>0</v>
      </c>
      <c r="BE53" s="39">
        <f t="shared" si="69"/>
        <v>0</v>
      </c>
      <c r="BF53" s="39">
        <f t="shared" si="71"/>
        <v>0</v>
      </c>
      <c r="BG53" s="6"/>
      <c r="BH53" s="6"/>
      <c r="BI53" s="6"/>
      <c r="BJ53" s="6"/>
      <c r="BK53" s="6"/>
      <c r="BL53" s="6"/>
    </row>
    <row r="54" spans="2:64" x14ac:dyDescent="0.3">
      <c r="B54" s="452">
        <v>45</v>
      </c>
      <c r="C54" s="6"/>
      <c r="D54" s="6"/>
      <c r="E54" s="452">
        <v>2</v>
      </c>
      <c r="F54" s="13"/>
      <c r="G54" s="6"/>
      <c r="H54" s="6"/>
      <c r="I54" s="6"/>
      <c r="J54" s="13"/>
      <c r="K54" s="13"/>
      <c r="L54" s="13"/>
      <c r="M54" s="13"/>
      <c r="N54" s="6"/>
      <c r="O54" s="6"/>
      <c r="P54" s="13"/>
      <c r="Q54" s="452">
        <v>2</v>
      </c>
      <c r="R54" s="13"/>
      <c r="S54" s="13"/>
      <c r="T54" s="452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4">
        <f t="shared" si="70"/>
        <v>0</v>
      </c>
      <c r="BE54" s="674">
        <f t="shared" si="69"/>
        <v>0</v>
      </c>
      <c r="BF54" s="674">
        <f t="shared" si="71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"/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>
        <f t="shared" si="70"/>
        <v>0</v>
      </c>
      <c r="BE55" s="39">
        <f t="shared" si="69"/>
        <v>0</v>
      </c>
      <c r="BF55" s="39">
        <f t="shared" si="71"/>
        <v>0</v>
      </c>
      <c r="BG55" s="6"/>
      <c r="BH55" s="6"/>
      <c r="BI55" s="6"/>
      <c r="BJ55" s="6"/>
      <c r="BK55" s="6"/>
      <c r="BL55" s="6"/>
    </row>
    <row r="56" spans="2:64" x14ac:dyDescent="0.3">
      <c r="B56" s="452">
        <v>47</v>
      </c>
      <c r="C56" s="6"/>
      <c r="D56" s="6"/>
      <c r="E56" s="452">
        <v>2</v>
      </c>
      <c r="F56" s="13"/>
      <c r="G56" s="6"/>
      <c r="H56" s="6"/>
      <c r="I56" s="6"/>
      <c r="J56" s="13"/>
      <c r="K56" s="13"/>
      <c r="L56" s="13"/>
      <c r="M56" s="13"/>
      <c r="N56" s="6"/>
      <c r="O56" s="6"/>
      <c r="P56" s="13"/>
      <c r="Q56" s="452">
        <v>2</v>
      </c>
      <c r="R56" s="13"/>
      <c r="S56" s="13"/>
      <c r="T56" s="452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60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4">
        <f t="shared" si="70"/>
        <v>0</v>
      </c>
      <c r="BE56" s="674">
        <f t="shared" si="69"/>
        <v>0</v>
      </c>
      <c r="BF56" s="674">
        <f t="shared" si="71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"/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>
        <f t="shared" si="70"/>
        <v>0</v>
      </c>
      <c r="BE57" s="39">
        <f t="shared" si="69"/>
        <v>0</v>
      </c>
      <c r="BF57" s="39">
        <f t="shared" si="71"/>
        <v>0</v>
      </c>
      <c r="BG57" s="6"/>
      <c r="BH57" s="6"/>
      <c r="BI57" s="6"/>
      <c r="BJ57" s="6"/>
      <c r="BK57" s="6"/>
      <c r="BL57" s="6"/>
    </row>
    <row r="58" spans="2:64" x14ac:dyDescent="0.3">
      <c r="B58" s="452">
        <v>49</v>
      </c>
      <c r="C58" s="6"/>
      <c r="D58" s="6"/>
      <c r="E58" s="452">
        <v>2</v>
      </c>
      <c r="F58" s="13"/>
      <c r="G58" s="6"/>
      <c r="H58" s="6"/>
      <c r="I58" s="6"/>
      <c r="J58" s="13"/>
      <c r="K58" s="13"/>
      <c r="L58" s="13"/>
      <c r="M58" s="13"/>
      <c r="N58" s="6"/>
      <c r="O58" s="6"/>
      <c r="P58" s="13"/>
      <c r="Q58" s="452">
        <v>2</v>
      </c>
      <c r="R58" s="13"/>
      <c r="S58" s="13"/>
      <c r="T58" s="452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4">
        <f t="shared" si="70"/>
        <v>0</v>
      </c>
      <c r="BE58" s="674">
        <f t="shared" si="69"/>
        <v>0</v>
      </c>
      <c r="BF58" s="674">
        <f t="shared" si="71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"/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>
        <f t="shared" si="70"/>
        <v>0</v>
      </c>
      <c r="BE59" s="39">
        <f t="shared" si="69"/>
        <v>0</v>
      </c>
      <c r="BF59" s="39">
        <f t="shared" si="71"/>
        <v>0</v>
      </c>
      <c r="BG59" s="6"/>
      <c r="BH59" s="6"/>
      <c r="BI59" s="6"/>
      <c r="BJ59" s="6"/>
      <c r="BK59" s="6"/>
      <c r="BL59" s="6"/>
    </row>
    <row r="60" spans="2:64" x14ac:dyDescent="0.3">
      <c r="B60" s="452">
        <v>51</v>
      </c>
      <c r="C60" s="135">
        <f>AVERAGE(C10:C59)</f>
        <v>37.908333333333331</v>
      </c>
      <c r="D60" s="135">
        <f>AVERAGE(D10:D59)</f>
        <v>8.6503110555921428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374.2337837500001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0.6917346560846559</v>
      </c>
      <c r="Y60" s="207">
        <f>AVERAGE(Y10:Y59)</f>
        <v>0.81211739417989415</v>
      </c>
      <c r="Z60" s="207">
        <f>AVERAGE(Z10:Z59)</f>
        <v>11.504344907407406</v>
      </c>
      <c r="AA60" s="207">
        <f>AVERAGE(AA10:AA59)</f>
        <v>0.65800563516441268</v>
      </c>
      <c r="AB60" s="207">
        <f t="shared" ref="AB60:AC60" si="72">AVERAGE(AB10:AB59)</f>
        <v>0.77422340370261988</v>
      </c>
      <c r="AC60" s="207">
        <f t="shared" si="72"/>
        <v>10.807232883756003</v>
      </c>
      <c r="AD60" s="134"/>
      <c r="AE60" s="134"/>
      <c r="AF60" s="207">
        <f>AVERAGE(AF10:AF59)</f>
        <v>9.2166161616161618E-2</v>
      </c>
      <c r="AG60" s="207">
        <f t="shared" ref="AG60:AI60" si="73">AVERAGE(AG10:AG59)</f>
        <v>0.31681818181818183</v>
      </c>
      <c r="AH60" s="207">
        <f t="shared" si="73"/>
        <v>9.8851313131313123</v>
      </c>
      <c r="AI60" s="207">
        <f t="shared" si="73"/>
        <v>2.4818181818181816E-2</v>
      </c>
      <c r="AJ60" s="134"/>
      <c r="AK60" s="134"/>
      <c r="AL60" s="135">
        <f>SUM(AL10:AL59)</f>
        <v>2541.080731547042</v>
      </c>
      <c r="AM60" s="135">
        <f t="shared" ref="AM60:AN60" si="74">SUM(AM10:AM59)</f>
        <v>2830.09090124366</v>
      </c>
      <c r="AN60" s="135">
        <f t="shared" si="74"/>
        <v>41812.398816667985</v>
      </c>
      <c r="AO60" s="135">
        <f>SUM(AO10:AO59)</f>
        <v>338.42595551456941</v>
      </c>
      <c r="AP60" s="135">
        <f t="shared" ref="AP60:AR60" si="75">SUM(AP10:AP59)</f>
        <v>1197.3656026372223</v>
      </c>
      <c r="AQ60" s="135">
        <f t="shared" si="75"/>
        <v>37602.597821672505</v>
      </c>
      <c r="AR60" s="135">
        <f t="shared" si="75"/>
        <v>162.44090603999999</v>
      </c>
      <c r="AS60" s="134"/>
      <c r="AT60" s="232">
        <f>AVERAGE(AT10:AT59)</f>
        <v>0.798565423666728</v>
      </c>
      <c r="AU60" s="232">
        <f t="shared" ref="AU60:AV60" si="76">AVERAGE(AU10:AU59)</f>
        <v>0.57277936258793383</v>
      </c>
      <c r="AV60" s="232">
        <f t="shared" si="76"/>
        <v>0.11374653262299814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454.9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3994.3035052499999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5">
        <f>SUM(BD10:BD59)</f>
        <v>2040.2138699924724</v>
      </c>
      <c r="BE61" s="985">
        <f>SUM(BE10:BE59)</f>
        <v>1632.7252986064379</v>
      </c>
      <c r="BF61" s="985">
        <f>SUM(BF10:BF59)</f>
        <v>4209.8009949954876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0.64487500000000009</v>
      </c>
      <c r="Y62" s="244">
        <f t="shared" ref="Y62:Z62" si="77">MEDIAN(Y10:Y59)</f>
        <v>0.70041666666666669</v>
      </c>
      <c r="Z62" s="244">
        <f t="shared" si="77"/>
        <v>9.4826388888888893</v>
      </c>
      <c r="AA62" s="244">
        <f>MEDIAN(AA10:AA59)</f>
        <v>0.63680830617586415</v>
      </c>
      <c r="AB62" s="244">
        <f t="shared" ref="AB62:AC62" si="78">MEDIAN(AB10:AB59)</f>
        <v>0.70562215346358503</v>
      </c>
      <c r="AC62" s="244">
        <f t="shared" si="78"/>
        <v>9.5941564277004581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2040.2138699924726</v>
      </c>
      <c r="BD63" s="10">
        <f>BD61*0.8</f>
        <v>1632.171095993978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197" t="s">
        <v>310</v>
      </c>
      <c r="AP65" s="1197"/>
      <c r="AQ65" s="1197"/>
      <c r="AR65" s="1197"/>
      <c r="AS65" s="249"/>
      <c r="AT65" s="131" t="s">
        <v>331</v>
      </c>
      <c r="AU65" s="1219" t="s">
        <v>260</v>
      </c>
      <c r="AV65" s="1219"/>
      <c r="AW65" s="1219"/>
      <c r="AX65" s="430"/>
      <c r="AY65" s="1356" t="s">
        <v>256</v>
      </c>
      <c r="AZ65" s="1357"/>
      <c r="BA65" s="1357"/>
      <c r="BB65" s="1357"/>
      <c r="BC65" s="1357"/>
      <c r="BD65" s="1358"/>
      <c r="BE65" s="1489" t="s">
        <v>277</v>
      </c>
      <c r="BF65" s="1490"/>
      <c r="BG65" s="1491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219" t="s">
        <v>261</v>
      </c>
      <c r="AV66" s="1219"/>
      <c r="AW66" s="1219"/>
      <c r="AX66" s="430"/>
      <c r="AY66" s="1356" t="s">
        <v>263</v>
      </c>
      <c r="AZ66" s="1357"/>
      <c r="BA66" s="1358"/>
      <c r="BB66" s="1356" t="s">
        <v>264</v>
      </c>
      <c r="BC66" s="1357"/>
      <c r="BD66" s="1358"/>
      <c r="BE66" s="1356" t="s">
        <v>40</v>
      </c>
      <c r="BF66" s="1357"/>
      <c r="BG66" s="1358"/>
    </row>
    <row r="67" spans="5:59" x14ac:dyDescent="0.3">
      <c r="F67" s="43"/>
      <c r="J67" s="39">
        <f>SUM(C10:C59)</f>
        <v>454.9</v>
      </c>
      <c r="K67" s="39"/>
      <c r="L67" s="39"/>
      <c r="M67" s="39">
        <f>'Milling Down Time Hours'!P60</f>
        <v>233.13333333333333</v>
      </c>
      <c r="N67" s="39">
        <f>N61/J67</f>
        <v>8.7806188288634868</v>
      </c>
      <c r="O67" s="39"/>
      <c r="P67" s="39">
        <f>(N61/J68)</f>
        <v>210.7348518927237</v>
      </c>
      <c r="Q67" s="39"/>
      <c r="R67" s="39"/>
      <c r="S67" s="39"/>
      <c r="T67" s="39"/>
      <c r="U67" s="39">
        <f>(J67+M67)/24</f>
        <v>28.668055555555554</v>
      </c>
      <c r="AO67" s="13" t="s">
        <v>330</v>
      </c>
      <c r="AP67" s="133">
        <f>AVERAGE(X10:X15)</f>
        <v>0.7364814814814814</v>
      </c>
      <c r="AQ67" s="133">
        <f t="shared" ref="AQ67:AR67" si="79">AVERAGE(Y10:Y15)</f>
        <v>0.64749537037037042</v>
      </c>
      <c r="AR67" s="133">
        <f t="shared" si="79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18.954166666666666</v>
      </c>
      <c r="K68" s="43"/>
      <c r="L68" s="43"/>
      <c r="M68" s="43">
        <f>M67/24</f>
        <v>9.7138888888888886</v>
      </c>
      <c r="AD68" s="1219" t="s">
        <v>260</v>
      </c>
      <c r="AE68" s="1219"/>
      <c r="AF68" s="1219"/>
      <c r="AG68" s="1219"/>
      <c r="AH68" s="1219"/>
      <c r="AO68" s="13" t="s">
        <v>201</v>
      </c>
      <c r="AP68" s="133">
        <f>MEDIAN(X10:X15)</f>
        <v>0.69599999999999995</v>
      </c>
      <c r="AQ68" s="133">
        <f t="shared" ref="AQ68:AR68" si="80">MEDIAN(Y10:Y15)</f>
        <v>0.66361111111111115</v>
      </c>
      <c r="AR68" s="133">
        <f t="shared" si="80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53">
        <v>7.2224166666666676</v>
      </c>
      <c r="AX68" s="1156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365" t="s">
        <v>259</v>
      </c>
      <c r="AE69" s="1365" t="s">
        <v>487</v>
      </c>
      <c r="AF69" s="1219" t="s">
        <v>261</v>
      </c>
      <c r="AG69" s="1219"/>
      <c r="AH69" s="1219"/>
      <c r="AO69" s="13" t="s">
        <v>203</v>
      </c>
      <c r="AP69" s="133">
        <f>MIN(X10:X15)</f>
        <v>0.57608333333333328</v>
      </c>
      <c r="AQ69" s="133">
        <f t="shared" ref="AQ69:AR69" si="81">MIN(Y10:Y15)</f>
        <v>0.49666666666666665</v>
      </c>
      <c r="AR69" s="133">
        <f t="shared" si="81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53">
        <v>9.051111111111112</v>
      </c>
      <c r="AX69" s="1156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454.9</v>
      </c>
      <c r="O70" s="10"/>
      <c r="AD70" s="1365"/>
      <c r="AE70" s="1365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82">MAX(Y10:Y15)</f>
        <v>0.79333333333333333</v>
      </c>
      <c r="AR70" s="133">
        <f t="shared" si="82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53">
        <v>9.0688888888888908</v>
      </c>
      <c r="AX70" s="1156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233.13333333333333</v>
      </c>
      <c r="AD71" s="13">
        <v>1</v>
      </c>
      <c r="AE71" s="13">
        <v>2</v>
      </c>
      <c r="AF71" s="420">
        <v>0.70799999999999996</v>
      </c>
      <c r="AG71" s="420">
        <v>0.53525</v>
      </c>
      <c r="AH71" s="420">
        <v>7.2224166666666676</v>
      </c>
      <c r="AT71" s="13">
        <v>4</v>
      </c>
      <c r="AU71" s="133">
        <v>0.92891666666666661</v>
      </c>
      <c r="AV71" s="133">
        <v>0.73249999999999993</v>
      </c>
      <c r="AW71" s="1153">
        <v>9.1508333333333347</v>
      </c>
      <c r="AX71" s="1156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688.0333333333333</v>
      </c>
      <c r="AD72" s="13">
        <v>2</v>
      </c>
      <c r="AE72" s="13">
        <v>3</v>
      </c>
      <c r="AF72" s="420">
        <v>0.68400000000000005</v>
      </c>
      <c r="AG72" s="420">
        <v>0.79333333333333333</v>
      </c>
      <c r="AH72" s="420">
        <v>9.051111111111112</v>
      </c>
      <c r="AT72" s="13">
        <v>5</v>
      </c>
      <c r="AU72" s="133">
        <v>0.58733333333333337</v>
      </c>
      <c r="AV72" s="133">
        <v>0.49666666666666665</v>
      </c>
      <c r="AW72" s="1153">
        <v>9.0411111111111087</v>
      </c>
      <c r="AX72" s="1156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0.66115982752773605</v>
      </c>
      <c r="AD73" s="12"/>
      <c r="AT73" s="13">
        <v>6</v>
      </c>
      <c r="AU73" s="133">
        <v>0.57608333333333328</v>
      </c>
      <c r="AV73" s="133">
        <v>0.66833333333333333</v>
      </c>
      <c r="AW73" s="1153">
        <v>7.58</v>
      </c>
      <c r="AX73" s="1156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20">
        <f>N67</f>
        <v>8.7806188288634868</v>
      </c>
      <c r="AD74" s="12"/>
      <c r="AT74" s="13">
        <v>7</v>
      </c>
      <c r="AU74" s="133">
        <v>0.53555555555555556</v>
      </c>
      <c r="AV74" s="133">
        <v>0.53555555555555556</v>
      </c>
      <c r="AW74" s="1153">
        <v>9.8144444444444439</v>
      </c>
      <c r="AX74" s="1156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210.7348518927237</v>
      </c>
      <c r="AD75" s="12"/>
      <c r="AT75" s="13">
        <v>8</v>
      </c>
      <c r="AU75" s="133">
        <v>0.58483333333333321</v>
      </c>
      <c r="AV75" s="133">
        <v>0.58833333333333337</v>
      </c>
      <c r="AW75" s="1153">
        <v>10.3775</v>
      </c>
      <c r="AX75" s="1156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28.668055555555554</v>
      </c>
      <c r="AD76" s="12"/>
      <c r="AT76" s="13">
        <v>9</v>
      </c>
      <c r="AU76" s="133">
        <v>0.60575000000000001</v>
      </c>
      <c r="AV76" s="133">
        <v>0.86333333333333329</v>
      </c>
      <c r="AW76" s="1153">
        <v>14.675833333333332</v>
      </c>
      <c r="AX76" s="1156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0.33884017247226395</v>
      </c>
      <c r="AT77" s="13">
        <v>10</v>
      </c>
      <c r="AU77" s="133">
        <v>0.82590476190476192</v>
      </c>
      <c r="AV77" s="133">
        <v>1.1390476190476191</v>
      </c>
      <c r="AW77" s="1153">
        <v>17.893333333333334</v>
      </c>
      <c r="AX77" s="1156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53">
        <v>18.880000000000003</v>
      </c>
      <c r="AX78" s="1156"/>
      <c r="AY78" s="1152">
        <v>0.16700000000000001</v>
      </c>
      <c r="AZ78" s="1152">
        <v>1.26</v>
      </c>
      <c r="BA78" s="1152">
        <v>17.43</v>
      </c>
      <c r="BB78" s="1152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83">AVERAGE(AV68:AV78)</f>
        <v>0.75587049062049061</v>
      </c>
      <c r="AW79" s="133">
        <f t="shared" si="83"/>
        <v>11.159588383838383</v>
      </c>
      <c r="AX79" s="207"/>
      <c r="AY79" s="133">
        <f>AVERAGE(AY68:AY78)</f>
        <v>9.6350505050505048E-2</v>
      </c>
      <c r="AZ79" s="133">
        <f t="shared" ref="AZ79:BB79" si="84">AVERAGE(AZ68:AZ78)</f>
        <v>0.38267676767676767</v>
      </c>
      <c r="BA79" s="133">
        <f t="shared" si="84"/>
        <v>10.193287878787878</v>
      </c>
      <c r="BB79" s="133">
        <f t="shared" si="84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7" t="s">
        <v>17</v>
      </c>
      <c r="AU80" s="1486"/>
      <c r="AV80" s="1487"/>
      <c r="AW80" s="1487"/>
      <c r="AX80" s="1487"/>
      <c r="AY80" s="1487"/>
      <c r="AZ80" s="1487"/>
      <c r="BA80" s="1487"/>
      <c r="BB80" s="1487"/>
      <c r="BC80" s="1487"/>
      <c r="BD80" s="1488"/>
      <c r="BE80" s="1158">
        <f>SUM(BE68:BE79)</f>
        <v>2023.4684999216388</v>
      </c>
      <c r="BF80" s="1158">
        <f t="shared" ref="BF80:BG80" si="85">SUM(BF68:BF79)</f>
        <v>1374.7770814606047</v>
      </c>
      <c r="BG80" s="1158">
        <f t="shared" si="85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465" t="s">
        <v>318</v>
      </c>
      <c r="O92" s="1219" t="s">
        <v>633</v>
      </c>
      <c r="P92" s="1219"/>
      <c r="Q92" s="1219"/>
      <c r="R92" s="430"/>
      <c r="S92" s="430"/>
      <c r="T92" s="430"/>
      <c r="U92" s="1356" t="s">
        <v>324</v>
      </c>
      <c r="V92" s="1357"/>
      <c r="W92" s="1358"/>
    </row>
    <row r="93" spans="10:45" x14ac:dyDescent="0.3">
      <c r="J93" s="131" t="s">
        <v>321</v>
      </c>
      <c r="K93" s="131"/>
      <c r="L93" s="131"/>
      <c r="M93" s="131" t="s">
        <v>634</v>
      </c>
      <c r="N93" s="1466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86">Y10</f>
        <v>0.53525</v>
      </c>
      <c r="Q94" s="133">
        <f t="shared" si="86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87">AG10</f>
        <v>0.17</v>
      </c>
      <c r="W94" s="133">
        <f t="shared" si="87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88">X11</f>
        <v>0.68400000000000005</v>
      </c>
      <c r="P95" s="133">
        <f t="shared" si="86"/>
        <v>0.79333333333333333</v>
      </c>
      <c r="Q95" s="133">
        <f t="shared" si="86"/>
        <v>9.051111111111112</v>
      </c>
      <c r="R95" s="133"/>
      <c r="S95" s="133"/>
      <c r="T95" s="133"/>
      <c r="U95" s="133">
        <f t="shared" ref="U95:U98" si="89">AF11</f>
        <v>5.5749999999999994E-2</v>
      </c>
      <c r="V95" s="133">
        <f t="shared" si="87"/>
        <v>0.25</v>
      </c>
      <c r="W95" s="133">
        <f t="shared" si="87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88"/>
        <v>0.93455555555555547</v>
      </c>
      <c r="P96" s="133">
        <f t="shared" si="86"/>
        <v>0.65888888888888886</v>
      </c>
      <c r="Q96" s="133">
        <f t="shared" si="86"/>
        <v>9.0688888888888908</v>
      </c>
      <c r="R96" s="133"/>
      <c r="S96" s="133"/>
      <c r="T96" s="133"/>
      <c r="U96" s="133">
        <f t="shared" si="89"/>
        <v>9.816666666666668E-2</v>
      </c>
      <c r="V96" s="133">
        <f t="shared" si="87"/>
        <v>0.23333333333333331</v>
      </c>
      <c r="W96" s="133">
        <f t="shared" si="87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0">O13</f>
        <v>316.93530000000004</v>
      </c>
      <c r="O97" s="133">
        <f t="shared" si="88"/>
        <v>0.92891666666666661</v>
      </c>
      <c r="P97" s="133">
        <f t="shared" si="86"/>
        <v>0.73249999999999993</v>
      </c>
      <c r="Q97" s="133">
        <f t="shared" si="86"/>
        <v>9.1508333333333347</v>
      </c>
      <c r="R97" s="133"/>
      <c r="S97" s="133"/>
      <c r="T97" s="133"/>
      <c r="U97" s="133">
        <f t="shared" si="89"/>
        <v>0.10916666666666668</v>
      </c>
      <c r="V97" s="133">
        <f t="shared" si="87"/>
        <v>0.24</v>
      </c>
      <c r="W97" s="133">
        <f t="shared" si="87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0"/>
        <v>266.98580000000004</v>
      </c>
      <c r="O98" s="133">
        <f t="shared" si="88"/>
        <v>0.58733333333333337</v>
      </c>
      <c r="P98" s="133">
        <f t="shared" si="86"/>
        <v>0.49666666666666665</v>
      </c>
      <c r="Q98" s="133">
        <f t="shared" si="86"/>
        <v>9.0411111111111087</v>
      </c>
      <c r="R98" s="133"/>
      <c r="S98" s="133"/>
      <c r="T98" s="133"/>
      <c r="U98" s="133">
        <f t="shared" si="89"/>
        <v>0.12466666666666666</v>
      </c>
      <c r="V98" s="133">
        <f t="shared" si="87"/>
        <v>0.37833333333333335</v>
      </c>
      <c r="W98" s="133">
        <f t="shared" si="87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86"/>
        <v>0.66833333333333333</v>
      </c>
      <c r="Q99" s="133">
        <f t="shared" si="86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86"/>
        <v>0.53555555555555556</v>
      </c>
      <c r="Q100" s="133">
        <f t="shared" si="86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1">AVERAGE(P94:P100)</f>
        <v>0.63150396825396826</v>
      </c>
      <c r="Q101" s="242">
        <f t="shared" si="91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92">AVERAGE(V94:V98)</f>
        <v>0.25433333333333336</v>
      </c>
      <c r="W101" s="242">
        <f t="shared" si="92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8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492" t="s">
        <v>473</v>
      </c>
      <c r="R4" s="1493"/>
      <c r="S4" s="1493"/>
      <c r="T4" s="149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5" t="s">
        <v>469</v>
      </c>
      <c r="Q5" s="1495"/>
      <c r="R5" s="1496"/>
      <c r="S5" s="1496"/>
      <c r="T5" s="149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5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5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8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22" t="s">
        <v>0</v>
      </c>
      <c r="B4" s="1525" t="s">
        <v>50</v>
      </c>
      <c r="C4" s="1525"/>
      <c r="D4" s="1525"/>
      <c r="E4" s="1525"/>
      <c r="F4" s="99"/>
      <c r="G4" s="54"/>
      <c r="H4" s="54"/>
      <c r="I4" s="104"/>
      <c r="J4" s="104"/>
      <c r="K4" s="104"/>
      <c r="L4" s="1536" t="s">
        <v>239</v>
      </c>
      <c r="M4" s="1537"/>
      <c r="N4" s="1538"/>
      <c r="O4" s="1536" t="s">
        <v>235</v>
      </c>
      <c r="P4" s="1537"/>
      <c r="Q4" s="1538"/>
      <c r="R4" s="1536" t="s">
        <v>236</v>
      </c>
      <c r="S4" s="1537"/>
      <c r="T4" s="1538"/>
      <c r="U4" s="1536" t="s">
        <v>237</v>
      </c>
      <c r="V4" s="1537"/>
      <c r="W4" s="1538"/>
      <c r="X4" s="1536" t="s">
        <v>238</v>
      </c>
      <c r="Y4" s="1537"/>
      <c r="Z4" s="1538"/>
      <c r="AA4" s="1536" t="s">
        <v>51</v>
      </c>
      <c r="AB4" s="1537"/>
      <c r="AC4" s="1538"/>
      <c r="AD4" s="1536" t="s">
        <v>52</v>
      </c>
      <c r="AE4" s="1537"/>
      <c r="AF4" s="1538"/>
      <c r="AG4" s="1539">
        <v>0.83333333333333337</v>
      </c>
      <c r="AH4" s="1537"/>
      <c r="AI4" s="1538"/>
      <c r="AJ4" s="1539">
        <v>0.91666666666666663</v>
      </c>
      <c r="AK4" s="1540"/>
      <c r="AL4" s="1541"/>
      <c r="AM4" s="1542">
        <v>0</v>
      </c>
      <c r="AN4" s="1543"/>
      <c r="AO4" s="1544"/>
      <c r="AP4" s="1539">
        <v>8.3333333333333329E-2</v>
      </c>
      <c r="AQ4" s="1540"/>
      <c r="AR4" s="1541"/>
      <c r="AS4" s="1539">
        <v>0.16666666666666666</v>
      </c>
      <c r="AT4" s="1540"/>
      <c r="AU4" s="1541"/>
      <c r="AV4" s="59" t="s">
        <v>53</v>
      </c>
      <c r="AW4" s="44"/>
    </row>
    <row r="5" spans="1:49" x14ac:dyDescent="0.3">
      <c r="A5" s="152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20">
        <v>46147</v>
      </c>
      <c r="B6" s="1523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498" t="s">
        <v>231</v>
      </c>
      <c r="AW6" s="1499"/>
    </row>
    <row r="7" spans="1:49" x14ac:dyDescent="0.3">
      <c r="A7" s="1520"/>
      <c r="B7" s="152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498"/>
      <c r="AW7" s="1500"/>
    </row>
    <row r="8" spans="1:49" x14ac:dyDescent="0.3">
      <c r="A8" s="1520"/>
      <c r="B8" s="152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498"/>
      <c r="AW8" s="1500"/>
    </row>
    <row r="9" spans="1:49" ht="15" thickBot="1" x14ac:dyDescent="0.35">
      <c r="A9" s="1523"/>
      <c r="B9" s="152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499"/>
      <c r="AW9" s="1501"/>
    </row>
    <row r="10" spans="1:49" x14ac:dyDescent="0.3">
      <c r="A10" s="1526">
        <v>46148</v>
      </c>
      <c r="B10" s="1545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08" t="s">
        <v>240</v>
      </c>
      <c r="AW10" s="1511" t="s">
        <v>230</v>
      </c>
    </row>
    <row r="11" spans="1:49" x14ac:dyDescent="0.3">
      <c r="A11" s="1527"/>
      <c r="B11" s="152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09"/>
      <c r="AW11" s="1512"/>
    </row>
    <row r="12" spans="1:49" x14ac:dyDescent="0.3">
      <c r="A12" s="1527"/>
      <c r="B12" s="152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09"/>
      <c r="AW12" s="1512"/>
    </row>
    <row r="13" spans="1:49" ht="15" thickBot="1" x14ac:dyDescent="0.35">
      <c r="A13" s="1528"/>
      <c r="B13" s="152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10"/>
      <c r="AW13" s="1513"/>
    </row>
    <row r="14" spans="1:49" ht="15" thickBot="1" x14ac:dyDescent="0.35">
      <c r="A14" s="1526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08" t="s">
        <v>241</v>
      </c>
      <c r="AW14" s="1514"/>
    </row>
    <row r="15" spans="1:49" x14ac:dyDescent="0.3">
      <c r="A15" s="1527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09"/>
      <c r="AW15" s="1515"/>
    </row>
    <row r="16" spans="1:49" x14ac:dyDescent="0.3">
      <c r="A16" s="152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09"/>
      <c r="AW16" s="1515"/>
    </row>
    <row r="17" spans="1:49" ht="15" thickBot="1" x14ac:dyDescent="0.35">
      <c r="A17" s="152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09"/>
      <c r="AW17" s="1516"/>
    </row>
    <row r="18" spans="1:49" x14ac:dyDescent="0.3">
      <c r="A18" s="1529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17"/>
    </row>
    <row r="19" spans="1:49" x14ac:dyDescent="0.3">
      <c r="A19" s="1520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18"/>
    </row>
    <row r="20" spans="1:49" x14ac:dyDescent="0.3">
      <c r="A20" s="152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18"/>
    </row>
    <row r="21" spans="1:49" x14ac:dyDescent="0.3">
      <c r="A21" s="152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18"/>
    </row>
    <row r="22" spans="1:49" x14ac:dyDescent="0.3">
      <c r="A22" s="1520">
        <v>46151</v>
      </c>
      <c r="B22" s="51"/>
      <c r="C22" s="49"/>
      <c r="D22" s="1505"/>
      <c r="E22" s="150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18"/>
    </row>
    <row r="23" spans="1:49" x14ac:dyDescent="0.3">
      <c r="A23" s="1520"/>
      <c r="B23" s="52"/>
      <c r="C23" s="49"/>
      <c r="D23" s="1506"/>
      <c r="E23" s="150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18"/>
    </row>
    <row r="24" spans="1:49" x14ac:dyDescent="0.3">
      <c r="A24" s="1520"/>
      <c r="B24" s="52"/>
      <c r="C24" s="49"/>
      <c r="D24" s="1506"/>
      <c r="E24" s="150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18"/>
    </row>
    <row r="25" spans="1:49" ht="15" thickBot="1" x14ac:dyDescent="0.35">
      <c r="A25" s="1520"/>
      <c r="B25" s="53"/>
      <c r="C25" s="49"/>
      <c r="D25" s="1507"/>
      <c r="E25" s="150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19"/>
    </row>
    <row r="26" spans="1:49" x14ac:dyDescent="0.3">
      <c r="A26" s="1520">
        <v>46152</v>
      </c>
      <c r="B26" s="51"/>
      <c r="C26" s="49"/>
      <c r="D26" s="1505"/>
      <c r="E26" s="150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17"/>
      <c r="AW26" s="1517"/>
    </row>
    <row r="27" spans="1:49" x14ac:dyDescent="0.3">
      <c r="A27" s="1520"/>
      <c r="B27" s="52"/>
      <c r="C27" s="49"/>
      <c r="D27" s="1506"/>
      <c r="E27" s="150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18"/>
      <c r="AW27" s="1518"/>
    </row>
    <row r="28" spans="1:49" x14ac:dyDescent="0.3">
      <c r="A28" s="1520"/>
      <c r="B28" s="52"/>
      <c r="C28" s="49"/>
      <c r="D28" s="1506"/>
      <c r="E28" s="150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18"/>
      <c r="AW28" s="1518"/>
    </row>
    <row r="29" spans="1:49" x14ac:dyDescent="0.3">
      <c r="A29" s="1520"/>
      <c r="B29" s="53"/>
      <c r="C29" s="49"/>
      <c r="D29" s="1507"/>
      <c r="E29" s="150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18"/>
      <c r="AW29" s="1518"/>
    </row>
    <row r="30" spans="1:49" x14ac:dyDescent="0.3">
      <c r="A30" s="1520">
        <v>46153</v>
      </c>
      <c r="B30" s="51"/>
      <c r="C30" s="49"/>
      <c r="D30" s="1505"/>
      <c r="E30" s="150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18"/>
      <c r="AW30" s="1518"/>
    </row>
    <row r="31" spans="1:49" x14ac:dyDescent="0.3">
      <c r="A31" s="1520"/>
      <c r="B31" s="52"/>
      <c r="C31" s="49"/>
      <c r="D31" s="1506"/>
      <c r="E31" s="150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18"/>
      <c r="AW31" s="1518"/>
    </row>
    <row r="32" spans="1:49" x14ac:dyDescent="0.3">
      <c r="A32" s="1520"/>
      <c r="B32" s="52"/>
      <c r="C32" s="49"/>
      <c r="D32" s="1506"/>
      <c r="E32" s="150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18"/>
      <c r="AW32" s="1518"/>
    </row>
    <row r="33" spans="1:49" x14ac:dyDescent="0.3">
      <c r="A33" s="1520"/>
      <c r="B33" s="53"/>
      <c r="C33" s="49"/>
      <c r="D33" s="1507"/>
      <c r="E33" s="150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19"/>
      <c r="AW33" s="1519"/>
    </row>
    <row r="34" spans="1:49" x14ac:dyDescent="0.3">
      <c r="A34" s="1520">
        <v>46154</v>
      </c>
      <c r="B34" s="51"/>
      <c r="C34" s="49"/>
      <c r="D34" s="1505"/>
      <c r="E34" s="150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17"/>
      <c r="AW34" s="1517"/>
    </row>
    <row r="35" spans="1:49" x14ac:dyDescent="0.3">
      <c r="A35" s="1520"/>
      <c r="B35" s="52"/>
      <c r="C35" s="49"/>
      <c r="D35" s="1506"/>
      <c r="E35" s="150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18"/>
      <c r="AW35" s="1518"/>
    </row>
    <row r="36" spans="1:49" x14ac:dyDescent="0.3">
      <c r="A36" s="1520"/>
      <c r="B36" s="52"/>
      <c r="C36" s="49"/>
      <c r="D36" s="1506"/>
      <c r="E36" s="150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18"/>
      <c r="AW36" s="1518"/>
    </row>
    <row r="37" spans="1:49" x14ac:dyDescent="0.3">
      <c r="A37" s="1520"/>
      <c r="B37" s="53"/>
      <c r="C37" s="49"/>
      <c r="D37" s="1507"/>
      <c r="E37" s="150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18"/>
      <c r="AW37" s="1518"/>
    </row>
    <row r="38" spans="1:49" x14ac:dyDescent="0.3">
      <c r="A38" s="1520">
        <v>46155</v>
      </c>
      <c r="B38" s="51"/>
      <c r="C38" s="49"/>
      <c r="D38" s="1505"/>
      <c r="E38" s="150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18"/>
      <c r="AW38" s="1518"/>
    </row>
    <row r="39" spans="1:49" x14ac:dyDescent="0.3">
      <c r="A39" s="1520"/>
      <c r="B39" s="52"/>
      <c r="C39" s="49"/>
      <c r="D39" s="1506"/>
      <c r="E39" s="150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18"/>
      <c r="AW39" s="1518"/>
    </row>
    <row r="40" spans="1:49" x14ac:dyDescent="0.3">
      <c r="A40" s="1520"/>
      <c r="B40" s="52"/>
      <c r="C40" s="49"/>
      <c r="D40" s="1506"/>
      <c r="E40" s="150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18"/>
      <c r="AW40" s="1518"/>
    </row>
    <row r="41" spans="1:49" x14ac:dyDescent="0.3">
      <c r="A41" s="1520"/>
      <c r="B41" s="53"/>
      <c r="C41" s="49"/>
      <c r="D41" s="1507"/>
      <c r="E41" s="150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19"/>
      <c r="AW41" s="1519"/>
    </row>
    <row r="42" spans="1:49" x14ac:dyDescent="0.3">
      <c r="A42" s="1520">
        <v>46156</v>
      </c>
      <c r="B42" s="51"/>
      <c r="C42" s="49"/>
      <c r="D42" s="1505"/>
      <c r="E42" s="150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17"/>
      <c r="AW42" s="1517"/>
    </row>
    <row r="43" spans="1:49" x14ac:dyDescent="0.3">
      <c r="A43" s="1520"/>
      <c r="B43" s="52"/>
      <c r="C43" s="49"/>
      <c r="D43" s="1506"/>
      <c r="E43" s="150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18"/>
      <c r="AW43" s="1518"/>
    </row>
    <row r="44" spans="1:49" x14ac:dyDescent="0.3">
      <c r="A44" s="1520"/>
      <c r="B44" s="52"/>
      <c r="C44" s="49"/>
      <c r="D44" s="1506"/>
      <c r="E44" s="150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18"/>
      <c r="AW44" s="1518"/>
    </row>
    <row r="45" spans="1:49" x14ac:dyDescent="0.3">
      <c r="A45" s="1520"/>
      <c r="B45" s="53"/>
      <c r="C45" s="49"/>
      <c r="D45" s="1507"/>
      <c r="E45" s="150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18"/>
      <c r="AW45" s="1518"/>
    </row>
    <row r="46" spans="1:49" x14ac:dyDescent="0.3">
      <c r="A46" s="1520">
        <v>46157</v>
      </c>
      <c r="B46" s="51"/>
      <c r="C46" s="49"/>
      <c r="D46" s="1533" t="s">
        <v>157</v>
      </c>
      <c r="E46" s="150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18"/>
      <c r="AW46" s="1518"/>
    </row>
    <row r="47" spans="1:49" x14ac:dyDescent="0.3">
      <c r="A47" s="1520"/>
      <c r="B47" s="52"/>
      <c r="C47" s="49"/>
      <c r="D47" s="1534"/>
      <c r="E47" s="150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18"/>
      <c r="AW47" s="1518"/>
    </row>
    <row r="48" spans="1:49" x14ac:dyDescent="0.3">
      <c r="A48" s="1520"/>
      <c r="B48" s="52"/>
      <c r="C48" s="49"/>
      <c r="D48" s="1534"/>
      <c r="E48" s="150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18"/>
      <c r="AW48" s="1518"/>
    </row>
    <row r="49" spans="1:49" x14ac:dyDescent="0.3">
      <c r="A49" s="1520"/>
      <c r="B49" s="53"/>
      <c r="C49" s="49"/>
      <c r="D49" s="1535"/>
      <c r="E49" s="150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19"/>
      <c r="AW49" s="1519"/>
    </row>
    <row r="50" spans="1:49" x14ac:dyDescent="0.3">
      <c r="A50" s="1520">
        <v>46158</v>
      </c>
      <c r="B50" s="51"/>
      <c r="C50" s="49"/>
      <c r="D50" s="1505"/>
      <c r="E50" s="150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17"/>
      <c r="AW50" s="1517"/>
    </row>
    <row r="51" spans="1:49" x14ac:dyDescent="0.3">
      <c r="A51" s="1520"/>
      <c r="B51" s="52"/>
      <c r="C51" s="49"/>
      <c r="D51" s="1506"/>
      <c r="E51" s="150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18"/>
      <c r="AW51" s="1518"/>
    </row>
    <row r="52" spans="1:49" x14ac:dyDescent="0.3">
      <c r="A52" s="1520"/>
      <c r="B52" s="52"/>
      <c r="C52" s="49"/>
      <c r="D52" s="1506"/>
      <c r="E52" s="150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18"/>
      <c r="AW52" s="1518"/>
    </row>
    <row r="53" spans="1:49" x14ac:dyDescent="0.3">
      <c r="A53" s="1520"/>
      <c r="B53" s="53"/>
      <c r="C53" s="49"/>
      <c r="D53" s="1507"/>
      <c r="E53" s="150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18"/>
      <c r="AW53" s="1518"/>
    </row>
    <row r="54" spans="1:49" x14ac:dyDescent="0.3">
      <c r="A54" s="1520">
        <v>46159</v>
      </c>
      <c r="B54" s="51"/>
      <c r="C54" s="49"/>
      <c r="D54" s="97"/>
      <c r="E54" s="153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18"/>
      <c r="AW54" s="1518"/>
    </row>
    <row r="55" spans="1:49" x14ac:dyDescent="0.3">
      <c r="A55" s="1520"/>
      <c r="B55" s="52"/>
      <c r="C55" s="49"/>
      <c r="D55" s="97"/>
      <c r="E55" s="153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18"/>
      <c r="AW55" s="1518"/>
    </row>
    <row r="56" spans="1:49" x14ac:dyDescent="0.3">
      <c r="A56" s="1520"/>
      <c r="B56" s="52"/>
      <c r="C56" s="49"/>
      <c r="D56" s="97"/>
      <c r="E56" s="153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18"/>
      <c r="AW56" s="1518"/>
    </row>
    <row r="57" spans="1:49" x14ac:dyDescent="0.3">
      <c r="A57" s="1520"/>
      <c r="B57" s="53"/>
      <c r="C57" s="49"/>
      <c r="D57" s="97"/>
      <c r="E57" s="153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19"/>
      <c r="AW57" s="1519"/>
    </row>
    <row r="58" spans="1:49" x14ac:dyDescent="0.3">
      <c r="A58" s="152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17"/>
      <c r="AW58" s="1517"/>
    </row>
    <row r="59" spans="1:49" x14ac:dyDescent="0.3">
      <c r="A59" s="152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18"/>
      <c r="AW59" s="1518"/>
    </row>
    <row r="60" spans="1:49" x14ac:dyDescent="0.3">
      <c r="A60" s="152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18"/>
      <c r="AW60" s="1518"/>
    </row>
    <row r="61" spans="1:49" x14ac:dyDescent="0.3">
      <c r="A61" s="152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18"/>
      <c r="AW61" s="1518"/>
    </row>
    <row r="62" spans="1:49" x14ac:dyDescent="0.3">
      <c r="A62" s="152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18"/>
      <c r="AW62" s="1518"/>
    </row>
    <row r="63" spans="1:49" x14ac:dyDescent="0.3">
      <c r="A63" s="152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18"/>
      <c r="AW63" s="1518"/>
    </row>
    <row r="64" spans="1:49" x14ac:dyDescent="0.3">
      <c r="A64" s="152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18"/>
      <c r="AW64" s="1518"/>
    </row>
    <row r="65" spans="1:49" x14ac:dyDescent="0.3">
      <c r="A65" s="152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19"/>
      <c r="AW65" s="1519"/>
    </row>
    <row r="66" spans="1:49" x14ac:dyDescent="0.3">
      <c r="A66" s="152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17"/>
      <c r="AW66" s="1517"/>
    </row>
    <row r="67" spans="1:49" x14ac:dyDescent="0.3">
      <c r="A67" s="152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18"/>
      <c r="AW67" s="1518"/>
    </row>
    <row r="68" spans="1:49" x14ac:dyDescent="0.3">
      <c r="A68" s="152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18"/>
      <c r="AW68" s="1518"/>
    </row>
    <row r="69" spans="1:49" x14ac:dyDescent="0.3">
      <c r="A69" s="152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18"/>
      <c r="AW69" s="1518"/>
    </row>
    <row r="70" spans="1:49" x14ac:dyDescent="0.3">
      <c r="A70" s="152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18"/>
      <c r="AW70" s="1518"/>
    </row>
    <row r="71" spans="1:49" x14ac:dyDescent="0.3">
      <c r="A71" s="152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18"/>
      <c r="AW71" s="1518"/>
    </row>
    <row r="72" spans="1:49" x14ac:dyDescent="0.3">
      <c r="A72" s="152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18"/>
      <c r="AW72" s="1518"/>
    </row>
    <row r="73" spans="1:49" x14ac:dyDescent="0.3">
      <c r="A73" s="152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19"/>
      <c r="AW73" s="1519"/>
    </row>
    <row r="74" spans="1:49" x14ac:dyDescent="0.3">
      <c r="A74" s="152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17"/>
      <c r="AW74" s="1517"/>
    </row>
    <row r="75" spans="1:49" x14ac:dyDescent="0.3">
      <c r="A75" s="152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18"/>
      <c r="AW75" s="1518"/>
    </row>
    <row r="76" spans="1:49" x14ac:dyDescent="0.3">
      <c r="A76" s="152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18"/>
      <c r="AW76" s="1518"/>
    </row>
    <row r="77" spans="1:49" x14ac:dyDescent="0.3">
      <c r="A77" s="152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18"/>
      <c r="AW77" s="1518"/>
    </row>
    <row r="78" spans="1:49" x14ac:dyDescent="0.3">
      <c r="A78" s="152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18"/>
      <c r="AW78" s="1518"/>
    </row>
    <row r="79" spans="1:49" x14ac:dyDescent="0.3">
      <c r="A79" s="152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18"/>
      <c r="AW79" s="1518"/>
    </row>
    <row r="80" spans="1:49" x14ac:dyDescent="0.3">
      <c r="A80" s="152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18"/>
      <c r="AW80" s="1518"/>
    </row>
    <row r="81" spans="1:49" x14ac:dyDescent="0.3">
      <c r="A81" s="152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19"/>
      <c r="AW81" s="1519"/>
    </row>
    <row r="82" spans="1:49" x14ac:dyDescent="0.3">
      <c r="A82" s="152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17"/>
      <c r="AW82" s="1517"/>
    </row>
    <row r="83" spans="1:49" x14ac:dyDescent="0.3">
      <c r="A83" s="152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18"/>
      <c r="AW83" s="1518"/>
    </row>
    <row r="84" spans="1:49" x14ac:dyDescent="0.3">
      <c r="A84" s="152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18"/>
      <c r="AW84" s="1518"/>
    </row>
    <row r="85" spans="1:49" x14ac:dyDescent="0.3">
      <c r="A85" s="152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18"/>
      <c r="AW85" s="1518"/>
    </row>
    <row r="86" spans="1:49" x14ac:dyDescent="0.3">
      <c r="A86" s="152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18"/>
      <c r="AW86" s="1518"/>
    </row>
    <row r="87" spans="1:49" x14ac:dyDescent="0.3">
      <c r="A87" s="152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18"/>
      <c r="AW87" s="1518"/>
    </row>
    <row r="88" spans="1:49" x14ac:dyDescent="0.3">
      <c r="A88" s="152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18"/>
      <c r="AW88" s="1518"/>
    </row>
    <row r="89" spans="1:49" x14ac:dyDescent="0.3">
      <c r="A89" s="152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19"/>
      <c r="AW89" s="1519"/>
    </row>
    <row r="90" spans="1:49" x14ac:dyDescent="0.3">
      <c r="A90" s="152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17"/>
      <c r="AW90" s="1517"/>
    </row>
    <row r="91" spans="1:49" x14ac:dyDescent="0.3">
      <c r="A91" s="152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18"/>
      <c r="AW91" s="1518"/>
    </row>
    <row r="92" spans="1:49" x14ac:dyDescent="0.3">
      <c r="A92" s="152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18"/>
      <c r="AW92" s="1518"/>
    </row>
    <row r="93" spans="1:49" x14ac:dyDescent="0.3">
      <c r="A93" s="152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18"/>
      <c r="AW93" s="1518"/>
    </row>
    <row r="94" spans="1:49" x14ac:dyDescent="0.3">
      <c r="A94" s="152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18"/>
      <c r="AW94" s="1518"/>
    </row>
    <row r="95" spans="1:49" x14ac:dyDescent="0.3">
      <c r="A95" s="152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18"/>
      <c r="AW95" s="1518"/>
    </row>
    <row r="96" spans="1:49" x14ac:dyDescent="0.3">
      <c r="A96" s="152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18"/>
      <c r="AW96" s="1518"/>
    </row>
    <row r="97" spans="1:49" x14ac:dyDescent="0.3">
      <c r="A97" s="152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19"/>
      <c r="AW97" s="1519"/>
    </row>
    <row r="98" spans="1:49" x14ac:dyDescent="0.3">
      <c r="A98" s="152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17"/>
      <c r="AW98" s="1517"/>
    </row>
    <row r="99" spans="1:49" x14ac:dyDescent="0.3">
      <c r="A99" s="152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18"/>
      <c r="AW99" s="1518"/>
    </row>
    <row r="100" spans="1:49" x14ac:dyDescent="0.3">
      <c r="A100" s="152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18"/>
      <c r="AW100" s="1518"/>
    </row>
    <row r="101" spans="1:49" x14ac:dyDescent="0.3">
      <c r="A101" s="152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18"/>
      <c r="AW101" s="1518"/>
    </row>
    <row r="102" spans="1:49" x14ac:dyDescent="0.3">
      <c r="A102" s="152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18"/>
      <c r="AW102" s="1518"/>
    </row>
    <row r="103" spans="1:49" x14ac:dyDescent="0.3">
      <c r="A103" s="152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18"/>
      <c r="AW103" s="1518"/>
    </row>
    <row r="104" spans="1:49" x14ac:dyDescent="0.3">
      <c r="A104" s="152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18"/>
      <c r="AW104" s="1518"/>
    </row>
    <row r="105" spans="1:49" x14ac:dyDescent="0.3">
      <c r="A105" s="152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19"/>
      <c r="AW105" s="1519"/>
    </row>
    <row r="106" spans="1:49" x14ac:dyDescent="0.3">
      <c r="A106" s="152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17"/>
      <c r="AW106" s="1517"/>
    </row>
    <row r="107" spans="1:49" x14ac:dyDescent="0.3">
      <c r="A107" s="152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18"/>
      <c r="AW107" s="1518"/>
    </row>
    <row r="108" spans="1:49" x14ac:dyDescent="0.3">
      <c r="A108" s="152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18"/>
      <c r="AW108" s="1518"/>
    </row>
    <row r="109" spans="1:49" x14ac:dyDescent="0.3">
      <c r="A109" s="152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18"/>
      <c r="AW109" s="1518"/>
    </row>
    <row r="110" spans="1:49" x14ac:dyDescent="0.3">
      <c r="A110" s="152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18"/>
      <c r="AW110" s="1518"/>
    </row>
    <row r="111" spans="1:49" x14ac:dyDescent="0.3">
      <c r="A111" s="152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18"/>
      <c r="AW111" s="1518"/>
    </row>
    <row r="112" spans="1:49" x14ac:dyDescent="0.3">
      <c r="A112" s="152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18"/>
      <c r="AW112" s="1518"/>
    </row>
    <row r="113" spans="1:49" x14ac:dyDescent="0.3">
      <c r="A113" s="152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19"/>
      <c r="AW113" s="1519"/>
    </row>
    <row r="114" spans="1:49" x14ac:dyDescent="0.3">
      <c r="A114" s="152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17"/>
      <c r="AW114" s="1517"/>
    </row>
    <row r="115" spans="1:49" x14ac:dyDescent="0.3">
      <c r="A115" s="152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18"/>
      <c r="AW115" s="1518"/>
    </row>
    <row r="116" spans="1:49" x14ac:dyDescent="0.3">
      <c r="A116" s="152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18"/>
      <c r="AW116" s="1518"/>
    </row>
    <row r="117" spans="1:49" x14ac:dyDescent="0.3">
      <c r="A117" s="152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18"/>
      <c r="AW117" s="1518"/>
    </row>
    <row r="118" spans="1:49" x14ac:dyDescent="0.3">
      <c r="A118" s="1520">
        <v>46175</v>
      </c>
      <c r="B118" s="51"/>
      <c r="C118" s="49"/>
      <c r="D118" s="1505"/>
      <c r="E118" s="150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18"/>
      <c r="AW118" s="1518"/>
    </row>
    <row r="119" spans="1:49" x14ac:dyDescent="0.3">
      <c r="A119" s="1520"/>
      <c r="B119" s="52"/>
      <c r="C119" s="49"/>
      <c r="D119" s="1506"/>
      <c r="E119" s="150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18"/>
      <c r="AW119" s="1518"/>
    </row>
    <row r="120" spans="1:49" x14ac:dyDescent="0.3">
      <c r="A120" s="1520"/>
      <c r="B120" s="52"/>
      <c r="C120" s="49"/>
      <c r="D120" s="1506"/>
      <c r="E120" s="150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18"/>
      <c r="AW120" s="1518"/>
    </row>
    <row r="121" spans="1:49" x14ac:dyDescent="0.3">
      <c r="A121" s="1520"/>
      <c r="B121" s="53"/>
      <c r="C121" s="49"/>
      <c r="D121" s="1507"/>
      <c r="E121" s="150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19"/>
      <c r="AW121" s="1519"/>
    </row>
    <row r="122" spans="1:49" x14ac:dyDescent="0.3">
      <c r="A122" s="1520">
        <v>46176</v>
      </c>
      <c r="B122" s="51"/>
      <c r="C122" s="49"/>
      <c r="D122" s="1505"/>
      <c r="E122" s="150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17"/>
      <c r="AW122" s="1517"/>
    </row>
    <row r="123" spans="1:49" x14ac:dyDescent="0.3">
      <c r="A123" s="1520"/>
      <c r="B123" s="52"/>
      <c r="C123" s="49"/>
      <c r="D123" s="1506"/>
      <c r="E123" s="150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18"/>
      <c r="AW123" s="1518"/>
    </row>
    <row r="124" spans="1:49" x14ac:dyDescent="0.3">
      <c r="A124" s="1520"/>
      <c r="B124" s="52"/>
      <c r="C124" s="49"/>
      <c r="D124" s="1506"/>
      <c r="E124" s="150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18"/>
      <c r="AW124" s="1518"/>
    </row>
    <row r="125" spans="1:49" x14ac:dyDescent="0.3">
      <c r="A125" s="1520"/>
      <c r="B125" s="53"/>
      <c r="C125" s="49"/>
      <c r="D125" s="1507"/>
      <c r="E125" s="150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18"/>
      <c r="AW125" s="1518"/>
    </row>
    <row r="126" spans="1:49" x14ac:dyDescent="0.3">
      <c r="A126" s="1520">
        <v>46177</v>
      </c>
      <c r="B126" s="51"/>
      <c r="C126" s="49"/>
      <c r="D126" s="1505"/>
      <c r="E126" s="150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18"/>
      <c r="AW126" s="1518"/>
    </row>
    <row r="127" spans="1:49" x14ac:dyDescent="0.3">
      <c r="A127" s="1520"/>
      <c r="B127" s="52"/>
      <c r="C127" s="49"/>
      <c r="D127" s="1506"/>
      <c r="E127" s="150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18"/>
      <c r="AW127" s="1518"/>
    </row>
    <row r="128" spans="1:49" x14ac:dyDescent="0.3">
      <c r="A128" s="1520"/>
      <c r="B128" s="52"/>
      <c r="C128" s="49"/>
      <c r="D128" s="1506"/>
      <c r="E128" s="150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18"/>
      <c r="AW128" s="1518"/>
    </row>
    <row r="129" spans="1:49" x14ac:dyDescent="0.3">
      <c r="A129" s="1520"/>
      <c r="B129" s="53"/>
      <c r="C129" s="49"/>
      <c r="D129" s="1507"/>
      <c r="E129" s="150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19"/>
      <c r="AW129" s="1519"/>
    </row>
    <row r="130" spans="1:49" x14ac:dyDescent="0.3">
      <c r="A130" s="18"/>
      <c r="B130" s="18"/>
      <c r="C130" s="18"/>
      <c r="D130" s="1520"/>
      <c r="E130" s="152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17"/>
      <c r="AW130" s="1517"/>
    </row>
    <row r="131" spans="1:49" x14ac:dyDescent="0.3">
      <c r="A131" s="18"/>
      <c r="B131" s="18"/>
      <c r="C131" s="18"/>
      <c r="D131" s="1519"/>
      <c r="E131" s="151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18"/>
      <c r="AW131" s="1518"/>
    </row>
    <row r="132" spans="1:49" x14ac:dyDescent="0.3">
      <c r="A132" s="18"/>
      <c r="B132" s="18"/>
      <c r="C132" s="18"/>
      <c r="D132" s="1519"/>
      <c r="E132" s="151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18"/>
      <c r="AW132" s="1518"/>
    </row>
    <row r="133" spans="1:49" x14ac:dyDescent="0.3">
      <c r="A133" s="18"/>
      <c r="B133" s="18"/>
      <c r="C133" s="18"/>
      <c r="D133" s="1519"/>
      <c r="E133" s="151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18"/>
      <c r="AW133" s="1518"/>
    </row>
    <row r="134" spans="1:49" x14ac:dyDescent="0.3">
      <c r="A134" s="18"/>
      <c r="B134" s="18"/>
      <c r="C134" s="18"/>
      <c r="D134" s="1519"/>
      <c r="E134" s="151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18"/>
      <c r="AW134" s="1518"/>
    </row>
    <row r="135" spans="1:49" x14ac:dyDescent="0.3">
      <c r="A135" s="18"/>
      <c r="B135" s="18"/>
      <c r="C135" s="18"/>
      <c r="D135" s="1519"/>
      <c r="E135" s="151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18"/>
      <c r="AW135" s="1518"/>
    </row>
    <row r="136" spans="1:49" x14ac:dyDescent="0.3">
      <c r="A136" s="18"/>
      <c r="B136" s="18"/>
      <c r="C136" s="18"/>
      <c r="D136" s="1519"/>
      <c r="E136" s="151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18"/>
      <c r="AW136" s="1518"/>
    </row>
    <row r="137" spans="1:49" x14ac:dyDescent="0.3">
      <c r="A137" s="18"/>
      <c r="B137" s="18"/>
      <c r="C137" s="18"/>
      <c r="D137" s="1519"/>
      <c r="E137" s="151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19"/>
      <c r="AW137" s="1519"/>
    </row>
    <row r="138" spans="1:49" x14ac:dyDescent="0.3">
      <c r="A138" s="18"/>
      <c r="B138" s="18"/>
      <c r="C138" s="18"/>
      <c r="D138" s="1520"/>
      <c r="E138" s="152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17"/>
      <c r="AW138" s="1517"/>
    </row>
    <row r="139" spans="1:49" x14ac:dyDescent="0.3">
      <c r="A139" s="18"/>
      <c r="B139" s="18"/>
      <c r="C139" s="18"/>
      <c r="D139" s="1519"/>
      <c r="E139" s="151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18"/>
      <c r="AW139" s="1518"/>
    </row>
    <row r="140" spans="1:49" x14ac:dyDescent="0.3">
      <c r="A140" s="18"/>
      <c r="B140" s="18"/>
      <c r="C140" s="18"/>
      <c r="D140" s="1519"/>
      <c r="E140" s="151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18"/>
      <c r="AW140" s="1518"/>
    </row>
    <row r="141" spans="1:49" x14ac:dyDescent="0.3">
      <c r="A141" s="18"/>
      <c r="B141" s="18"/>
      <c r="C141" s="18"/>
      <c r="D141" s="1519"/>
      <c r="E141" s="151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18"/>
      <c r="AW141" s="1518"/>
    </row>
    <row r="142" spans="1:49" x14ac:dyDescent="0.3">
      <c r="A142" s="18"/>
      <c r="B142" s="18"/>
      <c r="C142" s="18"/>
      <c r="D142" s="1519"/>
      <c r="E142" s="151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18"/>
      <c r="AW142" s="1518"/>
    </row>
    <row r="143" spans="1:49" x14ac:dyDescent="0.3">
      <c r="A143" s="18"/>
      <c r="B143" s="18"/>
      <c r="C143" s="18"/>
      <c r="D143" s="1519"/>
      <c r="E143" s="151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18"/>
      <c r="AW143" s="1518"/>
    </row>
    <row r="144" spans="1:49" x14ac:dyDescent="0.3">
      <c r="A144" s="18"/>
      <c r="B144" s="18"/>
      <c r="C144" s="18"/>
      <c r="D144" s="1519"/>
      <c r="E144" s="151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18"/>
      <c r="AW144" s="1518"/>
    </row>
    <row r="145" spans="1:49" x14ac:dyDescent="0.3">
      <c r="A145" s="18"/>
      <c r="B145" s="18"/>
      <c r="C145" s="18"/>
      <c r="D145" s="1519"/>
      <c r="E145" s="151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19"/>
      <c r="AW145" s="1519"/>
    </row>
    <row r="146" spans="1:49" x14ac:dyDescent="0.3">
      <c r="A146" s="18"/>
      <c r="B146" s="18"/>
      <c r="C146" s="18"/>
      <c r="D146" s="1520"/>
      <c r="E146" s="152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17"/>
      <c r="AW146" s="1517"/>
    </row>
    <row r="147" spans="1:49" x14ac:dyDescent="0.3">
      <c r="A147" s="18"/>
      <c r="B147" s="18"/>
      <c r="C147" s="18"/>
      <c r="D147" s="1519"/>
      <c r="E147" s="151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18"/>
      <c r="AW147" s="1518"/>
    </row>
    <row r="148" spans="1:49" x14ac:dyDescent="0.3">
      <c r="A148" s="18"/>
      <c r="B148" s="18"/>
      <c r="C148" s="18"/>
      <c r="D148" s="1519"/>
      <c r="E148" s="151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18"/>
      <c r="AW148" s="1518"/>
    </row>
    <row r="149" spans="1:49" x14ac:dyDescent="0.3">
      <c r="A149" s="18"/>
      <c r="B149" s="18"/>
      <c r="C149" s="18"/>
      <c r="D149" s="1519"/>
      <c r="E149" s="151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18"/>
      <c r="AW149" s="1518"/>
    </row>
    <row r="150" spans="1:49" x14ac:dyDescent="0.3">
      <c r="A150" s="18"/>
      <c r="B150" s="18"/>
      <c r="C150" s="18"/>
      <c r="D150" s="1519"/>
      <c r="E150" s="151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18"/>
      <c r="AW150" s="1518"/>
    </row>
    <row r="151" spans="1:49" x14ac:dyDescent="0.3">
      <c r="A151" s="18"/>
      <c r="B151" s="18"/>
      <c r="C151" s="18"/>
      <c r="D151" s="1519"/>
      <c r="E151" s="151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18"/>
      <c r="AW151" s="1518"/>
    </row>
    <row r="152" spans="1:49" x14ac:dyDescent="0.3">
      <c r="A152" s="18"/>
      <c r="B152" s="18"/>
      <c r="C152" s="18"/>
      <c r="D152" s="1519"/>
      <c r="E152" s="151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18"/>
      <c r="AW152" s="1518"/>
    </row>
    <row r="153" spans="1:49" x14ac:dyDescent="0.3">
      <c r="A153" s="18"/>
      <c r="B153" s="18"/>
      <c r="C153" s="18"/>
      <c r="D153" s="1519"/>
      <c r="E153" s="151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19"/>
      <c r="AW153" s="1519"/>
    </row>
    <row r="154" spans="1:49" x14ac:dyDescent="0.3">
      <c r="A154" s="18"/>
      <c r="B154" s="18"/>
      <c r="C154" s="18"/>
      <c r="D154" s="1520"/>
      <c r="E154" s="152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17"/>
      <c r="AW154" s="1517"/>
    </row>
    <row r="155" spans="1:49" x14ac:dyDescent="0.3">
      <c r="A155" s="18"/>
      <c r="B155" s="18"/>
      <c r="C155" s="18"/>
      <c r="D155" s="1519"/>
      <c r="E155" s="151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18"/>
      <c r="AW155" s="1518"/>
    </row>
    <row r="156" spans="1:49" x14ac:dyDescent="0.3">
      <c r="A156" s="18"/>
      <c r="B156" s="18"/>
      <c r="C156" s="18"/>
      <c r="D156" s="1519"/>
      <c r="E156" s="151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18"/>
      <c r="AW156" s="1518"/>
    </row>
    <row r="157" spans="1:49" x14ac:dyDescent="0.3">
      <c r="A157" s="18"/>
      <c r="B157" s="18"/>
      <c r="C157" s="18"/>
      <c r="D157" s="1519"/>
      <c r="E157" s="151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18"/>
      <c r="AW157" s="1518"/>
    </row>
    <row r="158" spans="1:49" x14ac:dyDescent="0.3">
      <c r="A158" s="18"/>
      <c r="B158" s="18"/>
      <c r="C158" s="18"/>
      <c r="D158" s="1519"/>
      <c r="E158" s="151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18"/>
      <c r="AW158" s="1518"/>
    </row>
    <row r="159" spans="1:49" x14ac:dyDescent="0.3">
      <c r="A159" s="18"/>
      <c r="B159" s="18"/>
      <c r="C159" s="18"/>
      <c r="D159" s="1519"/>
      <c r="E159" s="151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18"/>
      <c r="AW159" s="1518"/>
    </row>
    <row r="160" spans="1:49" x14ac:dyDescent="0.3">
      <c r="A160" s="18"/>
      <c r="B160" s="18"/>
      <c r="C160" s="18"/>
      <c r="D160" s="1519"/>
      <c r="E160" s="151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18"/>
      <c r="AW160" s="1518"/>
    </row>
    <row r="161" spans="1:49" x14ac:dyDescent="0.3">
      <c r="A161" s="18"/>
      <c r="B161" s="18"/>
      <c r="C161" s="18"/>
      <c r="D161" s="1519"/>
      <c r="E161" s="151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19"/>
      <c r="AW161" s="1519"/>
    </row>
    <row r="162" spans="1:49" x14ac:dyDescent="0.3">
      <c r="A162" s="18"/>
      <c r="B162" s="18"/>
      <c r="C162" s="18"/>
      <c r="D162" s="1520"/>
      <c r="E162" s="152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17"/>
      <c r="AW162" s="1517"/>
    </row>
    <row r="163" spans="1:49" x14ac:dyDescent="0.3">
      <c r="A163" s="18"/>
      <c r="B163" s="18"/>
      <c r="C163" s="18"/>
      <c r="D163" s="1519"/>
      <c r="E163" s="151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18"/>
      <c r="AW163" s="1518"/>
    </row>
    <row r="164" spans="1:49" x14ac:dyDescent="0.3">
      <c r="A164" s="18"/>
      <c r="B164" s="18"/>
      <c r="C164" s="18"/>
      <c r="D164" s="1519"/>
      <c r="E164" s="151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18"/>
      <c r="AW164" s="1518"/>
    </row>
    <row r="165" spans="1:49" x14ac:dyDescent="0.3">
      <c r="A165" s="18"/>
      <c r="B165" s="18"/>
      <c r="C165" s="18"/>
      <c r="D165" s="1519"/>
      <c r="E165" s="151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18"/>
      <c r="AW165" s="1518"/>
    </row>
    <row r="166" spans="1:49" x14ac:dyDescent="0.3">
      <c r="A166" s="18"/>
      <c r="B166" s="18"/>
      <c r="C166" s="18"/>
      <c r="D166" s="1519"/>
      <c r="E166" s="151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18"/>
      <c r="AW166" s="1518"/>
    </row>
    <row r="167" spans="1:49" x14ac:dyDescent="0.3">
      <c r="A167" s="18"/>
      <c r="B167" s="18"/>
      <c r="C167" s="18"/>
      <c r="D167" s="1519"/>
      <c r="E167" s="151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18"/>
      <c r="AW167" s="1518"/>
    </row>
    <row r="168" spans="1:49" x14ac:dyDescent="0.3">
      <c r="A168" s="18"/>
      <c r="B168" s="18"/>
      <c r="C168" s="18"/>
      <c r="D168" s="1519"/>
      <c r="E168" s="151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18"/>
      <c r="AW168" s="1518"/>
    </row>
    <row r="169" spans="1:49" x14ac:dyDescent="0.3">
      <c r="A169" s="18"/>
      <c r="B169" s="18"/>
      <c r="C169" s="18"/>
      <c r="D169" s="1519"/>
      <c r="E169" s="151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19"/>
      <c r="AW169" s="1519"/>
    </row>
    <row r="170" spans="1:49" x14ac:dyDescent="0.3">
      <c r="A170" s="18"/>
      <c r="B170" s="18"/>
      <c r="C170" s="18"/>
      <c r="D170" s="1520"/>
      <c r="E170" s="152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17"/>
      <c r="AW170" s="1517"/>
    </row>
    <row r="171" spans="1:49" x14ac:dyDescent="0.3">
      <c r="A171" s="18"/>
      <c r="B171" s="18"/>
      <c r="C171" s="18"/>
      <c r="D171" s="1519"/>
      <c r="E171" s="151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18"/>
      <c r="AW171" s="1518"/>
    </row>
    <row r="172" spans="1:49" x14ac:dyDescent="0.3">
      <c r="A172" s="18"/>
      <c r="B172" s="18"/>
      <c r="C172" s="18"/>
      <c r="D172" s="1519"/>
      <c r="E172" s="151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18"/>
      <c r="AW172" s="1518"/>
    </row>
    <row r="173" spans="1:49" x14ac:dyDescent="0.3">
      <c r="A173" s="18"/>
      <c r="B173" s="18"/>
      <c r="C173" s="18"/>
      <c r="D173" s="1519"/>
      <c r="E173" s="151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18"/>
      <c r="AW173" s="1518"/>
    </row>
    <row r="174" spans="1:49" x14ac:dyDescent="0.3">
      <c r="A174" s="18"/>
      <c r="B174" s="18"/>
      <c r="C174" s="18"/>
      <c r="D174" s="1519"/>
      <c r="E174" s="151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18"/>
      <c r="AW174" s="1518"/>
    </row>
    <row r="175" spans="1:49" x14ac:dyDescent="0.3">
      <c r="A175" s="18"/>
      <c r="B175" s="18"/>
      <c r="C175" s="18"/>
      <c r="D175" s="1519"/>
      <c r="E175" s="151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18"/>
      <c r="AW175" s="1518"/>
    </row>
    <row r="176" spans="1:49" x14ac:dyDescent="0.3">
      <c r="A176" s="18"/>
      <c r="B176" s="18"/>
      <c r="C176" s="18"/>
      <c r="D176" s="1519"/>
      <c r="E176" s="151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18"/>
      <c r="AW176" s="1518"/>
    </row>
    <row r="177" spans="1:49" x14ac:dyDescent="0.3">
      <c r="A177" s="18"/>
      <c r="B177" s="18"/>
      <c r="C177" s="18"/>
      <c r="D177" s="1519"/>
      <c r="E177" s="151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19"/>
      <c r="AW177" s="1519"/>
    </row>
    <row r="178" spans="1:49" x14ac:dyDescent="0.3">
      <c r="A178" s="18"/>
      <c r="B178" s="18"/>
      <c r="C178" s="18"/>
      <c r="D178" s="1520"/>
      <c r="E178" s="152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17"/>
      <c r="AW178" s="1517"/>
    </row>
    <row r="179" spans="1:49" x14ac:dyDescent="0.3">
      <c r="A179" s="18"/>
      <c r="B179" s="18"/>
      <c r="C179" s="18"/>
      <c r="D179" s="1519"/>
      <c r="E179" s="151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18"/>
      <c r="AW179" s="1518"/>
    </row>
    <row r="180" spans="1:49" x14ac:dyDescent="0.3">
      <c r="A180" s="18"/>
      <c r="B180" s="18"/>
      <c r="C180" s="18"/>
      <c r="D180" s="1519"/>
      <c r="E180" s="151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18"/>
      <c r="AW180" s="1518"/>
    </row>
    <row r="181" spans="1:49" x14ac:dyDescent="0.3">
      <c r="A181" s="18"/>
      <c r="B181" s="18"/>
      <c r="C181" s="18"/>
      <c r="D181" s="1519"/>
      <c r="E181" s="151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18"/>
      <c r="AW181" s="1518"/>
    </row>
    <row r="182" spans="1:49" x14ac:dyDescent="0.3">
      <c r="A182" s="18"/>
      <c r="B182" s="18"/>
      <c r="C182" s="18"/>
      <c r="D182" s="1519"/>
      <c r="E182" s="151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18"/>
      <c r="AW182" s="1518"/>
    </row>
    <row r="183" spans="1:49" x14ac:dyDescent="0.3">
      <c r="A183" s="18"/>
      <c r="B183" s="18"/>
      <c r="C183" s="18"/>
      <c r="D183" s="1519"/>
      <c r="E183" s="151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18"/>
      <c r="AW183" s="1518"/>
    </row>
    <row r="184" spans="1:49" x14ac:dyDescent="0.3">
      <c r="A184" s="18"/>
      <c r="B184" s="18"/>
      <c r="C184" s="18"/>
      <c r="D184" s="1519"/>
      <c r="E184" s="151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18"/>
      <c r="AW184" s="1518"/>
    </row>
    <row r="185" spans="1:49" x14ac:dyDescent="0.3">
      <c r="A185" s="18"/>
      <c r="B185" s="18"/>
      <c r="C185" s="18"/>
      <c r="D185" s="1519"/>
      <c r="E185" s="151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19"/>
      <c r="AW185" s="1519"/>
    </row>
    <row r="186" spans="1:49" x14ac:dyDescent="0.3">
      <c r="A186" s="18"/>
      <c r="B186" s="18"/>
      <c r="C186" s="18"/>
      <c r="D186" s="1520"/>
      <c r="E186" s="152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17"/>
      <c r="AW186" s="1517"/>
    </row>
    <row r="187" spans="1:49" x14ac:dyDescent="0.3">
      <c r="A187" s="18"/>
      <c r="B187" s="18"/>
      <c r="C187" s="18"/>
      <c r="D187" s="1519"/>
      <c r="E187" s="151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18"/>
      <c r="AW187" s="1518"/>
    </row>
    <row r="188" spans="1:49" x14ac:dyDescent="0.3">
      <c r="A188" s="18"/>
      <c r="B188" s="18"/>
      <c r="C188" s="18"/>
      <c r="D188" s="1519"/>
      <c r="E188" s="151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18"/>
      <c r="AW188" s="1518"/>
    </row>
    <row r="189" spans="1:49" x14ac:dyDescent="0.3">
      <c r="A189" s="18"/>
      <c r="B189" s="18"/>
      <c r="C189" s="18"/>
      <c r="D189" s="1519"/>
      <c r="E189" s="151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18"/>
      <c r="AW189" s="1518"/>
    </row>
    <row r="190" spans="1:49" x14ac:dyDescent="0.3">
      <c r="A190" s="18"/>
      <c r="B190" s="18"/>
      <c r="C190" s="18"/>
      <c r="D190" s="1519"/>
      <c r="E190" s="151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18"/>
      <c r="AW190" s="1518"/>
    </row>
    <row r="191" spans="1:49" x14ac:dyDescent="0.3">
      <c r="A191" s="18"/>
      <c r="B191" s="18"/>
      <c r="C191" s="18"/>
      <c r="D191" s="1519"/>
      <c r="E191" s="151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18"/>
      <c r="AW191" s="1518"/>
    </row>
    <row r="192" spans="1:49" x14ac:dyDescent="0.3">
      <c r="A192" s="18"/>
      <c r="B192" s="18"/>
      <c r="C192" s="18"/>
      <c r="D192" s="1519"/>
      <c r="E192" s="151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18"/>
      <c r="AW192" s="1518"/>
    </row>
    <row r="193" spans="1:49" x14ac:dyDescent="0.3">
      <c r="A193" s="18"/>
      <c r="B193" s="18"/>
      <c r="C193" s="18"/>
      <c r="D193" s="1519"/>
      <c r="E193" s="151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19"/>
      <c r="AW193" s="1519"/>
    </row>
    <row r="194" spans="1:49" x14ac:dyDescent="0.3">
      <c r="A194" s="18"/>
      <c r="B194" s="18"/>
      <c r="C194" s="18"/>
      <c r="D194" s="1520"/>
      <c r="E194" s="152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17"/>
      <c r="AW194" s="1517"/>
    </row>
    <row r="195" spans="1:49" x14ac:dyDescent="0.3">
      <c r="A195" s="18"/>
      <c r="B195" s="18"/>
      <c r="C195" s="18"/>
      <c r="D195" s="1519"/>
      <c r="E195" s="151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18"/>
      <c r="AW195" s="1518"/>
    </row>
    <row r="196" spans="1:49" x14ac:dyDescent="0.3">
      <c r="A196" s="18"/>
      <c r="B196" s="18"/>
      <c r="C196" s="18"/>
      <c r="D196" s="1519"/>
      <c r="E196" s="151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18"/>
      <c r="AW196" s="1518"/>
    </row>
    <row r="197" spans="1:49" x14ac:dyDescent="0.3">
      <c r="A197" s="18"/>
      <c r="B197" s="18"/>
      <c r="C197" s="18"/>
      <c r="D197" s="1519"/>
      <c r="E197" s="151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18"/>
      <c r="AW197" s="1518"/>
    </row>
    <row r="198" spans="1:49" x14ac:dyDescent="0.3">
      <c r="A198" s="18"/>
      <c r="B198" s="18"/>
      <c r="C198" s="18"/>
      <c r="D198" s="1519"/>
      <c r="E198" s="151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18"/>
      <c r="AW198" s="1518"/>
    </row>
    <row r="199" spans="1:49" x14ac:dyDescent="0.3">
      <c r="A199" s="18"/>
      <c r="B199" s="18"/>
      <c r="C199" s="18"/>
      <c r="D199" s="1519"/>
      <c r="E199" s="151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18"/>
      <c r="AW199" s="1518"/>
    </row>
    <row r="200" spans="1:49" x14ac:dyDescent="0.3">
      <c r="A200" s="18"/>
      <c r="B200" s="18"/>
      <c r="C200" s="18"/>
      <c r="D200" s="1519"/>
      <c r="E200" s="151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18"/>
      <c r="AW200" s="1518"/>
    </row>
    <row r="201" spans="1:49" x14ac:dyDescent="0.3">
      <c r="A201" s="18"/>
      <c r="B201" s="18"/>
      <c r="C201" s="18"/>
      <c r="D201" s="1519"/>
      <c r="E201" s="151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19"/>
      <c r="AW201" s="1519"/>
    </row>
    <row r="202" spans="1:49" x14ac:dyDescent="0.3">
      <c r="A202" s="18"/>
      <c r="B202" s="18"/>
      <c r="C202" s="18"/>
      <c r="D202" s="1520"/>
      <c r="E202" s="152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17"/>
      <c r="AW202" s="1517"/>
    </row>
    <row r="203" spans="1:49" x14ac:dyDescent="0.3">
      <c r="A203" s="18"/>
      <c r="B203" s="18"/>
      <c r="C203" s="18"/>
      <c r="D203" s="1519"/>
      <c r="E203" s="151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18"/>
      <c r="AW203" s="1518"/>
    </row>
    <row r="204" spans="1:49" x14ac:dyDescent="0.3">
      <c r="A204" s="18"/>
      <c r="B204" s="18"/>
      <c r="C204" s="18"/>
      <c r="D204" s="1519"/>
      <c r="E204" s="151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18"/>
      <c r="AW204" s="1518"/>
    </row>
    <row r="205" spans="1:49" x14ac:dyDescent="0.3">
      <c r="A205" s="18"/>
      <c r="B205" s="18"/>
      <c r="C205" s="18"/>
      <c r="D205" s="1519"/>
      <c r="E205" s="151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18"/>
      <c r="AW205" s="1518"/>
    </row>
    <row r="206" spans="1:49" x14ac:dyDescent="0.3">
      <c r="A206" s="18"/>
      <c r="B206" s="18"/>
      <c r="C206" s="18"/>
      <c r="D206" s="1519"/>
      <c r="E206" s="151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18"/>
      <c r="AW206" s="1518"/>
    </row>
    <row r="207" spans="1:49" x14ac:dyDescent="0.3">
      <c r="A207" s="18"/>
      <c r="B207" s="18"/>
      <c r="C207" s="18"/>
      <c r="D207" s="1519"/>
      <c r="E207" s="151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18"/>
      <c r="AW207" s="1518"/>
    </row>
    <row r="208" spans="1:49" x14ac:dyDescent="0.3">
      <c r="A208" s="18"/>
      <c r="B208" s="18"/>
      <c r="C208" s="18"/>
      <c r="D208" s="1519"/>
      <c r="E208" s="151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18"/>
      <c r="AW208" s="1518"/>
    </row>
    <row r="209" spans="1:49" x14ac:dyDescent="0.3">
      <c r="A209" s="18"/>
      <c r="B209" s="18"/>
      <c r="C209" s="18"/>
      <c r="D209" s="1519"/>
      <c r="E209" s="151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19"/>
      <c r="AW209" s="1519"/>
    </row>
    <row r="210" spans="1:49" x14ac:dyDescent="0.3">
      <c r="A210" s="18"/>
      <c r="B210" s="18"/>
      <c r="C210" s="18"/>
      <c r="D210" s="1520"/>
      <c r="E210" s="152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17"/>
      <c r="AW210" s="1517"/>
    </row>
    <row r="211" spans="1:49" x14ac:dyDescent="0.3">
      <c r="A211" s="18"/>
      <c r="B211" s="18"/>
      <c r="C211" s="18"/>
      <c r="D211" s="1519"/>
      <c r="E211" s="151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18"/>
      <c r="AW211" s="1518"/>
    </row>
    <row r="212" spans="1:49" x14ac:dyDescent="0.3">
      <c r="A212" s="18"/>
      <c r="B212" s="18"/>
      <c r="C212" s="18"/>
      <c r="D212" s="1519"/>
      <c r="E212" s="151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18"/>
      <c r="AW212" s="1518"/>
    </row>
    <row r="213" spans="1:49" x14ac:dyDescent="0.3">
      <c r="A213" s="18"/>
      <c r="B213" s="18"/>
      <c r="C213" s="18"/>
      <c r="D213" s="1519"/>
      <c r="E213" s="151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18"/>
      <c r="AW213" s="1518"/>
    </row>
    <row r="214" spans="1:49" x14ac:dyDescent="0.3">
      <c r="A214" s="18"/>
      <c r="B214" s="18"/>
      <c r="C214" s="18"/>
      <c r="D214" s="1519"/>
      <c r="E214" s="151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18"/>
      <c r="AW214" s="1518"/>
    </row>
    <row r="215" spans="1:49" x14ac:dyDescent="0.3">
      <c r="A215" s="18"/>
      <c r="B215" s="18"/>
      <c r="C215" s="18"/>
      <c r="D215" s="1519"/>
      <c r="E215" s="151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18"/>
      <c r="AW215" s="1518"/>
    </row>
    <row r="216" spans="1:49" x14ac:dyDescent="0.3">
      <c r="A216" s="18"/>
      <c r="B216" s="18"/>
      <c r="C216" s="18"/>
      <c r="D216" s="1519"/>
      <c r="E216" s="151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18"/>
      <c r="AW216" s="1518"/>
    </row>
    <row r="217" spans="1:49" x14ac:dyDescent="0.3">
      <c r="A217" s="18"/>
      <c r="B217" s="18"/>
      <c r="C217" s="18"/>
      <c r="D217" s="1519"/>
      <c r="E217" s="151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19"/>
      <c r="AW217" s="1519"/>
    </row>
    <row r="218" spans="1:49" x14ac:dyDescent="0.3">
      <c r="A218" s="18"/>
      <c r="B218" s="18"/>
      <c r="C218" s="18"/>
      <c r="D218" s="1520"/>
      <c r="E218" s="152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17"/>
      <c r="AW218" s="1517"/>
    </row>
    <row r="219" spans="1:49" x14ac:dyDescent="0.3">
      <c r="A219" s="18"/>
      <c r="B219" s="18"/>
      <c r="C219" s="18"/>
      <c r="D219" s="1519"/>
      <c r="E219" s="151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18"/>
      <c r="AW219" s="1518"/>
    </row>
    <row r="220" spans="1:49" x14ac:dyDescent="0.3">
      <c r="A220" s="18"/>
      <c r="B220" s="18"/>
      <c r="C220" s="18"/>
      <c r="D220" s="1519"/>
      <c r="E220" s="151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18"/>
      <c r="AW220" s="1518"/>
    </row>
    <row r="221" spans="1:49" x14ac:dyDescent="0.3">
      <c r="A221" s="18"/>
      <c r="B221" s="18"/>
      <c r="C221" s="18"/>
      <c r="D221" s="1519"/>
      <c r="E221" s="151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18"/>
      <c r="AW221" s="1518"/>
    </row>
    <row r="222" spans="1:49" x14ac:dyDescent="0.3">
      <c r="A222" s="18"/>
      <c r="B222" s="18"/>
      <c r="C222" s="18"/>
      <c r="D222" s="1519"/>
      <c r="E222" s="151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18"/>
      <c r="AW222" s="1518"/>
    </row>
    <row r="223" spans="1:49" x14ac:dyDescent="0.3">
      <c r="A223" s="18"/>
      <c r="B223" s="18"/>
      <c r="C223" s="18"/>
      <c r="D223" s="1519"/>
      <c r="E223" s="151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18"/>
      <c r="AW223" s="1518"/>
    </row>
    <row r="224" spans="1:49" x14ac:dyDescent="0.3">
      <c r="A224" s="18"/>
      <c r="B224" s="18"/>
      <c r="C224" s="18"/>
      <c r="D224" s="1519"/>
      <c r="E224" s="151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18"/>
      <c r="AW224" s="1518"/>
    </row>
    <row r="225" spans="1:49" x14ac:dyDescent="0.3">
      <c r="A225" s="18"/>
      <c r="B225" s="18"/>
      <c r="C225" s="18"/>
      <c r="D225" s="1519"/>
      <c r="E225" s="151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19"/>
      <c r="AW225" s="1519"/>
    </row>
    <row r="226" spans="1:49" x14ac:dyDescent="0.3">
      <c r="A226" s="18"/>
      <c r="B226" s="18"/>
      <c r="C226" s="18"/>
      <c r="D226" s="1520"/>
      <c r="E226" s="152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17"/>
      <c r="AW226" s="1517"/>
    </row>
    <row r="227" spans="1:49" x14ac:dyDescent="0.3">
      <c r="A227" s="18"/>
      <c r="B227" s="18"/>
      <c r="C227" s="18"/>
      <c r="D227" s="1519"/>
      <c r="E227" s="151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18"/>
      <c r="AW227" s="1518"/>
    </row>
    <row r="228" spans="1:49" x14ac:dyDescent="0.3">
      <c r="A228" s="18"/>
      <c r="B228" s="18"/>
      <c r="C228" s="18"/>
      <c r="D228" s="1519"/>
      <c r="E228" s="151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18"/>
      <c r="AW228" s="1518"/>
    </row>
    <row r="229" spans="1:49" x14ac:dyDescent="0.3">
      <c r="A229" s="18"/>
      <c r="B229" s="18"/>
      <c r="C229" s="18"/>
      <c r="D229" s="1519"/>
      <c r="E229" s="151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18"/>
      <c r="AW229" s="1518"/>
    </row>
    <row r="230" spans="1:49" x14ac:dyDescent="0.3">
      <c r="A230" s="18"/>
      <c r="B230" s="18"/>
      <c r="C230" s="18"/>
      <c r="D230" s="1519"/>
      <c r="E230" s="151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18"/>
      <c r="AW230" s="1518"/>
    </row>
    <row r="231" spans="1:49" x14ac:dyDescent="0.3">
      <c r="A231" s="18"/>
      <c r="B231" s="18"/>
      <c r="C231" s="18"/>
      <c r="D231" s="1519"/>
      <c r="E231" s="151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18"/>
      <c r="AW231" s="1518"/>
    </row>
    <row r="232" spans="1:49" x14ac:dyDescent="0.3">
      <c r="A232" s="18"/>
      <c r="B232" s="18"/>
      <c r="C232" s="18"/>
      <c r="D232" s="1519"/>
      <c r="E232" s="151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18"/>
      <c r="AW232" s="1518"/>
    </row>
    <row r="233" spans="1:49" x14ac:dyDescent="0.3">
      <c r="A233" s="18"/>
      <c r="B233" s="18"/>
      <c r="C233" s="18"/>
      <c r="D233" s="1519"/>
      <c r="E233" s="151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19"/>
      <c r="AW233" s="1519"/>
    </row>
    <row r="234" spans="1:49" x14ac:dyDescent="0.3">
      <c r="A234" s="18"/>
      <c r="B234" s="18"/>
      <c r="C234" s="18"/>
      <c r="D234" s="1520"/>
      <c r="E234" s="152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17"/>
      <c r="AW234" s="1517"/>
    </row>
    <row r="235" spans="1:49" x14ac:dyDescent="0.3">
      <c r="A235" s="18"/>
      <c r="B235" s="18"/>
      <c r="C235" s="18"/>
      <c r="D235" s="1519"/>
      <c r="E235" s="151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18"/>
      <c r="AW235" s="1518"/>
    </row>
    <row r="236" spans="1:49" x14ac:dyDescent="0.3">
      <c r="A236" s="18"/>
      <c r="B236" s="18"/>
      <c r="C236" s="18"/>
      <c r="D236" s="1519"/>
      <c r="E236" s="151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18"/>
      <c r="AW236" s="1518"/>
    </row>
    <row r="237" spans="1:49" x14ac:dyDescent="0.3">
      <c r="A237" s="18"/>
      <c r="B237" s="18"/>
      <c r="C237" s="18"/>
      <c r="D237" s="1519"/>
      <c r="E237" s="151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18"/>
      <c r="AW237" s="1518"/>
    </row>
    <row r="238" spans="1:49" x14ac:dyDescent="0.3">
      <c r="A238" s="18"/>
      <c r="B238" s="18"/>
      <c r="C238" s="18"/>
      <c r="D238" s="1519"/>
      <c r="E238" s="151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18"/>
      <c r="AW238" s="1518"/>
    </row>
    <row r="239" spans="1:49" x14ac:dyDescent="0.3">
      <c r="A239" s="18"/>
      <c r="B239" s="18"/>
      <c r="C239" s="18"/>
      <c r="D239" s="1519"/>
      <c r="E239" s="151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18"/>
      <c r="AW239" s="1518"/>
    </row>
    <row r="240" spans="1:49" x14ac:dyDescent="0.3">
      <c r="A240" s="18"/>
      <c r="B240" s="18"/>
      <c r="C240" s="18"/>
      <c r="D240" s="1519"/>
      <c r="E240" s="151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18"/>
      <c r="AW240" s="1518"/>
    </row>
    <row r="241" spans="1:49" x14ac:dyDescent="0.3">
      <c r="A241" s="18"/>
      <c r="B241" s="18"/>
      <c r="C241" s="18"/>
      <c r="D241" s="1519"/>
      <c r="E241" s="151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19"/>
      <c r="AW241" s="1519"/>
    </row>
    <row r="242" spans="1:49" x14ac:dyDescent="0.3">
      <c r="A242" s="18"/>
      <c r="B242" s="18"/>
      <c r="C242" s="18"/>
      <c r="D242" s="1520"/>
      <c r="E242" s="152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17"/>
      <c r="AW242" s="1517"/>
    </row>
    <row r="243" spans="1:49" x14ac:dyDescent="0.3">
      <c r="A243" s="18"/>
      <c r="B243" s="18"/>
      <c r="C243" s="18"/>
      <c r="D243" s="1519"/>
      <c r="E243" s="151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18"/>
      <c r="AW243" s="1518"/>
    </row>
    <row r="244" spans="1:49" x14ac:dyDescent="0.3">
      <c r="A244" s="18"/>
      <c r="B244" s="18"/>
      <c r="C244" s="18"/>
      <c r="D244" s="1519"/>
      <c r="E244" s="151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18"/>
      <c r="AW244" s="1518"/>
    </row>
    <row r="245" spans="1:49" x14ac:dyDescent="0.3">
      <c r="A245" s="18"/>
      <c r="B245" s="18"/>
      <c r="C245" s="18"/>
      <c r="D245" s="1519"/>
      <c r="E245" s="151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18"/>
      <c r="AW245" s="1518"/>
    </row>
    <row r="246" spans="1:49" x14ac:dyDescent="0.3">
      <c r="A246" s="18"/>
      <c r="B246" s="18"/>
      <c r="C246" s="18"/>
      <c r="D246" s="1519"/>
      <c r="E246" s="151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18"/>
      <c r="AW246" s="1518"/>
    </row>
    <row r="247" spans="1:49" x14ac:dyDescent="0.3">
      <c r="A247" s="18"/>
      <c r="B247" s="18"/>
      <c r="C247" s="18"/>
      <c r="D247" s="1519"/>
      <c r="E247" s="151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18"/>
      <c r="AW247" s="1518"/>
    </row>
    <row r="248" spans="1:49" x14ac:dyDescent="0.3">
      <c r="A248" s="18"/>
      <c r="B248" s="18"/>
      <c r="C248" s="18"/>
      <c r="D248" s="1519"/>
      <c r="E248" s="151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18"/>
      <c r="AW248" s="1518"/>
    </row>
    <row r="249" spans="1:49" x14ac:dyDescent="0.3">
      <c r="A249" s="18"/>
      <c r="B249" s="18"/>
      <c r="C249" s="18"/>
      <c r="D249" s="1519"/>
      <c r="E249" s="151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19"/>
      <c r="AW249" s="1519"/>
    </row>
    <row r="250" spans="1:49" x14ac:dyDescent="0.3">
      <c r="A250" s="18"/>
      <c r="B250" s="18"/>
      <c r="C250" s="18"/>
      <c r="D250" s="1520"/>
      <c r="E250" s="152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17"/>
      <c r="AW250" s="1517"/>
    </row>
    <row r="251" spans="1:49" x14ac:dyDescent="0.3">
      <c r="A251" s="18"/>
      <c r="B251" s="18"/>
      <c r="C251" s="18"/>
      <c r="D251" s="1519"/>
      <c r="E251" s="151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18"/>
      <c r="AW251" s="1518"/>
    </row>
    <row r="252" spans="1:49" x14ac:dyDescent="0.3">
      <c r="A252" s="18"/>
      <c r="B252" s="18"/>
      <c r="C252" s="18"/>
      <c r="D252" s="1519"/>
      <c r="E252" s="151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18"/>
      <c r="AW252" s="1518"/>
    </row>
    <row r="253" spans="1:49" x14ac:dyDescent="0.3">
      <c r="A253" s="18"/>
      <c r="B253" s="18"/>
      <c r="C253" s="18"/>
      <c r="D253" s="1519"/>
      <c r="E253" s="151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18"/>
      <c r="AW253" s="1518"/>
    </row>
    <row r="254" spans="1:49" x14ac:dyDescent="0.3">
      <c r="A254" s="18"/>
      <c r="B254" s="18"/>
      <c r="C254" s="18"/>
      <c r="D254" s="1519"/>
      <c r="E254" s="151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18"/>
      <c r="AW254" s="1518"/>
    </row>
    <row r="255" spans="1:49" x14ac:dyDescent="0.3">
      <c r="A255" s="18"/>
      <c r="B255" s="18"/>
      <c r="C255" s="18"/>
      <c r="D255" s="1519"/>
      <c r="E255" s="151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18"/>
      <c r="AW255" s="1518"/>
    </row>
    <row r="256" spans="1:49" x14ac:dyDescent="0.3">
      <c r="A256" s="18"/>
      <c r="B256" s="18"/>
      <c r="C256" s="18"/>
      <c r="D256" s="1519"/>
      <c r="E256" s="151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18"/>
      <c r="AW256" s="1518"/>
    </row>
    <row r="257" spans="1:49" x14ac:dyDescent="0.3">
      <c r="A257" s="18"/>
      <c r="B257" s="18"/>
      <c r="C257" s="18"/>
      <c r="D257" s="1519"/>
      <c r="E257" s="151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19"/>
      <c r="AW257" s="1519"/>
    </row>
    <row r="258" spans="1:49" x14ac:dyDescent="0.3">
      <c r="A258" s="18"/>
      <c r="B258" s="18"/>
      <c r="C258" s="18"/>
      <c r="D258" s="1520"/>
      <c r="E258" s="152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17"/>
      <c r="AW258" s="1517"/>
    </row>
    <row r="259" spans="1:49" x14ac:dyDescent="0.3">
      <c r="A259" s="18"/>
      <c r="B259" s="18"/>
      <c r="C259" s="18"/>
      <c r="D259" s="1519"/>
      <c r="E259" s="151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18"/>
      <c r="AW259" s="1518"/>
    </row>
    <row r="260" spans="1:49" x14ac:dyDescent="0.3">
      <c r="A260" s="18"/>
      <c r="B260" s="18"/>
      <c r="C260" s="18"/>
      <c r="D260" s="1519"/>
      <c r="E260" s="151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18"/>
      <c r="AW260" s="1518"/>
    </row>
    <row r="261" spans="1:49" x14ac:dyDescent="0.3">
      <c r="A261" s="18"/>
      <c r="B261" s="18"/>
      <c r="C261" s="18"/>
      <c r="D261" s="1519"/>
      <c r="E261" s="151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18"/>
      <c r="AW261" s="1518"/>
    </row>
    <row r="262" spans="1:49" x14ac:dyDescent="0.3">
      <c r="A262" s="18"/>
      <c r="B262" s="18"/>
      <c r="C262" s="18"/>
      <c r="D262" s="1519"/>
      <c r="E262" s="151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18"/>
      <c r="AW262" s="1518"/>
    </row>
    <row r="263" spans="1:49" x14ac:dyDescent="0.3">
      <c r="A263" s="18"/>
      <c r="B263" s="18"/>
      <c r="C263" s="18"/>
      <c r="D263" s="1519"/>
      <c r="E263" s="151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18"/>
      <c r="AW263" s="1518"/>
    </row>
    <row r="264" spans="1:49" x14ac:dyDescent="0.3">
      <c r="A264" s="18"/>
      <c r="B264" s="18"/>
      <c r="C264" s="18"/>
      <c r="D264" s="1519"/>
      <c r="E264" s="151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18"/>
      <c r="AW264" s="1518"/>
    </row>
    <row r="265" spans="1:49" x14ac:dyDescent="0.3">
      <c r="A265" s="18"/>
      <c r="B265" s="18"/>
      <c r="C265" s="18"/>
      <c r="D265" s="1519"/>
      <c r="E265" s="151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19"/>
      <c r="AW265" s="1519"/>
    </row>
    <row r="266" spans="1:49" x14ac:dyDescent="0.3">
      <c r="A266" s="18"/>
      <c r="B266" s="18"/>
      <c r="C266" s="18"/>
      <c r="D266" s="1520"/>
      <c r="E266" s="152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17"/>
      <c r="AW266" s="1517"/>
    </row>
    <row r="267" spans="1:49" x14ac:dyDescent="0.3">
      <c r="A267" s="18"/>
      <c r="B267" s="18"/>
      <c r="C267" s="18"/>
      <c r="D267" s="1519"/>
      <c r="E267" s="151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18"/>
      <c r="AW267" s="1518"/>
    </row>
    <row r="268" spans="1:49" x14ac:dyDescent="0.3">
      <c r="A268" s="18"/>
      <c r="B268" s="18"/>
      <c r="C268" s="18"/>
      <c r="D268" s="1519"/>
      <c r="E268" s="151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18"/>
      <c r="AW268" s="1518"/>
    </row>
    <row r="269" spans="1:49" x14ac:dyDescent="0.3">
      <c r="A269" s="18"/>
      <c r="B269" s="18"/>
      <c r="C269" s="18"/>
      <c r="D269" s="1519"/>
      <c r="E269" s="151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18"/>
      <c r="AW269" s="1518"/>
    </row>
    <row r="270" spans="1:49" x14ac:dyDescent="0.3">
      <c r="A270" s="18"/>
      <c r="B270" s="18"/>
      <c r="C270" s="18"/>
      <c r="D270" s="1519"/>
      <c r="E270" s="151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18"/>
      <c r="AW270" s="1518"/>
    </row>
    <row r="271" spans="1:49" x14ac:dyDescent="0.3">
      <c r="A271" s="18"/>
      <c r="B271" s="18"/>
      <c r="C271" s="18"/>
      <c r="D271" s="1519"/>
      <c r="E271" s="151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18"/>
      <c r="AW271" s="1518"/>
    </row>
    <row r="272" spans="1:49" x14ac:dyDescent="0.3">
      <c r="A272" s="18"/>
      <c r="B272" s="18"/>
      <c r="C272" s="18"/>
      <c r="D272" s="1519"/>
      <c r="E272" s="151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18"/>
      <c r="AW272" s="1518"/>
    </row>
    <row r="273" spans="1:49" x14ac:dyDescent="0.3">
      <c r="A273" s="18"/>
      <c r="B273" s="18"/>
      <c r="C273" s="18"/>
      <c r="D273" s="1519"/>
      <c r="E273" s="151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19"/>
      <c r="AW273" s="1519"/>
    </row>
    <row r="274" spans="1:49" x14ac:dyDescent="0.3">
      <c r="A274" s="18"/>
      <c r="B274" s="18"/>
      <c r="C274" s="18"/>
      <c r="D274" s="1520"/>
      <c r="E274" s="152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17"/>
      <c r="AW274" s="1517"/>
    </row>
    <row r="275" spans="1:49" x14ac:dyDescent="0.3">
      <c r="A275" s="18"/>
      <c r="B275" s="18"/>
      <c r="C275" s="18"/>
      <c r="D275" s="1519"/>
      <c r="E275" s="151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18"/>
      <c r="AW275" s="1518"/>
    </row>
    <row r="276" spans="1:49" x14ac:dyDescent="0.3">
      <c r="A276" s="18"/>
      <c r="B276" s="18"/>
      <c r="C276" s="18"/>
      <c r="D276" s="1519"/>
      <c r="E276" s="151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18"/>
      <c r="AW276" s="1518"/>
    </row>
    <row r="277" spans="1:49" x14ac:dyDescent="0.3">
      <c r="A277" s="18"/>
      <c r="B277" s="18"/>
      <c r="C277" s="18"/>
      <c r="D277" s="1519"/>
      <c r="E277" s="151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18"/>
      <c r="AW277" s="1518"/>
    </row>
    <row r="278" spans="1:49" x14ac:dyDescent="0.3">
      <c r="A278" s="18"/>
      <c r="B278" s="18"/>
      <c r="C278" s="18"/>
      <c r="D278" s="1519"/>
      <c r="E278" s="151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18"/>
      <c r="AW278" s="1518"/>
    </row>
    <row r="279" spans="1:49" x14ac:dyDescent="0.3">
      <c r="A279" s="18"/>
      <c r="B279" s="18"/>
      <c r="C279" s="18"/>
      <c r="D279" s="1519"/>
      <c r="E279" s="151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18"/>
      <c r="AW279" s="1518"/>
    </row>
    <row r="280" spans="1:49" x14ac:dyDescent="0.3">
      <c r="A280" s="18"/>
      <c r="B280" s="18"/>
      <c r="C280" s="18"/>
      <c r="D280" s="1519"/>
      <c r="E280" s="151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18"/>
      <c r="AW280" s="1518"/>
    </row>
    <row r="281" spans="1:49" x14ac:dyDescent="0.3">
      <c r="A281" s="18"/>
      <c r="B281" s="18"/>
      <c r="C281" s="18"/>
      <c r="D281" s="1519"/>
      <c r="E281" s="151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19"/>
      <c r="AW281" s="1519"/>
    </row>
    <row r="282" spans="1:49" x14ac:dyDescent="0.3">
      <c r="A282" s="18"/>
      <c r="B282" s="18"/>
      <c r="C282" s="18"/>
      <c r="D282" s="1520"/>
      <c r="E282" s="152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17"/>
      <c r="AW282" s="1517"/>
    </row>
    <row r="283" spans="1:49" x14ac:dyDescent="0.3">
      <c r="A283" s="18"/>
      <c r="B283" s="18"/>
      <c r="C283" s="18"/>
      <c r="D283" s="1519"/>
      <c r="E283" s="151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18"/>
      <c r="AW283" s="1518"/>
    </row>
    <row r="284" spans="1:49" x14ac:dyDescent="0.3">
      <c r="A284" s="18"/>
      <c r="B284" s="18"/>
      <c r="C284" s="18"/>
      <c r="D284" s="1519"/>
      <c r="E284" s="151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18"/>
      <c r="AW284" s="1518"/>
    </row>
    <row r="285" spans="1:49" x14ac:dyDescent="0.3">
      <c r="A285" s="18"/>
      <c r="B285" s="18"/>
      <c r="C285" s="18"/>
      <c r="D285" s="1519"/>
      <c r="E285" s="151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18"/>
      <c r="AW285" s="1518"/>
    </row>
    <row r="286" spans="1:49" x14ac:dyDescent="0.3">
      <c r="A286" s="18"/>
      <c r="B286" s="18"/>
      <c r="C286" s="18"/>
      <c r="D286" s="1519"/>
      <c r="E286" s="151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18"/>
      <c r="AW286" s="1518"/>
    </row>
    <row r="287" spans="1:49" x14ac:dyDescent="0.3">
      <c r="A287" s="18"/>
      <c r="B287" s="18"/>
      <c r="C287" s="18"/>
      <c r="D287" s="1519"/>
      <c r="E287" s="151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18"/>
      <c r="AW287" s="1518"/>
    </row>
    <row r="288" spans="1:49" x14ac:dyDescent="0.3">
      <c r="A288" s="18"/>
      <c r="B288" s="18"/>
      <c r="C288" s="18"/>
      <c r="D288" s="1519"/>
      <c r="E288" s="151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18"/>
      <c r="AW288" s="1518"/>
    </row>
    <row r="289" spans="1:49" x14ac:dyDescent="0.3">
      <c r="A289" s="18"/>
      <c r="B289" s="18"/>
      <c r="C289" s="18"/>
      <c r="D289" s="1519"/>
      <c r="E289" s="151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19"/>
      <c r="AW289" s="151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46" t="s">
        <v>71</v>
      </c>
      <c r="E1" s="1546"/>
      <c r="F1" s="154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4"/>
      <c r="O4" s="975"/>
    </row>
    <row r="5" spans="2:15" x14ac:dyDescent="0.3">
      <c r="B5" s="13">
        <v>2</v>
      </c>
      <c r="C5" s="73">
        <v>46253</v>
      </c>
      <c r="D5" s="13">
        <v>320</v>
      </c>
      <c r="N5" s="974"/>
      <c r="O5" s="975"/>
    </row>
    <row r="6" spans="2:15" x14ac:dyDescent="0.3">
      <c r="B6" s="13">
        <v>3</v>
      </c>
      <c r="C6" s="73">
        <v>46254</v>
      </c>
      <c r="D6" s="13">
        <v>388</v>
      </c>
      <c r="N6" s="974"/>
      <c r="O6" s="975"/>
    </row>
    <row r="7" spans="2:15" x14ac:dyDescent="0.3">
      <c r="B7" s="13">
        <v>4</v>
      </c>
      <c r="C7" s="73">
        <v>46255</v>
      </c>
      <c r="D7" s="13">
        <v>425</v>
      </c>
      <c r="N7" s="974"/>
      <c r="O7" s="975"/>
    </row>
    <row r="8" spans="2:15" x14ac:dyDescent="0.3">
      <c r="B8" s="13">
        <v>5</v>
      </c>
      <c r="C8" s="73">
        <v>46256</v>
      </c>
      <c r="D8" s="13">
        <v>452</v>
      </c>
      <c r="N8" s="974"/>
      <c r="O8" s="975"/>
    </row>
    <row r="9" spans="2:15" x14ac:dyDescent="0.3">
      <c r="B9" s="13">
        <v>6</v>
      </c>
      <c r="C9" s="73">
        <v>46257</v>
      </c>
      <c r="D9" s="13">
        <v>397</v>
      </c>
      <c r="N9" s="974"/>
      <c r="O9" s="975"/>
    </row>
    <row r="10" spans="2:15" x14ac:dyDescent="0.3">
      <c r="B10" s="13">
        <v>7</v>
      </c>
      <c r="C10" s="73">
        <v>46258</v>
      </c>
      <c r="D10" s="13">
        <v>283</v>
      </c>
      <c r="N10" s="974"/>
      <c r="O10" s="975"/>
    </row>
    <row r="11" spans="2:15" x14ac:dyDescent="0.3">
      <c r="B11" s="13">
        <v>8</v>
      </c>
      <c r="C11" s="73">
        <v>46259</v>
      </c>
      <c r="D11" s="13">
        <v>347</v>
      </c>
      <c r="N11" s="974"/>
      <c r="O11" s="975"/>
    </row>
    <row r="12" spans="2:15" x14ac:dyDescent="0.3">
      <c r="B12" s="13">
        <v>9</v>
      </c>
      <c r="C12" s="73">
        <v>46260</v>
      </c>
      <c r="D12" s="13">
        <v>346</v>
      </c>
      <c r="N12" s="974"/>
      <c r="O12" s="975"/>
    </row>
    <row r="13" spans="2:15" x14ac:dyDescent="0.3">
      <c r="B13" s="13">
        <v>10</v>
      </c>
      <c r="C13" s="73">
        <v>46261</v>
      </c>
      <c r="D13" s="13">
        <v>297</v>
      </c>
      <c r="N13" s="974"/>
      <c r="O13" s="975"/>
    </row>
    <row r="14" spans="2:15" x14ac:dyDescent="0.3">
      <c r="B14" s="13">
        <v>11</v>
      </c>
      <c r="C14" s="73">
        <v>46262</v>
      </c>
      <c r="D14" s="13">
        <v>304</v>
      </c>
      <c r="N14" s="974"/>
      <c r="O14" s="975"/>
    </row>
    <row r="15" spans="2:15" x14ac:dyDescent="0.3">
      <c r="B15" s="13">
        <v>12</v>
      </c>
      <c r="C15" s="73">
        <v>46263</v>
      </c>
      <c r="D15" s="13">
        <v>510</v>
      </c>
      <c r="N15" s="974"/>
      <c r="O15" s="975"/>
    </row>
    <row r="16" spans="2:15" x14ac:dyDescent="0.3">
      <c r="B16" s="13">
        <v>13</v>
      </c>
      <c r="C16" s="73">
        <v>46264</v>
      </c>
      <c r="D16" s="13">
        <v>524</v>
      </c>
      <c r="N16" s="974"/>
      <c r="O16" s="975"/>
    </row>
    <row r="17" spans="2:15" x14ac:dyDescent="0.3">
      <c r="B17" s="13">
        <v>14</v>
      </c>
      <c r="C17" s="73">
        <v>46265</v>
      </c>
      <c r="D17" s="13">
        <v>300</v>
      </c>
      <c r="N17" s="974"/>
      <c r="O17" s="975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6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5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9"/>
      <c r="E2" s="509"/>
      <c r="H2" s="1194" t="s">
        <v>587</v>
      </c>
      <c r="I2" s="1194"/>
      <c r="J2" s="1194"/>
      <c r="K2" s="1194"/>
      <c r="O2" s="1">
        <f>720+180</f>
        <v>900</v>
      </c>
    </row>
    <row r="4" spans="1:33" ht="29.4" thickBot="1" x14ac:dyDescent="0.35">
      <c r="A4" s="586" t="s">
        <v>544</v>
      </c>
      <c r="B4" s="1262" t="s">
        <v>0</v>
      </c>
      <c r="C4" s="1264"/>
      <c r="D4" s="22" t="s">
        <v>1</v>
      </c>
      <c r="E4" s="22" t="s">
        <v>176</v>
      </c>
      <c r="F4" s="23" t="s">
        <v>26</v>
      </c>
      <c r="G4" s="23" t="s">
        <v>33</v>
      </c>
      <c r="H4" s="422" t="s">
        <v>278</v>
      </c>
      <c r="I4" s="422" t="s">
        <v>438</v>
      </c>
      <c r="J4" s="422" t="s">
        <v>443</v>
      </c>
      <c r="K4" s="23" t="s">
        <v>34</v>
      </c>
      <c r="L4" s="422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8" t="s">
        <v>512</v>
      </c>
    </row>
    <row r="5" spans="1:33" ht="16.2" thickBot="1" x14ac:dyDescent="0.35">
      <c r="A5" s="1398">
        <v>1</v>
      </c>
      <c r="B5" s="1431">
        <v>46265</v>
      </c>
      <c r="C5" s="1432"/>
      <c r="D5" s="518" t="s">
        <v>440</v>
      </c>
      <c r="E5" s="518" t="s">
        <v>439</v>
      </c>
      <c r="F5" s="560" t="s">
        <v>12</v>
      </c>
      <c r="G5" s="519">
        <v>0.2271</v>
      </c>
      <c r="H5" s="520">
        <v>116.84</v>
      </c>
      <c r="I5" s="462">
        <f t="shared" ref="I5:I11" si="0">H5/((720-R5)/60)</f>
        <v>11.198722044728434</v>
      </c>
      <c r="J5" s="462">
        <f>H5</f>
        <v>116.84</v>
      </c>
      <c r="K5" s="521">
        <v>1.135</v>
      </c>
      <c r="L5" s="461">
        <v>0.68</v>
      </c>
      <c r="M5" s="462">
        <f>H5*K5*G5</f>
        <v>30.116503140000003</v>
      </c>
      <c r="N5" s="1558">
        <f>SUM(M5:M6)</f>
        <v>74.069659139999999</v>
      </c>
      <c r="O5" s="462">
        <f t="shared" ref="O5:O11" si="1">M5/((720-R5)/60)</f>
        <v>2.8865657961661344</v>
      </c>
      <c r="P5" s="1422">
        <f>'Milling Down Time Hours'!Q5</f>
        <v>22.433333333333334</v>
      </c>
      <c r="Q5" s="484"/>
      <c r="R5" s="467">
        <f>'Milling Down Time Hours'!P5</f>
        <v>94</v>
      </c>
      <c r="S5" s="1558">
        <f>SUM(M5:M8)</f>
        <v>292.31360000000001</v>
      </c>
      <c r="T5" s="469">
        <f>AVERAGE('LT Ball Mill'!F4:F6)</f>
        <v>0.96699999999999997</v>
      </c>
      <c r="U5" s="469">
        <f>AVERAGE('LT Ball Mill'!G4:G6)</f>
        <v>0.41</v>
      </c>
      <c r="V5" s="469">
        <f>AVERAGE('LT Ball Mill'!H4:H6)</f>
        <v>6.1096666666666666</v>
      </c>
      <c r="W5" s="470">
        <f t="shared" ref="W5:W46" si="2">T5*M5</f>
        <v>29.122658536380001</v>
      </c>
      <c r="X5" s="554">
        <f t="shared" ref="X5:X46" si="3">M5*U5</f>
        <v>12.347766287400001</v>
      </c>
      <c r="Y5" s="554">
        <f t="shared" ref="Y5:Y46" si="4">M5*V5</f>
        <v>184.00179535102001</v>
      </c>
      <c r="Z5" s="447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398"/>
      <c r="B6" s="1433"/>
      <c r="C6" s="1434"/>
      <c r="D6" s="522" t="s">
        <v>441</v>
      </c>
      <c r="E6" s="518" t="s">
        <v>439</v>
      </c>
      <c r="F6" s="561" t="s">
        <v>13</v>
      </c>
      <c r="G6" s="506">
        <v>0.36</v>
      </c>
      <c r="H6" s="523">
        <f>J6-H5</f>
        <v>98.859999999999985</v>
      </c>
      <c r="I6" s="462">
        <f t="shared" si="0"/>
        <v>8.2383333333333315</v>
      </c>
      <c r="J6" s="505">
        <v>215.7</v>
      </c>
      <c r="K6" s="524">
        <v>1.2350000000000001</v>
      </c>
      <c r="L6" s="464">
        <v>0.68</v>
      </c>
      <c r="M6" s="462">
        <f>H6*K6*G6</f>
        <v>43.953155999999993</v>
      </c>
      <c r="N6" s="1559"/>
      <c r="O6" s="462">
        <f t="shared" si="1"/>
        <v>3.6627629999999995</v>
      </c>
      <c r="P6" s="1562"/>
      <c r="Q6" s="525"/>
      <c r="R6" s="467">
        <v>0</v>
      </c>
      <c r="S6" s="1555"/>
      <c r="T6" s="471">
        <f>AVERAGE('LT Ball Mill'!F7:F9)</f>
        <v>0.60899999999999999</v>
      </c>
      <c r="U6" s="471">
        <f>AVERAGE('LT Ball Mill'!G7:G9)</f>
        <v>0.52833333333333343</v>
      </c>
      <c r="V6" s="471">
        <f>AVERAGE('LT Ball Mill'!H7:H9)</f>
        <v>7.623333333333334</v>
      </c>
      <c r="W6" s="470">
        <f t="shared" si="2"/>
        <v>26.767472003999995</v>
      </c>
      <c r="X6" s="554">
        <f t="shared" si="3"/>
        <v>23.22191742</v>
      </c>
      <c r="Y6" s="554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7" customFormat="1" ht="16.2" thickBot="1" x14ac:dyDescent="0.35">
      <c r="A7" s="1398"/>
      <c r="B7" s="1431">
        <v>46266</v>
      </c>
      <c r="C7" s="1432"/>
      <c r="D7" s="518" t="s">
        <v>440</v>
      </c>
      <c r="E7" s="518" t="s">
        <v>439</v>
      </c>
      <c r="F7" s="560" t="s">
        <v>12</v>
      </c>
      <c r="G7" s="461">
        <v>0.38790000000000002</v>
      </c>
      <c r="H7" s="526">
        <f>J7-SUM(H5:H6)</f>
        <v>143.30000000000001</v>
      </c>
      <c r="I7" s="462">
        <f t="shared" si="0"/>
        <v>12.371223021582734</v>
      </c>
      <c r="J7" s="462">
        <v>359</v>
      </c>
      <c r="K7" s="463">
        <v>1.2549999999999999</v>
      </c>
      <c r="L7" s="461">
        <v>0.7</v>
      </c>
      <c r="M7" s="462">
        <f>(K7*J7*G7)-(SUM(M5:M6))</f>
        <v>100.69674635999999</v>
      </c>
      <c r="N7" s="1558">
        <f>SUM(M7:M8)</f>
        <v>218.24394086000001</v>
      </c>
      <c r="O7" s="462">
        <f t="shared" si="1"/>
        <v>8.6932442900719415</v>
      </c>
      <c r="P7" s="1560">
        <f>'Milling Down Time Hours'!Q6</f>
        <v>22.9</v>
      </c>
      <c r="Q7" s="505"/>
      <c r="R7" s="467">
        <v>25</v>
      </c>
      <c r="S7" s="1555"/>
      <c r="T7" s="469">
        <f>AVERAGE('LT Ball Mill'!F10:F12)</f>
        <v>0.64699999999999991</v>
      </c>
      <c r="U7" s="469">
        <f>AVERAGE('LT Ball Mill'!G10:G12)</f>
        <v>0.67433333333333334</v>
      </c>
      <c r="V7" s="469">
        <f>AVERAGE('LT Ball Mill'!H10:H12)</f>
        <v>7.5333333333333341</v>
      </c>
      <c r="W7" s="470">
        <f t="shared" si="2"/>
        <v>65.150794894919983</v>
      </c>
      <c r="X7" s="554">
        <f t="shared" si="3"/>
        <v>67.903172628759989</v>
      </c>
      <c r="Y7" s="554">
        <f t="shared" si="4"/>
        <v>758.58215591199996</v>
      </c>
      <c r="Z7" s="157">
        <f>W7*$AF$6</f>
        <v>162876987.23729995</v>
      </c>
      <c r="AA7" s="426"/>
      <c r="AB7" s="426"/>
      <c r="AC7" s="426"/>
      <c r="AD7" s="426"/>
    </row>
    <row r="8" spans="1:33" s="427" customFormat="1" ht="16.2" thickBot="1" x14ac:dyDescent="0.35">
      <c r="A8" s="1398"/>
      <c r="B8" s="1433"/>
      <c r="C8" s="1434"/>
      <c r="D8" s="511" t="s">
        <v>441</v>
      </c>
      <c r="E8" s="510" t="s">
        <v>442</v>
      </c>
      <c r="F8" s="561" t="s">
        <v>13</v>
      </c>
      <c r="G8" s="464">
        <v>0.41</v>
      </c>
      <c r="H8" s="527">
        <f>J8-SUM(H5:H7)</f>
        <v>198</v>
      </c>
      <c r="I8" s="462">
        <f t="shared" si="0"/>
        <v>17.496318114874818</v>
      </c>
      <c r="J8" s="505">
        <v>557</v>
      </c>
      <c r="K8" s="465">
        <v>1.28</v>
      </c>
      <c r="L8" s="464">
        <v>0.7</v>
      </c>
      <c r="M8" s="462">
        <f>(K8*J8*G8)-(SUM(M5:M7))</f>
        <v>117.54719450000002</v>
      </c>
      <c r="N8" s="1559"/>
      <c r="O8" s="462">
        <f t="shared" si="1"/>
        <v>10.387086406480119</v>
      </c>
      <c r="P8" s="1561"/>
      <c r="Q8" s="505"/>
      <c r="R8" s="467">
        <v>41</v>
      </c>
      <c r="S8" s="1559"/>
      <c r="T8" s="471">
        <f>AVERAGE('LT Ball Mill'!F13:F15)</f>
        <v>0.60899999999999999</v>
      </c>
      <c r="U8" s="471">
        <f>AVERAGE('LT Ball Mill'!G13:G15)</f>
        <v>0.52833333333333343</v>
      </c>
      <c r="V8" s="471">
        <f>AVERAGE('LT Ball Mill'!H13:H15)</f>
        <v>7.623333333333334</v>
      </c>
      <c r="W8" s="470">
        <f t="shared" si="2"/>
        <v>71.586241450500012</v>
      </c>
      <c r="X8" s="554">
        <f t="shared" si="3"/>
        <v>62.104101094166687</v>
      </c>
      <c r="Y8" s="554">
        <f t="shared" si="4"/>
        <v>896.10144607166683</v>
      </c>
      <c r="Z8" s="157">
        <f>W8*$AF$6</f>
        <v>178965603.62625003</v>
      </c>
      <c r="AA8" s="426"/>
      <c r="AB8" s="426" t="s">
        <v>39</v>
      </c>
      <c r="AC8" s="428">
        <v>1250</v>
      </c>
      <c r="AD8" s="426" t="s">
        <v>40</v>
      </c>
      <c r="AF8" s="439"/>
    </row>
    <row r="9" spans="1:33" ht="16.2" thickBot="1" x14ac:dyDescent="0.35">
      <c r="A9" s="1397">
        <v>2</v>
      </c>
      <c r="B9" s="1427">
        <v>46267</v>
      </c>
      <c r="C9" s="1428"/>
      <c r="D9" s="514" t="s">
        <v>440</v>
      </c>
      <c r="E9" s="514" t="s">
        <v>445</v>
      </c>
      <c r="F9" s="562" t="s">
        <v>12</v>
      </c>
      <c r="G9" s="480">
        <v>0.39</v>
      </c>
      <c r="H9" s="481">
        <f>J9</f>
        <v>215</v>
      </c>
      <c r="I9" s="478">
        <f t="shared" si="0"/>
        <v>21.5</v>
      </c>
      <c r="J9" s="481">
        <v>215</v>
      </c>
      <c r="K9" s="481">
        <v>1.26</v>
      </c>
      <c r="L9" s="480">
        <v>0.72</v>
      </c>
      <c r="M9" s="477">
        <f>H9*K9*G9</f>
        <v>105.651</v>
      </c>
      <c r="N9" s="1556">
        <f>SUM(M9:M10)</f>
        <v>209.804</v>
      </c>
      <c r="O9" s="478">
        <f t="shared" si="1"/>
        <v>10.565099999999999</v>
      </c>
      <c r="P9" s="1570">
        <f>'Milling Down Time Hours'!Q7</f>
        <v>22</v>
      </c>
      <c r="Q9" s="493"/>
      <c r="R9" s="472">
        <f>'Milling Down Time Hours'!P7</f>
        <v>120.00000000000001</v>
      </c>
      <c r="S9" s="1556">
        <f>SUM(M9:M11)</f>
        <v>300.14215000000002</v>
      </c>
      <c r="T9" s="528">
        <f>AVERAGE('LT Ball Mill'!F16:F18)</f>
        <v>0.7446666666666667</v>
      </c>
      <c r="U9" s="528">
        <f>AVERAGE('LT Ball Mill'!G16:G18)</f>
        <v>0.59</v>
      </c>
      <c r="V9" s="528">
        <f>AVERAGE('LT Ball Mill'!H16:H18)</f>
        <v>9.8400000000000016</v>
      </c>
      <c r="W9" s="473">
        <f t="shared" si="2"/>
        <v>78.674778000000003</v>
      </c>
      <c r="X9" s="486">
        <f t="shared" si="3"/>
        <v>62.334089999999996</v>
      </c>
      <c r="Y9" s="486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397"/>
      <c r="B10" s="1429"/>
      <c r="C10" s="1430"/>
      <c r="D10" s="516" t="s">
        <v>444</v>
      </c>
      <c r="E10" s="517"/>
      <c r="F10" s="563" t="s">
        <v>13</v>
      </c>
      <c r="G10" s="476">
        <v>0.4</v>
      </c>
      <c r="H10" s="479">
        <f>J10-H9</f>
        <v>198</v>
      </c>
      <c r="I10" s="478">
        <f t="shared" si="0"/>
        <v>16.5</v>
      </c>
      <c r="J10" s="479">
        <v>413</v>
      </c>
      <c r="K10" s="479">
        <v>1.27</v>
      </c>
      <c r="L10" s="480">
        <v>0.72</v>
      </c>
      <c r="M10" s="477">
        <f>K10*J10*G10-SUM(M9)</f>
        <v>104.15300000000001</v>
      </c>
      <c r="N10" s="1557"/>
      <c r="O10" s="478">
        <f t="shared" si="1"/>
        <v>8.6794166666666666</v>
      </c>
      <c r="P10" s="1571"/>
      <c r="Q10" s="493"/>
      <c r="R10" s="472">
        <v>0</v>
      </c>
      <c r="S10" s="1568"/>
      <c r="T10" s="475">
        <f>AVERAGE('LT Ball Mill'!F19:F21)</f>
        <v>0.64600000000000002</v>
      </c>
      <c r="U10" s="475">
        <f>AVERAGE('LT Ball Mill'!G19:G21)</f>
        <v>1.0666666666666667</v>
      </c>
      <c r="V10" s="475">
        <f>AVERAGE('LT Ball Mill'!H19:H21)</f>
        <v>9.2566666666666659</v>
      </c>
      <c r="W10" s="473">
        <f t="shared" si="2"/>
        <v>67.282838000000012</v>
      </c>
      <c r="X10" s="486">
        <f t="shared" si="3"/>
        <v>111.09653333333334</v>
      </c>
      <c r="Y10" s="486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7" customFormat="1" ht="16.2" thickBot="1" x14ac:dyDescent="0.35">
      <c r="A11" s="1397"/>
      <c r="B11" s="1427">
        <v>46268</v>
      </c>
      <c r="C11" s="1428"/>
      <c r="D11" s="514" t="s">
        <v>440</v>
      </c>
      <c r="E11" s="529" t="s">
        <v>471</v>
      </c>
      <c r="F11" s="562" t="s">
        <v>12</v>
      </c>
      <c r="G11" s="480">
        <v>0.43</v>
      </c>
      <c r="H11" s="479">
        <f>J11-H10-H9</f>
        <v>126</v>
      </c>
      <c r="I11" s="478">
        <f t="shared" si="0"/>
        <v>11.454545454545455</v>
      </c>
      <c r="J11" s="481">
        <v>539</v>
      </c>
      <c r="K11" s="481">
        <v>1.2949999999999999</v>
      </c>
      <c r="L11" s="480">
        <v>0.71</v>
      </c>
      <c r="M11" s="477">
        <f>J11*K11*G11-SUM(M9:M10)</f>
        <v>90.338150000000013</v>
      </c>
      <c r="N11" s="1556">
        <f>SUM(M11:M12)</f>
        <v>90.338150000000013</v>
      </c>
      <c r="O11" s="478">
        <f t="shared" si="1"/>
        <v>8.2125590909090924</v>
      </c>
      <c r="P11" s="1576">
        <f>'Milling Down Time Hours'!Q8</f>
        <v>23</v>
      </c>
      <c r="Q11" s="530"/>
      <c r="R11" s="493">
        <v>60</v>
      </c>
      <c r="S11" s="1568"/>
      <c r="T11" s="528">
        <f>AVERAGE('LT Ball Mill'!F22:F24)</f>
        <v>0.66133333333333333</v>
      </c>
      <c r="U11" s="528">
        <f>AVERAGE('LT Ball Mill'!G22:G24)</f>
        <v>0.72333333333333327</v>
      </c>
      <c r="V11" s="528">
        <f>AVERAGE('LT Ball Mill'!H22:H24)</f>
        <v>8.0566666666666666</v>
      </c>
      <c r="W11" s="473">
        <f t="shared" si="2"/>
        <v>59.743629866666673</v>
      </c>
      <c r="X11" s="486">
        <f t="shared" si="3"/>
        <v>65.344595166666664</v>
      </c>
      <c r="Y11" s="486">
        <f t="shared" si="4"/>
        <v>727.82436183333346</v>
      </c>
      <c r="Z11" s="157">
        <f t="shared" si="5"/>
        <v>149359074.66666669</v>
      </c>
      <c r="AA11" s="426"/>
      <c r="AB11" s="426" t="s">
        <v>45</v>
      </c>
      <c r="AC11" s="434">
        <f>2.1</f>
        <v>2.1</v>
      </c>
      <c r="AD11" s="426" t="s">
        <v>44</v>
      </c>
    </row>
    <row r="12" spans="1:33" s="427" customFormat="1" ht="16.2" thickBot="1" x14ac:dyDescent="0.35">
      <c r="A12" s="1397"/>
      <c r="B12" s="1429"/>
      <c r="C12" s="1430"/>
      <c r="D12" s="516" t="s">
        <v>444</v>
      </c>
      <c r="E12" s="531" t="s">
        <v>467</v>
      </c>
      <c r="F12" s="563" t="s">
        <v>13</v>
      </c>
      <c r="G12" s="492"/>
      <c r="H12" s="479"/>
      <c r="I12" s="478"/>
      <c r="J12" s="479"/>
      <c r="K12" s="479"/>
      <c r="L12" s="476"/>
      <c r="M12" s="477">
        <f t="shared" ref="M12:M41" si="6">H12*K12*G12</f>
        <v>0</v>
      </c>
      <c r="N12" s="1557"/>
      <c r="O12" s="478"/>
      <c r="P12" s="1577"/>
      <c r="Q12" s="532"/>
      <c r="R12" s="491">
        <v>720</v>
      </c>
      <c r="S12" s="1439"/>
      <c r="T12" s="534"/>
      <c r="U12" s="534"/>
      <c r="V12" s="535"/>
      <c r="W12" s="473">
        <f t="shared" si="2"/>
        <v>0</v>
      </c>
      <c r="X12" s="486">
        <f t="shared" si="3"/>
        <v>0</v>
      </c>
      <c r="Y12" s="486">
        <f t="shared" si="4"/>
        <v>0</v>
      </c>
      <c r="Z12" s="157">
        <f t="shared" si="5"/>
        <v>0</v>
      </c>
      <c r="AA12" s="426"/>
      <c r="AB12" s="426" t="s">
        <v>46</v>
      </c>
      <c r="AC12" s="434">
        <v>1</v>
      </c>
      <c r="AD12" s="426" t="s">
        <v>44</v>
      </c>
    </row>
    <row r="13" spans="1:33" ht="16.2" thickBot="1" x14ac:dyDescent="0.35">
      <c r="A13" s="1397"/>
      <c r="B13" s="1427">
        <v>46269</v>
      </c>
      <c r="C13" s="1428"/>
      <c r="D13" s="1563" t="s">
        <v>484</v>
      </c>
      <c r="E13" s="536"/>
      <c r="F13" s="564" t="s">
        <v>12</v>
      </c>
      <c r="G13" s="489"/>
      <c r="H13" s="490"/>
      <c r="I13" s="478"/>
      <c r="J13" s="490"/>
      <c r="K13" s="490"/>
      <c r="L13" s="490"/>
      <c r="M13" s="477">
        <f t="shared" si="6"/>
        <v>0</v>
      </c>
      <c r="N13" s="477"/>
      <c r="O13" s="490"/>
      <c r="P13" s="1570">
        <f>'Milling Down Time Hours'!Q9</f>
        <v>0</v>
      </c>
      <c r="Q13" s="515"/>
      <c r="R13" s="1570">
        <f>'Milling Down Time Hours'!P9</f>
        <v>1440</v>
      </c>
      <c r="S13" s="472"/>
      <c r="T13" s="528"/>
      <c r="U13" s="528"/>
      <c r="V13" s="537"/>
      <c r="W13" s="473">
        <f t="shared" si="2"/>
        <v>0</v>
      </c>
      <c r="X13" s="486">
        <f t="shared" si="3"/>
        <v>0</v>
      </c>
      <c r="Y13" s="486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397"/>
      <c r="B14" s="1566"/>
      <c r="C14" s="1567"/>
      <c r="D14" s="1564"/>
      <c r="E14" s="538"/>
      <c r="F14" s="565" t="s">
        <v>13</v>
      </c>
      <c r="G14" s="539"/>
      <c r="H14" s="540"/>
      <c r="I14" s="515"/>
      <c r="J14" s="540"/>
      <c r="K14" s="540"/>
      <c r="L14" s="539"/>
      <c r="M14" s="494">
        <f t="shared" si="6"/>
        <v>0</v>
      </c>
      <c r="N14" s="494"/>
      <c r="O14" s="494">
        <f>(N14/SUM(P5:P14))</f>
        <v>0</v>
      </c>
      <c r="P14" s="1578"/>
      <c r="Q14" s="493"/>
      <c r="R14" s="1579"/>
      <c r="S14" s="540"/>
      <c r="T14" s="542"/>
      <c r="U14" s="542"/>
      <c r="V14" s="543"/>
      <c r="W14" s="544">
        <f t="shared" si="2"/>
        <v>0</v>
      </c>
      <c r="X14" s="555">
        <f t="shared" si="3"/>
        <v>0</v>
      </c>
      <c r="Y14" s="555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574">
        <v>46270</v>
      </c>
      <c r="C15" s="1575"/>
      <c r="D15" s="512"/>
      <c r="E15" s="512" t="s">
        <v>485</v>
      </c>
      <c r="F15" s="418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6"/>
      <c r="U15" s="446"/>
      <c r="V15" s="446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48">
        <v>3</v>
      </c>
      <c r="B16" s="1307">
        <v>46270</v>
      </c>
      <c r="C16" s="1307"/>
      <c r="D16" s="545" t="s">
        <v>441</v>
      </c>
      <c r="E16" s="571" t="s">
        <v>486</v>
      </c>
      <c r="F16" s="566" t="s">
        <v>13</v>
      </c>
      <c r="G16" s="482">
        <v>0.38</v>
      </c>
      <c r="H16" s="467">
        <f>J16-'Au Cal Leaching Tank'!$T$10</f>
        <v>62.150000000000006</v>
      </c>
      <c r="I16" s="467">
        <v>5.57</v>
      </c>
      <c r="J16" s="483">
        <v>170</v>
      </c>
      <c r="K16" s="483">
        <v>1.25</v>
      </c>
      <c r="L16" s="482"/>
      <c r="M16" s="467">
        <f>(J16*K16*G16)-'Au Cal Leaching Tank'!$U$10</f>
        <v>26.314330250000005</v>
      </c>
      <c r="N16" s="485">
        <f>SUM(M15:M16)</f>
        <v>26.314330250000005</v>
      </c>
      <c r="O16" s="467">
        <f t="shared" ref="O16:O23" si="7">M16/P16</f>
        <v>2.325272187039765</v>
      </c>
      <c r="P16" s="554">
        <f>Q16/60</f>
        <v>11.316666666666666</v>
      </c>
      <c r="Q16" s="554">
        <f>720-R16</f>
        <v>679</v>
      </c>
      <c r="R16" s="467">
        <v>41</v>
      </c>
      <c r="S16" s="1422">
        <f>SUM(M16:M19)</f>
        <v>326.97083025000006</v>
      </c>
      <c r="T16" s="556">
        <f>AVERAGE('LT Ball Mill'!F25:F27)</f>
        <v>1.087</v>
      </c>
      <c r="U16" s="556">
        <f>AVERAGE('LT Ball Mill'!G25:G27)</f>
        <v>0.77333333333333332</v>
      </c>
      <c r="V16" s="556">
        <f>AVERAGE('LT Ball Mill'!H25:H27)</f>
        <v>8.1166666666666671</v>
      </c>
      <c r="W16" s="470">
        <f t="shared" ref="W16:W24" si="8">T16*M16</f>
        <v>28.603676981750006</v>
      </c>
      <c r="X16" s="554">
        <f t="shared" ref="X16:X24" si="9">M16*U16</f>
        <v>20.349748726666668</v>
      </c>
      <c r="Y16" s="554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48"/>
      <c r="B17" s="1307">
        <v>46271</v>
      </c>
      <c r="C17" s="1307"/>
      <c r="D17" s="600" t="s">
        <v>441</v>
      </c>
      <c r="E17" s="600" t="s">
        <v>506</v>
      </c>
      <c r="F17" s="567" t="s">
        <v>12</v>
      </c>
      <c r="G17" s="507">
        <v>0.47</v>
      </c>
      <c r="H17" s="467">
        <f>J17-SUM(H16)-'Au Cal Leaching Tank'!$T$10</f>
        <v>45</v>
      </c>
      <c r="I17" s="547">
        <f t="shared" ref="I17:I22" si="11">H17/((720-R17)/60)</f>
        <v>4.5762711864406773</v>
      </c>
      <c r="J17" s="508">
        <v>215</v>
      </c>
      <c r="K17" s="508">
        <v>1.33</v>
      </c>
      <c r="L17" s="507">
        <v>0.65</v>
      </c>
      <c r="M17" s="468">
        <f>J17*K17*G17-SUM(M16)-'Au Cal Leaching Tank'!$U$10</f>
        <v>53.646499999999968</v>
      </c>
      <c r="N17" s="1565">
        <f>SUM(M17:M18)</f>
        <v>173.32450000000003</v>
      </c>
      <c r="O17" s="467">
        <f t="shared" si="7"/>
        <v>5.4555762711864366</v>
      </c>
      <c r="P17" s="467">
        <f>(720-R17)/60</f>
        <v>9.8333333333333339</v>
      </c>
      <c r="Q17" s="554">
        <f t="shared" ref="Q17" si="12">720-R17</f>
        <v>590</v>
      </c>
      <c r="R17" s="467">
        <f>'Milling Down Time Hours'!P11</f>
        <v>130</v>
      </c>
      <c r="S17" s="1367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558">
        <f t="shared" si="8"/>
        <v>48.407025166666635</v>
      </c>
      <c r="X17" s="525">
        <f t="shared" si="9"/>
        <v>30.578504999999979</v>
      </c>
      <c r="Y17" s="525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48"/>
      <c r="B18" s="1307"/>
      <c r="C18" s="1307"/>
      <c r="D18" s="600" t="s">
        <v>440</v>
      </c>
      <c r="E18" s="601"/>
      <c r="F18" s="561" t="s">
        <v>13</v>
      </c>
      <c r="G18" s="506">
        <v>0.45</v>
      </c>
      <c r="H18" s="467">
        <f>J18-SUM(H16:H17)-'Au Cal Leaching Tank'!$T$10</f>
        <v>216.00000000000003</v>
      </c>
      <c r="I18" s="462">
        <f t="shared" si="11"/>
        <v>18.000000000000004</v>
      </c>
      <c r="J18" s="465">
        <v>431</v>
      </c>
      <c r="K18" s="465">
        <v>1.31</v>
      </c>
      <c r="L18" s="464">
        <v>0.65</v>
      </c>
      <c r="M18" s="468">
        <f>J18*K18*G18-SUM(M16:M17)-'Au Cal Leaching Tank'!$U$10</f>
        <v>119.67800000000005</v>
      </c>
      <c r="N18" s="1565"/>
      <c r="O18" s="467">
        <f t="shared" si="7"/>
        <v>9.9731666666666712</v>
      </c>
      <c r="P18" s="467">
        <f>(720-R18)/60</f>
        <v>12</v>
      </c>
      <c r="Q18" s="554">
        <f>720-R18</f>
        <v>720</v>
      </c>
      <c r="R18" s="467">
        <v>0</v>
      </c>
      <c r="S18" s="1367"/>
      <c r="T18" s="471">
        <f>AVERAGE('LT Ball Mill'!F31:F33)</f>
        <v>0.81433333333333335</v>
      </c>
      <c r="U18" s="471">
        <f>AVERAGE('LT Ball Mill'!G31:G33)</f>
        <v>0.6333333333333333</v>
      </c>
      <c r="V18" s="471">
        <f>AVERAGE('LT Ball Mill'!H31:H33)</f>
        <v>9.4366666666666674</v>
      </c>
      <c r="W18" s="470">
        <f t="shared" si="8"/>
        <v>97.457784666666711</v>
      </c>
      <c r="X18" s="554">
        <f t="shared" si="9"/>
        <v>75.796066666666704</v>
      </c>
      <c r="Y18" s="554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48"/>
      <c r="B19" s="1433">
        <v>46272</v>
      </c>
      <c r="C19" s="1434"/>
      <c r="D19" s="546" t="s">
        <v>169</v>
      </c>
      <c r="E19" s="548" t="s">
        <v>518</v>
      </c>
      <c r="F19" s="567" t="s">
        <v>12</v>
      </c>
      <c r="G19" s="507">
        <v>0.45</v>
      </c>
      <c r="H19" s="467">
        <f>J19-SUM(H16:H18)-'Au Cal Leaching Tank'!$T$10</f>
        <v>215.99999999999997</v>
      </c>
      <c r="I19" s="462">
        <f t="shared" si="11"/>
        <v>19.31445603576751</v>
      </c>
      <c r="J19" s="508">
        <v>647</v>
      </c>
      <c r="K19" s="508">
        <v>1.31</v>
      </c>
      <c r="L19" s="507">
        <v>0.73</v>
      </c>
      <c r="M19" s="468">
        <f>J19*K19*G19-SUM(M16:M18)-'Au Cal Leaching Tank'!$U$10</f>
        <v>127.33200000000005</v>
      </c>
      <c r="N19" s="1460">
        <f>SUM(M19:M20)</f>
        <v>185.59190000000007</v>
      </c>
      <c r="O19" s="467">
        <f t="shared" si="7"/>
        <v>8.9775793184488872</v>
      </c>
      <c r="P19" s="467">
        <f>(900-R19)/60</f>
        <v>14.183333333333334</v>
      </c>
      <c r="Q19" s="467">
        <f>900-R19</f>
        <v>851</v>
      </c>
      <c r="R19" s="467">
        <f>'Milling Down Time Hours'!G19+30</f>
        <v>49</v>
      </c>
      <c r="S19" s="1368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0">
        <f t="shared" si="8"/>
        <v>116.12678400000003</v>
      </c>
      <c r="X19" s="554">
        <f t="shared" si="9"/>
        <v>121.38984000000004</v>
      </c>
      <c r="Y19" s="554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397">
        <v>4</v>
      </c>
      <c r="B20" s="1572">
        <v>46272</v>
      </c>
      <c r="C20" s="1573"/>
      <c r="D20" s="549" t="s">
        <v>509</v>
      </c>
      <c r="E20" s="624" t="s">
        <v>549</v>
      </c>
      <c r="F20" s="568" t="s">
        <v>13</v>
      </c>
      <c r="G20" s="487">
        <v>0.41</v>
      </c>
      <c r="H20" s="472">
        <f>J20-'Au Cal Leaching Tank'!$T$11</f>
        <v>107.15</v>
      </c>
      <c r="I20" s="478">
        <f>H20/((720-R20)/60)</f>
        <v>9.5103550295857993</v>
      </c>
      <c r="J20" s="488">
        <v>215</v>
      </c>
      <c r="K20" s="488">
        <v>1.28</v>
      </c>
      <c r="L20" s="487">
        <v>0.73</v>
      </c>
      <c r="M20" s="477">
        <f>J20*K20*G20-'Au Cal Leaching Tank'!$U$11</f>
        <v>58.259900000000002</v>
      </c>
      <c r="N20" s="1368"/>
      <c r="O20" s="472">
        <f t="shared" si="7"/>
        <v>6.2870395683453237</v>
      </c>
      <c r="P20" s="472">
        <f>(600-R20)/60</f>
        <v>9.2666666666666675</v>
      </c>
      <c r="Q20" s="472">
        <f>600-R20</f>
        <v>556</v>
      </c>
      <c r="R20" s="472">
        <f>'Milling Down Time Hours'!G20-30</f>
        <v>44</v>
      </c>
      <c r="S20" s="1403">
        <f>SUM(M20:M23)</f>
        <v>316.93529999999998</v>
      </c>
      <c r="T20" s="584">
        <f>AVERAGE('LT Ball Mill'!F37:F39)</f>
        <v>0.53033333333333343</v>
      </c>
      <c r="U20" s="584">
        <f>AVERAGE('LT Ball Mill'!G37:G39)</f>
        <v>1.07</v>
      </c>
      <c r="V20" s="584">
        <f>AVERAGE('LT Ball Mill'!H37:H39)</f>
        <v>8.9266666666666676</v>
      </c>
      <c r="W20" s="473">
        <f t="shared" si="8"/>
        <v>30.897166966666674</v>
      </c>
      <c r="X20" s="486">
        <f t="shared" si="9"/>
        <v>62.338093000000008</v>
      </c>
      <c r="Y20" s="486">
        <f t="shared" si="10"/>
        <v>520.0667073333334</v>
      </c>
    </row>
    <row r="21" spans="1:32" ht="15" thickBot="1" x14ac:dyDescent="0.35">
      <c r="A21" s="1397"/>
      <c r="B21" s="1427">
        <v>46273</v>
      </c>
      <c r="C21" s="1428"/>
      <c r="D21" s="550" t="s">
        <v>169</v>
      </c>
      <c r="E21" s="550" t="s">
        <v>519</v>
      </c>
      <c r="F21" s="568" t="s">
        <v>12</v>
      </c>
      <c r="G21" s="487">
        <v>0.42</v>
      </c>
      <c r="H21" s="472">
        <f>J21-'Au Cal Leaching Tank'!$T$11-SUM(H20)</f>
        <v>188.99999999999997</v>
      </c>
      <c r="I21" s="478">
        <f t="shared" si="11"/>
        <v>18.290322580645157</v>
      </c>
      <c r="J21" s="488">
        <v>404</v>
      </c>
      <c r="K21" s="488">
        <v>1.29</v>
      </c>
      <c r="L21" s="487">
        <v>0.75</v>
      </c>
      <c r="M21" s="477">
        <f>J21*K21*G21-'Au Cal Leaching Tank'!$U$11-SUM(M20)</f>
        <v>106.05519999999997</v>
      </c>
      <c r="N21" s="1556">
        <f>SUM(M21:M22)</f>
        <v>193.82679999999999</v>
      </c>
      <c r="O21" s="472">
        <f t="shared" si="7"/>
        <v>10.2634064516129</v>
      </c>
      <c r="P21" s="472">
        <f>(720-R21)/60</f>
        <v>10.333333333333334</v>
      </c>
      <c r="Q21" s="472">
        <f>720-R21</f>
        <v>620</v>
      </c>
      <c r="R21" s="472">
        <f>'Milling Down Time Hours'!G21</f>
        <v>100</v>
      </c>
      <c r="S21" s="1403"/>
      <c r="T21" s="584">
        <f>AVERAGE('LT Ball Mill'!F40:F42)</f>
        <v>0.64666666666666672</v>
      </c>
      <c r="U21" s="584">
        <f>AVERAGE('LT Ball Mill'!G40:G42)</f>
        <v>0.96333333333333326</v>
      </c>
      <c r="V21" s="584">
        <f>AVERAGE('LT Ball Mill'!H40:H42)</f>
        <v>9.1033333333333335</v>
      </c>
      <c r="W21" s="473">
        <f t="shared" si="8"/>
        <v>68.582362666666654</v>
      </c>
      <c r="X21" s="486">
        <f t="shared" si="9"/>
        <v>102.16650933333329</v>
      </c>
      <c r="Y21" s="486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397"/>
      <c r="B22" s="1429"/>
      <c r="C22" s="1430"/>
      <c r="D22" s="551" t="s">
        <v>523</v>
      </c>
      <c r="E22" s="552" t="s">
        <v>529</v>
      </c>
      <c r="F22" s="565" t="s">
        <v>13</v>
      </c>
      <c r="G22" s="539">
        <v>0.42</v>
      </c>
      <c r="H22" s="472">
        <f>J22-'Au Cal Leaching Tank'!$T$11-SUM(H20:H21)</f>
        <v>162</v>
      </c>
      <c r="I22" s="478">
        <f t="shared" si="11"/>
        <v>17.142857142857146</v>
      </c>
      <c r="J22" s="540">
        <v>566</v>
      </c>
      <c r="K22" s="540">
        <v>1.29</v>
      </c>
      <c r="L22" s="539">
        <v>0.75</v>
      </c>
      <c r="M22" s="477">
        <f>J22*K22*G22-'Au Cal Leaching Tank'!$U$11-SUM(M20:M21)</f>
        <v>87.771600000000035</v>
      </c>
      <c r="N22" s="1569"/>
      <c r="O22" s="472">
        <f t="shared" si="7"/>
        <v>9.2880000000000038</v>
      </c>
      <c r="P22" s="472">
        <f>(720-R22)/60</f>
        <v>9.4499999999999993</v>
      </c>
      <c r="Q22" s="472">
        <f>720-R22</f>
        <v>567</v>
      </c>
      <c r="R22" s="472">
        <f>'Milling Down Time Hours'!G22</f>
        <v>153</v>
      </c>
      <c r="S22" s="1403"/>
      <c r="T22" s="584">
        <f>AVERAGE('LT Ball Mill'!F43:F45)</f>
        <v>0.6349999999999999</v>
      </c>
      <c r="U22" s="584">
        <f>AVERAGE('LT Ball Mill'!G43:G45)</f>
        <v>1.0333333333333334</v>
      </c>
      <c r="V22" s="584">
        <f>AVERAGE('LT Ball Mill'!H43:H45)</f>
        <v>7.81</v>
      </c>
      <c r="W22" s="473">
        <f t="shared" si="8"/>
        <v>55.734966000000014</v>
      </c>
      <c r="X22" s="486">
        <f t="shared" si="9"/>
        <v>90.697320000000047</v>
      </c>
      <c r="Y22" s="486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397"/>
      <c r="B23" s="1427">
        <v>46274</v>
      </c>
      <c r="C23" s="1428"/>
      <c r="D23" s="553" t="s">
        <v>169</v>
      </c>
      <c r="E23" s="572" t="s">
        <v>521</v>
      </c>
      <c r="F23" s="562" t="s">
        <v>12</v>
      </c>
      <c r="G23" s="480">
        <v>0.44</v>
      </c>
      <c r="H23" s="472">
        <f>J23-'Au Cal Leaching Tank'!$T$11-SUM(H20:H22)</f>
        <v>81</v>
      </c>
      <c r="I23" s="478">
        <f>H23/((720-R23)/60)</f>
        <v>27</v>
      </c>
      <c r="J23" s="481">
        <v>647</v>
      </c>
      <c r="K23" s="481">
        <v>1.3049999999999999</v>
      </c>
      <c r="L23" s="480">
        <v>0.75</v>
      </c>
      <c r="M23" s="477">
        <f>J23*K23*G23-'Au Cal Leaching Tank'!$U$11-SUM(M20:M22)</f>
        <v>64.848599999999976</v>
      </c>
      <c r="N23" s="486">
        <f>SUM(M23:M24)</f>
        <v>64.848599999999976</v>
      </c>
      <c r="O23" s="472">
        <f t="shared" si="7"/>
        <v>21.616199999999992</v>
      </c>
      <c r="P23" s="472">
        <f>(720-R23)/60</f>
        <v>3</v>
      </c>
      <c r="Q23" s="472">
        <f>720-R23</f>
        <v>180</v>
      </c>
      <c r="R23" s="472">
        <f>'Milling Down Time Hours'!G23</f>
        <v>540</v>
      </c>
      <c r="S23" s="1403"/>
      <c r="T23" s="584">
        <f>AVERAGE('LT Ball Mill'!F46:F48)</f>
        <v>0.59233333333333327</v>
      </c>
      <c r="U23" s="584">
        <f>AVERAGE('LT Ball Mill'!G46:G48)</f>
        <v>0.66666666666666663</v>
      </c>
      <c r="V23" s="584">
        <f>AVERAGE('LT Ball Mill'!H46:H48)</f>
        <v>7.2399999999999993</v>
      </c>
      <c r="W23" s="473">
        <f t="shared" si="8"/>
        <v>38.41198739999998</v>
      </c>
      <c r="X23" s="486">
        <f t="shared" si="9"/>
        <v>43.232399999999984</v>
      </c>
      <c r="Y23" s="486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45">
        <v>46274</v>
      </c>
      <c r="C24" s="1446"/>
      <c r="D24" s="456" t="s">
        <v>523</v>
      </c>
      <c r="E24" s="623" t="s">
        <v>548</v>
      </c>
      <c r="F24" s="569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3"/>
      <c r="O24" s="424" t="str">
        <f>IFERROR(M24/P24,"")</f>
        <v/>
      </c>
      <c r="P24" s="424">
        <f>(720-R24)/60</f>
        <v>0</v>
      </c>
      <c r="Q24" s="424">
        <f>720-R24</f>
        <v>0</v>
      </c>
      <c r="R24" s="424">
        <f>'Milling Down Time Hours'!G24</f>
        <v>720</v>
      </c>
      <c r="S24" s="459"/>
      <c r="T24" s="581"/>
      <c r="U24" s="581"/>
      <c r="V24" s="582"/>
      <c r="W24" s="583">
        <f t="shared" si="8"/>
        <v>0</v>
      </c>
      <c r="X24" s="459">
        <f t="shared" si="9"/>
        <v>0</v>
      </c>
      <c r="Y24" s="459">
        <f t="shared" si="10"/>
        <v>0</v>
      </c>
      <c r="AA24" s="13" t="s">
        <v>218</v>
      </c>
      <c r="AB24" s="420">
        <f>3.14*AB23*AB23*AB22</f>
        <v>287.59887999999995</v>
      </c>
      <c r="AC24" s="6"/>
    </row>
    <row r="25" spans="1:32" x14ac:dyDescent="0.3">
      <c r="A25" s="1398">
        <v>5</v>
      </c>
      <c r="B25" s="1431">
        <v>46275</v>
      </c>
      <c r="C25" s="1432"/>
      <c r="D25" s="576" t="s">
        <v>169</v>
      </c>
      <c r="E25" s="577" t="s">
        <v>522</v>
      </c>
      <c r="F25" s="566" t="s">
        <v>12</v>
      </c>
      <c r="G25" s="482">
        <v>0.44</v>
      </c>
      <c r="H25" s="467">
        <f>J25-'Au Cal Leaching Tank'!$T$14</f>
        <v>215.15</v>
      </c>
      <c r="I25" s="467">
        <f t="shared" ref="I25:I42" si="13">H25/((720-R25)/60)</f>
        <v>20.361198738170348</v>
      </c>
      <c r="J25" s="483">
        <v>323</v>
      </c>
      <c r="K25" s="483">
        <v>1.3</v>
      </c>
      <c r="L25" s="482">
        <v>0.75</v>
      </c>
      <c r="M25" s="467">
        <f>J25*K25*G25-'Au Cal Leaching Tank'!$U$12</f>
        <v>123.06580000000004</v>
      </c>
      <c r="N25" s="1385">
        <f>SUM(M25:M26)</f>
        <v>262.08779999999996</v>
      </c>
      <c r="O25" s="467">
        <f t="shared" ref="O25:O26" si="14">M25/P25</f>
        <v>11.646605678233442</v>
      </c>
      <c r="P25" s="467">
        <f t="shared" ref="P25:P26" si="15">(720-R25)/60</f>
        <v>10.566666666666666</v>
      </c>
      <c r="Q25" s="467">
        <f t="shared" ref="Q25:Q26" si="16">720-R25</f>
        <v>634</v>
      </c>
      <c r="R25" s="467">
        <f>'Milling Down Time Hours'!G25</f>
        <v>86</v>
      </c>
      <c r="S25" s="1385">
        <f>SUM(N25:N27)</f>
        <v>327.09421250000003</v>
      </c>
      <c r="T25" s="556">
        <f>AVERAGE('LT Ball Mill'!F54)</f>
        <v>0.73</v>
      </c>
      <c r="U25" s="556">
        <f>AVERAGE('LT Ball Mill'!G54)</f>
        <v>0.63</v>
      </c>
      <c r="V25" s="556">
        <f>AVERAGE('LT Ball Mill'!H54)</f>
        <v>8.57</v>
      </c>
      <c r="W25" s="470">
        <f t="shared" si="2"/>
        <v>89.838034000000022</v>
      </c>
      <c r="X25" s="554">
        <f t="shared" si="3"/>
        <v>77.531454000000025</v>
      </c>
      <c r="Y25" s="554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398"/>
      <c r="B26" s="1433"/>
      <c r="C26" s="1434"/>
      <c r="D26" s="578" t="s">
        <v>541</v>
      </c>
      <c r="E26" s="579"/>
      <c r="F26" s="566" t="s">
        <v>13</v>
      </c>
      <c r="G26" s="482">
        <v>0.42</v>
      </c>
      <c r="H26" s="467">
        <f>J26-'Au Cal Leaching Tank'!$T$14-SUM(H25)</f>
        <v>270</v>
      </c>
      <c r="I26" s="467">
        <f t="shared" si="13"/>
        <v>25.796178343949045</v>
      </c>
      <c r="J26" s="483">
        <v>593</v>
      </c>
      <c r="K26" s="483">
        <v>1.3</v>
      </c>
      <c r="L26" s="482">
        <v>0.75</v>
      </c>
      <c r="M26" s="467">
        <f>(J26*K26*G26-'Au Cal Leaching Tank'!$U$12)-M25</f>
        <v>139.02199999999993</v>
      </c>
      <c r="N26" s="1407"/>
      <c r="O26" s="467">
        <f t="shared" si="14"/>
        <v>13.282356687898083</v>
      </c>
      <c r="P26" s="467">
        <f t="shared" si="15"/>
        <v>10.466666666666667</v>
      </c>
      <c r="Q26" s="467">
        <f t="shared" si="16"/>
        <v>628</v>
      </c>
      <c r="R26" s="467">
        <f>'Milling Down Time Hours'!G26</f>
        <v>92.000000000000014</v>
      </c>
      <c r="S26" s="1385"/>
      <c r="T26" s="556">
        <f>AVERAGE('LT Ball Mill'!F55:F57)</f>
        <v>0.51600000000000001</v>
      </c>
      <c r="U26" s="556">
        <f>AVERAGE('LT Ball Mill'!G55:G57)</f>
        <v>0.43</v>
      </c>
      <c r="V26" s="556">
        <f>AVERAGE('LT Ball Mill'!H55:H57)</f>
        <v>9.2766666666666655</v>
      </c>
      <c r="W26" s="470">
        <f t="shared" si="2"/>
        <v>71.735351999999963</v>
      </c>
      <c r="X26" s="554">
        <f t="shared" si="3"/>
        <v>59.779459999999972</v>
      </c>
      <c r="Y26" s="554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398"/>
      <c r="B27" s="1431">
        <v>46276</v>
      </c>
      <c r="C27" s="1432"/>
      <c r="D27" s="678" t="s">
        <v>540</v>
      </c>
      <c r="E27" s="640" t="s">
        <v>554</v>
      </c>
      <c r="F27" s="566" t="s">
        <v>12</v>
      </c>
      <c r="G27" s="482">
        <v>0.4</v>
      </c>
      <c r="H27" s="467">
        <f>J27-'Au Cal Leaching Tank'!$T$14-SUM(H25:H26)</f>
        <v>54</v>
      </c>
      <c r="I27" s="467">
        <f t="shared" si="13"/>
        <v>4.9165402124430964</v>
      </c>
      <c r="J27" s="467">
        <v>647</v>
      </c>
      <c r="K27" s="483">
        <v>1.27</v>
      </c>
      <c r="L27" s="482">
        <v>0.75</v>
      </c>
      <c r="M27" s="467">
        <f>(J27*K27*G27-'Au Cal Leaching Tank'!$U$12)-SUM(M25:M26)</f>
        <v>4.8980000000000814</v>
      </c>
      <c r="N27" s="1422">
        <f>SUM(M27:M28)</f>
        <v>65.006412500000096</v>
      </c>
      <c r="O27" s="467">
        <f>M27/P27</f>
        <v>0.9828762541806183</v>
      </c>
      <c r="P27" s="467">
        <f>(360-R27)/60</f>
        <v>4.9833333333333334</v>
      </c>
      <c r="Q27" s="467">
        <f>360-R27</f>
        <v>299</v>
      </c>
      <c r="R27" s="467">
        <f>'Milling Down Time Hours'!G27</f>
        <v>61</v>
      </c>
      <c r="S27" s="1385"/>
      <c r="T27" s="556">
        <f>AVERAGE('LT Ball Mill'!F55:F57)</f>
        <v>0.51600000000000001</v>
      </c>
      <c r="U27" s="556">
        <f>AVERAGE('LT Ball Mill'!G55:G57)</f>
        <v>0.43</v>
      </c>
      <c r="V27" s="556">
        <f>AVERAGE('LT Ball Mill'!H55:H57)</f>
        <v>9.2766666666666655</v>
      </c>
      <c r="W27" s="470">
        <f>T27*M27</f>
        <v>2.5273680000000422</v>
      </c>
      <c r="X27" s="554">
        <f>M27*U27</f>
        <v>2.106140000000035</v>
      </c>
      <c r="Y27" s="554">
        <f>M27*V27</f>
        <v>45.437113333334082</v>
      </c>
      <c r="AD27" s="445"/>
    </row>
    <row r="28" spans="1:32" x14ac:dyDescent="0.3">
      <c r="A28" s="677"/>
      <c r="B28" s="1301">
        <v>46276</v>
      </c>
      <c r="C28" s="1301"/>
      <c r="D28" s="679" t="s">
        <v>540</v>
      </c>
      <c r="E28" s="695" t="s">
        <v>582</v>
      </c>
      <c r="F28" s="671" t="s">
        <v>12</v>
      </c>
      <c r="G28" s="672">
        <v>0.42</v>
      </c>
      <c r="H28" s="673">
        <f>J28-'Au Cal Leaching Tank'!$T$15</f>
        <v>107.15</v>
      </c>
      <c r="I28" s="674">
        <f>H28/((360-R28)/60)</f>
        <v>17.858333333333334</v>
      </c>
      <c r="J28" s="673">
        <v>215</v>
      </c>
      <c r="K28" s="675">
        <v>1.29</v>
      </c>
      <c r="L28" s="672">
        <v>0.75</v>
      </c>
      <c r="M28" s="674">
        <f>(J28*K28*G28)-'Au Cal Leaching Tank'!$U$13</f>
        <v>60.108412500000014</v>
      </c>
      <c r="N28" s="1555"/>
      <c r="O28" s="674">
        <f>M28/P28</f>
        <v>10.018068750000003</v>
      </c>
      <c r="P28" s="674">
        <f>(360-R28)/60</f>
        <v>6</v>
      </c>
      <c r="Q28" s="673">
        <v>360</v>
      </c>
      <c r="R28" s="673">
        <v>0</v>
      </c>
      <c r="S28" s="1413">
        <f>SUM(M28:M31)</f>
        <v>277.03691250000003</v>
      </c>
      <c r="T28" s="694">
        <f>AVERAGE('LT Ball Mill'!F58:F60)</f>
        <v>1.4286666666666665</v>
      </c>
      <c r="U28" s="694">
        <f>AVERAGE('LT Ball Mill'!G58:G60)</f>
        <v>0.99333333333333329</v>
      </c>
      <c r="V28" s="694">
        <f>AVERAGE('LT Ball Mill'!H58:H60)</f>
        <v>9.1333333333333329</v>
      </c>
      <c r="W28" s="473">
        <f>T28*M28</f>
        <v>85.874885325000008</v>
      </c>
      <c r="X28" s="486">
        <f>M28*U28</f>
        <v>59.707689750000014</v>
      </c>
      <c r="Y28" s="486">
        <f>M28*V28</f>
        <v>548.9901675000001</v>
      </c>
      <c r="AD28" s="445"/>
    </row>
    <row r="29" spans="1:32" ht="43.8" thickBot="1" x14ac:dyDescent="0.35">
      <c r="A29" s="1397">
        <v>6</v>
      </c>
      <c r="B29" s="1566">
        <v>46276</v>
      </c>
      <c r="C29" s="1567"/>
      <c r="D29" s="688" t="s">
        <v>550</v>
      </c>
      <c r="E29" s="689" t="s">
        <v>547</v>
      </c>
      <c r="F29" s="690" t="s">
        <v>13</v>
      </c>
      <c r="G29" s="489">
        <v>0.45</v>
      </c>
      <c r="H29" s="541">
        <f>J29-'Au Cal Leaching Tank'!$T$15-SUM(H28)</f>
        <v>72</v>
      </c>
      <c r="I29" s="541">
        <f t="shared" si="13"/>
        <v>36</v>
      </c>
      <c r="J29" s="490">
        <v>287</v>
      </c>
      <c r="K29" s="490">
        <v>1.29</v>
      </c>
      <c r="L29" s="489">
        <v>0.75</v>
      </c>
      <c r="M29" s="472">
        <f>(J29*K29*G29)-'Au Cal Leaching Tank'!$U$13-SUM(M28)</f>
        <v>50.116500000000016</v>
      </c>
      <c r="N29" s="474">
        <f>M29</f>
        <v>50.116500000000016</v>
      </c>
      <c r="O29" s="541">
        <f>M29/P29</f>
        <v>25.058250000000008</v>
      </c>
      <c r="P29" s="541">
        <f>(720-R29)/60</f>
        <v>2</v>
      </c>
      <c r="Q29" s="541">
        <f>720-R29</f>
        <v>120</v>
      </c>
      <c r="R29" s="541">
        <f>'Milling Down Time Hours'!G28</f>
        <v>600</v>
      </c>
      <c r="S29" s="1568"/>
      <c r="T29" s="574">
        <f>AVERAGE('LT Ball Mill'!F61:F63)</f>
        <v>0.26499999999999996</v>
      </c>
      <c r="U29" s="574">
        <f>AVERAGE('LT Ball Mill'!G61:G63)</f>
        <v>0.57333333333333336</v>
      </c>
      <c r="V29" s="574">
        <f>AVERAGE('LT Ball Mill'!H61:H63)</f>
        <v>7.5933333333333337</v>
      </c>
      <c r="W29" s="575">
        <f>T29*M29</f>
        <v>13.280872500000003</v>
      </c>
      <c r="X29" s="533">
        <f>M29*U29</f>
        <v>28.733460000000012</v>
      </c>
      <c r="Y29" s="533">
        <f>M29*V29</f>
        <v>380.55129000000017</v>
      </c>
      <c r="AB29" s="29">
        <f>AB25-62</f>
        <v>75.263101818181809</v>
      </c>
    </row>
    <row r="30" spans="1:32" ht="29.4" thickBot="1" x14ac:dyDescent="0.35">
      <c r="A30" s="1397"/>
      <c r="B30" s="1427">
        <v>46277</v>
      </c>
      <c r="C30" s="1428"/>
      <c r="D30" s="691" t="s">
        <v>551</v>
      </c>
      <c r="E30" s="692" t="s">
        <v>552</v>
      </c>
      <c r="F30" s="562" t="s">
        <v>12</v>
      </c>
      <c r="G30" s="476">
        <v>0.33</v>
      </c>
      <c r="H30" s="541">
        <f>J30-'Au Cal Leaching Tank'!$T$15-SUM(H28:H29)</f>
        <v>432</v>
      </c>
      <c r="I30" s="541" t="str">
        <f>IFERROR(H30/((720-R30)/60),"")</f>
        <v/>
      </c>
      <c r="J30" s="479">
        <v>719</v>
      </c>
      <c r="K30" s="479">
        <v>1.21</v>
      </c>
      <c r="L30" s="476">
        <v>0.75</v>
      </c>
      <c r="M30" s="472">
        <f>(J30*K30*G30)-'Au Cal Leaching Tank'!$U$13-SUM(M28:M29)</f>
        <v>120.49319999999999</v>
      </c>
      <c r="N30" s="1556">
        <f>SUM(M30:M31)</f>
        <v>166.81200000000001</v>
      </c>
      <c r="O30" s="541" t="str">
        <f>IFERROR(M30/P30,"")</f>
        <v/>
      </c>
      <c r="P30" s="541">
        <f t="shared" ref="P30:P33" si="17">(720-R30)/60</f>
        <v>0</v>
      </c>
      <c r="Q30" s="493">
        <f>720-R30</f>
        <v>0</v>
      </c>
      <c r="R30" s="541">
        <f>'Milling Down Time Hours'!G29</f>
        <v>720</v>
      </c>
      <c r="S30" s="1568"/>
      <c r="T30" s="475">
        <f>AVERAGE('LT Ball Mill'!F64:F66)</f>
        <v>0.30533333333333329</v>
      </c>
      <c r="U30" s="475">
        <f>AVERAGE('LT Ball Mill'!G64:G66)</f>
        <v>0.55333333333333334</v>
      </c>
      <c r="V30" s="475">
        <f>AVERAGE('LT Ball Mill'!H64:H66)</f>
        <v>6.7966666666666669</v>
      </c>
      <c r="W30" s="473">
        <f t="shared" si="2"/>
        <v>36.790590399999992</v>
      </c>
      <c r="X30" s="486">
        <f t="shared" si="3"/>
        <v>66.672903999999988</v>
      </c>
      <c r="Y30" s="486">
        <f t="shared" si="4"/>
        <v>818.95211599999993</v>
      </c>
    </row>
    <row r="31" spans="1:32" ht="29.4" thickBot="1" x14ac:dyDescent="0.35">
      <c r="A31" s="1397"/>
      <c r="B31" s="1429"/>
      <c r="C31" s="1430"/>
      <c r="D31" s="693" t="s">
        <v>570</v>
      </c>
      <c r="E31" s="780" t="s">
        <v>586</v>
      </c>
      <c r="F31" s="565" t="s">
        <v>13</v>
      </c>
      <c r="G31" s="480">
        <v>0.33</v>
      </c>
      <c r="H31" s="541">
        <f>J31-'Au Cal Leaching Tank'!$T$15-SUM(H28:H30)</f>
        <v>116</v>
      </c>
      <c r="I31" s="541" t="str">
        <f>IFERROR(H31/((720-R31)/60),"")</f>
        <v/>
      </c>
      <c r="J31" s="481">
        <v>835</v>
      </c>
      <c r="K31" s="481">
        <v>1.21</v>
      </c>
      <c r="L31" s="480">
        <v>0.75</v>
      </c>
      <c r="M31" s="472">
        <f>(J31*K31*G31)-'Au Cal Leaching Tank'!$U$13-SUM(M28:M30)</f>
        <v>46.31880000000001</v>
      </c>
      <c r="N31" s="1557"/>
      <c r="O31" s="541" t="str">
        <f t="shared" ref="O31:O43" si="18">IFERROR(M31/P31,"")</f>
        <v/>
      </c>
      <c r="P31" s="541">
        <f t="shared" si="17"/>
        <v>0</v>
      </c>
      <c r="Q31" s="493">
        <f>720-R31</f>
        <v>0</v>
      </c>
      <c r="R31" s="541">
        <f>'Milling Down Time Hours'!G30</f>
        <v>720</v>
      </c>
      <c r="S31" s="1439"/>
      <c r="T31" s="574">
        <f>AVERAGE('LT Ball Mill'!F64:F66)</f>
        <v>0.30533333333333329</v>
      </c>
      <c r="U31" s="574">
        <f>AVERAGE('LT Ball Mill'!G64:G66)</f>
        <v>0.55333333333333334</v>
      </c>
      <c r="V31" s="574">
        <f>AVERAGE('LT Ball Mill'!H64:H66)</f>
        <v>6.7966666666666669</v>
      </c>
      <c r="W31" s="473">
        <f t="shared" si="2"/>
        <v>14.142673600000002</v>
      </c>
      <c r="X31" s="486">
        <f t="shared" si="3"/>
        <v>25.629736000000005</v>
      </c>
      <c r="Y31" s="486">
        <f t="shared" si="4"/>
        <v>314.81344400000006</v>
      </c>
      <c r="AA31" s="136"/>
      <c r="AB31" s="29"/>
    </row>
    <row r="32" spans="1:32" ht="15" thickBot="1" x14ac:dyDescent="0.35">
      <c r="B32" s="1443">
        <v>46278</v>
      </c>
      <c r="C32" s="1444"/>
      <c r="D32" s="676" t="s">
        <v>572</v>
      </c>
      <c r="E32" s="676" t="s">
        <v>571</v>
      </c>
      <c r="F32" s="570" t="s">
        <v>12</v>
      </c>
      <c r="G32" s="31"/>
      <c r="H32" s="28"/>
      <c r="I32" s="615"/>
      <c r="J32" s="28"/>
      <c r="K32" s="28"/>
      <c r="L32" s="31"/>
      <c r="M32" s="27">
        <f t="shared" si="6"/>
        <v>0</v>
      </c>
      <c r="N32" s="1447">
        <f>SUM(M32:M33)</f>
        <v>28.496569999999998</v>
      </c>
      <c r="O32" s="615" t="str">
        <f t="shared" si="18"/>
        <v/>
      </c>
      <c r="P32" s="615">
        <f>(720-R32)/60</f>
        <v>0</v>
      </c>
      <c r="Q32" s="424">
        <f t="shared" ref="Q32:Q33" si="19">720-R32</f>
        <v>0</v>
      </c>
      <c r="R32" s="424">
        <f>'Milling Down Time Hours'!G31</f>
        <v>720</v>
      </c>
      <c r="S32" s="495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5" customFormat="1" ht="15" thickBot="1" x14ac:dyDescent="0.35">
      <c r="A33" s="687">
        <v>7</v>
      </c>
      <c r="B33" s="1445"/>
      <c r="C33" s="1446"/>
      <c r="D33" s="696" t="s">
        <v>169</v>
      </c>
      <c r="E33" s="781" t="s">
        <v>588</v>
      </c>
      <c r="F33" s="697" t="s">
        <v>13</v>
      </c>
      <c r="G33" s="507">
        <v>0.38</v>
      </c>
      <c r="H33" s="547">
        <f>J33-'Au Cal Leaching Tank'!$T$14</f>
        <v>179.15</v>
      </c>
      <c r="I33" s="547">
        <f t="shared" si="13"/>
        <v>17.914999999999999</v>
      </c>
      <c r="J33" s="508">
        <v>287</v>
      </c>
      <c r="K33" s="508">
        <v>1.25</v>
      </c>
      <c r="L33" s="464">
        <v>0.75</v>
      </c>
      <c r="M33" s="698">
        <f>(H33*K33*G33)-'Au Cal Leaching Tank'!$U$14</f>
        <v>28.496569999999998</v>
      </c>
      <c r="N33" s="1448"/>
      <c r="O33" s="761">
        <f t="shared" si="18"/>
        <v>2.8496569999999997</v>
      </c>
      <c r="P33" s="547">
        <f t="shared" si="17"/>
        <v>10</v>
      </c>
      <c r="Q33" s="505">
        <f t="shared" si="19"/>
        <v>600</v>
      </c>
      <c r="R33" s="505">
        <f>'Milling Down Time Hours'!G34</f>
        <v>120.00000000000001</v>
      </c>
      <c r="S33" s="763"/>
      <c r="T33" s="469"/>
      <c r="U33" s="469"/>
      <c r="V33" s="764"/>
      <c r="W33" s="470">
        <f t="shared" si="2"/>
        <v>0</v>
      </c>
      <c r="X33" s="554">
        <f t="shared" si="3"/>
        <v>0</v>
      </c>
      <c r="Y33" s="554">
        <f t="shared" si="4"/>
        <v>0</v>
      </c>
      <c r="AA33" s="765">
        <f>125.82*1.28*41.76%</f>
        <v>67.254312959999993</v>
      </c>
      <c r="AC33" s="765">
        <f>215.7*1.29*42.92%</f>
        <v>119.42618760000001</v>
      </c>
    </row>
    <row r="34" spans="1:32" s="765" customFormat="1" ht="15" thickBot="1" x14ac:dyDescent="0.35">
      <c r="A34" s="687"/>
      <c r="B34" s="1431">
        <v>46279</v>
      </c>
      <c r="C34" s="1432"/>
      <c r="D34" s="501"/>
      <c r="E34" s="501"/>
      <c r="F34" s="560" t="s">
        <v>12</v>
      </c>
      <c r="G34" s="482"/>
      <c r="H34" s="547">
        <f>J34-'Au Cal Leaching Tank'!$T$14-SUM(H33)</f>
        <v>-287</v>
      </c>
      <c r="I34" s="547">
        <f t="shared" si="13"/>
        <v>-23.916666666666668</v>
      </c>
      <c r="J34" s="483"/>
      <c r="K34" s="483"/>
      <c r="L34" s="464"/>
      <c r="M34" s="698">
        <f>(H34*K34*G34)-'Au Cal Leaching Tank'!$U$14-SUM(M33)</f>
        <v>-85.096249999999998</v>
      </c>
      <c r="N34" s="1558">
        <f>SUM(M34:M35)</f>
        <v>-85.096249999999998</v>
      </c>
      <c r="O34" s="761" t="str">
        <f t="shared" si="18"/>
        <v/>
      </c>
      <c r="P34" s="762"/>
      <c r="Q34" s="762"/>
      <c r="R34" s="505">
        <f>'Milling Down Time Hours'!G35</f>
        <v>0</v>
      </c>
      <c r="S34" s="766"/>
      <c r="T34" s="471"/>
      <c r="U34" s="471"/>
      <c r="V34" s="767"/>
      <c r="W34" s="470">
        <f t="shared" si="2"/>
        <v>0</v>
      </c>
      <c r="X34" s="554">
        <f t="shared" si="3"/>
        <v>0</v>
      </c>
      <c r="Y34" s="554">
        <f t="shared" si="4"/>
        <v>0</v>
      </c>
      <c r="AA34" s="765">
        <f>170.76*1.27*40.59%</f>
        <v>88.025584680000009</v>
      </c>
      <c r="AC34" s="765">
        <f>AC33-AC32</f>
        <v>80.307698400000007</v>
      </c>
    </row>
    <row r="35" spans="1:32" s="765" customFormat="1" ht="15" thickBot="1" x14ac:dyDescent="0.35">
      <c r="A35" s="687"/>
      <c r="B35" s="1433"/>
      <c r="C35" s="1434"/>
      <c r="D35" s="501"/>
      <c r="E35" s="501"/>
      <c r="F35" s="697" t="s">
        <v>13</v>
      </c>
      <c r="G35" s="482"/>
      <c r="H35" s="547">
        <f>J35-'Au Cal Leaching Tank'!$T$14-SUM(H33:H34)</f>
        <v>0</v>
      </c>
      <c r="I35" s="547">
        <f t="shared" si="13"/>
        <v>0</v>
      </c>
      <c r="J35" s="483"/>
      <c r="K35" s="483"/>
      <c r="L35" s="464"/>
      <c r="M35" s="698">
        <f t="shared" si="6"/>
        <v>0</v>
      </c>
      <c r="N35" s="1559"/>
      <c r="O35" s="547">
        <f t="shared" si="18"/>
        <v>0</v>
      </c>
      <c r="P35" s="467">
        <f>'Milling Down Time Hours'!Q21</f>
        <v>22.933333333333334</v>
      </c>
      <c r="Q35" s="467"/>
      <c r="R35" s="467">
        <f>'Milling Down Time Hours'!P21</f>
        <v>64</v>
      </c>
      <c r="S35" s="483"/>
      <c r="T35" s="469"/>
      <c r="U35" s="469"/>
      <c r="V35" s="764"/>
      <c r="W35" s="470">
        <f t="shared" si="2"/>
        <v>0</v>
      </c>
      <c r="X35" s="554">
        <f t="shared" si="3"/>
        <v>0</v>
      </c>
      <c r="Y35" s="554">
        <f t="shared" si="4"/>
        <v>0</v>
      </c>
      <c r="AA35" s="768">
        <f>AA34-AA33</f>
        <v>20.771271720000016</v>
      </c>
    </row>
    <row r="36" spans="1:32" s="765" customFormat="1" ht="15" thickBot="1" x14ac:dyDescent="0.35">
      <c r="A36" s="687"/>
      <c r="B36" s="1431">
        <v>46280</v>
      </c>
      <c r="C36" s="1432"/>
      <c r="D36" s="501"/>
      <c r="E36" s="769"/>
      <c r="F36" s="560" t="s">
        <v>12</v>
      </c>
      <c r="G36" s="482"/>
      <c r="H36" s="483"/>
      <c r="I36" s="547">
        <f t="shared" si="13"/>
        <v>0</v>
      </c>
      <c r="J36" s="483"/>
      <c r="K36" s="483"/>
      <c r="L36" s="482"/>
      <c r="M36" s="698">
        <f t="shared" si="6"/>
        <v>0</v>
      </c>
      <c r="N36" s="699"/>
      <c r="O36" s="547" t="str">
        <f t="shared" si="18"/>
        <v/>
      </c>
      <c r="P36" s="467"/>
      <c r="Q36" s="467"/>
      <c r="R36" s="467"/>
      <c r="S36" s="483"/>
      <c r="T36" s="471"/>
      <c r="U36" s="471"/>
      <c r="V36" s="767"/>
      <c r="W36" s="470">
        <f t="shared" si="2"/>
        <v>0</v>
      </c>
      <c r="X36" s="554">
        <f t="shared" si="3"/>
        <v>0</v>
      </c>
      <c r="Y36" s="554">
        <f t="shared" si="4"/>
        <v>0</v>
      </c>
      <c r="AA36" s="768"/>
    </row>
    <row r="37" spans="1:32" s="765" customFormat="1" ht="15" thickBot="1" x14ac:dyDescent="0.35">
      <c r="A37" s="687"/>
      <c r="B37" s="1433"/>
      <c r="C37" s="1434"/>
      <c r="D37" s="770"/>
      <c r="E37" s="770"/>
      <c r="F37" s="697" t="s">
        <v>13</v>
      </c>
      <c r="G37" s="771"/>
      <c r="H37" s="566"/>
      <c r="I37" s="547">
        <f t="shared" si="13"/>
        <v>0</v>
      </c>
      <c r="J37" s="566"/>
      <c r="K37" s="566"/>
      <c r="L37" s="771"/>
      <c r="M37" s="698">
        <f t="shared" si="6"/>
        <v>0</v>
      </c>
      <c r="N37" s="772"/>
      <c r="O37" s="547">
        <f t="shared" si="18"/>
        <v>0</v>
      </c>
      <c r="P37" s="773">
        <f>'Milling Down Time Hours'!Q22</f>
        <v>24</v>
      </c>
      <c r="Q37" s="773"/>
      <c r="R37" s="773">
        <f>'Milling Down Time Hours'!P22</f>
        <v>0</v>
      </c>
      <c r="S37" s="566"/>
      <c r="T37" s="774"/>
      <c r="U37" s="774"/>
      <c r="V37" s="775"/>
      <c r="W37" s="470">
        <f t="shared" si="2"/>
        <v>0</v>
      </c>
      <c r="X37" s="554">
        <f t="shared" si="3"/>
        <v>0</v>
      </c>
      <c r="Y37" s="554">
        <f t="shared" si="4"/>
        <v>0</v>
      </c>
      <c r="AA37" s="765">
        <f>269.92*1.28*41.76%</f>
        <v>144.27979776000001</v>
      </c>
    </row>
    <row r="38" spans="1:32" s="765" customFormat="1" ht="15" thickBot="1" x14ac:dyDescent="0.35">
      <c r="A38" s="687"/>
      <c r="B38" s="1431">
        <v>46281</v>
      </c>
      <c r="C38" s="1432"/>
      <c r="D38" s="770"/>
      <c r="E38" s="770"/>
      <c r="F38" s="560" t="s">
        <v>12</v>
      </c>
      <c r="G38" s="771"/>
      <c r="H38" s="566"/>
      <c r="I38" s="547">
        <f t="shared" si="13"/>
        <v>0</v>
      </c>
      <c r="J38" s="566"/>
      <c r="K38" s="566"/>
      <c r="L38" s="771"/>
      <c r="M38" s="698">
        <f t="shared" si="6"/>
        <v>0</v>
      </c>
      <c r="N38" s="772"/>
      <c r="O38" s="547" t="str">
        <f t="shared" si="18"/>
        <v/>
      </c>
      <c r="P38" s="773"/>
      <c r="Q38" s="773"/>
      <c r="R38" s="773"/>
      <c r="S38" s="566"/>
      <c r="T38" s="776"/>
      <c r="U38" s="776"/>
      <c r="V38" s="777"/>
      <c r="W38" s="470">
        <f t="shared" si="2"/>
        <v>0</v>
      </c>
      <c r="X38" s="554">
        <f t="shared" si="3"/>
        <v>0</v>
      </c>
      <c r="Y38" s="554">
        <f t="shared" si="4"/>
        <v>0</v>
      </c>
      <c r="AA38" s="765">
        <f>323.55*1.29*42.92%</f>
        <v>179.13928140000002</v>
      </c>
    </row>
    <row r="39" spans="1:32" s="765" customFormat="1" ht="15" thickBot="1" x14ac:dyDescent="0.35">
      <c r="A39" s="687"/>
      <c r="B39" s="1433"/>
      <c r="C39" s="1434"/>
      <c r="D39" s="501"/>
      <c r="E39" s="778"/>
      <c r="F39" s="697" t="s">
        <v>13</v>
      </c>
      <c r="G39" s="616"/>
      <c r="H39" s="616"/>
      <c r="I39" s="547">
        <f t="shared" si="13"/>
        <v>0</v>
      </c>
      <c r="J39" s="616"/>
      <c r="K39" s="616"/>
      <c r="L39" s="483"/>
      <c r="M39" s="698">
        <f t="shared" si="6"/>
        <v>0</v>
      </c>
      <c r="N39" s="483"/>
      <c r="O39" s="547">
        <f t="shared" si="18"/>
        <v>0</v>
      </c>
      <c r="P39" s="467">
        <f>'Milling Down Time Hours'!Q23</f>
        <v>21.083333333333332</v>
      </c>
      <c r="Q39" s="467"/>
      <c r="R39" s="467">
        <f>'Milling Down Time Hours'!P23</f>
        <v>175</v>
      </c>
      <c r="S39" s="483"/>
      <c r="T39" s="1549"/>
      <c r="U39" s="1549"/>
      <c r="V39" s="1551"/>
      <c r="W39" s="470">
        <f t="shared" si="2"/>
        <v>0</v>
      </c>
      <c r="X39" s="554">
        <f t="shared" si="3"/>
        <v>0</v>
      </c>
      <c r="Y39" s="554">
        <f t="shared" si="4"/>
        <v>0</v>
      </c>
      <c r="AA39" s="765">
        <f>AA38-AA37</f>
        <v>34.859483640000008</v>
      </c>
    </row>
    <row r="40" spans="1:32" s="765" customFormat="1" ht="15" thickBot="1" x14ac:dyDescent="0.35">
      <c r="A40" s="687"/>
      <c r="B40" s="1443">
        <v>46282</v>
      </c>
      <c r="C40" s="1444"/>
      <c r="D40" s="483"/>
      <c r="E40" s="483"/>
      <c r="F40" s="560" t="s">
        <v>12</v>
      </c>
      <c r="G40" s="616"/>
      <c r="H40" s="616"/>
      <c r="I40" s="547">
        <f t="shared" si="13"/>
        <v>0</v>
      </c>
      <c r="J40" s="616"/>
      <c r="K40" s="616"/>
      <c r="L40" s="483"/>
      <c r="M40" s="698">
        <f t="shared" si="6"/>
        <v>0</v>
      </c>
      <c r="N40" s="483"/>
      <c r="O40" s="547" t="str">
        <f t="shared" si="18"/>
        <v/>
      </c>
      <c r="P40" s="467"/>
      <c r="Q40" s="467"/>
      <c r="R40" s="467"/>
      <c r="S40" s="483"/>
      <c r="T40" s="1550"/>
      <c r="U40" s="1550"/>
      <c r="V40" s="1552"/>
      <c r="W40" s="470">
        <f t="shared" si="2"/>
        <v>0</v>
      </c>
      <c r="X40" s="554">
        <f t="shared" si="3"/>
        <v>0</v>
      </c>
      <c r="Y40" s="554">
        <f t="shared" si="4"/>
        <v>0</v>
      </c>
      <c r="AA40" s="779" t="s">
        <v>507</v>
      </c>
      <c r="AF40" s="765">
        <f>53-6-17</f>
        <v>30</v>
      </c>
    </row>
    <row r="41" spans="1:32" s="765" customFormat="1" ht="15" thickBot="1" x14ac:dyDescent="0.35">
      <c r="A41" s="687"/>
      <c r="B41" s="1445"/>
      <c r="C41" s="1446"/>
      <c r="D41" s="501"/>
      <c r="E41" s="778"/>
      <c r="F41" s="697" t="s">
        <v>13</v>
      </c>
      <c r="G41" s="482"/>
      <c r="H41" s="467"/>
      <c r="I41" s="547">
        <f t="shared" si="13"/>
        <v>0</v>
      </c>
      <c r="J41" s="467"/>
      <c r="K41" s="483"/>
      <c r="L41" s="482"/>
      <c r="M41" s="698">
        <f t="shared" si="6"/>
        <v>0</v>
      </c>
      <c r="N41" s="467"/>
      <c r="O41" s="547">
        <f t="shared" si="18"/>
        <v>0</v>
      </c>
      <c r="P41" s="467">
        <f>'Milling Down Time Hours'!Q24</f>
        <v>18</v>
      </c>
      <c r="Q41" s="467"/>
      <c r="R41" s="467">
        <f>'Milling Down Time Hours'!P24</f>
        <v>360</v>
      </c>
      <c r="S41" s="483"/>
      <c r="T41" s="469"/>
      <c r="U41" s="469"/>
      <c r="V41" s="764"/>
      <c r="W41" s="470">
        <f t="shared" si="2"/>
        <v>0</v>
      </c>
      <c r="X41" s="554">
        <f t="shared" si="3"/>
        <v>0</v>
      </c>
      <c r="Y41" s="554">
        <f t="shared" si="4"/>
        <v>0</v>
      </c>
      <c r="AA41" s="779"/>
      <c r="AD41" s="779"/>
      <c r="AE41" s="779"/>
    </row>
    <row r="42" spans="1:32" ht="15" thickBot="1" x14ac:dyDescent="0.35">
      <c r="B42" s="1443">
        <v>46283</v>
      </c>
      <c r="C42" s="1444"/>
      <c r="D42" s="13"/>
      <c r="E42" s="13"/>
      <c r="F42" s="570" t="s">
        <v>12</v>
      </c>
      <c r="G42" s="40"/>
      <c r="H42" s="13"/>
      <c r="I42" s="615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5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45"/>
      <c r="C43" s="1446"/>
      <c r="D43" s="36"/>
      <c r="E43" s="36"/>
      <c r="F43" s="569" t="s">
        <v>13</v>
      </c>
      <c r="G43" s="40"/>
      <c r="H43" s="13"/>
      <c r="I43" s="615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5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43">
        <v>46284</v>
      </c>
      <c r="C44" s="1444"/>
      <c r="D44" s="13"/>
      <c r="E44" s="13"/>
      <c r="F44" s="570" t="s">
        <v>12</v>
      </c>
      <c r="G44" s="40"/>
      <c r="H44" s="13"/>
      <c r="I44" s="615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45"/>
      <c r="C45" s="1446"/>
      <c r="D45" s="36"/>
      <c r="E45" s="36"/>
      <c r="F45" s="569" t="s">
        <v>13</v>
      </c>
      <c r="G45" s="40"/>
      <c r="H45" s="13"/>
      <c r="I45" s="615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43">
        <v>46285</v>
      </c>
      <c r="C46" s="1444"/>
      <c r="D46" s="13"/>
      <c r="E46" s="13"/>
      <c r="F46" s="570" t="s">
        <v>12</v>
      </c>
      <c r="G46" s="6"/>
      <c r="H46" s="6"/>
      <c r="I46" s="615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45"/>
      <c r="C47" s="1446"/>
      <c r="D47" s="36"/>
      <c r="E47" s="36"/>
      <c r="F47" s="569" t="s">
        <v>13</v>
      </c>
      <c r="G47" s="243"/>
      <c r="H47" s="13"/>
      <c r="I47" s="615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451"/>
      <c r="U47" s="1451"/>
      <c r="V47" s="1458"/>
      <c r="W47" s="159"/>
      <c r="X47" s="154"/>
      <c r="Y47" s="154"/>
    </row>
    <row r="48" spans="1:32" ht="15" thickBot="1" x14ac:dyDescent="0.35">
      <c r="B48" s="1443">
        <v>46286</v>
      </c>
      <c r="C48" s="1444"/>
      <c r="D48" s="13"/>
      <c r="E48" s="13"/>
      <c r="F48" s="570" t="s">
        <v>12</v>
      </c>
      <c r="G48" s="6"/>
      <c r="H48" s="6"/>
      <c r="I48" s="615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452"/>
      <c r="U48" s="1452"/>
      <c r="V48" s="1459"/>
      <c r="W48" s="159"/>
      <c r="X48" s="154"/>
      <c r="Y48" s="154"/>
    </row>
    <row r="49" spans="2:28" ht="15" thickBot="1" x14ac:dyDescent="0.35">
      <c r="B49" s="1445"/>
      <c r="C49" s="1446"/>
      <c r="D49" s="36"/>
      <c r="E49" s="246"/>
      <c r="F49" s="569" t="s">
        <v>13</v>
      </c>
      <c r="G49" s="6"/>
      <c r="H49" s="6"/>
      <c r="I49" s="615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451"/>
      <c r="U49" s="1451"/>
      <c r="V49" s="1458"/>
      <c r="W49" s="159"/>
      <c r="X49" s="154"/>
      <c r="Y49" s="154"/>
    </row>
    <row r="50" spans="2:28" ht="15" thickBot="1" x14ac:dyDescent="0.35">
      <c r="B50" s="1443">
        <v>46287</v>
      </c>
      <c r="C50" s="1444"/>
      <c r="D50" s="13"/>
      <c r="E50" s="13"/>
      <c r="F50" s="570" t="s">
        <v>12</v>
      </c>
      <c r="G50" s="6"/>
      <c r="H50" s="6"/>
      <c r="I50" s="615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452"/>
      <c r="U50" s="1452"/>
      <c r="V50" s="1459"/>
      <c r="W50" s="159"/>
      <c r="X50" s="154"/>
      <c r="Y50" s="154"/>
    </row>
    <row r="51" spans="2:28" ht="15" thickBot="1" x14ac:dyDescent="0.35">
      <c r="B51" s="1445"/>
      <c r="C51" s="1446"/>
      <c r="D51" s="36"/>
      <c r="E51" s="246"/>
      <c r="F51" s="569" t="s">
        <v>13</v>
      </c>
      <c r="G51" s="6"/>
      <c r="H51" s="6"/>
      <c r="I51" s="615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451"/>
      <c r="U51" s="1451"/>
      <c r="V51" s="1458"/>
      <c r="W51" s="159"/>
      <c r="X51" s="154"/>
      <c r="Y51" s="154"/>
    </row>
    <row r="52" spans="2:28" ht="15" thickBot="1" x14ac:dyDescent="0.35">
      <c r="B52" s="1443">
        <v>46288</v>
      </c>
      <c r="C52" s="1444"/>
      <c r="D52" s="13"/>
      <c r="E52" s="13"/>
      <c r="F52" s="570" t="s">
        <v>12</v>
      </c>
      <c r="G52" s="6"/>
      <c r="H52" s="6"/>
      <c r="I52" s="615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452"/>
      <c r="U52" s="1452"/>
      <c r="V52" s="1459"/>
      <c r="W52" s="159"/>
      <c r="X52" s="154"/>
      <c r="Y52" s="154"/>
    </row>
    <row r="53" spans="2:28" ht="15" thickBot="1" x14ac:dyDescent="0.35">
      <c r="B53" s="1445"/>
      <c r="C53" s="1446"/>
      <c r="D53" s="36"/>
      <c r="E53" s="36"/>
      <c r="F53" s="569" t="s">
        <v>13</v>
      </c>
      <c r="G53" s="6"/>
      <c r="H53" s="6"/>
      <c r="I53" s="615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451"/>
      <c r="U53" s="1451"/>
      <c r="V53" s="1458"/>
      <c r="W53" s="159"/>
      <c r="X53" s="154"/>
      <c r="Y53" s="154"/>
    </row>
    <row r="54" spans="2:28" ht="15" thickBot="1" x14ac:dyDescent="0.35">
      <c r="B54" s="1443">
        <v>46289</v>
      </c>
      <c r="C54" s="1444"/>
      <c r="D54" s="13"/>
      <c r="E54" s="13"/>
      <c r="F54" s="570" t="s">
        <v>12</v>
      </c>
      <c r="G54" s="6"/>
      <c r="H54" s="6"/>
      <c r="I54" s="615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452"/>
      <c r="U54" s="1452"/>
      <c r="V54" s="1459"/>
      <c r="W54" s="159"/>
      <c r="X54" s="154"/>
      <c r="Y54" s="154"/>
      <c r="AB54" s="1">
        <v>9570</v>
      </c>
    </row>
    <row r="55" spans="2:28" ht="15" thickBot="1" x14ac:dyDescent="0.35">
      <c r="B55" s="1445"/>
      <c r="C55" s="1446"/>
      <c r="D55" s="36"/>
      <c r="E55" s="36"/>
      <c r="F55" s="569" t="s">
        <v>13</v>
      </c>
      <c r="G55" s="40"/>
      <c r="H55" s="6"/>
      <c r="I55" s="615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451"/>
      <c r="U55" s="1451"/>
      <c r="V55" s="1458"/>
      <c r="W55" s="159"/>
      <c r="X55" s="154"/>
      <c r="Y55" s="154"/>
      <c r="AB55" s="1">
        <v>8795</v>
      </c>
    </row>
    <row r="56" spans="2:28" ht="15" thickBot="1" x14ac:dyDescent="0.35">
      <c r="B56" s="1443">
        <v>46290</v>
      </c>
      <c r="C56" s="1444"/>
      <c r="D56" s="13"/>
      <c r="E56" s="13"/>
      <c r="F56" s="570" t="s">
        <v>12</v>
      </c>
      <c r="G56" s="40"/>
      <c r="H56" s="6"/>
      <c r="I56" s="615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452"/>
      <c r="U56" s="1452"/>
      <c r="V56" s="1459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45"/>
      <c r="C57" s="1446"/>
      <c r="D57" s="36"/>
      <c r="E57" s="36"/>
      <c r="F57" s="569" t="s">
        <v>13</v>
      </c>
      <c r="G57" s="40"/>
      <c r="H57" s="6"/>
      <c r="I57" s="615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451"/>
      <c r="U57" s="1451"/>
      <c r="V57" s="1458"/>
      <c r="W57" s="159"/>
      <c r="X57" s="154"/>
      <c r="Y57" s="154"/>
    </row>
    <row r="58" spans="2:28" ht="15" thickBot="1" x14ac:dyDescent="0.35">
      <c r="B58" s="1443">
        <v>46291</v>
      </c>
      <c r="C58" s="1444"/>
      <c r="D58" s="13"/>
      <c r="E58" s="13"/>
      <c r="F58" s="570" t="s">
        <v>12</v>
      </c>
      <c r="G58" s="6"/>
      <c r="H58" s="6"/>
      <c r="I58" s="615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452"/>
      <c r="U58" s="1452"/>
      <c r="V58" s="1459"/>
      <c r="W58" s="159"/>
      <c r="X58" s="154"/>
      <c r="Y58" s="154"/>
    </row>
    <row r="59" spans="2:28" ht="15" thickBot="1" x14ac:dyDescent="0.35">
      <c r="B59" s="1445"/>
      <c r="C59" s="1446"/>
      <c r="D59" s="36"/>
      <c r="E59" s="36"/>
      <c r="F59" s="569" t="s">
        <v>13</v>
      </c>
      <c r="G59" s="6"/>
      <c r="H59" s="6"/>
      <c r="I59" s="615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451"/>
      <c r="U59" s="1451"/>
      <c r="V59" s="1458"/>
      <c r="W59" s="159"/>
      <c r="X59" s="154"/>
      <c r="Y59" s="154"/>
    </row>
    <row r="60" spans="2:28" ht="15" thickBot="1" x14ac:dyDescent="0.35">
      <c r="B60" s="1443">
        <v>46292</v>
      </c>
      <c r="C60" s="1444"/>
      <c r="D60" s="13"/>
      <c r="E60" s="13"/>
      <c r="F60" s="570" t="s">
        <v>12</v>
      </c>
      <c r="G60" s="6"/>
      <c r="H60" s="6"/>
      <c r="I60" s="615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452"/>
      <c r="U60" s="1452"/>
      <c r="V60" s="1459"/>
      <c r="W60" s="159"/>
      <c r="X60" s="154"/>
      <c r="Y60" s="154"/>
    </row>
    <row r="61" spans="2:28" ht="15" thickBot="1" x14ac:dyDescent="0.35">
      <c r="B61" s="1445"/>
      <c r="C61" s="1446"/>
      <c r="D61" s="36"/>
      <c r="E61" s="36"/>
      <c r="F61" s="569" t="s">
        <v>13</v>
      </c>
      <c r="G61" s="6"/>
      <c r="H61" s="6"/>
      <c r="I61" s="615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451"/>
      <c r="U61" s="1451"/>
      <c r="V61" s="1458"/>
      <c r="W61" s="159"/>
      <c r="X61" s="154"/>
      <c r="Y61" s="154"/>
    </row>
    <row r="62" spans="2:28" ht="15" thickBot="1" x14ac:dyDescent="0.35">
      <c r="B62" s="1443">
        <v>46293</v>
      </c>
      <c r="C62" s="1444"/>
      <c r="D62" s="13"/>
      <c r="E62" s="13"/>
      <c r="F62" s="570" t="s">
        <v>12</v>
      </c>
      <c r="G62" s="6"/>
      <c r="H62" s="6"/>
      <c r="I62" s="615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452"/>
      <c r="U62" s="1452"/>
      <c r="V62" s="1459"/>
      <c r="W62" s="159"/>
      <c r="X62" s="154"/>
      <c r="Y62" s="154"/>
    </row>
    <row r="63" spans="2:28" ht="15" thickBot="1" x14ac:dyDescent="0.35">
      <c r="B63" s="1445"/>
      <c r="C63" s="1446"/>
      <c r="D63" s="36"/>
      <c r="E63" s="36"/>
      <c r="F63" s="569" t="s">
        <v>13</v>
      </c>
      <c r="G63" s="6"/>
      <c r="H63" s="6"/>
      <c r="I63" s="615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453"/>
      <c r="U63" s="1453"/>
      <c r="V63" s="1455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43">
        <v>46294</v>
      </c>
      <c r="C64" s="1444"/>
      <c r="D64" s="13"/>
      <c r="E64" s="13"/>
      <c r="F64" s="570" t="s">
        <v>12</v>
      </c>
      <c r="G64" s="6"/>
      <c r="H64" s="6"/>
      <c r="I64" s="615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454"/>
      <c r="U64" s="1454"/>
      <c r="V64" s="1456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45"/>
      <c r="C65" s="1446"/>
      <c r="D65" s="36"/>
      <c r="E65" s="36"/>
      <c r="F65" s="569" t="s">
        <v>13</v>
      </c>
      <c r="G65" s="6"/>
      <c r="H65" s="6"/>
      <c r="I65" s="615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453"/>
      <c r="U65" s="1453"/>
      <c r="V65" s="1553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43">
        <v>46295</v>
      </c>
      <c r="C66" s="1444"/>
      <c r="D66" s="13"/>
      <c r="E66" s="13"/>
      <c r="F66" s="570" t="s">
        <v>12</v>
      </c>
      <c r="G66" s="6"/>
      <c r="H66" s="6"/>
      <c r="I66" s="615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454"/>
      <c r="U66" s="1454"/>
      <c r="V66" s="1554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45"/>
      <c r="C67" s="1446"/>
      <c r="D67" s="36"/>
      <c r="E67" s="36"/>
      <c r="F67" s="569" t="s">
        <v>13</v>
      </c>
      <c r="G67" s="6"/>
      <c r="H67" s="6"/>
      <c r="I67" s="615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20"/>
      <c r="Q67" s="420"/>
      <c r="R67" s="39">
        <f>'Milling Down Time Hours'!L73</f>
        <v>0</v>
      </c>
      <c r="S67" s="13"/>
      <c r="T67" s="1453"/>
      <c r="U67" s="1453"/>
      <c r="V67" s="1553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43">
        <v>46296</v>
      </c>
      <c r="C68" s="1444"/>
      <c r="D68" s="13"/>
      <c r="E68" s="13"/>
      <c r="F68" s="570" t="s">
        <v>12</v>
      </c>
      <c r="G68" s="6"/>
      <c r="H68" s="6"/>
      <c r="I68" s="615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20"/>
      <c r="Q68" s="420"/>
      <c r="R68" s="39"/>
      <c r="S68" s="13"/>
      <c r="T68" s="1454"/>
      <c r="U68" s="1454"/>
      <c r="V68" s="1554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45"/>
      <c r="C69" s="1446"/>
      <c r="D69" s="36"/>
      <c r="E69" s="36"/>
      <c r="F69" s="569" t="s">
        <v>13</v>
      </c>
      <c r="G69" s="6"/>
      <c r="H69" s="6"/>
      <c r="I69" s="615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453"/>
      <c r="U69" s="1453"/>
      <c r="V69" s="1455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43">
        <v>46297</v>
      </c>
      <c r="C70" s="1444"/>
      <c r="D70" s="13"/>
      <c r="E70" s="13"/>
      <c r="F70" s="570" t="s">
        <v>12</v>
      </c>
      <c r="G70" s="6"/>
      <c r="H70" s="6"/>
      <c r="I70" s="615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454"/>
      <c r="U70" s="1454"/>
      <c r="V70" s="1456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45"/>
      <c r="C71" s="1446"/>
      <c r="D71" s="36"/>
      <c r="E71" s="36"/>
      <c r="F71" s="569" t="s">
        <v>13</v>
      </c>
      <c r="G71" s="40"/>
      <c r="H71" s="6"/>
      <c r="I71" s="615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</v>
      </c>
      <c r="S71" s="13"/>
      <c r="T71" s="1453"/>
      <c r="U71" s="1453"/>
      <c r="V71" s="1455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43">
        <v>46298</v>
      </c>
      <c r="C72" s="1444"/>
      <c r="D72" s="13"/>
      <c r="E72" s="13"/>
      <c r="F72" s="570" t="s">
        <v>12</v>
      </c>
      <c r="G72" s="13"/>
      <c r="H72" s="6"/>
      <c r="I72" s="615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454"/>
      <c r="U72" s="1454"/>
      <c r="V72" s="1456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45"/>
      <c r="C73" s="1446"/>
      <c r="D73" s="36"/>
      <c r="E73" s="36"/>
      <c r="F73" s="569" t="s">
        <v>13</v>
      </c>
      <c r="G73" s="40"/>
      <c r="H73" s="6"/>
      <c r="I73" s="615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</v>
      </c>
      <c r="S73" s="13"/>
      <c r="T73" s="1453"/>
      <c r="U73" s="1453"/>
      <c r="V73" s="1455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43">
        <v>46299</v>
      </c>
      <c r="C74" s="1444"/>
      <c r="D74" s="13"/>
      <c r="E74" s="13"/>
      <c r="F74" s="570" t="s">
        <v>12</v>
      </c>
      <c r="G74" s="13"/>
      <c r="H74" s="6"/>
      <c r="I74" s="615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454"/>
      <c r="U74" s="1454"/>
      <c r="V74" s="1456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45"/>
      <c r="C75" s="1446"/>
      <c r="D75" s="36"/>
      <c r="E75" s="36"/>
      <c r="F75" s="569" t="s">
        <v>13</v>
      </c>
      <c r="G75" s="13"/>
      <c r="H75" s="6"/>
      <c r="I75" s="615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451"/>
      <c r="U75" s="1451"/>
      <c r="V75" s="1458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43">
        <v>46300</v>
      </c>
      <c r="C76" s="1444"/>
      <c r="D76" s="13"/>
      <c r="E76" s="13"/>
      <c r="F76" s="570" t="s">
        <v>12</v>
      </c>
      <c r="G76" s="13"/>
      <c r="H76" s="6"/>
      <c r="I76" s="615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452"/>
      <c r="U76" s="1452"/>
      <c r="V76" s="1459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45"/>
      <c r="C77" s="1446"/>
      <c r="D77" s="36"/>
      <c r="E77" s="36"/>
      <c r="F77" s="569" t="s">
        <v>13</v>
      </c>
      <c r="G77" s="40"/>
      <c r="H77" s="6"/>
      <c r="I77" s="615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453"/>
      <c r="U77" s="1453"/>
      <c r="V77" s="1455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43">
        <v>46301</v>
      </c>
      <c r="C78" s="1444"/>
      <c r="D78" s="13"/>
      <c r="E78" s="13"/>
      <c r="F78" s="570" t="s">
        <v>12</v>
      </c>
      <c r="G78" s="13"/>
      <c r="H78" s="6"/>
      <c r="I78" s="615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454"/>
      <c r="U78" s="1454"/>
      <c r="V78" s="1456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49"/>
      <c r="C79" s="1450"/>
      <c r="D79" s="36"/>
      <c r="E79" s="36"/>
      <c r="F79" s="569" t="s">
        <v>13</v>
      </c>
      <c r="G79" s="40"/>
      <c r="H79" s="6"/>
      <c r="I79" s="615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47">
        <f>'Milling Down Time Hours'!Q43</f>
        <v>0</v>
      </c>
      <c r="Q79" s="39"/>
      <c r="R79" s="1547">
        <f>'Milling Down Time Hours'!L85</f>
        <v>0</v>
      </c>
      <c r="S79" s="13"/>
      <c r="T79" s="1453">
        <v>0.35699999999999998</v>
      </c>
      <c r="U79" s="1453">
        <v>1.056</v>
      </c>
      <c r="V79" s="1455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49"/>
      <c r="C80" s="1450"/>
      <c r="D80" s="13"/>
      <c r="E80" s="13"/>
      <c r="F80" s="570" t="s">
        <v>12</v>
      </c>
      <c r="G80" s="6"/>
      <c r="H80" s="6"/>
      <c r="I80" s="615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47"/>
      <c r="Q80" s="39"/>
      <c r="R80" s="1547"/>
      <c r="S80" s="13"/>
      <c r="T80" s="1454"/>
      <c r="U80" s="1454"/>
      <c r="V80" s="1456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49"/>
      <c r="C81" s="1450"/>
      <c r="D81" s="36"/>
      <c r="E81" s="36"/>
      <c r="F81" s="569" t="s">
        <v>13</v>
      </c>
      <c r="G81" s="6"/>
      <c r="H81" s="6"/>
      <c r="I81" s="615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47">
        <f>'Milling Down Time Hours'!M87</f>
        <v>0</v>
      </c>
      <c r="Q81" s="39"/>
      <c r="R81" s="1547">
        <f>'Milling Down Time Hours'!L87</f>
        <v>0</v>
      </c>
      <c r="S81" s="13"/>
      <c r="T81" s="1451" t="e">
        <f>SUM(#REF!)</f>
        <v>#REF!</v>
      </c>
      <c r="U81" s="1451" t="e">
        <f t="shared" ref="U81" si="26">SUM(T81:T83)</f>
        <v>#REF!</v>
      </c>
      <c r="V81" s="1458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49"/>
      <c r="C82" s="1450"/>
      <c r="D82" s="13"/>
      <c r="E82" s="13"/>
      <c r="F82" s="570" t="s">
        <v>12</v>
      </c>
      <c r="G82" s="6"/>
      <c r="H82" s="6"/>
      <c r="I82" s="615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47"/>
      <c r="Q82" s="39"/>
      <c r="R82" s="1547"/>
      <c r="S82" s="13"/>
      <c r="T82" s="1452"/>
      <c r="U82" s="1452"/>
      <c r="V82" s="1459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49"/>
      <c r="C83" s="1450"/>
      <c r="D83" s="36"/>
      <c r="E83" s="36"/>
      <c r="F83" s="569" t="s">
        <v>13</v>
      </c>
      <c r="G83" s="6"/>
      <c r="H83" s="6"/>
      <c r="I83" s="615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47">
        <f>'Milling Down Time Hours'!M89</f>
        <v>0</v>
      </c>
      <c r="Q83" s="39"/>
      <c r="R83" s="1547">
        <f>'Milling Down Time Hours'!L89</f>
        <v>0</v>
      </c>
      <c r="S83" s="13"/>
      <c r="T83" s="1451" t="e">
        <f>SUM(#REF!)</f>
        <v>#REF!</v>
      </c>
      <c r="U83" s="1451" t="e">
        <f t="shared" ref="U83" si="28">SUM(T83:T85)</f>
        <v>#REF!</v>
      </c>
      <c r="V83" s="1458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49"/>
      <c r="C84" s="1450"/>
      <c r="D84" s="13"/>
      <c r="E84" s="13"/>
      <c r="F84" s="570" t="s">
        <v>12</v>
      </c>
      <c r="G84" s="6"/>
      <c r="H84" s="6"/>
      <c r="I84" s="615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47"/>
      <c r="Q84" s="39"/>
      <c r="R84" s="1547"/>
      <c r="S84" s="13"/>
      <c r="T84" s="1452"/>
      <c r="U84" s="1452"/>
      <c r="V84" s="1459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49"/>
      <c r="C85" s="1450"/>
      <c r="D85" s="36"/>
      <c r="E85" s="36"/>
      <c r="F85" s="569" t="s">
        <v>13</v>
      </c>
      <c r="G85" s="6"/>
      <c r="H85" s="6"/>
      <c r="I85" s="615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47">
        <f>'Milling Down Time Hours'!M91</f>
        <v>0</v>
      </c>
      <c r="Q85" s="39"/>
      <c r="R85" s="1547">
        <f>'Milling Down Time Hours'!L91</f>
        <v>0</v>
      </c>
      <c r="S85" s="13"/>
      <c r="T85" s="1451" t="e">
        <f>SUM(#REF!)</f>
        <v>#REF!</v>
      </c>
      <c r="U85" s="1451" t="e">
        <f t="shared" ref="U85" si="30">SUM(T85:T87)</f>
        <v>#REF!</v>
      </c>
      <c r="V85" s="1458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49"/>
      <c r="C86" s="1450"/>
      <c r="D86" s="13"/>
      <c r="E86" s="13"/>
      <c r="F86" s="570" t="s">
        <v>12</v>
      </c>
      <c r="G86" s="6"/>
      <c r="H86" s="6"/>
      <c r="I86" s="615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47"/>
      <c r="Q86" s="39"/>
      <c r="R86" s="1547"/>
      <c r="S86" s="13"/>
      <c r="T86" s="1452"/>
      <c r="U86" s="1452"/>
      <c r="V86" s="1459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49"/>
      <c r="C87" s="1450"/>
      <c r="D87" s="36"/>
      <c r="E87" s="36"/>
      <c r="F87" s="569" t="s">
        <v>13</v>
      </c>
      <c r="G87" s="6"/>
      <c r="H87" s="6"/>
      <c r="I87" s="615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47">
        <f>'Milling Down Time Hours'!M93</f>
        <v>0</v>
      </c>
      <c r="Q87" s="39"/>
      <c r="R87" s="1547">
        <f>'Milling Down Time Hours'!L93</f>
        <v>0</v>
      </c>
      <c r="S87" s="13"/>
      <c r="T87" s="1451" t="e">
        <f>SUM(#REF!)</f>
        <v>#REF!</v>
      </c>
      <c r="U87" s="1451" t="e">
        <f t="shared" ref="U87" si="32">SUM(T87:T89)</f>
        <v>#REF!</v>
      </c>
      <c r="V87" s="1458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49"/>
      <c r="C88" s="1450"/>
      <c r="D88" s="13"/>
      <c r="E88" s="13"/>
      <c r="F88" s="570" t="s">
        <v>12</v>
      </c>
      <c r="G88" s="6"/>
      <c r="H88" s="6"/>
      <c r="I88" s="615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47"/>
      <c r="Q88" s="39"/>
      <c r="R88" s="1547"/>
      <c r="S88" s="13"/>
      <c r="T88" s="1452"/>
      <c r="U88" s="1452"/>
      <c r="V88" s="1459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49"/>
      <c r="C89" s="1450"/>
      <c r="D89" s="36"/>
      <c r="E89" s="36"/>
      <c r="F89" s="569" t="s">
        <v>13</v>
      </c>
      <c r="G89" s="6"/>
      <c r="H89" s="6"/>
      <c r="I89" s="615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47">
        <f>'Milling Down Time Hours'!M95</f>
        <v>0</v>
      </c>
      <c r="Q89" s="39"/>
      <c r="R89" s="1547">
        <f>'Milling Down Time Hours'!L95</f>
        <v>0</v>
      </c>
      <c r="S89" s="13"/>
      <c r="T89" s="1451" t="e">
        <f>SUM(#REF!)</f>
        <v>#REF!</v>
      </c>
      <c r="U89" s="1451" t="e">
        <f t="shared" ref="U89" si="34">SUM(T89:T91)</f>
        <v>#REF!</v>
      </c>
      <c r="V89" s="1458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49"/>
      <c r="C90" s="1450"/>
      <c r="D90" s="13"/>
      <c r="E90" s="13"/>
      <c r="F90" s="570" t="s">
        <v>12</v>
      </c>
      <c r="G90" s="6"/>
      <c r="H90" s="6"/>
      <c r="I90" s="615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47"/>
      <c r="Q90" s="39"/>
      <c r="R90" s="1547"/>
      <c r="S90" s="13"/>
      <c r="T90" s="1452"/>
      <c r="U90" s="1452"/>
      <c r="V90" s="1459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49"/>
      <c r="C91" s="1450"/>
      <c r="D91" s="36"/>
      <c r="E91" s="36"/>
      <c r="F91" s="569" t="s">
        <v>13</v>
      </c>
      <c r="G91" s="6"/>
      <c r="H91" s="6"/>
      <c r="I91" s="615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47">
        <f>'Milling Down Time Hours'!M97</f>
        <v>0</v>
      </c>
      <c r="Q91" s="39"/>
      <c r="R91" s="1547">
        <f>'Milling Down Time Hours'!L97</f>
        <v>0</v>
      </c>
      <c r="S91" s="13"/>
      <c r="T91" s="1451" t="e">
        <f>SUM(#REF!)</f>
        <v>#REF!</v>
      </c>
      <c r="U91" s="1451" t="e">
        <f t="shared" ref="U91" si="36">SUM(T91:T93)</f>
        <v>#REF!</v>
      </c>
      <c r="V91" s="1458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49"/>
      <c r="C92" s="1450"/>
      <c r="D92" s="13"/>
      <c r="E92" s="13"/>
      <c r="F92" s="570" t="s">
        <v>12</v>
      </c>
      <c r="G92" s="6"/>
      <c r="H92" s="6"/>
      <c r="I92" s="615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47"/>
      <c r="Q92" s="39"/>
      <c r="R92" s="1547"/>
      <c r="S92" s="13"/>
      <c r="T92" s="1452"/>
      <c r="U92" s="1452"/>
      <c r="V92" s="1459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49"/>
      <c r="C93" s="1450"/>
      <c r="D93" s="36"/>
      <c r="E93" s="36"/>
      <c r="F93" s="569" t="s">
        <v>13</v>
      </c>
      <c r="G93" s="6"/>
      <c r="H93" s="6"/>
      <c r="I93" s="615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47">
        <f>'Milling Down Time Hours'!M99</f>
        <v>0</v>
      </c>
      <c r="Q93" s="39"/>
      <c r="R93" s="1547">
        <f>'Milling Down Time Hours'!L99</f>
        <v>0</v>
      </c>
      <c r="S93" s="13"/>
      <c r="T93" s="1451" t="e">
        <f>SUM(#REF!)</f>
        <v>#REF!</v>
      </c>
      <c r="U93" s="1451" t="e">
        <f t="shared" ref="U93" si="38">SUM(T93:T95)</f>
        <v>#REF!</v>
      </c>
      <c r="V93" s="1458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49"/>
      <c r="C94" s="1450"/>
      <c r="D94" s="13"/>
      <c r="E94" s="13"/>
      <c r="F94" s="570" t="s">
        <v>12</v>
      </c>
      <c r="G94" s="6"/>
      <c r="H94" s="6"/>
      <c r="I94" s="615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47"/>
      <c r="Q94" s="39"/>
      <c r="R94" s="1547"/>
      <c r="S94" s="13"/>
      <c r="T94" s="1452"/>
      <c r="U94" s="1452"/>
      <c r="V94" s="1459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49"/>
      <c r="C95" s="1450"/>
      <c r="D95" s="36"/>
      <c r="E95" s="36"/>
      <c r="F95" s="569" t="s">
        <v>13</v>
      </c>
      <c r="G95" s="6"/>
      <c r="H95" s="6"/>
      <c r="I95" s="615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47">
        <f>'Milling Down Time Hours'!M101</f>
        <v>0</v>
      </c>
      <c r="Q95" s="39"/>
      <c r="R95" s="1547">
        <f>'Milling Down Time Hours'!L101</f>
        <v>0</v>
      </c>
      <c r="S95" s="13"/>
      <c r="T95" s="1451" t="e">
        <f>SUM(#REF!)</f>
        <v>#REF!</v>
      </c>
      <c r="U95" s="1451" t="e">
        <f>SUM(T95:T99)</f>
        <v>#REF!</v>
      </c>
      <c r="V95" s="1458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49"/>
      <c r="C96" s="1450"/>
      <c r="D96" s="95"/>
      <c r="E96" s="95"/>
      <c r="F96" s="570" t="s">
        <v>12</v>
      </c>
      <c r="G96" s="178"/>
      <c r="H96" s="178"/>
      <c r="I96" s="615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47"/>
      <c r="Q96" s="39"/>
      <c r="R96" s="1547"/>
      <c r="S96" s="95"/>
      <c r="T96" s="1462"/>
      <c r="U96" s="1462"/>
      <c r="V96" s="146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45"/>
      <c r="C97" s="1446"/>
      <c r="D97" s="513"/>
      <c r="E97" s="513"/>
      <c r="F97" s="569" t="s">
        <v>13</v>
      </c>
      <c r="G97" s="40"/>
      <c r="H97" s="6"/>
      <c r="I97" s="615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9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8"/>
      <c r="C98" s="449"/>
      <c r="D98" s="513"/>
      <c r="E98" s="513"/>
      <c r="F98" s="570" t="s">
        <v>12</v>
      </c>
      <c r="G98" s="6"/>
      <c r="H98" s="6"/>
      <c r="I98" s="615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9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7">
        <f>SUM(Z5:Z17)</f>
        <v>1188347787.2522082</v>
      </c>
    </row>
    <row r="99" spans="2:27" ht="18" x14ac:dyDescent="0.35">
      <c r="B99" s="125" t="s">
        <v>121</v>
      </c>
      <c r="C99" s="126"/>
      <c r="D99" s="466"/>
      <c r="E99" s="466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50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6"/>
      <c r="S99" s="466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2026-10-02T10:11:20Z</dcterms:modified>
</cp:coreProperties>
</file>