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acter" sheetId="1" r:id="rId3"/>
    <sheet state="visible" name="Inventory" sheetId="2" r:id="rId4"/>
    <sheet state="visible" name="Spells" sheetId="3" r:id="rId5"/>
    <sheet state="visible" name="Log" sheetId="4" r:id="rId6"/>
    <sheet state="visible" name="ME" sheetId="5" r:id="rId7"/>
    <sheet state="visible" name="Abilities" sheetId="6" r:id="rId8"/>
    <sheet state="visible" name="Skills" sheetId="7" r:id="rId9"/>
    <sheet state="visible" name="Classes" sheetId="8" r:id="rId10"/>
    <sheet state="visible" name="CalcData" sheetId="9" r:id="rId11"/>
    <sheet state="visible" name="RaceData" sheetId="10" r:id="rId12"/>
    <sheet state="visible" name="ClassData" sheetId="11" r:id="rId13"/>
    <sheet state="hidden" name="SkillData" sheetId="12" r:id="rId14"/>
    <sheet state="visible" name="Generic Warrior" sheetId="13" r:id="rId15"/>
    <sheet state="visible" name="Generic Expert" sheetId="14" r:id="rId16"/>
    <sheet state="visible" name="Generic SpellCaster" sheetId="15" r:id="rId17"/>
  </sheets>
  <definedNames>
    <definedName localSheetId="0" name="MeleeAttackBonus">Character!$C$30</definedName>
    <definedName localSheetId="0" name="DexterityMod">Character!$C$8</definedName>
    <definedName localSheetId="0" name="WisdomMod">Character!$C$11</definedName>
    <definedName name="Races">RaceData!$A$2:$BY$101</definedName>
    <definedName name="Wis">Character!$C$11</definedName>
    <definedName name="BABTable">CalcData!$A$13:$B$15</definedName>
    <definedName name="HeavyCapacity">Inventory!$G$4</definedName>
    <definedName localSheetId="0" name="StrengthMod">Character!$C$7</definedName>
    <definedName name="BaseAttackBonus">CalcData!$K$25</definedName>
    <definedName name="RacialSkills">CalcData!$W$33:$BY$33</definedName>
    <definedName name="WisScore">CalcData!$E$22</definedName>
    <definedName localSheetId="5" name="BaseAbilities">Abilities!$B$2:$B$7</definedName>
    <definedName localSheetId="2" name="CasterLevel">Spells!$C$4</definedName>
    <definedName name="CarriedWeight">Inventory!$C$2</definedName>
    <definedName localSheetId="3" name="XP">Log!$F$5</definedName>
    <definedName localSheetId="0" name="IntelligenceMod">Character!$C$10</definedName>
    <definedName name="RacialSaves">CalcData!$T$33:$V$33</definedName>
    <definedName name="MediumCapacity">Inventory!$G$3</definedName>
    <definedName name="ConScore">CalcData!$E$20</definedName>
    <definedName name="SavesTable">CalcData!$A$13:$C$14</definedName>
    <definedName name="SkillDataTable">SkillData!$CG$1:$CP$65</definedName>
    <definedName name="Cha">Character!$C$12</definedName>
    <definedName localSheetId="10" name="Classes">ClassData!$A$2:$BT$113</definedName>
    <definedName localSheetId="0" name="Size">Character!$L$1</definedName>
    <definedName localSheetId="0" name="RangedAttackBonus">Character!$C$31</definedName>
    <definedName localSheetId="3" name="Platinum">Log!$B$5</definedName>
    <definedName localSheetId="3" name="Gold">Log!$C$5</definedName>
    <definedName name="Dex">Character!$C$8</definedName>
    <definedName name="PointBuyTable">CalcData!$S$2:$T$12</definedName>
    <definedName localSheetId="0" name="ArmorWeight">Character!$Q$21</definedName>
    <definedName name="StrScore">CalcData!$E$18</definedName>
    <definedName name="Con">Character!$C$9</definedName>
    <definedName name="Race">Abilities!$B$11</definedName>
    <definedName localSheetId="0" name="ShieldWeight">Character!$Q$26</definedName>
    <definedName name="ACP">CalcData!$F$5</definedName>
    <definedName localSheetId="8" name="Abilities">CalcData!$B$18:$D$23</definedName>
    <definedName localSheetId="3" name="Silver">Log!$D$5</definedName>
    <definedName name="RacialLA">CalcData!$R$33</definedName>
    <definedName localSheetId="0" name="GrappleAttackBonus">Character!$C$29</definedName>
    <definedName name="BaseReflexSave">CalcData!$M$25</definedName>
    <definedName localSheetId="0" name="ConstitutionMod">Character!$C$9</definedName>
    <definedName name="IntScore">CalcData!$E$21</definedName>
    <definedName localSheetId="0" name="CharismaMod">Character!$C$12</definedName>
    <definedName name="RacialHD">CalcData!$S$33</definedName>
    <definedName localSheetId="0" name="ShieldAC">Character!$N$26</definedName>
    <definedName name="HitDiceU">Classes!$J$2</definedName>
    <definedName name="CapacityTable">CalcData!$P$2:$Q$30</definedName>
    <definedName localSheetId="3" name="Copper">Log!$E$5</definedName>
    <definedName name="BonusSkillPoints">CalcData!$F$2</definedName>
    <definedName name="BaseWillSave">CalcData!$N$25</definedName>
    <definedName name="DexScore">CalcData!$E$19</definedName>
    <definedName name="BaseFortSave">CalcData!$L$25</definedName>
    <definedName localSheetId="0" name="ArmorAC">Character!$N$21</definedName>
    <definedName name="Int">Character!$C$10</definedName>
    <definedName localSheetId="8" name="Sizes">CalcData!$A$2:$D$10</definedName>
    <definedName name="HitDice">Classes!$J$4</definedName>
    <definedName name="ChaScore">CalcData!$E$23</definedName>
    <definedName name="RacialAbilities">CalcData!$I$33:$N$33</definedName>
    <definedName name="SkillMultData">SkillData!$A$1:$AN$65</definedName>
    <definedName name="Str">Character!$C$7</definedName>
    <definedName name="LightCapacity">Inventory!$G$2</definedName>
    <definedName hidden="1" localSheetId="1" name="_xlnm._FilterDatabase">Inventory!$A$19:$F$119</definedName>
    <definedName hidden="1" localSheetId="3" name="_xlnm._FilterDatabase">Log!$A$5:$H$305</definedName>
    <definedName hidden="1" localSheetId="6" name="_xlnm._FilterDatabase">Skills!$A$2:$AU$67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">
      <text>
        <t xml:space="preserve">use =Ft+in/12</t>
      </text>
    </comment>
    <comment authorId="0" ref="A2">
      <text>
        <t xml:space="preserve">Must spend levels in last 3 sheets</t>
      </text>
    </comment>
    <comment authorId="0" ref="A6">
      <text>
        <t xml:space="preserve">See skills below for more detailed info
The formula is floor((ability/2) -5)
or floor((ability-10)/2)</t>
      </text>
    </comment>
    <comment authorId="0" ref="N6">
      <text>
        <t xml:space="preserve">Override if necessary</t>
      </text>
    </comment>
    <comment authorId="0" ref="P7">
      <text>
        <t xml:space="preserve">Gnomes, and Halflings 
20ft (15ft heavy Armor)
Dwarfs 
20ft
Humans, Elves, Half-elves, Half-orcs 
30ft (20ft Medium &amp; up Armor)</t>
      </text>
    </comment>
    <comment authorId="0" ref="J8">
      <text>
        <t xml:space="preserve">Con</t>
      </text>
    </comment>
    <comment authorId="0" ref="M9">
      <text>
        <t xml:space="preserve">Modified by Temporary Buff and wounds</t>
      </text>
    </comment>
    <comment authorId="0" ref="P9">
      <text>
        <t xml:space="preserve">+0 DC 10 to swim 30ft</t>
      </text>
    </comment>
    <comment authorId="0" ref="J10">
      <text>
        <t xml:space="preserve">Cannot be restored</t>
      </text>
    </comment>
    <comment authorId="0" ref="M10">
      <text>
        <t xml:space="preserve">True Temporary HP</t>
      </text>
    </comment>
    <comment authorId="0" ref="M11">
      <text>
        <t xml:space="preserve">True Wounds</t>
      </text>
    </comment>
    <comment authorId="0" ref="L13">
      <text>
        <t xml:space="preserve">Accounts for Non lethal Damage
Cannot be Negative</t>
      </text>
    </comment>
    <comment authorId="0" ref="A14">
      <text>
        <t xml:space="preserve">WIP manualy calculate bace</t>
      </text>
    </comment>
    <comment authorId="0" ref="A19">
      <text>
        <t xml:space="preserve">AC</t>
      </text>
    </comment>
    <comment authorId="0" ref="A24">
      <text>
        <t xml:space="preserve">Add when rolling initiative
1d20</t>
      </text>
    </comment>
    <comment authorId="0" ref="A27">
      <text>
        <t xml:space="preserve">Add to your attacks 
Or use a formula to do this automatically
ex. SUM(a,C28)
where a is the bace attack</t>
      </text>
    </comment>
    <comment authorId="0" ref="A34">
      <text>
        <t xml:space="preserve">Format as...
=n&amp;" d"&amp;c
Where 'n' and 'c' are numbers</t>
      </text>
    </comment>
    <comment authorId="0" ref="D34">
      <text>
        <t xml:space="preserve">On natural 20 roll</t>
      </text>
    </comment>
    <comment authorId="0" ref="A45">
      <text>
        <t xml:space="preserve">Find Skils on !Skills
These totals include ACP and non-conditional skill synergies</t>
      </text>
    </comment>
    <comment authorId="0" ref="H45">
      <text>
        <t xml:space="preserve">This includes non-conditional synergies and size bonus to hide</t>
      </text>
    </comment>
    <comment authorId="0" ref="K45">
      <text>
        <t xml:space="preserve">Modify default Languages in !RaceData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Money and Experience is in Log</t>
      </text>
    </comment>
    <comment authorId="0" ref="C5">
      <text>
        <t xml:space="preserve">Input as =d+c/16
Where 'c' and 'd' is a number
If d is 0 do not input as c/16
c/16 automatically formats as a date</t>
      </text>
    </comment>
    <comment authorId="0" ref="D5">
      <text>
        <t xml:space="preserve">0 or blank = 1 (displays as 1)
-# = 0 ( displays as 0)</t>
      </text>
    </comment>
    <comment authorId="0" ref="A29">
      <text>
        <t xml:space="preserve">3 Compartments:
60 Arrows
18 Javelins
6 Bows/Spears
&lt;or equivalents&gt;</t>
      </text>
    </comment>
    <comment authorId="0" ref="A35">
      <text>
        <t xml:space="preserve">Pocket Capacity:
20 lbs. / 2 ft^3
80 lbs. / 8 ft^3
20 lbs. / 2 ft^3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Ignore this if not a caster.</t>
      </text>
    </comment>
    <comment authorId="0" ref="H7">
      <text>
        <t xml:space="preserve">Save only on attack or debuff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Manually convert unwanted lesser pieces to greater ones
only to lower weight</t>
      </text>
    </comment>
    <comment authorId="0" ref="A5">
      <text>
        <t xml:space="preserve">Text will wrap
Change to clip if wanted
Overflow not recommended</t>
      </text>
    </comment>
    <comment authorId="0" ref="G5">
      <text>
        <t xml:space="preserve">Spend your Lv. in Generic Warrior, Expert, and/or SpellCaster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Roll for your bace stats</t>
      </text>
    </comment>
    <comment authorId="0" ref="C1">
      <text>
        <t xml:space="preserve">Buff(s) and Debuff(s) due to Race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Blue = cross-class skill
Green = in-class skill</t>
      </text>
    </comment>
    <comment authorId="0" ref="D2">
      <text>
        <t xml:space="preserve">Shows All Data in the Row 
IDK</t>
      </text>
    </comment>
    <comment authorId="0" ref="A3">
      <text>
        <t xml:space="preserve">Approximate the Value</t>
      </text>
    </comment>
    <comment authorId="0" ref="A24">
      <text>
        <t xml:space="preserve">Magic</t>
      </text>
    </comment>
    <comment authorId="0" ref="A27">
      <text>
        <t xml:space="preserve">Maps</t>
      </text>
    </comment>
    <comment authorId="0" ref="A36">
      <text>
        <t xml:space="preserve">Like different dimensions and stuff</t>
      </text>
    </comment>
    <comment authorId="0" ref="A39">
      <text>
        <t xml:space="preserve">Sneek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Adds to Skill list</t>
      </text>
    </comment>
    <comment authorId="0" ref="C1">
      <text>
        <t xml:space="preserve">Spend in Skills sheet
WIP</t>
      </text>
    </comment>
    <comment authorId="0" ref="E1">
      <text>
        <t xml:space="preserve">Adds to total HP</t>
      </text>
    </comment>
    <comment authorId="0" ref="J1">
      <text>
        <t xml:space="preserve">Do NOT Roll for first lv.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Add and modify Races here</t>
      </text>
    </comment>
    <comment authorId="0" ref="A21">
      <text>
        <t xml:space="preserve">2 racial bonus to Intimidate and Knowledge (History)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Change if necessary
      Below</t>
      </text>
    </comment>
    <comment authorId="0" ref="H2">
      <text>
        <t xml:space="preserve">Requires a Flaw</t>
      </text>
    </comment>
    <comment authorId="0" ref="I2">
      <text>
        <t xml:space="preserve">Requires a Flaw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Change if necessary
      Below</t>
      </text>
    </comment>
    <comment authorId="0" ref="H2">
      <text>
        <t xml:space="preserve">Requires a Flaw</t>
      </text>
    </comment>
    <comment authorId="0" ref="I2">
      <text>
        <t xml:space="preserve">Requires a Flaw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Change if necessary
      Below</t>
      </text>
    </comment>
    <comment authorId="0" ref="H2">
      <text>
        <t xml:space="preserve">Requires a Flaw</t>
      </text>
    </comment>
    <comment authorId="0" ref="I2">
      <text>
        <t xml:space="preserve">Requires a Flaw</t>
      </text>
    </comment>
  </commentList>
</comments>
</file>

<file path=xl/sharedStrings.xml><?xml version="1.0" encoding="utf-8"?>
<sst xmlns="http://schemas.openxmlformats.org/spreadsheetml/2006/main" count="2782" uniqueCount="478">
  <si>
    <t>Ranges</t>
  </si>
  <si>
    <t>Inventory</t>
  </si>
  <si>
    <t>Wealth:</t>
  </si>
  <si>
    <t>Close</t>
  </si>
  <si>
    <t>Carrying Capacity</t>
  </si>
  <si>
    <t>Pounds to go</t>
  </si>
  <si>
    <t>Medium</t>
  </si>
  <si>
    <t>Weight:</t>
  </si>
  <si>
    <t>Caster Level</t>
  </si>
  <si>
    <t>Name</t>
  </si>
  <si>
    <t>Light</t>
  </si>
  <si>
    <t>Long</t>
  </si>
  <si>
    <t>Type</t>
  </si>
  <si>
    <t># Prep</t>
  </si>
  <si>
    <t>Size</t>
  </si>
  <si>
    <t>Experience:</t>
  </si>
  <si>
    <t>School</t>
  </si>
  <si>
    <t>Components</t>
  </si>
  <si>
    <t>Cast Time</t>
  </si>
  <si>
    <t>Range</t>
  </si>
  <si>
    <t>Duration</t>
  </si>
  <si>
    <t>Save</t>
  </si>
  <si>
    <t>SR</t>
  </si>
  <si>
    <t>Description</t>
  </si>
  <si>
    <t>Ref</t>
  </si>
  <si>
    <t>0th Level Spells (Cantrips)</t>
  </si>
  <si>
    <t>Coin Weight</t>
  </si>
  <si>
    <t>Height</t>
  </si>
  <si>
    <t>Create Water</t>
  </si>
  <si>
    <t>Conjuration[Creation][Water]</t>
  </si>
  <si>
    <t>V, S</t>
  </si>
  <si>
    <t>Standard</t>
  </si>
  <si>
    <t>Hair</t>
  </si>
  <si>
    <t>Level</t>
  </si>
  <si>
    <t>Heavy</t>
  </si>
  <si>
    <t>None</t>
  </si>
  <si>
    <t>No</t>
  </si>
  <si>
    <t>Cure Minor Wounds</t>
  </si>
  <si>
    <t>Conjuration[Healing]</t>
  </si>
  <si>
    <t>Touch</t>
  </si>
  <si>
    <t>Will half</t>
  </si>
  <si>
    <t>Yes</t>
  </si>
  <si>
    <t>Heal a living creature or damage an undead creature for 1 point of damage</t>
  </si>
  <si>
    <t>Detect Poison</t>
  </si>
  <si>
    <t>Divination</t>
  </si>
  <si>
    <t>Detect if creature or area is poisoned or poisonous</t>
  </si>
  <si>
    <t>Evocation[Light]</t>
  </si>
  <si>
    <t>V, M, DF</t>
  </si>
  <si>
    <t>Cause object to glow like a torch (20' bright, 20' dim)</t>
  </si>
  <si>
    <t>Magical Items</t>
  </si>
  <si>
    <t>Body Slot</t>
  </si>
  <si>
    <t>Mending</t>
  </si>
  <si>
    <t>Transmutation</t>
  </si>
  <si>
    <t>10'</t>
  </si>
  <si>
    <t>Will negates (h, o)</t>
  </si>
  <si>
    <t>Repairs small breaks or tears in objects</t>
  </si>
  <si>
    <t>Weight</t>
  </si>
  <si>
    <t>Read Magic</t>
  </si>
  <si>
    <t>V, S, AF</t>
  </si>
  <si>
    <t>Personal</t>
  </si>
  <si>
    <t>Read magical writings at 250 words/minute. Wisdom check to ID glyphs</t>
  </si>
  <si>
    <t>1st Level Spells</t>
  </si>
  <si>
    <t>x</t>
  </si>
  <si>
    <t>Camouflage</t>
  </si>
  <si>
    <t>Skin &amp; clothing continuously change to match environment. +10 to hide</t>
  </si>
  <si>
    <t>Cure Light Wounds</t>
  </si>
  <si>
    <t>Will half (h)</t>
  </si>
  <si>
    <t>Total</t>
  </si>
  <si>
    <t>Sniper's Shot</t>
  </si>
  <si>
    <t>Swift</t>
  </si>
  <si>
    <t>1 round</t>
  </si>
  <si>
    <t>Ignore range requirement to deal precision damage</t>
  </si>
  <si>
    <t>2nd Level Spells</t>
  </si>
  <si>
    <t>Race</t>
  </si>
  <si>
    <t>Head</t>
  </si>
  <si>
    <t>Alter Self</t>
  </si>
  <si>
    <t>Change your physical appearence</t>
  </si>
  <si>
    <t>Dimension Leap</t>
  </si>
  <si>
    <t>Conjuration[Teleportation]</t>
  </si>
  <si>
    <t>V</t>
  </si>
  <si>
    <t>Teleport yourself to an unoccupied, visible location; Must be multiple of 10' away</t>
  </si>
  <si>
    <t>Alignment</t>
  </si>
  <si>
    <t>Hunter's Eye</t>
  </si>
  <si>
    <t>Protection from Energy</t>
  </si>
  <si>
    <t>Abjuration</t>
  </si>
  <si>
    <t>V, S, DF</t>
  </si>
  <si>
    <t>Fort neg (h)</t>
  </si>
  <si>
    <t>Neutral good</t>
  </si>
  <si>
    <t>3rd Level Spells</t>
  </si>
  <si>
    <t>Blacklight</t>
  </si>
  <si>
    <t>Evocation[Darkness]</t>
  </si>
  <si>
    <t>V, S, M</t>
  </si>
  <si>
    <t>Lifting</t>
  </si>
  <si>
    <t>Face</t>
  </si>
  <si>
    <t>Will neg (h)</t>
  </si>
  <si>
    <t>20' radius darkness from target that only caster can see in</t>
  </si>
  <si>
    <t>Dispel Magic</t>
  </si>
  <si>
    <t>4th Level Spells</t>
  </si>
  <si>
    <t>Over Head</t>
  </si>
  <si>
    <t>Eyes</t>
  </si>
  <si>
    <t>Red</t>
  </si>
  <si>
    <t>Celestial Brilliance</t>
  </si>
  <si>
    <t>Evocation[Good,Light]</t>
  </si>
  <si>
    <t>Neck</t>
  </si>
  <si>
    <t>Light 120', Undead take 1d6/rd within 60', Evil outsider take 2d6/rd within 60'</t>
  </si>
  <si>
    <t>Freedom of Movement</t>
  </si>
  <si>
    <t>V, S, M, DF</t>
  </si>
  <si>
    <t>Will negates (h)</t>
  </si>
  <si>
    <t>Ignore movement impediments (magical, water, or otherwise); Auto-win escape</t>
  </si>
  <si>
    <t>Off Ground</t>
  </si>
  <si>
    <t>PHB</t>
  </si>
  <si>
    <t>Favor of the Martyr</t>
  </si>
  <si>
    <t>Necromancy</t>
  </si>
  <si>
    <t>Shoulder</t>
  </si>
  <si>
    <t>Ignore nonlethal, charm, compulsion, pain, dazed, exhausted,fatigued,nauseated</t>
  </si>
  <si>
    <t>5th Level Spells</t>
  </si>
  <si>
    <t>Ability Modifiers</t>
  </si>
  <si>
    <t>Push/Drag</t>
  </si>
  <si>
    <t>Arm</t>
  </si>
  <si>
    <t>Torso</t>
  </si>
  <si>
    <t>Base</t>
  </si>
  <si>
    <t>Hand</t>
  </si>
  <si>
    <t>Magic</t>
  </si>
  <si>
    <t>Left Ring</t>
  </si>
  <si>
    <t>Right Ring</t>
  </si>
  <si>
    <t>Armor</t>
  </si>
  <si>
    <t>Misc</t>
  </si>
  <si>
    <t>Temp</t>
  </si>
  <si>
    <t>Body</t>
  </si>
  <si>
    <t>Waist</t>
  </si>
  <si>
    <t>Feet</t>
  </si>
  <si>
    <t>Carried/Worn</t>
  </si>
  <si>
    <t>Movement</t>
  </si>
  <si>
    <t>Immunity</t>
  </si>
  <si>
    <t>No.</t>
  </si>
  <si>
    <t>Strength</t>
  </si>
  <si>
    <t>Quiver of Ehlonna</t>
  </si>
  <si>
    <t>Platinum</t>
  </si>
  <si>
    <t>Gold</t>
  </si>
  <si>
    <t>Silver</t>
  </si>
  <si>
    <t>Copper</t>
  </si>
  <si>
    <t>Experience</t>
  </si>
  <si>
    <t>Next Level At</t>
  </si>
  <si>
    <t>Land</t>
  </si>
  <si>
    <t>Heward's Handy Haversack</t>
  </si>
  <si>
    <t>Dexterity</t>
  </si>
  <si>
    <t>Constitution</t>
  </si>
  <si>
    <t>Climb</t>
  </si>
  <si>
    <t>Event/Item</t>
  </si>
  <si>
    <t>Sleep</t>
  </si>
  <si>
    <t>Swim</t>
  </si>
  <si>
    <t>Intelligence</t>
  </si>
  <si>
    <t>Temporary</t>
  </si>
  <si>
    <t>Fly</t>
  </si>
  <si>
    <t>Wisdom</t>
  </si>
  <si>
    <t>Wounds</t>
  </si>
  <si>
    <t>Charisma</t>
  </si>
  <si>
    <t>Overview</t>
  </si>
  <si>
    <t>Subdual</t>
  </si>
  <si>
    <t>Welcome to my D&amp;D 3.5 Web-based charactersheet. This is inteneded to be faster, less comprehensive, and much more easily shared between player and DM.</t>
  </si>
  <si>
    <t>Created by</t>
  </si>
  <si>
    <t>Zekrom Vale</t>
  </si>
  <si>
    <t>How to use this spreadsheet</t>
  </si>
  <si>
    <t>&lt;--------------</t>
  </si>
  <si>
    <t>The tabs to the left hold your character information. Use these while playing D&amp;D</t>
  </si>
  <si>
    <t>Energy Resistance</t>
  </si>
  <si>
    <t>The tabs to the right contain character choices. Use these (From right to left) to build and design your character before playing D&amp;D</t>
  </si>
  <si>
    <t>Health</t>
  </si>
  <si>
    <t>------------------&gt;</t>
  </si>
  <si>
    <t>Also use levels!  In the three far right sheets.</t>
  </si>
  <si>
    <t>Abilities</t>
  </si>
  <si>
    <t>Health+Subdual</t>
  </si>
  <si>
    <t>As a general rule, if you see a box with a white background, it should be filled in manually; boxes with colored backgrounds are driven by formulas and should be left alone (unless you're adjusting the formula)</t>
  </si>
  <si>
    <t>Racial</t>
  </si>
  <si>
    <t>Inherent Total</t>
  </si>
  <si>
    <t>Mod</t>
  </si>
  <si>
    <t>Ability Boosts</t>
  </si>
  <si>
    <t>The exception is the Skills tab; Blue = cross-class skill, Green = in-class skill. Usable skills are automatically displayed on the character tab.</t>
  </si>
  <si>
    <t>The character's current level is determined by the number of hit dice that are filled in. This allows for a character to be fully planned out, while the character sheet only reflects the character's current level.</t>
  </si>
  <si>
    <t>Fire</t>
  </si>
  <si>
    <t>Saves</t>
  </si>
  <si>
    <t>Ability</t>
  </si>
  <si>
    <t>Skill</t>
  </si>
  <si>
    <t>Electricity</t>
  </si>
  <si>
    <t>Fortitude</t>
  </si>
  <si>
    <t>Point Buy</t>
  </si>
  <si>
    <t>IC</t>
  </si>
  <si>
    <t>Max</t>
  </si>
  <si>
    <t>Ranks</t>
  </si>
  <si>
    <t>Bonus</t>
  </si>
  <si>
    <t>Dragonborn</t>
  </si>
  <si>
    <t>Cold</t>
  </si>
  <si>
    <t>Reflex</t>
  </si>
  <si>
    <t>Class</t>
  </si>
  <si>
    <t>Skill Points</t>
  </si>
  <si>
    <t>Hit Die</t>
  </si>
  <si>
    <t>Damage Resistance</t>
  </si>
  <si>
    <t>Acid</t>
  </si>
  <si>
    <t>HP</t>
  </si>
  <si>
    <t>Levels</t>
  </si>
  <si>
    <t>Will</t>
  </si>
  <si>
    <t>Hit Dice Total</t>
  </si>
  <si>
    <t>Sonic</t>
  </si>
  <si>
    <t>Fighter</t>
  </si>
  <si>
    <t>Armor Class</t>
  </si>
  <si>
    <t>Shield</t>
  </si>
  <si>
    <t>Dex</t>
  </si>
  <si>
    <t>Natural</t>
  </si>
  <si>
    <t>Deflect</t>
  </si>
  <si>
    <t>Cloistered Cleric</t>
  </si>
  <si>
    <t>Armor:</t>
  </si>
  <si>
    <t>Hit Die Mod</t>
  </si>
  <si>
    <t>Full AC</t>
  </si>
  <si>
    <t>AC</t>
  </si>
  <si>
    <t>ACP</t>
  </si>
  <si>
    <t>ASF</t>
  </si>
  <si>
    <t>Flat-Footed AC</t>
  </si>
  <si>
    <t>Appraise</t>
  </si>
  <si>
    <t>INT</t>
  </si>
  <si>
    <t>✗</t>
  </si>
  <si>
    <t>Touch AC</t>
  </si>
  <si>
    <t>Autohypnosis</t>
  </si>
  <si>
    <t>WIS</t>
  </si>
  <si>
    <t>Initiative</t>
  </si>
  <si>
    <t>Balance</t>
  </si>
  <si>
    <t>DEX</t>
  </si>
  <si>
    <t>Shield:</t>
  </si>
  <si>
    <t>Modifier</t>
  </si>
  <si>
    <t>Bluff</t>
  </si>
  <si>
    <t>CHA</t>
  </si>
  <si>
    <t>Shields</t>
  </si>
  <si>
    <t>Attack Bonuses</t>
  </si>
  <si>
    <t>STR</t>
  </si>
  <si>
    <t>Grapple</t>
  </si>
  <si>
    <t>Control Shape</t>
  </si>
  <si>
    <t>Racial Abilities</t>
  </si>
  <si>
    <t>Class Abilities</t>
  </si>
  <si>
    <t>Concentration</t>
  </si>
  <si>
    <t>CON</t>
  </si>
  <si>
    <t>Melee</t>
  </si>
  <si>
    <t>Ranged</t>
  </si>
  <si>
    <t>Craft</t>
  </si>
  <si>
    <t>Dragon Breath (Su)</t>
  </si>
  <si>
    <t>Dragonborn Fury (Ex)</t>
  </si>
  <si>
    <t>Attack:</t>
  </si>
  <si>
    <t>Decipher Script</t>
  </si>
  <si>
    <t>Frightful presence</t>
  </si>
  <si>
    <t>To Hit</t>
  </si>
  <si>
    <t>Damage</t>
  </si>
  <si>
    <t>Critical</t>
  </si>
  <si>
    <t>Diplomacy</t>
  </si>
  <si>
    <t>Low-Light Vision</t>
  </si>
  <si>
    <t>Grip</t>
  </si>
  <si>
    <t>Disable Device</t>
  </si>
  <si>
    <t>Attack/Armor Modifier</t>
  </si>
  <si>
    <t>Grapple Modifier</t>
  </si>
  <si>
    <t>Hide Modifier</t>
  </si>
  <si>
    <t>Bonus Skill Poin</t>
  </si>
  <si>
    <t>Levels?</t>
  </si>
  <si>
    <t>BAB</t>
  </si>
  <si>
    <t>Fort</t>
  </si>
  <si>
    <t>Capacity</t>
  </si>
  <si>
    <t>Fine</t>
  </si>
  <si>
    <t>Disguise</t>
  </si>
  <si>
    <t>Escape Artist</t>
  </si>
  <si>
    <t>Diminuative</t>
  </si>
  <si>
    <t>Feats</t>
  </si>
  <si>
    <t>Skills</t>
  </si>
  <si>
    <t>Forgery</t>
  </si>
  <si>
    <t>Languages</t>
  </si>
  <si>
    <t>Tiny</t>
  </si>
  <si>
    <t>Small</t>
  </si>
  <si>
    <t>Gather Information</t>
  </si>
  <si>
    <t>Handle Animal</t>
  </si>
  <si>
    <t>Draconic</t>
  </si>
  <si>
    <t>Large</t>
  </si>
  <si>
    <t>Heal</t>
  </si>
  <si>
    <t>Hide</t>
  </si>
  <si>
    <t>Huge</t>
  </si>
  <si>
    <t>Hypnosis</t>
  </si>
  <si>
    <t>Gargantuan</t>
  </si>
  <si>
    <t>Intimidate</t>
  </si>
  <si>
    <t>Collossal</t>
  </si>
  <si>
    <t>Jump</t>
  </si>
  <si>
    <t>Knowledge (arcana)</t>
  </si>
  <si>
    <t>Progression</t>
  </si>
  <si>
    <t>Base Attack</t>
  </si>
  <si>
    <t>Checked</t>
  </si>
  <si>
    <t>Knowledge (arch &amp; eng)</t>
  </si>
  <si>
    <t>Poor</t>
  </si>
  <si>
    <t>Listen</t>
  </si>
  <si>
    <t>Move Silently</t>
  </si>
  <si>
    <t>Knowledge (dungeoneering)</t>
  </si>
  <si>
    <t>Perform</t>
  </si>
  <si>
    <t>Good</t>
  </si>
  <si>
    <t>Ride</t>
  </si>
  <si>
    <t>Search</t>
  </si>
  <si>
    <t>Knowledge (geography)</t>
  </si>
  <si>
    <t>Sense Motive</t>
  </si>
  <si>
    <t>Full</t>
  </si>
  <si>
    <t>✓</t>
  </si>
  <si>
    <t>Speak Language</t>
  </si>
  <si>
    <t>Spot</t>
  </si>
  <si>
    <t>Survival</t>
  </si>
  <si>
    <t>Knowledge (history)</t>
  </si>
  <si>
    <t>Tumble</t>
  </si>
  <si>
    <t>Use Rope</t>
  </si>
  <si>
    <t>Knowledge (local)</t>
  </si>
  <si>
    <t>Knowledge (monster lore)</t>
  </si>
  <si>
    <t>Str</t>
  </si>
  <si>
    <t>Knowledge (nature)</t>
  </si>
  <si>
    <t>Knowledge (nobility)</t>
  </si>
  <si>
    <t>Con</t>
  </si>
  <si>
    <t>Int</t>
  </si>
  <si>
    <t>Knowledge (ravenloft)</t>
  </si>
  <si>
    <t>Wis</t>
  </si>
  <si>
    <t>Knowledge (religion)</t>
  </si>
  <si>
    <t>Knowledge (planes)</t>
  </si>
  <si>
    <t>Cha</t>
  </si>
  <si>
    <t>Martial Lore</t>
  </si>
  <si>
    <t>Wealth Mult</t>
  </si>
  <si>
    <t>Totals</t>
  </si>
  <si>
    <t>Humanoid</t>
  </si>
  <si>
    <t>Reptilian</t>
  </si>
  <si>
    <t>Low-Light Vision,Darkvision,Frightful presence,Dragonborn Fury (Ex),Dragon Breath (Su)</t>
  </si>
  <si>
    <t>Sleep,Paralysis</t>
  </si>
  <si>
    <t>Common,Draconic</t>
  </si>
  <si>
    <t>Classes</t>
  </si>
  <si>
    <t>Subtype</t>
  </si>
  <si>
    <t>Land Speed</t>
  </si>
  <si>
    <t>Fly Speed</t>
  </si>
  <si>
    <t>Climb Speed</t>
  </si>
  <si>
    <t>Swim Speed</t>
  </si>
  <si>
    <t>Senses/ Abilities</t>
  </si>
  <si>
    <t>Immunities</t>
  </si>
  <si>
    <t>Open Lock</t>
  </si>
  <si>
    <t>LA</t>
  </si>
  <si>
    <t>Racial HD</t>
  </si>
  <si>
    <t>Racial Skills</t>
  </si>
  <si>
    <t>Natural Armor</t>
  </si>
  <si>
    <t>Human</t>
  </si>
  <si>
    <t>Common</t>
  </si>
  <si>
    <t>Dwarf</t>
  </si>
  <si>
    <t>20_</t>
  </si>
  <si>
    <t>Darkvision 60</t>
  </si>
  <si>
    <t>Common,Dwarven</t>
  </si>
  <si>
    <t>Elf</t>
  </si>
  <si>
    <t>Low-Light 40</t>
  </si>
  <si>
    <t>Common,Elven</t>
  </si>
  <si>
    <t>Gnome</t>
  </si>
  <si>
    <t>Profession</t>
  </si>
  <si>
    <t>Common,Gnome</t>
  </si>
  <si>
    <t>Half-Elf</t>
  </si>
  <si>
    <t>Half-Orc</t>
  </si>
  <si>
    <t>Common,Orc</t>
  </si>
  <si>
    <t>Halfling</t>
  </si>
  <si>
    <t>Common,Halfling</t>
  </si>
  <si>
    <t>Psicraft</t>
  </si>
  <si>
    <t>Catfolk</t>
  </si>
  <si>
    <t>Common,Feline</t>
  </si>
  <si>
    <t>Marrulurk</t>
  </si>
  <si>
    <t>Monsterous Humanoid</t>
  </si>
  <si>
    <t>Darkvision 60,Low-Light</t>
  </si>
  <si>
    <t>Common,Marru</t>
  </si>
  <si>
    <t>Shifter</t>
  </si>
  <si>
    <t>Shapechanger</t>
  </si>
  <si>
    <t>Saurian Shifter</t>
  </si>
  <si>
    <t>Warforged</t>
  </si>
  <si>
    <t>Construct</t>
  </si>
  <si>
    <t>Living Construct</t>
  </si>
  <si>
    <t>Fey-ri</t>
  </si>
  <si>
    <t>Outsider</t>
  </si>
  <si>
    <t>40/poor</t>
  </si>
  <si>
    <t>Skill Tricks</t>
  </si>
  <si>
    <t>Fort Save</t>
  </si>
  <si>
    <t>Reflex Save</t>
  </si>
  <si>
    <t>Will Save</t>
  </si>
  <si>
    <t>Extra Skill Slots</t>
  </si>
  <si>
    <t>Aberration (Racial)</t>
  </si>
  <si>
    <t>Sleight of Hand</t>
  </si>
  <si>
    <t>Animal (Racial)</t>
  </si>
  <si>
    <t>Construct (Racial)</t>
  </si>
  <si>
    <t>Dragon (Racial)</t>
  </si>
  <si>
    <t>Elemental (Racial)</t>
  </si>
  <si>
    <t>Fey (Racial)</t>
  </si>
  <si>
    <t>Spellcraft</t>
  </si>
  <si>
    <t>Giant (Racial)</t>
  </si>
  <si>
    <t>Humanoid (Racial)</t>
  </si>
  <si>
    <t>Magical Beast (Racial)</t>
  </si>
  <si>
    <t>Monsterous Humanoid (Racial)</t>
  </si>
  <si>
    <t>Ooze (Racial)</t>
  </si>
  <si>
    <t>Outsider (Racial)</t>
  </si>
  <si>
    <t>Plant (Racial)</t>
  </si>
  <si>
    <t>Undead (Racial)</t>
  </si>
  <si>
    <t>Vermin (Racial)</t>
  </si>
  <si>
    <t>Generic Warrior</t>
  </si>
  <si>
    <t>Use Magic Device</t>
  </si>
  <si>
    <t>Use Psionic Device</t>
  </si>
  <si>
    <t>Generic Expert</t>
  </si>
  <si>
    <t>Generic SpellCaster</t>
  </si>
  <si>
    <t>Bard</t>
  </si>
  <si>
    <t>Cleric</t>
  </si>
  <si>
    <t>Druid</t>
  </si>
  <si>
    <t>Monk</t>
  </si>
  <si>
    <t>Paladin</t>
  </si>
  <si>
    <t>Ranger</t>
  </si>
  <si>
    <t>Rogue</t>
  </si>
  <si>
    <t>Sorcerer</t>
  </si>
  <si>
    <t>Wizard</t>
  </si>
  <si>
    <t>Beguiler</t>
  </si>
  <si>
    <t>Dragon Shaman</t>
  </si>
  <si>
    <t>Duskblade</t>
  </si>
  <si>
    <t>Knight</t>
  </si>
  <si>
    <t>Scout</t>
  </si>
  <si>
    <t>Abjurant Champion</t>
  </si>
  <si>
    <t>Frenzied Berserker</t>
  </si>
  <si>
    <t>Hand of the Winged Masters</t>
  </si>
  <si>
    <t>Warshaper</t>
  </si>
  <si>
    <t>Weretouched Master</t>
  </si>
  <si>
    <t>Spellcarved Soldier</t>
  </si>
  <si>
    <t>Renegade Mastermaker</t>
  </si>
  <si>
    <t>Artificer</t>
  </si>
  <si>
    <t>Reforged</t>
  </si>
  <si>
    <t>Warforged Juggernaut</t>
  </si>
  <si>
    <t>Ninja</t>
  </si>
  <si>
    <t>Kensai</t>
  </si>
  <si>
    <t>Telflammar Shadowlord</t>
  </si>
  <si>
    <t>Swift Wing</t>
  </si>
  <si>
    <t>Urban Ranger</t>
  </si>
  <si>
    <t>Psion</t>
  </si>
  <si>
    <t>Psychic Warrior (Cityscape)</t>
  </si>
  <si>
    <t>Monk (Kalashtar)</t>
  </si>
  <si>
    <t>Nature's Warrior</t>
  </si>
  <si>
    <t>Warlock</t>
  </si>
  <si>
    <t>Ultimate Magus</t>
  </si>
  <si>
    <t>Shadowbane Inquisitor</t>
  </si>
  <si>
    <t>Spellsword</t>
  </si>
  <si>
    <t>Spellthief</t>
  </si>
  <si>
    <t>Wild Plains Outrider</t>
  </si>
  <si>
    <t>Assassin</t>
  </si>
  <si>
    <t>Beastmaster</t>
  </si>
  <si>
    <t>Blackguard</t>
  </si>
  <si>
    <t>Blood Magus</t>
  </si>
  <si>
    <t>Deepwood Sniper</t>
  </si>
  <si>
    <t>Dread Commando</t>
  </si>
  <si>
    <t>Eldritch Knight</t>
  </si>
  <si>
    <t>Halfling Outrider</t>
  </si>
  <si>
    <t>Knight Phantom</t>
  </si>
  <si>
    <t>Master Specialist</t>
  </si>
  <si>
    <t>Mystic Theurge</t>
  </si>
  <si>
    <t>Order of the Bow Initiate</t>
  </si>
  <si>
    <t>Radiant Servant of Pelor</t>
  </si>
  <si>
    <t>Spirit Shaman</t>
  </si>
  <si>
    <t>Thug</t>
  </si>
  <si>
    <t>Dread Necromancer</t>
  </si>
  <si>
    <t>Arcane Archer (PF)</t>
  </si>
  <si>
    <t>Arcane Archer</t>
  </si>
  <si>
    <t>Eldritch Disciple</t>
  </si>
  <si>
    <t>Black Blood Cultist</t>
  </si>
  <si>
    <t>Lv.</t>
  </si>
  <si>
    <t>Major</t>
  </si>
  <si>
    <t>Minor</t>
  </si>
  <si>
    <t>Feat</t>
  </si>
  <si>
    <t>+2</t>
  </si>
  <si>
    <t>+0</t>
  </si>
  <si>
    <t>+3</t>
  </si>
  <si>
    <t>+1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</si>
  <si>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</si>
  <si>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</si>
  <si>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</si>
  <si>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</si>
  <si>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</si>
  <si>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</si>
  <si>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</si>
  <si>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</si>
  <si>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</si>
  <si>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Class Skills</t>
  </si>
  <si>
    <t>Knowledge (psionics)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</si>
</sst>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#,##0.00[$gp]"/>
    <numFmt numFmtId="165" formatCode="#&quot;x&quot;;&quot;0&quot;;"/>
    <numFmt numFmtId="166" formatCode="# ?/16&quot; lbs&quot;;&quot;Err &quot;#&quot; lbs&quot;;?"/>
    <numFmt numFmtId="167" formatCode="# ?/16&quot;lbs&quot;"/>
    <numFmt numFmtId="168" formatCode="#&quot;Exp&quot;"/>
    <numFmt numFmtId="169" formatCode="# ?/12 &quot;Ft&quot;"/>
    <numFmt numFmtId="170" formatCode="# ?/16&quot; lbs&quot;;&quot;Err &quot;#&quot; lbs&quot;;0"/>
    <numFmt numFmtId="171" formatCode="#&quot;lbs&quot;"/>
    <numFmt numFmtId="172" formatCode="#&quot;gp&quot;"/>
    <numFmt numFmtId="173" formatCode="0&quot;HP&quot;"/>
    <numFmt numFmtId="174" formatCode="0&quot; Ft&quot;"/>
  </numFmts>
  <fonts count="27">
    <font>
      <sz val="10.0"/>
      <color rgb="FF000000"/>
      <name val="Arial"/>
    </font>
    <font>
      <b/>
      <sz val="10.0"/>
      <color rgb="FFFFFFFF"/>
    </font>
    <font/>
    <font>
      <b/>
      <sz val="10.0"/>
      <color rgb="FFF1C232"/>
    </font>
    <font>
      <b/>
      <sz val="10.0"/>
    </font>
    <font>
      <b/>
      <color rgb="FFFFFFFF"/>
    </font>
    <font>
      <color rgb="FFFF0000"/>
    </font>
    <font>
      <b/>
    </font>
    <font>
      <sz val="11.0"/>
      <color rgb="FF000000"/>
      <name val="Inconsolata"/>
    </font>
    <font>
      <sz val="10.0"/>
    </font>
    <font>
      <i/>
      <sz val="10.0"/>
    </font>
    <font>
      <b/>
      <u/>
      <sz val="10.0"/>
      <color rgb="FFFFFFFF"/>
    </font>
    <font>
      <sz val="11.0"/>
      <color rgb="FFF1C232"/>
      <name val="Inconsolata"/>
    </font>
    <font>
      <sz val="10.0"/>
      <color rgb="FFFFFFFF"/>
    </font>
    <font>
      <sz val="10.0"/>
      <color rgb="FFEFEFEF"/>
    </font>
    <font>
      <name val="Arial"/>
    </font>
    <font>
      <color rgb="FFFFFFFF"/>
    </font>
    <font>
      <sz val="18.0"/>
    </font>
    <font>
      <b/>
      <sz val="18.0"/>
    </font>
    <font>
      <b/>
      <sz val="10.0"/>
      <color rgb="FF000000"/>
    </font>
    <font>
      <b/>
      <u/>
      <sz val="10.0"/>
      <color rgb="FFFFFFFF"/>
    </font>
    <font>
      <u/>
      <color rgb="FF0000FF"/>
    </font>
    <font>
      <u/>
      <color rgb="FF0000FF"/>
    </font>
    <font>
      <b/>
      <color rgb="FF000000"/>
    </font>
    <font>
      <b/>
      <u/>
      <color rgb="FFFFFFFF"/>
    </font>
    <font>
      <i/>
    </font>
    <font>
      <u/>
      <color rgb="FF0000FF"/>
    </font>
  </fonts>
  <fills count="2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274E13"/>
        <bgColor rgb="FF274E13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0000FF"/>
        <bgColor rgb="FF0000FF"/>
      </patternFill>
    </fill>
  </fills>
  <borders count="143">
    <border>
      <left/>
      <right/>
      <top/>
      <bottom/>
    </border>
    <border>
      <left/>
      <right/>
      <top/>
      <bottom style="thin">
        <color rgb="FFFFFFFF"/>
      </bottom>
    </border>
    <border>
      <left/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FFFFFF"/>
      </top>
      <bottom/>
    </border>
    <border>
      <left/>
      <right/>
      <top style="thin">
        <color rgb="FF000000"/>
      </top>
      <bottom/>
    </border>
    <border>
      <left/>
      <right/>
      <top style="thin">
        <color rgb="FFFFFFFF"/>
      </top>
      <bottom style="thin">
        <color rgb="FFFFFFFF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FFFFFF"/>
      </right>
      <top/>
      <bottom style="thin">
        <color rgb="FF000000"/>
      </bottom>
    </border>
    <border>
      <left style="thin">
        <color rgb="FFFFFFFF"/>
      </left>
      <right style="thin">
        <color rgb="FFFFFFFF"/>
      </right>
      <top/>
      <bottom style="thin">
        <color rgb="FF000000"/>
      </bottom>
    </border>
    <border>
      <left style="thin">
        <color rgb="FFFFFFFF"/>
      </left>
      <right/>
      <top/>
      <bottom style="thin">
        <color rgb="FF000000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999999"/>
      </bottom>
    </border>
    <border>
      <left/>
      <right/>
      <top style="thin">
        <color rgb="FFFFFFFF"/>
      </top>
      <bottom/>
    </border>
    <border>
      <left style="thin">
        <color rgb="FF000000"/>
      </left>
      <right/>
      <top style="thin">
        <color rgb="FF000000"/>
      </top>
      <bottom style="dotted">
        <color rgb="FF999999"/>
      </bottom>
    </border>
    <border>
      <left/>
      <right style="thin">
        <color rgb="FF000000"/>
      </right>
      <top style="thin">
        <color rgb="FF000000"/>
      </top>
      <bottom style="dotted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999999"/>
      </bottom>
    </border>
    <border>
      <left/>
      <right/>
      <top style="thin">
        <color rgb="FF000000"/>
      </top>
      <bottom style="dotted">
        <color rgb="FF999999"/>
      </bottom>
    </border>
    <border>
      <left style="thin">
        <color rgb="FF000000"/>
      </left>
      <right/>
      <top/>
      <bottom style="dotted">
        <color rgb="FF999999"/>
      </bottom>
    </border>
    <border>
      <left/>
      <right/>
      <top/>
      <bottom style="dotted">
        <color rgb="FF999999"/>
      </bottom>
    </border>
    <border>
      <left/>
      <right/>
      <top style="thin">
        <color rgb="FF000000"/>
      </top>
      <bottom style="thin">
        <color rgb="FFFFFFFF"/>
      </bottom>
    </border>
    <border>
      <left/>
      <right style="thin">
        <color rgb="FF000000"/>
      </right>
      <top style="thin">
        <color rgb="FF000000"/>
      </top>
      <bottom style="thin">
        <color rgb="FFFFFFFF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FFFFFF"/>
      </top>
      <bottom style="thin">
        <color rgb="FFFFFFFF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FFFFFF"/>
      </top>
      <bottom style="thin">
        <color rgb="FF000000"/>
      </bottom>
    </border>
    <border>
      <left/>
      <right style="thin">
        <color rgb="FF000000"/>
      </right>
      <top style="thin">
        <color rgb="FFFFFFFF"/>
      </top>
      <bottom style="thin">
        <color rgb="FF000000"/>
      </bottom>
    </border>
    <border>
      <left/>
      <right style="thin">
        <color rgb="FFFFFFFF"/>
      </right>
      <top/>
      <bottom style="thin">
        <color rgb="FFFFFFFF"/>
      </bottom>
    </border>
    <border>
      <left/>
      <right/>
      <top style="thin">
        <color rgb="FFFFFFFF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/>
      <right style="thin">
        <color rgb="FFFFFFFF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F1C232"/>
      </bottom>
    </border>
    <border>
      <left/>
      <right style="thin">
        <color rgb="FFF1C232"/>
      </right>
      <top/>
      <bottom/>
    </border>
    <border>
      <left style="thin">
        <color rgb="FFF1C232"/>
      </left>
      <right style="thin">
        <color rgb="FFF1C232"/>
      </right>
      <top style="thin">
        <color rgb="FF000000"/>
      </top>
      <bottom style="thin">
        <color rgb="FFF1C232"/>
      </bottom>
    </border>
    <border>
      <left style="thin">
        <color rgb="FFF1C232"/>
      </left>
      <right/>
      <top/>
      <bottom/>
    </border>
    <border>
      <left style="thin">
        <color rgb="FFF1C232"/>
      </left>
      <right style="thin">
        <color rgb="FFF1C232"/>
      </right>
      <top style="thin">
        <color rgb="FFF1C232"/>
      </top>
      <bottom style="thin">
        <color rgb="FFF1C232"/>
      </bottom>
    </border>
    <border>
      <left style="thin">
        <color rgb="FFF1C232"/>
      </left>
      <right style="thin">
        <color rgb="FF000000"/>
      </right>
      <top/>
      <bottom/>
    </border>
    <border>
      <left style="thin">
        <color rgb="FF00FF00"/>
      </left>
      <right/>
      <top/>
      <bottom/>
    </border>
    <border>
      <left/>
      <right/>
      <top style="thin">
        <color rgb="FFF1C232"/>
      </top>
      <bottom/>
    </border>
    <border>
      <left/>
      <right/>
      <top style="thin">
        <color rgb="FFF1C232"/>
      </top>
      <bottom style="thin">
        <color rgb="FF38761D"/>
      </bottom>
    </border>
    <border>
      <left/>
      <right/>
      <top/>
      <bottom style="thin">
        <color rgb="FF38761D"/>
      </bottom>
    </border>
    <border>
      <left style="thin">
        <color rgb="FF000000"/>
      </left>
      <right style="thin">
        <color rgb="FF38761D"/>
      </right>
      <top/>
      <bottom/>
    </border>
    <border>
      <left style="thin">
        <color rgb="FF38761D"/>
      </left>
      <right style="thin">
        <color rgb="FFFFFFFF"/>
      </right>
      <top style="thin">
        <color rgb="FF38761D"/>
      </top>
      <bottom style="thin">
        <color rgb="FF38761D"/>
      </bottom>
    </border>
    <border>
      <left style="thin">
        <color rgb="FFFFFFFF"/>
      </left>
      <right style="thin">
        <color rgb="FFFFFFFF"/>
      </right>
      <top style="thin">
        <color rgb="FF38761D"/>
      </top>
      <bottom style="thin">
        <color rgb="FF38761D"/>
      </bottom>
    </border>
    <border>
      <left style="thin">
        <color rgb="FFFFFFFF"/>
      </left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38761D"/>
      </left>
      <right style="thin">
        <color rgb="FF38761D"/>
      </right>
      <top/>
      <bottom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FFFFFF"/>
      </bottom>
    </border>
    <border>
      <left style="thin">
        <color rgb="FF38761D"/>
      </left>
      <right/>
      <top style="thin">
        <color rgb="FF38761D"/>
      </top>
      <bottom style="thin">
        <color rgb="FF38761D"/>
      </bottom>
    </border>
    <border>
      <left/>
      <right/>
      <top style="thin">
        <color rgb="FF38761D"/>
      </top>
      <bottom style="thin">
        <color rgb="FF38761D"/>
      </bottom>
    </border>
    <border>
      <left/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38761D"/>
      </left>
      <right/>
      <top/>
      <bottom/>
    </border>
    <border>
      <left/>
      <right style="thin">
        <color rgb="FF000000"/>
      </right>
      <top style="thin">
        <color rgb="FFFFFFFF"/>
      </top>
      <bottom style="thin">
        <color rgb="FF38761D"/>
      </bottom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</border>
    <border>
      <left style="thin">
        <color rgb="FF38761D"/>
      </left>
      <right style="thin">
        <color rgb="FFFFFFFF"/>
      </right>
      <top style="thin">
        <color rgb="FFFFFFFF"/>
      </top>
      <bottom style="thin">
        <color rgb="FF38761D"/>
      </bottom>
    </border>
    <border>
      <left/>
      <right style="thin">
        <color rgb="FF000000"/>
      </right>
      <top style="thin">
        <color rgb="FF38761D"/>
      </top>
      <bottom style="thin">
        <color rgb="FF38761D"/>
      </bottom>
    </border>
    <border>
      <left/>
      <right/>
      <top style="thin">
        <color rgb="FF38761D"/>
      </top>
      <bottom/>
    </border>
    <border>
      <left/>
      <right/>
      <top style="thin">
        <color rgb="FF38761D"/>
      </top>
      <bottom style="thin">
        <color rgb="FF0B5394"/>
      </bottom>
    </border>
    <border>
      <left/>
      <right style="thin">
        <color rgb="FF0B5394"/>
      </right>
      <top/>
      <bottom style="thin">
        <color rgb="FFFFFFFF"/>
      </bottom>
    </border>
    <border>
      <left style="thin">
        <color rgb="FF0B5394"/>
      </left>
      <right style="thin">
        <color rgb="FF0B5394"/>
      </right>
      <top/>
      <bottom/>
    </border>
    <border>
      <left style="thin">
        <color rgb="FF0B5394"/>
      </left>
      <right style="thin">
        <color rgb="FFFFFFFF"/>
      </right>
      <top style="thin">
        <color rgb="FF0B5394"/>
      </top>
      <bottom style="thin">
        <color rgb="FF0B5394"/>
      </bottom>
    </border>
    <border>
      <left style="thin">
        <color rgb="FFFFFFFF"/>
      </left>
      <right style="thin">
        <color rgb="FFFFFFFF"/>
      </right>
      <top style="thin">
        <color rgb="FF0B5394"/>
      </top>
      <bottom style="thin">
        <color rgb="FF0B5394"/>
      </bottom>
    </border>
    <border>
      <left style="thin">
        <color rgb="FFFFFFFF"/>
      </left>
      <right style="thin">
        <color rgb="FF0B5394"/>
      </right>
      <top style="thin">
        <color rgb="FF0B5394"/>
      </top>
      <bottom style="thin">
        <color rgb="FF0B5394"/>
      </bottom>
    </border>
    <border>
      <left style="thin">
        <color rgb="FF0B5394"/>
      </left>
      <right/>
      <top/>
      <bottom/>
    </border>
    <border>
      <left/>
      <right style="thin">
        <color rgb="FF38761D"/>
      </right>
      <top/>
      <bottom/>
    </border>
    <border>
      <left/>
      <right style="thin">
        <color rgb="FF0B5394"/>
      </right>
      <top style="thin">
        <color rgb="FFFFFFFF"/>
      </top>
      <bottom/>
    </border>
    <border>
      <left style="thin">
        <color rgb="FF0B5394"/>
      </left>
      <right style="thin">
        <color rgb="FF0B5394"/>
      </right>
      <top style="thin">
        <color rgb="FFFFFFFF"/>
      </top>
      <bottom style="thin">
        <color rgb="FF0B5394"/>
      </bottom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</border>
    <border>
      <left/>
      <right/>
      <top style="thin">
        <color rgb="FF0B5394"/>
      </top>
      <bottom/>
    </border>
    <border>
      <left/>
      <right/>
      <top/>
      <bottom style="thin">
        <color rgb="FFCC0000"/>
      </bottom>
    </border>
    <border>
      <left style="thin">
        <color rgb="FFFF0000"/>
      </left>
      <right style="thin">
        <color rgb="FFFF0000"/>
      </right>
      <top style="thin">
        <color rgb="FFFFFFFF"/>
      </top>
      <bottom style="thin">
        <color rgb="FFFF0000"/>
      </bottom>
    </border>
    <border>
      <left style="thin">
        <color rgb="FFFF0000"/>
      </left>
      <right style="thin">
        <color rgb="FFCC0000"/>
      </right>
      <top/>
      <bottom/>
    </border>
    <border>
      <left style="thin">
        <color rgb="FFCC0000"/>
      </left>
      <right style="thin">
        <color rgb="FFFFFFFF"/>
      </right>
      <top style="thin">
        <color rgb="FFCC0000"/>
      </top>
      <bottom style="thin">
        <color rgb="FFCC0000"/>
      </bottom>
    </border>
    <border>
      <left style="thin">
        <color rgb="FFFFFFFF"/>
      </left>
      <right style="thin">
        <color rgb="FFFFFFFF"/>
      </right>
      <top style="thin">
        <color rgb="FFCC0000"/>
      </top>
      <bottom style="thin">
        <color rgb="FFCC0000"/>
      </bottom>
    </border>
    <border>
      <left style="thin">
        <color rgb="FFFFFFFF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CC0000"/>
      </left>
      <right/>
      <top/>
      <bottom/>
    </border>
    <border>
      <left/>
      <right/>
      <top style="thin">
        <color rgb="FF38761D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/>
      <right/>
      <top style="thin">
        <color rgb="FFFF0000"/>
      </top>
      <bottom style="thin">
        <color rgb="FFCC0000"/>
      </bottom>
    </border>
    <border>
      <left/>
      <right/>
      <top style="thin">
        <color rgb="FFCC0000"/>
      </top>
      <bottom style="thin">
        <color rgb="FFCC0000"/>
      </bottom>
    </border>
    <border>
      <left/>
      <right/>
      <top style="thin">
        <color rgb="FFCC0000"/>
      </top>
      <bottom/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FFFFFF"/>
      </bottom>
    </border>
    <border>
      <left style="thin">
        <color rgb="FFCC0000"/>
      </left>
      <right/>
      <top style="thin">
        <color rgb="FFCC0000"/>
      </top>
      <bottom style="thin">
        <color rgb="FFCC0000"/>
      </bottom>
    </border>
    <border>
      <left/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CC0000"/>
      </left>
      <right style="thin">
        <color rgb="FFCC0000"/>
      </right>
      <top/>
      <bottom/>
    </border>
    <border>
      <left style="thin">
        <color rgb="FFCC0000"/>
      </left>
      <right style="thin">
        <color rgb="FFFFFFFF"/>
      </right>
      <top style="thin">
        <color rgb="FFFFFFFF"/>
      </top>
      <bottom style="thin">
        <color rgb="FFCC0000"/>
      </bottom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/>
      <top style="thin">
        <color rgb="FFCC0000"/>
      </top>
      <bottom style="thin">
        <color rgb="FFCC0000"/>
      </bottom>
    </border>
    <border>
      <left/>
      <right style="thin">
        <color rgb="FFFFFFFF"/>
      </right>
      <top style="thin">
        <color rgb="FFCC0000"/>
      </top>
      <bottom style="thin">
        <color rgb="FFCC0000"/>
      </bottom>
    </border>
    <border>
      <left/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/>
      <top style="thin">
        <color rgb="FF000000"/>
      </top>
      <bottom style="thin">
        <color rgb="FF000000"/>
      </bottom>
    </border>
    <border>
      <left/>
      <right style="thin">
        <color rgb="FF00FF00"/>
      </right>
      <top/>
      <bottom/>
    </border>
    <border>
      <left style="thin">
        <color rgb="FF00FF00"/>
      </left>
      <right/>
      <top style="thin">
        <color rgb="FF000000"/>
      </top>
      <bottom style="thin">
        <color rgb="FF000000"/>
      </bottom>
    </border>
    <border>
      <left style="thin">
        <color rgb="FF00FF00"/>
      </left>
      <right/>
      <top style="thin">
        <color rgb="FF000000"/>
      </top>
      <bottom/>
    </border>
    <border>
      <left style="thin">
        <color rgb="FF00FF00"/>
      </left>
      <right/>
      <top/>
      <bottom style="thin">
        <color rgb="FF000000"/>
      </bottom>
    </border>
    <border>
      <left/>
      <right style="thin">
        <color rgb="FFD9D9D9"/>
      </right>
      <top style="thin">
        <color rgb="FF000000"/>
      </top>
      <bottom/>
    </border>
    <border>
      <left style="thin">
        <color rgb="FFD9D9D9"/>
      </left>
      <right style="thin">
        <color rgb="FFD9D9D9"/>
      </right>
      <top style="thin">
        <color rgb="FF000000"/>
      </top>
      <bottom/>
    </border>
    <border>
      <left/>
      <right/>
      <top/>
      <bottom style="thin">
        <color rgb="FFB7B7B7"/>
      </bottom>
    </border>
    <border>
      <left style="thin">
        <color rgb="FF000000"/>
      </left>
      <right/>
      <top/>
      <bottom style="thin">
        <color rgb="FFB7B7B7"/>
      </bottom>
    </border>
    <border>
      <left/>
      <right style="thin">
        <color rgb="FFD9D9D9"/>
      </right>
      <top/>
      <bottom/>
    </border>
    <border>
      <left style="thin">
        <color rgb="FFD9D9D9"/>
      </left>
      <right style="thin">
        <color rgb="FFD9D9D9"/>
      </right>
      <top/>
      <bottom/>
    </border>
    <border>
      <left/>
      <right/>
      <top style="thin">
        <color rgb="FFB7B7B7"/>
      </top>
      <bottom style="thin">
        <color rgb="FFB7B7B7"/>
      </bottom>
    </border>
    <border>
      <left style="thin">
        <color rgb="FFD9D9D9"/>
      </left>
      <right style="thin">
        <color rgb="FFD9D9D9"/>
      </right>
      <top/>
      <bottom style="thin">
        <color rgb="FFB7B7B7"/>
      </bottom>
    </border>
    <border>
      <left style="thin">
        <color rgb="FFD9D9D9"/>
      </left>
      <right style="thin">
        <color rgb="FF000000"/>
      </right>
      <top/>
      <bottom style="thin">
        <color rgb="FFB7B7B7"/>
      </bottom>
    </border>
    <border>
      <left style="thin">
        <color rgb="FF000000"/>
      </left>
      <right style="thin">
        <color rgb="FFD9D9D9"/>
      </right>
      <top style="thin">
        <color rgb="FFB7B7B7"/>
      </top>
      <bottom style="thin">
        <color rgb="FFB7B7B7"/>
      </bottom>
    </border>
    <border>
      <left/>
      <right style="thin">
        <color rgb="FFD9D9D9"/>
      </right>
      <top style="thin">
        <color rgb="FFB7B7B7"/>
      </top>
      <bottom style="thin">
        <color rgb="FFB7B7B7"/>
      </bottom>
    </border>
    <border>
      <left style="thin">
        <color rgb="FFD9D9D9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/>
      <top style="thin">
        <color rgb="FFB7B7B7"/>
      </top>
      <bottom/>
    </border>
    <border>
      <left style="thin">
        <color rgb="FFD9D9D9"/>
      </left>
      <right style="thin">
        <color rgb="FFD9D9D9"/>
      </right>
      <top style="thin">
        <color rgb="FFB7B7B7"/>
      </top>
      <bottom/>
    </border>
    <border>
      <left style="thin">
        <color rgb="FFD9D9D9"/>
      </left>
      <right style="thin">
        <color rgb="FFD9D9D9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D9D9D9"/>
      </right>
      <top/>
      <bottom style="thin">
        <color rgb="FFB7B7B7"/>
      </bottom>
    </border>
    <border>
      <left style="thin">
        <color rgb="FFD9D9D9"/>
      </left>
      <right style="thin">
        <color rgb="FFD9D9D9"/>
      </right>
      <top style="thin">
        <color rgb="FFD9D9D9"/>
      </top>
      <bottom/>
    </border>
    <border>
      <left style="thin">
        <color rgb="FF000000"/>
      </left>
      <right/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D9D9D9"/>
      </right>
      <top style="thin">
        <color rgb="FFB7B7B7"/>
      </top>
      <bottom/>
    </border>
    <border>
      <left style="thin">
        <color rgb="FF000000"/>
      </left>
      <right/>
      <top style="thin">
        <color rgb="FFB7B7B7"/>
      </top>
      <bottom style="thin">
        <color rgb="FF000000"/>
      </bottom>
    </border>
    <border>
      <left/>
      <right/>
      <top style="thin">
        <color rgb="FFB7B7B7"/>
      </top>
      <bottom style="thin">
        <color rgb="FF000000"/>
      </bottom>
    </border>
    <border>
      <left style="thin">
        <color rgb="FFD9D9D9"/>
      </left>
      <right style="thin">
        <color rgb="FFD9D9D9"/>
      </right>
      <top/>
      <bottom style="thin">
        <color rgb="FF000000"/>
      </bottom>
    </border>
    <border>
      <left/>
      <right style="thin">
        <color rgb="FFD9D9D9"/>
      </right>
      <top/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B7B7B7"/>
      </top>
      <bottom style="thin">
        <color rgb="FF000000"/>
      </bottom>
    </border>
    <border>
      <left style="thin">
        <color rgb="FFD9D9D9"/>
      </left>
      <right style="thin">
        <color rgb="FF000000"/>
      </right>
      <top style="thin">
        <color rgb="FFB7B7B7"/>
      </top>
      <bottom style="thin">
        <color rgb="FF000000"/>
      </bottom>
    </border>
    <border>
      <left/>
      <right style="thin">
        <color rgb="FFD9D9D9"/>
      </right>
      <top/>
      <bottom style="thin">
        <color rgb="FFB7B7B7"/>
      </bottom>
    </border>
    <border>
      <left style="thin">
        <color rgb="FFD9D9D9"/>
      </left>
      <right/>
      <top style="thin">
        <color rgb="FFB7B7B7"/>
      </top>
      <bottom/>
    </border>
    <border>
      <left/>
      <right style="thin">
        <color rgb="FFD9D9D9"/>
      </right>
      <top style="thin">
        <color rgb="FFB7B7B7"/>
      </top>
      <bottom/>
    </border>
    <border>
      <left style="thin">
        <color rgb="FFD9D9D9"/>
      </left>
      <right/>
      <top/>
      <bottom style="thin">
        <color rgb="FFB7B7B7"/>
      </bottom>
    </border>
    <border>
      <left style="thin">
        <color rgb="FFD9D9D9"/>
      </left>
      <right/>
      <top/>
      <bottom/>
    </border>
    <border>
      <left style="thin">
        <color rgb="FF000000"/>
      </left>
      <right style="thin">
        <color rgb="FFD9D9D9"/>
      </right>
      <top style="thin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42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2" fontId="1" numFmtId="0" xfId="0" applyAlignment="1" applyFont="1">
      <alignment/>
    </xf>
    <xf borderId="1" fillId="0" fontId="2" numFmtId="0" xfId="0" applyBorder="1" applyFont="1"/>
    <xf borderId="0" fillId="2" fontId="1" numFmtId="0" xfId="0" applyAlignment="1" applyFont="1">
      <alignment horizontal="right"/>
    </xf>
    <xf borderId="0" fillId="0" fontId="2" numFmtId="0" xfId="0" applyAlignment="1" applyFont="1">
      <alignment/>
    </xf>
    <xf borderId="2" fillId="2" fontId="1" numFmtId="0" xfId="0" applyAlignment="1" applyBorder="1" applyFont="1">
      <alignment/>
    </xf>
    <xf borderId="3" fillId="2" fontId="3" numFmtId="164" xfId="0" applyAlignment="1" applyBorder="1" applyFont="1" applyNumberFormat="1">
      <alignment horizontal="right"/>
    </xf>
    <xf borderId="0" fillId="0" fontId="2" numFmtId="165" xfId="0" applyFont="1" applyNumberFormat="1"/>
    <xf borderId="4" fillId="0" fontId="4" numFmtId="0" xfId="0" applyAlignment="1" applyBorder="1" applyFont="1">
      <alignment horizontal="center"/>
    </xf>
    <xf borderId="0" fillId="0" fontId="2" numFmtId="166" xfId="0" applyFont="1" applyNumberFormat="1"/>
    <xf borderId="5" fillId="0" fontId="2" numFmtId="0" xfId="0" applyBorder="1" applyFont="1"/>
    <xf borderId="0" fillId="2" fontId="5" numFmtId="167" xfId="0" applyAlignment="1" applyFont="1" applyNumberFormat="1">
      <alignment horizontal="center"/>
    </xf>
    <xf borderId="0" fillId="0" fontId="6" numFmtId="0" xfId="0" applyAlignment="1" applyFont="1">
      <alignment horizontal="center"/>
    </xf>
    <xf borderId="0" fillId="0" fontId="7" numFmtId="167" xfId="0" applyAlignment="1" applyFont="1" applyNumberFormat="1">
      <alignment/>
    </xf>
    <xf borderId="0" fillId="2" fontId="1" numFmtId="0" xfId="0" applyFont="1"/>
    <xf borderId="6" fillId="0" fontId="4" numFmtId="0" xfId="0" applyAlignment="1" applyBorder="1" applyFont="1">
      <alignment horizontal="center"/>
    </xf>
    <xf borderId="7" fillId="2" fontId="1" numFmtId="167" xfId="0" applyBorder="1" applyFont="1" applyNumberFormat="1"/>
    <xf borderId="8" fillId="2" fontId="1" numFmtId="0" xfId="0" applyAlignment="1" applyBorder="1" applyFont="1">
      <alignment horizontal="left"/>
    </xf>
    <xf borderId="6" fillId="3" fontId="7" numFmtId="167" xfId="0" applyAlignment="1" applyBorder="1" applyFill="1" applyFont="1" applyNumberFormat="1">
      <alignment horizontal="center"/>
    </xf>
    <xf borderId="9" fillId="0" fontId="2" numFmtId="0" xfId="0" applyAlignment="1" applyBorder="1" applyFont="1">
      <alignment/>
    </xf>
    <xf borderId="6" fillId="2" fontId="5" numFmtId="0" xfId="0" applyAlignment="1" applyBorder="1" applyFont="1">
      <alignment/>
    </xf>
    <xf borderId="10" fillId="0" fontId="2" numFmtId="0" xfId="0" applyBorder="1" applyFont="1"/>
    <xf borderId="6" fillId="0" fontId="2" numFmtId="0" xfId="0" applyAlignment="1" applyBorder="1" applyFont="1">
      <alignment/>
    </xf>
    <xf borderId="6" fillId="0" fontId="2" numFmtId="0" xfId="0" applyBorder="1" applyFont="1"/>
    <xf borderId="11" fillId="2" fontId="1" numFmtId="0" xfId="0" applyAlignment="1" applyBorder="1" applyFont="1">
      <alignment/>
    </xf>
    <xf borderId="6" fillId="2" fontId="1" numFmtId="0" xfId="0" applyAlignment="1" applyBorder="1" applyFont="1">
      <alignment/>
    </xf>
    <xf borderId="0" fillId="0" fontId="2" numFmtId="0" xfId="0" applyBorder="1" applyFont="1"/>
    <xf borderId="12" fillId="0" fontId="2" numFmtId="0" xfId="0" applyBorder="1" applyFont="1"/>
    <xf borderId="13" fillId="2" fontId="5" numFmtId="167" xfId="0" applyAlignment="1" applyBorder="1" applyFont="1" applyNumberFormat="1">
      <alignment/>
    </xf>
    <xf borderId="9" fillId="3" fontId="2" numFmtId="0" xfId="0" applyAlignment="1" applyBorder="1" applyFont="1">
      <alignment/>
    </xf>
    <xf borderId="14" fillId="0" fontId="2" numFmtId="0" xfId="0" applyBorder="1" applyFont="1"/>
    <xf borderId="15" fillId="2" fontId="1" numFmtId="0" xfId="0" applyAlignment="1" applyBorder="1" applyFont="1">
      <alignment horizontal="center"/>
    </xf>
    <xf borderId="0" fillId="4" fontId="2" numFmtId="167" xfId="0" applyAlignment="1" applyFill="1" applyFont="1" applyNumberFormat="1">
      <alignment horizontal="left"/>
    </xf>
    <xf borderId="16" fillId="2" fontId="1" numFmtId="0" xfId="0" applyAlignment="1" applyBorder="1" applyFont="1">
      <alignment horizontal="center"/>
    </xf>
    <xf borderId="0" fillId="2" fontId="1" numFmtId="0" xfId="0" applyAlignment="1" applyFont="1">
      <alignment horizontal="right"/>
    </xf>
    <xf borderId="17" fillId="2" fontId="1" numFmtId="0" xfId="0" applyAlignment="1" applyBorder="1" applyFont="1">
      <alignment horizontal="center"/>
    </xf>
    <xf borderId="18" fillId="2" fontId="1" numFmtId="168" xfId="0" applyBorder="1" applyFont="1" applyNumberFormat="1"/>
    <xf borderId="6" fillId="3" fontId="4" numFmtId="0" xfId="0" applyAlignment="1" applyBorder="1" applyFont="1">
      <alignment horizontal="center"/>
    </xf>
    <xf borderId="19" fillId="0" fontId="4" numFmtId="0" xfId="0" applyBorder="1" applyFont="1"/>
    <xf borderId="9" fillId="3" fontId="4" numFmtId="0" xfId="0" applyAlignment="1" applyBorder="1" applyFont="1">
      <alignment/>
    </xf>
    <xf borderId="20" fillId="0" fontId="2" numFmtId="0" xfId="0" applyBorder="1" applyFont="1"/>
    <xf borderId="14" fillId="3" fontId="4" numFmtId="0" xfId="0" applyBorder="1" applyFont="1"/>
    <xf borderId="21" fillId="0" fontId="7" numFmtId="0" xfId="0" applyAlignment="1" applyBorder="1" applyFont="1">
      <alignment horizontal="center"/>
    </xf>
    <xf borderId="6" fillId="5" fontId="2" numFmtId="0" xfId="0" applyAlignment="1" applyBorder="1" applyFill="1" applyFont="1">
      <alignment/>
    </xf>
    <xf borderId="21" fillId="0" fontId="2" numFmtId="0" xfId="0" applyBorder="1" applyFont="1"/>
    <xf borderId="6" fillId="5" fontId="2" numFmtId="0" xfId="0" applyAlignment="1" applyBorder="1" applyFont="1">
      <alignment/>
    </xf>
    <xf borderId="21" fillId="0" fontId="2" numFmtId="169" xfId="0" applyAlignment="1" applyBorder="1" applyFont="1" applyNumberFormat="1">
      <alignment/>
    </xf>
    <xf borderId="6" fillId="4" fontId="8" numFmtId="166" xfId="0" applyBorder="1" applyFont="1" applyNumberFormat="1"/>
    <xf borderId="21" fillId="0" fontId="2" numFmtId="0" xfId="0" applyAlignment="1" applyBorder="1" applyFont="1">
      <alignment/>
    </xf>
    <xf borderId="6" fillId="5" fontId="2" numFmtId="0" xfId="0" applyBorder="1" applyFont="1"/>
    <xf borderId="22" fillId="2" fontId="1" numFmtId="0" xfId="0" applyAlignment="1" applyBorder="1" applyFont="1">
      <alignment horizontal="left"/>
    </xf>
    <xf borderId="23" fillId="2" fontId="5" numFmtId="167" xfId="0" applyAlignment="1" applyBorder="1" applyFont="1" applyNumberFormat="1">
      <alignment/>
    </xf>
    <xf borderId="24" fillId="3" fontId="2" numFmtId="0" xfId="0" applyAlignment="1" applyBorder="1" applyFont="1">
      <alignment horizontal="left"/>
    </xf>
    <xf borderId="6" fillId="2" fontId="1" numFmtId="167" xfId="0" applyAlignment="1" applyBorder="1" applyFont="1" applyNumberFormat="1">
      <alignment horizontal="right"/>
    </xf>
    <xf borderId="25" fillId="0" fontId="2" numFmtId="0" xfId="0" applyBorder="1" applyFont="1"/>
    <xf borderId="6" fillId="2" fontId="1" numFmtId="165" xfId="0" applyAlignment="1" applyBorder="1" applyFont="1" applyNumberFormat="1">
      <alignment horizontal="center"/>
    </xf>
    <xf borderId="0" fillId="0" fontId="7" numFmtId="166" xfId="0" applyAlignment="1" applyFont="1" applyNumberFormat="1">
      <alignment/>
    </xf>
    <xf borderId="0" fillId="0" fontId="2" numFmtId="167" xfId="0" applyFont="1" applyNumberFormat="1"/>
    <xf borderId="26" fillId="0" fontId="2" numFmtId="0" xfId="0" applyBorder="1" applyFont="1"/>
    <xf borderId="0" fillId="0" fontId="2" numFmtId="167" xfId="0" applyAlignment="1" applyFont="1" applyNumberFormat="1">
      <alignment horizontal="left"/>
    </xf>
    <xf borderId="26" fillId="2" fontId="1" numFmtId="0" xfId="0" applyAlignment="1" applyBorder="1" applyFont="1">
      <alignment/>
    </xf>
    <xf borderId="9" fillId="5" fontId="2" numFmtId="0" xfId="0" applyAlignment="1" applyBorder="1" applyFont="1">
      <alignment/>
    </xf>
    <xf borderId="24" fillId="3" fontId="2" numFmtId="0" xfId="0" applyAlignment="1" applyBorder="1" applyFont="1">
      <alignment/>
    </xf>
    <xf borderId="9" fillId="5" fontId="2" numFmtId="0" xfId="0" applyBorder="1" applyFont="1"/>
    <xf borderId="27" fillId="0" fontId="2" numFmtId="0" xfId="0" applyBorder="1" applyFont="1"/>
    <xf borderId="6" fillId="4" fontId="4" numFmtId="0" xfId="0" applyAlignment="1" applyBorder="1" applyFont="1">
      <alignment/>
    </xf>
    <xf borderId="24" fillId="2" fontId="1" numFmtId="0" xfId="0" applyAlignment="1" applyBorder="1" applyFont="1">
      <alignment/>
    </xf>
    <xf borderId="6" fillId="0" fontId="2" numFmtId="165" xfId="0" applyAlignment="1" applyBorder="1" applyFont="1" applyNumberFormat="1">
      <alignment/>
    </xf>
    <xf borderId="6" fillId="3" fontId="4" numFmtId="0" xfId="0" applyAlignment="1" applyBorder="1" applyFont="1">
      <alignment horizontal="center"/>
    </xf>
    <xf borderId="24" fillId="0" fontId="2" numFmtId="0" xfId="0" applyAlignment="1" applyBorder="1" applyFont="1">
      <alignment/>
    </xf>
    <xf borderId="6" fillId="4" fontId="2" numFmtId="166" xfId="0" applyBorder="1" applyFont="1" applyNumberFormat="1"/>
    <xf borderId="28" fillId="2" fontId="1" numFmtId="0" xfId="0" applyAlignment="1" applyBorder="1" applyFont="1">
      <alignment/>
    </xf>
    <xf borderId="6" fillId="0" fontId="2" numFmtId="170" xfId="0" applyAlignment="1" applyBorder="1" applyFont="1" applyNumberFormat="1">
      <alignment/>
    </xf>
    <xf borderId="27" fillId="0" fontId="2" numFmtId="171" xfId="0" applyAlignment="1" applyBorder="1" applyFont="1" applyNumberFormat="1">
      <alignment/>
    </xf>
    <xf borderId="29" fillId="2" fontId="1" numFmtId="0" xfId="0" applyAlignment="1" applyBorder="1" applyFont="1">
      <alignment/>
    </xf>
    <xf borderId="19" fillId="0" fontId="9" numFmtId="0" xfId="0" applyAlignment="1" applyBorder="1" applyFont="1">
      <alignment horizontal="left"/>
    </xf>
    <xf borderId="27" fillId="0" fontId="2" numFmtId="0" xfId="0" applyAlignment="1" applyBorder="1" applyFont="1">
      <alignment/>
    </xf>
    <xf borderId="29" fillId="0" fontId="2" numFmtId="0" xfId="0" applyAlignment="1" applyBorder="1" applyFont="1">
      <alignment/>
    </xf>
    <xf borderId="6" fillId="0" fontId="2" numFmtId="165" xfId="0" applyBorder="1" applyFont="1" applyNumberFormat="1"/>
    <xf borderId="30" fillId="2" fontId="1" numFmtId="0" xfId="0" applyAlignment="1" applyBorder="1" applyFont="1">
      <alignment horizontal="center"/>
    </xf>
    <xf borderId="6" fillId="0" fontId="2" numFmtId="170" xfId="0" applyBorder="1" applyFont="1" applyNumberFormat="1"/>
    <xf borderId="30" fillId="0" fontId="2" numFmtId="0" xfId="0" applyBorder="1" applyFont="1"/>
    <xf borderId="0" fillId="0" fontId="2" numFmtId="171" xfId="0" applyFont="1" applyNumberFormat="1"/>
    <xf borderId="31" fillId="0" fontId="2" numFmtId="0" xfId="0" applyBorder="1" applyFont="1"/>
    <xf borderId="6" fillId="5" fontId="10" numFmtId="0" xfId="0" applyBorder="1" applyFont="1"/>
    <xf borderId="9" fillId="2" fontId="1" numFmtId="0" xfId="0" applyAlignment="1" applyBorder="1" applyFont="1">
      <alignment horizontal="center"/>
    </xf>
    <xf borderId="6" fillId="0" fontId="2" numFmtId="0" xfId="0" applyAlignment="1" applyBorder="1" applyFont="1">
      <alignment/>
    </xf>
    <xf borderId="14" fillId="2" fontId="1" numFmtId="0" xfId="0" applyAlignment="1" applyBorder="1" applyFont="1">
      <alignment horizontal="center"/>
    </xf>
    <xf borderId="6" fillId="4" fontId="10" numFmtId="0" xfId="0" applyAlignment="1" applyBorder="1" applyFont="1">
      <alignment/>
    </xf>
    <xf borderId="30" fillId="2" fontId="11" numFmtId="0" xfId="0" applyAlignment="1" applyBorder="1" applyFont="1">
      <alignment horizontal="center"/>
    </xf>
    <xf borderId="14" fillId="0" fontId="2" numFmtId="170" xfId="0" applyBorder="1" applyFont="1" applyNumberFormat="1"/>
    <xf borderId="32" fillId="0" fontId="2" numFmtId="0" xfId="0" applyBorder="1" applyFont="1"/>
    <xf borderId="6" fillId="2" fontId="1" numFmtId="0" xfId="0" applyBorder="1" applyFont="1"/>
    <xf borderId="33" fillId="2" fontId="1" numFmtId="0" xfId="0" applyAlignment="1" applyBorder="1" applyFont="1">
      <alignment horizontal="center"/>
    </xf>
    <xf borderId="6" fillId="2" fontId="1" numFmtId="170" xfId="0" applyAlignment="1" applyBorder="1" applyFont="1" applyNumberFormat="1">
      <alignment horizontal="right"/>
    </xf>
    <xf borderId="9" fillId="2" fontId="5" numFmtId="0" xfId="0" applyAlignment="1" applyBorder="1" applyFont="1">
      <alignment horizontal="center"/>
    </xf>
    <xf borderId="6" fillId="4" fontId="2" numFmtId="0" xfId="0" applyBorder="1" applyFont="1"/>
    <xf borderId="13" fillId="2" fontId="1" numFmtId="0" xfId="0" applyAlignment="1" applyBorder="1" applyFont="1">
      <alignment/>
    </xf>
    <xf borderId="6" fillId="4" fontId="2" numFmtId="170" xfId="0" applyBorder="1" applyFont="1" applyNumberFormat="1"/>
    <xf borderId="13" fillId="0" fontId="2" numFmtId="0" xfId="0" applyBorder="1" applyFont="1"/>
    <xf borderId="6" fillId="4" fontId="2" numFmtId="165" xfId="0" applyAlignment="1" applyBorder="1" applyFont="1" applyNumberFormat="1">
      <alignment/>
    </xf>
    <xf borderId="0" fillId="2" fontId="1" numFmtId="0" xfId="0" applyAlignment="1" applyFont="1">
      <alignment wrapText="1"/>
    </xf>
    <xf borderId="4" fillId="3" fontId="4" numFmtId="0" xfId="0" applyAlignment="1" applyBorder="1" applyFont="1">
      <alignment horizontal="center"/>
    </xf>
    <xf borderId="6" fillId="5" fontId="2" numFmtId="170" xfId="0" applyAlignment="1" applyBorder="1" applyFont="1" applyNumberFormat="1">
      <alignment/>
    </xf>
    <xf borderId="34" fillId="0" fontId="2" numFmtId="0" xfId="0" applyBorder="1" applyFont="1"/>
    <xf borderId="0" fillId="2" fontId="1" numFmtId="0" xfId="0" applyAlignment="1" applyFont="1">
      <alignment horizontal="center"/>
    </xf>
    <xf borderId="6" fillId="2" fontId="12" numFmtId="172" xfId="0" applyBorder="1" applyFont="1" applyNumberFormat="1"/>
    <xf borderId="8" fillId="0" fontId="2" numFmtId="165" xfId="0" applyBorder="1" applyFont="1" applyNumberFormat="1"/>
    <xf borderId="6" fillId="3" fontId="2" numFmtId="0" xfId="0" applyBorder="1" applyFont="1"/>
    <xf borderId="21" fillId="2" fontId="1" numFmtId="0" xfId="0" applyAlignment="1" applyBorder="1" applyFont="1">
      <alignment/>
    </xf>
    <xf borderId="21" fillId="2" fontId="1" numFmtId="0" xfId="0" applyBorder="1" applyFont="1"/>
    <xf borderId="0" fillId="4" fontId="2" numFmtId="0" xfId="0" applyAlignment="1" applyFont="1">
      <alignment/>
    </xf>
    <xf borderId="6" fillId="2" fontId="1" numFmtId="170" xfId="0" applyAlignment="1" applyBorder="1" applyFont="1" applyNumberFormat="1">
      <alignment/>
    </xf>
    <xf borderId="0" fillId="2" fontId="13" numFmtId="0" xfId="0" applyAlignment="1" applyFont="1">
      <alignment wrapText="1"/>
    </xf>
    <xf borderId="4" fillId="3" fontId="2" numFmtId="0" xfId="0" applyBorder="1" applyFont="1"/>
    <xf borderId="8" fillId="2" fontId="1" numFmtId="0" xfId="0" applyAlignment="1" applyBorder="1" applyFont="1">
      <alignment horizontal="right"/>
    </xf>
    <xf borderId="35" fillId="2" fontId="1" numFmtId="0" xfId="0" applyAlignment="1" applyBorder="1" applyFont="1">
      <alignment/>
    </xf>
    <xf borderId="0" fillId="4" fontId="2" numFmtId="166" xfId="0" applyFont="1" applyNumberFormat="1"/>
    <xf borderId="2" fillId="0" fontId="2" numFmtId="0" xfId="0" applyBorder="1" applyFont="1"/>
    <xf borderId="36" fillId="2" fontId="1" numFmtId="0" xfId="0" applyAlignment="1" applyBorder="1" applyFont="1">
      <alignment horizontal="right"/>
    </xf>
    <xf borderId="6" fillId="0" fontId="2" numFmtId="169" xfId="0" applyAlignment="1" applyBorder="1" applyFont="1" applyNumberFormat="1">
      <alignment horizontal="right"/>
    </xf>
    <xf borderId="0" fillId="2" fontId="1" numFmtId="0" xfId="0" applyAlignment="1" applyFont="1">
      <alignment wrapText="1"/>
    </xf>
    <xf borderId="9" fillId="0" fontId="2" numFmtId="0" xfId="0" applyAlignment="1" applyBorder="1" applyFont="1">
      <alignment horizontal="center"/>
    </xf>
    <xf borderId="0" fillId="6" fontId="14" numFmtId="0" xfId="0" applyFill="1" applyFont="1"/>
    <xf borderId="6" fillId="3" fontId="4" numFmtId="0" xfId="0" applyAlignment="1" applyBorder="1" applyFont="1">
      <alignment horizontal="center"/>
    </xf>
    <xf borderId="0" fillId="6" fontId="13" numFmtId="0" xfId="0" applyAlignment="1" applyFont="1">
      <alignment horizontal="right"/>
    </xf>
    <xf borderId="6" fillId="0" fontId="2" numFmtId="169" xfId="0" applyBorder="1" applyFont="1" applyNumberFormat="1"/>
    <xf borderId="6" fillId="3" fontId="4" numFmtId="0" xfId="0" applyBorder="1" applyFont="1"/>
    <xf borderId="0" fillId="0" fontId="2" numFmtId="0" xfId="0" applyAlignment="1" applyFont="1">
      <alignment wrapText="1"/>
    </xf>
    <xf borderId="0" fillId="5" fontId="8" numFmtId="0" xfId="0" applyAlignment="1" applyFont="1">
      <alignment/>
    </xf>
    <xf borderId="34" fillId="0" fontId="2" numFmtId="0" xfId="0" applyAlignment="1" applyBorder="1" applyFont="1">
      <alignment horizontal="left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5" fillId="0" fontId="16" numFmtId="0" xfId="0" applyAlignment="1" applyBorder="1" applyFont="1">
      <alignment/>
    </xf>
    <xf borderId="0" fillId="0" fontId="2" numFmtId="0" xfId="0" applyAlignment="1" applyFont="1">
      <alignment wrapText="1"/>
    </xf>
    <xf borderId="37" fillId="2" fontId="1" numFmtId="0" xfId="0" applyAlignment="1" applyBorder="1" applyFont="1">
      <alignment/>
    </xf>
    <xf borderId="38" fillId="0" fontId="2" numFmtId="0" xfId="0" applyBorder="1" applyFont="1"/>
    <xf borderId="6" fillId="7" fontId="2" numFmtId="0" xfId="0" applyAlignment="1" applyBorder="1" applyFill="1" applyFont="1">
      <alignment/>
    </xf>
    <xf borderId="5" fillId="0" fontId="2" numFmtId="0" xfId="0" applyAlignment="1" applyBorder="1" applyFont="1">
      <alignment horizontal="left"/>
    </xf>
    <xf borderId="23" fillId="2" fontId="1" numFmtId="0" xfId="0" applyAlignment="1" applyBorder="1" applyFont="1">
      <alignment/>
    </xf>
    <xf borderId="23" fillId="0" fontId="2" numFmtId="0" xfId="0" applyBorder="1" applyFont="1"/>
    <xf borderId="21" fillId="0" fontId="17" numFmtId="0" xfId="0" applyAlignment="1" applyBorder="1" applyFont="1">
      <alignment horizontal="center" vertical="top" wrapText="1"/>
    </xf>
    <xf borderId="0" fillId="0" fontId="2" numFmtId="0" xfId="0" applyAlignment="1" applyFont="1">
      <alignment vertical="top" wrapText="1"/>
    </xf>
    <xf borderId="6" fillId="8" fontId="2" numFmtId="0" xfId="0" applyAlignment="1" applyBorder="1" applyFill="1" applyFont="1">
      <alignment/>
    </xf>
    <xf borderId="21" fillId="0" fontId="17" numFmtId="0" xfId="0" applyAlignment="1" applyBorder="1" applyFont="1">
      <alignment horizontal="center" vertical="top"/>
    </xf>
    <xf borderId="5" fillId="5" fontId="16" numFmtId="0" xfId="0" applyBorder="1" applyFont="1"/>
    <xf borderId="30" fillId="2" fontId="1" numFmtId="0" xfId="0" applyAlignment="1" applyBorder="1" applyFont="1">
      <alignment horizontal="center"/>
    </xf>
    <xf borderId="5" fillId="0" fontId="2" numFmtId="0" xfId="0" applyAlignment="1" applyBorder="1" applyFont="1">
      <alignment horizontal="right" vertical="top" wrapText="1"/>
    </xf>
    <xf borderId="32" fillId="0" fontId="16" numFmtId="0" xfId="0" applyAlignment="1" applyBorder="1" applyFont="1">
      <alignment/>
    </xf>
    <xf borderId="39" fillId="2" fontId="1" numFmtId="0" xfId="0" applyAlignment="1" applyBorder="1" applyFont="1">
      <alignment/>
    </xf>
    <xf borderId="37" fillId="2" fontId="1" numFmtId="0" xfId="0" applyAlignment="1" applyBorder="1" applyFont="1">
      <alignment horizontal="center"/>
    </xf>
    <xf borderId="40" fillId="0" fontId="2" numFmtId="0" xfId="0" applyBorder="1" applyFont="1"/>
    <xf borderId="0" fillId="0" fontId="18" numFmtId="0" xfId="0" applyAlignment="1" applyFont="1">
      <alignment vertical="center" wrapText="1"/>
    </xf>
    <xf borderId="16" fillId="2" fontId="1" numFmtId="0" xfId="0" applyAlignment="1" applyBorder="1" applyFont="1">
      <alignment/>
    </xf>
    <xf borderId="41" fillId="0" fontId="2" numFmtId="0" xfId="0" applyAlignment="1" applyBorder="1" applyFont="1">
      <alignment vertical="top" wrapText="1"/>
    </xf>
    <xf borderId="17" fillId="2" fontId="1" numFmtId="0" xfId="0" applyAlignment="1" applyBorder="1" applyFont="1">
      <alignment/>
    </xf>
    <xf borderId="36" fillId="0" fontId="2" numFmtId="0" xfId="0" applyBorder="1" applyFont="1"/>
    <xf borderId="21" fillId="2" fontId="1" numFmtId="0" xfId="0" applyAlignment="1" applyBorder="1" applyFont="1">
      <alignment horizontal="center"/>
    </xf>
    <xf borderId="42" fillId="0" fontId="2" numFmtId="0" xfId="0" applyBorder="1" applyFont="1"/>
    <xf borderId="21" fillId="2" fontId="1" numFmtId="0" xfId="0" applyAlignment="1" applyBorder="1" applyFont="1">
      <alignment horizontal="center"/>
    </xf>
    <xf borderId="34" fillId="9" fontId="2" numFmtId="0" xfId="0" applyAlignment="1" applyBorder="1" applyFill="1" applyFont="1">
      <alignment horizontal="right"/>
    </xf>
    <xf borderId="2" fillId="2" fontId="1" numFmtId="0" xfId="0" applyAlignment="1" applyBorder="1" applyFont="1">
      <alignment horizontal="right"/>
    </xf>
    <xf borderId="0" fillId="5" fontId="16" numFmtId="0" xfId="0" applyFont="1"/>
    <xf borderId="4" fillId="0" fontId="19" numFmtId="0" xfId="0" applyAlignment="1" applyBorder="1" applyFont="1">
      <alignment horizontal="center"/>
    </xf>
    <xf borderId="9" fillId="10" fontId="4" numFmtId="0" xfId="0" applyAlignment="1" applyBorder="1" applyFill="1" applyFont="1">
      <alignment horizontal="center"/>
    </xf>
    <xf borderId="43" fillId="0" fontId="2" numFmtId="0" xfId="0" applyAlignment="1" applyBorder="1" applyFont="1">
      <alignment horizontal="right"/>
    </xf>
    <xf borderId="6" fillId="10" fontId="4" numFmtId="0" xfId="0" applyAlignment="1" applyBorder="1" applyFont="1">
      <alignment horizontal="center"/>
    </xf>
    <xf borderId="44" fillId="0" fontId="2" numFmtId="0" xfId="0" applyAlignment="1" applyBorder="1" applyFont="1">
      <alignment/>
    </xf>
    <xf borderId="1" fillId="2" fontId="2" numFmtId="0" xfId="0" applyBorder="1" applyFont="1"/>
    <xf borderId="6" fillId="3" fontId="2" numFmtId="0" xfId="0" applyAlignment="1" applyBorder="1" applyFont="1">
      <alignment/>
    </xf>
    <xf borderId="45" fillId="2" fontId="1" numFmtId="0" xfId="0" applyAlignment="1" applyBorder="1" applyFont="1">
      <alignment horizontal="center"/>
    </xf>
    <xf borderId="46" fillId="2" fontId="1" numFmtId="0" xfId="0" applyAlignment="1" applyBorder="1" applyFont="1">
      <alignment horizontal="center"/>
    </xf>
    <xf borderId="47" fillId="2" fontId="1" numFmtId="0" xfId="0" applyAlignment="1" applyBorder="1" applyFont="1">
      <alignment horizontal="center"/>
    </xf>
    <xf borderId="9" fillId="11" fontId="19" numFmtId="0" xfId="0" applyAlignment="1" applyBorder="1" applyFill="1" applyFont="1">
      <alignment horizontal="center"/>
    </xf>
    <xf borderId="11" fillId="2" fontId="1" numFmtId="0" xfId="0" applyAlignment="1" applyBorder="1" applyFont="1">
      <alignment horizontal="right"/>
    </xf>
    <xf borderId="6" fillId="0" fontId="19" numFmtId="0" xfId="0" applyAlignment="1" applyBorder="1" applyFont="1">
      <alignment horizontal="center"/>
    </xf>
    <xf borderId="45" fillId="2" fontId="1" numFmtId="0" xfId="0" applyAlignment="1" applyBorder="1" applyFont="1">
      <alignment/>
    </xf>
    <xf borderId="44" fillId="0" fontId="2" numFmtId="0" xfId="0" applyBorder="1" applyFont="1"/>
    <xf borderId="9" fillId="10" fontId="4" numFmtId="0" xfId="0" applyAlignment="1" applyBorder="1" applyFont="1">
      <alignment/>
    </xf>
    <xf borderId="32" fillId="2" fontId="1" numFmtId="0" xfId="0" applyAlignment="1" applyBorder="1" applyFont="1">
      <alignment/>
    </xf>
    <xf borderId="45" fillId="2" fontId="1" numFmtId="0" xfId="0" applyAlignment="1" applyBorder="1" applyFont="1">
      <alignment horizontal="center"/>
    </xf>
    <xf borderId="48" fillId="12" fontId="4" numFmtId="0" xfId="0" applyAlignment="1" applyBorder="1" applyFill="1" applyFont="1">
      <alignment horizontal="center"/>
    </xf>
    <xf borderId="45" fillId="2" fontId="1" numFmtId="0" xfId="0" applyAlignment="1" applyBorder="1" applyFont="1">
      <alignment/>
    </xf>
    <xf borderId="49" fillId="0" fontId="2" numFmtId="0" xfId="0" applyBorder="1" applyFont="1"/>
    <xf borderId="50" fillId="0" fontId="2" numFmtId="0" xfId="0" applyAlignment="1" applyBorder="1" applyFont="1">
      <alignment/>
    </xf>
    <xf borderId="9" fillId="2" fontId="5" numFmtId="0" xfId="0" applyAlignment="1" applyBorder="1" applyFont="1">
      <alignment/>
    </xf>
    <xf borderId="50" fillId="12" fontId="2" numFmtId="0" xfId="0" applyBorder="1" applyFont="1"/>
    <xf borderId="10" fillId="3" fontId="7" numFmtId="0" xfId="0" applyAlignment="1" applyBorder="1" applyFont="1">
      <alignment horizontal="right"/>
    </xf>
    <xf borderId="50" fillId="0" fontId="2" numFmtId="0" xfId="0" applyBorder="1" applyFont="1"/>
    <xf borderId="6" fillId="3" fontId="7" numFmtId="0" xfId="0" applyAlignment="1" applyBorder="1" applyFont="1">
      <alignment horizontal="right"/>
    </xf>
    <xf borderId="51" fillId="0" fontId="2" numFmtId="0" xfId="0" applyBorder="1" applyFont="1"/>
    <xf borderId="52" fillId="0" fontId="2" numFmtId="0" xfId="0" applyAlignment="1" applyBorder="1" applyFont="1">
      <alignment/>
    </xf>
    <xf borderId="52" fillId="12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" fillId="2" fontId="1" numFmtId="0" xfId="0" applyAlignment="1" applyBorder="1" applyFont="1">
      <alignment horizontal="center"/>
    </xf>
    <xf borderId="21" fillId="2" fontId="1" numFmtId="0" xfId="0" applyAlignment="1" applyBorder="1" applyFont="1">
      <alignment horizontal="right"/>
    </xf>
    <xf borderId="6" fillId="0" fontId="19" numFmtId="0" xfId="0" applyAlignment="1" applyBorder="1" applyFont="1">
      <alignment horizontal="center"/>
    </xf>
    <xf borderId="0" fillId="2" fontId="1" numFmtId="0" xfId="0" applyAlignment="1" applyFont="1">
      <alignment/>
    </xf>
    <xf borderId="54" fillId="2" fontId="1" numFmtId="0" xfId="0" applyAlignment="1" applyBorder="1" applyFont="1">
      <alignment/>
    </xf>
    <xf borderId="32" fillId="2" fontId="1" numFmtId="0" xfId="0" applyAlignment="1" applyBorder="1" applyFont="1">
      <alignment horizontal="right"/>
    </xf>
    <xf borderId="55" fillId="0" fontId="2" numFmtId="0" xfId="0" applyBorder="1" applyFont="1"/>
    <xf borderId="56" fillId="0" fontId="2" numFmtId="0" xfId="0" applyBorder="1" applyFont="1"/>
    <xf borderId="57" fillId="0" fontId="2" numFmtId="0" xfId="0" applyBorder="1" applyFont="1"/>
    <xf borderId="1" fillId="13" fontId="1" numFmtId="0" xfId="0" applyAlignment="1" applyBorder="1" applyFill="1" applyFont="1">
      <alignment horizontal="center"/>
    </xf>
    <xf borderId="6" fillId="3" fontId="4" numFmtId="0" xfId="0" applyAlignment="1" applyBorder="1" applyFont="1">
      <alignment horizontal="right"/>
    </xf>
    <xf borderId="58" fillId="0" fontId="2" numFmtId="0" xfId="0" applyBorder="1" applyFont="1"/>
    <xf borderId="59" fillId="13" fontId="1" numFmtId="0" xfId="0" applyAlignment="1" applyBorder="1" applyFont="1">
      <alignment horizontal="center"/>
    </xf>
    <xf borderId="0" fillId="0" fontId="4" numFmtId="0" xfId="0" applyAlignment="1" applyFont="1">
      <alignment/>
    </xf>
    <xf borderId="60" fillId="13" fontId="1" numFmtId="0" xfId="0" applyAlignment="1" applyBorder="1" applyFont="1">
      <alignment horizontal="center"/>
    </xf>
    <xf borderId="0" fillId="0" fontId="4" numFmtId="0" xfId="0" applyFont="1"/>
    <xf borderId="54" fillId="0" fontId="4" numFmtId="0" xfId="0" applyAlignment="1" applyBorder="1" applyFont="1">
      <alignment/>
    </xf>
    <xf borderId="61" fillId="13" fontId="1" numFmtId="0" xfId="0" applyAlignment="1" applyBorder="1" applyFont="1">
      <alignment horizontal="center"/>
    </xf>
    <xf borderId="62" fillId="0" fontId="2" numFmtId="0" xfId="0" applyBorder="1" applyFont="1"/>
    <xf borderId="6" fillId="5" fontId="9" numFmtId="0" xfId="0" applyAlignment="1" applyBorder="1" applyFont="1">
      <alignment/>
    </xf>
    <xf borderId="63" fillId="13" fontId="1" numFmtId="0" xfId="0" applyAlignment="1" applyBorder="1" applyFont="1">
      <alignment/>
    </xf>
    <xf borderId="64" fillId="0" fontId="2" numFmtId="0" xfId="0" applyAlignment="1" applyBorder="1" applyFont="1">
      <alignment/>
    </xf>
    <xf borderId="65" fillId="0" fontId="2" numFmtId="0" xfId="0" applyBorder="1" applyFont="1"/>
    <xf borderId="6" fillId="2" fontId="4" numFmtId="0" xfId="0" applyBorder="1" applyFont="1"/>
    <xf borderId="66" fillId="0" fontId="2" numFmtId="0" xfId="0" applyBorder="1" applyFont="1"/>
    <xf borderId="54" fillId="0" fontId="7" numFmtId="0" xfId="0" applyAlignment="1" applyBorder="1" applyFont="1">
      <alignment/>
    </xf>
    <xf borderId="67" fillId="0" fontId="2" numFmtId="0" xfId="0" applyBorder="1" applyFont="1"/>
    <xf borderId="13" fillId="13" fontId="1" numFmtId="0" xfId="0" applyAlignment="1" applyBorder="1" applyFont="1">
      <alignment/>
    </xf>
    <xf borderId="68" fillId="14" fontId="4" numFmtId="0" xfId="0" applyAlignment="1" applyBorder="1" applyFill="1" applyFont="1">
      <alignment horizontal="center"/>
    </xf>
    <xf borderId="69" fillId="14" fontId="2" numFmtId="0" xfId="0" applyBorder="1" applyFont="1"/>
    <xf borderId="69" fillId="0" fontId="2" numFmtId="0" xfId="0" applyAlignment="1" applyBorder="1" applyFont="1">
      <alignment/>
    </xf>
    <xf borderId="69" fillId="0" fontId="2" numFmtId="0" xfId="0" applyAlignment="1" applyBorder="1" applyFont="1">
      <alignment/>
    </xf>
    <xf borderId="69" fillId="0" fontId="2" numFmtId="0" xfId="0" applyBorder="1" applyFont="1"/>
    <xf borderId="70" fillId="13" fontId="1" numFmtId="0" xfId="0" applyAlignment="1" applyBorder="1" applyFont="1">
      <alignment horizontal="center"/>
    </xf>
    <xf borderId="71" fillId="14" fontId="4" numFmtId="0" xfId="0" applyAlignment="1" applyBorder="1" applyFont="1">
      <alignment horizontal="center"/>
    </xf>
    <xf borderId="6" fillId="3" fontId="10" numFmtId="0" xfId="0" applyAlignment="1" applyBorder="1" applyFont="1">
      <alignment/>
    </xf>
    <xf borderId="69" fillId="14" fontId="4" numFmtId="0" xfId="0" applyBorder="1" applyFont="1"/>
    <xf borderId="6" fillId="3" fontId="4" numFmtId="0" xfId="0" applyAlignment="1" applyBorder="1" applyFont="1">
      <alignment horizontal="center"/>
    </xf>
    <xf borderId="69" fillId="5" fontId="2" numFmtId="0" xfId="0" applyAlignment="1" applyBorder="1" applyFont="1">
      <alignment/>
    </xf>
    <xf borderId="69" fillId="5" fontId="2" numFmtId="0" xfId="0" applyBorder="1" applyFont="1"/>
    <xf borderId="69" fillId="0" fontId="2" numFmtId="9" xfId="0" applyAlignment="1" applyBorder="1" applyFont="1" applyNumberFormat="1">
      <alignment/>
    </xf>
    <xf borderId="54" fillId="0" fontId="4" numFmtId="0" xfId="0" applyBorder="1" applyFont="1"/>
    <xf borderId="69" fillId="0" fontId="2" numFmtId="0" xfId="0" applyAlignment="1" applyBorder="1" applyFont="1">
      <alignment horizontal="right"/>
    </xf>
    <xf borderId="23" fillId="13" fontId="1" numFmtId="0" xfId="0" applyAlignment="1" applyBorder="1" applyFont="1">
      <alignment/>
    </xf>
    <xf borderId="64" fillId="2" fontId="2" numFmtId="0" xfId="0" applyBorder="1" applyFont="1"/>
    <xf borderId="69" fillId="2" fontId="2" numFmtId="0" xfId="0" applyBorder="1" applyFont="1"/>
    <xf borderId="6" fillId="3" fontId="7" numFmtId="0" xfId="0" applyBorder="1" applyFont="1"/>
    <xf borderId="69" fillId="5" fontId="2" numFmtId="0" xfId="0" applyAlignment="1" applyBorder="1" applyFont="1">
      <alignment/>
    </xf>
    <xf borderId="64" fillId="0" fontId="2" numFmtId="0" xfId="0" applyAlignment="1" applyBorder="1" applyFont="1">
      <alignment horizontal="center"/>
    </xf>
    <xf borderId="72" fillId="0" fontId="2" numFmtId="0" xfId="0" applyBorder="1" applyFont="1"/>
    <xf borderId="73" fillId="0" fontId="2" numFmtId="0" xfId="0" applyBorder="1" applyFont="1"/>
    <xf borderId="72" fillId="0" fontId="2" numFmtId="0" xfId="0" applyAlignment="1" applyBorder="1" applyFont="1">
      <alignment/>
    </xf>
    <xf borderId="1" fillId="15" fontId="1" numFmtId="0" xfId="0" applyAlignment="1" applyBorder="1" applyFill="1" applyFont="1">
      <alignment horizontal="center"/>
    </xf>
    <xf borderId="74" fillId="0" fontId="2" numFmtId="0" xfId="0" applyBorder="1" applyFont="1"/>
    <xf borderId="75" fillId="0" fontId="2" numFmtId="0" xfId="0" applyBorder="1" applyFont="1"/>
    <xf borderId="76" fillId="15" fontId="1" numFmtId="0" xfId="0" applyAlignment="1" applyBorder="1" applyFont="1">
      <alignment horizontal="center"/>
    </xf>
    <xf borderId="77" fillId="15" fontId="1" numFmtId="0" xfId="0" applyAlignment="1" applyBorder="1" applyFont="1">
      <alignment horizontal="center"/>
    </xf>
    <xf borderId="78" fillId="15" fontId="1" numFmtId="0" xfId="0" applyAlignment="1" applyBorder="1" applyFont="1">
      <alignment horizontal="center"/>
    </xf>
    <xf borderId="79" fillId="0" fontId="2" numFmtId="0" xfId="0" applyBorder="1" applyFont="1"/>
    <xf borderId="80" fillId="0" fontId="2" numFmtId="0" xfId="0" applyBorder="1" applyFont="1"/>
    <xf borderId="64" fillId="0" fontId="2" numFmtId="0" xfId="0" applyBorder="1" applyFont="1"/>
    <xf borderId="23" fillId="15" fontId="1" numFmtId="0" xfId="0" applyAlignment="1" applyBorder="1" applyFont="1">
      <alignment/>
    </xf>
    <xf borderId="81" fillId="0" fontId="2" numFmtId="0" xfId="0" applyBorder="1" applyFont="1"/>
    <xf borderId="82" fillId="16" fontId="4" numFmtId="0" xfId="0" applyAlignment="1" applyBorder="1" applyFill="1" applyFont="1">
      <alignment horizontal="center"/>
    </xf>
    <xf borderId="83" fillId="16" fontId="2" numFmtId="0" xfId="0" applyBorder="1" applyFont="1"/>
    <xf borderId="83" fillId="0" fontId="2" numFmtId="0" xfId="0" applyAlignment="1" applyBorder="1" applyFont="1">
      <alignment/>
    </xf>
    <xf borderId="83" fillId="0" fontId="2" numFmtId="0" xfId="0" applyAlignment="1" applyBorder="1" applyFont="1">
      <alignment/>
    </xf>
    <xf borderId="84" fillId="0" fontId="2" numFmtId="0" xfId="0" applyBorder="1" applyFont="1"/>
    <xf borderId="69" fillId="0" fontId="2" numFmtId="9" xfId="0" applyBorder="1" applyFont="1" applyNumberFormat="1"/>
    <xf borderId="1" fillId="17" fontId="1" numFmtId="0" xfId="0" applyAlignment="1" applyBorder="1" applyFill="1" applyFont="1">
      <alignment horizontal="center"/>
    </xf>
    <xf borderId="85" fillId="0" fontId="2" numFmtId="0" xfId="0" applyBorder="1" applyFont="1"/>
    <xf borderId="64" fillId="0" fontId="2" numFmtId="0" xfId="0" applyAlignment="1" applyBorder="1" applyFont="1">
      <alignment horizontal="center"/>
    </xf>
    <xf borderId="13" fillId="17" fontId="1" numFmtId="0" xfId="0" applyAlignment="1" applyBorder="1" applyFont="1">
      <alignment/>
    </xf>
    <xf borderId="86" fillId="18" fontId="4" numFmtId="0" xfId="0" applyAlignment="1" applyBorder="1" applyFill="1" applyFont="1">
      <alignment horizontal="center"/>
    </xf>
    <xf borderId="87" fillId="0" fontId="2" numFmtId="0" xfId="0" applyBorder="1" applyFont="1"/>
    <xf borderId="88" fillId="17" fontId="1" numFmtId="0" xfId="0" applyAlignment="1" applyBorder="1" applyFont="1">
      <alignment horizontal="center"/>
    </xf>
    <xf borderId="89" fillId="17" fontId="1" numFmtId="0" xfId="0" applyAlignment="1" applyBorder="1" applyFont="1">
      <alignment horizontal="center"/>
    </xf>
    <xf borderId="89" fillId="17" fontId="1" numFmtId="0" xfId="0" applyAlignment="1" applyBorder="1" applyFont="1">
      <alignment horizontal="center"/>
    </xf>
    <xf borderId="90" fillId="17" fontId="1" numFmtId="0" xfId="0" applyAlignment="1" applyBorder="1" applyFont="1">
      <alignment horizontal="center"/>
    </xf>
    <xf borderId="91" fillId="17" fontId="1" numFmtId="0" xfId="0" applyAlignment="1" applyBorder="1" applyFont="1">
      <alignment horizontal="center"/>
    </xf>
    <xf borderId="92" fillId="0" fontId="2" numFmtId="0" xfId="0" applyBorder="1" applyFont="1"/>
    <xf borderId="93" fillId="0" fontId="2" numFmtId="0" xfId="0" applyBorder="1" applyFont="1"/>
    <xf borderId="94" fillId="18" fontId="4" numFmtId="0" xfId="0" applyAlignment="1" applyBorder="1" applyFont="1">
      <alignment horizontal="center"/>
    </xf>
    <xf borderId="91" fillId="18" fontId="2" numFmtId="0" xfId="0" applyBorder="1" applyFont="1"/>
    <xf borderId="91" fillId="0" fontId="2" numFmtId="0" xfId="0" applyAlignment="1" applyBorder="1" applyFont="1">
      <alignment/>
    </xf>
    <xf borderId="91" fillId="0" fontId="2" numFmtId="0" xfId="0" applyBorder="1" applyFont="1"/>
    <xf borderId="14" fillId="2" fontId="1" numFmtId="0" xfId="0" applyAlignment="1" applyBorder="1" applyFont="1">
      <alignment horizontal="center"/>
    </xf>
    <xf borderId="23" fillId="17" fontId="1" numFmtId="0" xfId="0" applyAlignment="1" applyBorder="1" applyFont="1">
      <alignment/>
    </xf>
    <xf borderId="0" fillId="5" fontId="9" numFmtId="0" xfId="0" applyAlignment="1" applyFont="1">
      <alignment horizontal="left"/>
    </xf>
    <xf borderId="95" fillId="0" fontId="2" numFmtId="0" xfId="0" applyBorder="1" applyFont="1"/>
    <xf borderId="96" fillId="0" fontId="2" numFmtId="0" xfId="0" applyBorder="1" applyFont="1"/>
    <xf borderId="97" fillId="0" fontId="2" numFmtId="0" xfId="0" applyBorder="1" applyFont="1"/>
    <xf borderId="9" fillId="0" fontId="2" numFmtId="0" xfId="0" applyAlignment="1" applyBorder="1" applyFont="1">
      <alignment/>
    </xf>
    <xf borderId="98" fillId="17" fontId="1" numFmtId="0" xfId="0" applyAlignment="1" applyBorder="1" applyFont="1">
      <alignment/>
    </xf>
    <xf borderId="99" fillId="0" fontId="2" numFmtId="0" xfId="0" applyAlignment="1" applyBorder="1" applyFont="1">
      <alignment/>
    </xf>
    <xf borderId="100" fillId="0" fontId="2" numFmtId="0" xfId="0" applyBorder="1" applyFont="1"/>
    <xf borderId="101" fillId="0" fontId="2" numFmtId="0" xfId="0" applyBorder="1" applyFont="1"/>
    <xf borderId="0" fillId="2" fontId="5" numFmtId="0" xfId="0" applyAlignment="1" applyFont="1">
      <alignment/>
    </xf>
    <xf borderId="0" fillId="2" fontId="1" numFmtId="0" xfId="0" applyAlignment="1" applyFont="1">
      <alignment horizontal="right"/>
    </xf>
    <xf borderId="102" fillId="17" fontId="1" numFmtId="0" xfId="0" applyAlignment="1" applyBorder="1" applyFont="1">
      <alignment horizontal="center"/>
    </xf>
    <xf borderId="103" fillId="2" fontId="5" numFmtId="0" xfId="0" applyBorder="1" applyFont="1"/>
    <xf borderId="104" fillId="17" fontId="1" numFmtId="0" xfId="0" applyAlignment="1" applyBorder="1" applyFont="1">
      <alignment horizontal="center"/>
    </xf>
    <xf borderId="54" fillId="2" fontId="1" numFmtId="0" xfId="0" applyBorder="1" applyFont="1"/>
    <xf borderId="105" fillId="0" fontId="2" numFmtId="0" xfId="0" applyBorder="1" applyFont="1"/>
    <xf borderId="91" fillId="0" fontId="2" numFmtId="0" xfId="0" applyAlignment="1" applyBorder="1" applyFont="1">
      <alignment horizontal="right"/>
    </xf>
    <xf borderId="99" fillId="0" fontId="2" numFmtId="173" xfId="0" applyAlignment="1" applyBorder="1" applyFont="1" applyNumberFormat="1">
      <alignment horizontal="right"/>
    </xf>
    <xf borderId="99" fillId="0" fontId="2" numFmtId="173" xfId="0" applyAlignment="1" applyBorder="1" applyFont="1" applyNumberFormat="1">
      <alignment horizontal="right"/>
    </xf>
    <xf borderId="105" fillId="17" fontId="1" numFmtId="0" xfId="0" applyAlignment="1" applyBorder="1" applyFont="1">
      <alignment horizontal="center"/>
    </xf>
    <xf borderId="91" fillId="0" fontId="2" numFmtId="0" xfId="0" applyAlignment="1" applyBorder="1" applyFont="1">
      <alignment horizontal="right"/>
    </xf>
    <xf borderId="91" fillId="0" fontId="2" numFmtId="174" xfId="0" applyAlignment="1" applyBorder="1" applyFont="1" applyNumberFormat="1">
      <alignment horizontal="right"/>
    </xf>
    <xf borderId="106" fillId="0" fontId="2" numFmtId="0" xfId="0" applyBorder="1" applyFont="1"/>
    <xf borderId="99" fillId="0" fontId="2" numFmtId="0" xfId="0" applyAlignment="1" applyBorder="1" applyFont="1">
      <alignment horizontal="right"/>
    </xf>
    <xf borderId="103" fillId="2" fontId="5" numFmtId="0" xfId="0" applyAlignment="1" applyBorder="1" applyFont="1">
      <alignment/>
    </xf>
    <xf borderId="91" fillId="0" fontId="2" numFmtId="0" xfId="0" applyAlignment="1" applyBorder="1" applyFont="1">
      <alignment horizontal="right"/>
    </xf>
    <xf borderId="44" fillId="2" fontId="5" numFmtId="0" xfId="0" applyAlignment="1" applyBorder="1" applyFont="1">
      <alignment/>
    </xf>
    <xf borderId="0" fillId="2" fontId="5" numFmtId="0" xfId="0" applyAlignment="1" applyFont="1">
      <alignment horizontal="center"/>
    </xf>
    <xf borderId="99" fillId="0" fontId="2" numFmtId="0" xfId="0" applyBorder="1" applyFont="1"/>
    <xf borderId="91" fillId="0" fontId="2" numFmtId="174" xfId="0" applyAlignment="1" applyBorder="1" applyFont="1" applyNumberFormat="1">
      <alignment horizontal="right"/>
    </xf>
    <xf borderId="9" fillId="0" fontId="2" numFmtId="0" xfId="0" applyBorder="1" applyFont="1"/>
    <xf borderId="99" fillId="0" fontId="2" numFmtId="0" xfId="0" applyAlignment="1" applyBorder="1" applyFont="1">
      <alignment horizontal="right"/>
    </xf>
    <xf borderId="99" fillId="0" fontId="2" numFmtId="0" xfId="0" applyAlignment="1" applyBorder="1" applyFont="1">
      <alignment horizontal="right"/>
    </xf>
    <xf borderId="42" fillId="2" fontId="1" numFmtId="0" xfId="0" applyAlignment="1" applyBorder="1" applyFont="1">
      <alignment horizontal="center"/>
    </xf>
    <xf borderId="19" fillId="2" fontId="1" numFmtId="0" xfId="0" applyAlignment="1" applyBorder="1" applyFont="1">
      <alignment horizontal="center"/>
    </xf>
    <xf borderId="20" fillId="2" fontId="1" numFmtId="0" xfId="0" applyAlignment="1" applyBorder="1" applyFont="1">
      <alignment horizontal="center"/>
    </xf>
    <xf borderId="6" fillId="2" fontId="5" numFmtId="0" xfId="0" applyAlignment="1" applyBorder="1" applyFont="1">
      <alignment horizontal="center"/>
    </xf>
    <xf borderId="9" fillId="5" fontId="2" numFmtId="0" xfId="0" applyAlignment="1" applyBorder="1" applyFont="1">
      <alignment horizontal="center"/>
    </xf>
    <xf borderId="13" fillId="2" fontId="5" numFmtId="0" xfId="0" applyBorder="1" applyFont="1"/>
    <xf borderId="38" fillId="3" fontId="4" numFmtId="0" xfId="0" applyAlignment="1" applyBorder="1" applyFont="1">
      <alignment horizontal="center"/>
    </xf>
    <xf borderId="9" fillId="5" fontId="2" numFmtId="0" xfId="0" applyAlignment="1" applyBorder="1" applyFont="1">
      <alignment horizontal="center"/>
    </xf>
    <xf borderId="6" fillId="0" fontId="2" numFmtId="0" xfId="0" applyBorder="1" applyFont="1"/>
    <xf borderId="9" fillId="0" fontId="2" numFmtId="0" xfId="0" applyAlignment="1" applyBorder="1" applyFont="1">
      <alignment horizontal="center"/>
    </xf>
    <xf borderId="2" fillId="2" fontId="1" numFmtId="0" xfId="0" applyAlignment="1" applyBorder="1" applyFont="1">
      <alignment/>
    </xf>
    <xf borderId="2" fillId="2" fontId="20" numFmtId="0" xfId="0" applyAlignment="1" applyBorder="1" applyFont="1">
      <alignment/>
    </xf>
    <xf borderId="11" fillId="3" fontId="4" numFmtId="0" xfId="0" applyAlignment="1" applyBorder="1" applyFont="1">
      <alignment horizontal="center"/>
    </xf>
    <xf borderId="40" fillId="2" fontId="5" numFmtId="0" xfId="0" applyBorder="1" applyFont="1"/>
    <xf borderId="44" fillId="2" fontId="5" numFmtId="0" xfId="0" applyBorder="1" applyFont="1"/>
    <xf borderId="6" fillId="0" fontId="21" numFmtId="0" xfId="0" applyBorder="1" applyFont="1"/>
    <xf borderId="43" fillId="2" fontId="5" numFmtId="0" xfId="0" applyAlignment="1" applyBorder="1" applyFont="1">
      <alignment horizontal="center"/>
    </xf>
    <xf borderId="0" fillId="2" fontId="2" numFmtId="0" xfId="0" applyFont="1"/>
    <xf borderId="103" fillId="2" fontId="5" numFmtId="0" xfId="0" applyAlignment="1" applyBorder="1" applyFont="1">
      <alignment horizontal="center"/>
    </xf>
    <xf borderId="107" fillId="2" fontId="5" numFmtId="0" xfId="0" applyAlignment="1" applyBorder="1" applyFont="1">
      <alignment horizontal="center"/>
    </xf>
    <xf borderId="54" fillId="2" fontId="5" numFmtId="0" xfId="0" applyAlignment="1" applyBorder="1" applyFont="1">
      <alignment horizontal="center"/>
    </xf>
    <xf borderId="108" fillId="0" fontId="2" numFmtId="0" xfId="0" applyBorder="1" applyFont="1"/>
    <xf borderId="14" fillId="0" fontId="2" numFmtId="0" xfId="0" applyAlignment="1" applyBorder="1" applyFont="1">
      <alignment/>
    </xf>
    <xf borderId="54" fillId="0" fontId="2" numFmtId="0" xfId="0" applyBorder="1" applyFont="1"/>
    <xf borderId="6" fillId="0" fontId="9" numFmtId="0" xfId="0" applyAlignment="1" applyBorder="1" applyFont="1">
      <alignment/>
    </xf>
    <xf borderId="10" fillId="0" fontId="9" numFmtId="0" xfId="0" applyAlignment="1" applyBorder="1" applyFont="1">
      <alignment/>
    </xf>
    <xf borderId="10" fillId="0" fontId="9" numFmtId="0" xfId="0" applyAlignment="1" applyBorder="1" applyFont="1">
      <alignment horizontal="right"/>
    </xf>
    <xf borderId="14" fillId="0" fontId="9" numFmtId="0" xfId="0" applyAlignment="1" applyBorder="1" applyFont="1">
      <alignment/>
    </xf>
    <xf borderId="54" fillId="0" fontId="9" numFmtId="0" xfId="0" applyAlignment="1" applyBorder="1" applyFont="1">
      <alignment/>
    </xf>
    <xf borderId="0" fillId="0" fontId="9" numFmtId="0" xfId="0" applyAlignment="1" applyFont="1">
      <alignment/>
    </xf>
    <xf borderId="108" fillId="0" fontId="9" numFmtId="0" xfId="0" applyAlignment="1" applyBorder="1" applyFont="1">
      <alignment/>
    </xf>
    <xf borderId="19" fillId="0" fontId="9" numFmtId="0" xfId="0" applyAlignment="1" applyBorder="1" applyFont="1">
      <alignment/>
    </xf>
    <xf borderId="42" fillId="0" fontId="9" numFmtId="0" xfId="0" applyAlignment="1" applyBorder="1" applyFont="1">
      <alignment/>
    </xf>
    <xf borderId="42" fillId="0" fontId="9" numFmtId="0" xfId="0" applyAlignment="1" applyBorder="1" applyFont="1">
      <alignment horizontal="right"/>
    </xf>
    <xf borderId="21" fillId="0" fontId="9" numFmtId="0" xfId="0" applyAlignment="1" applyBorder="1" applyFont="1">
      <alignment/>
    </xf>
    <xf borderId="6" fillId="0" fontId="22" numFmtId="0" xfId="0" applyAlignment="1" applyBorder="1" applyFont="1">
      <alignment/>
    </xf>
    <xf borderId="6" fillId="5" fontId="8" numFmtId="0" xfId="0" applyAlignment="1" applyBorder="1" applyFont="1">
      <alignment/>
    </xf>
    <xf borderId="6" fillId="0" fontId="2" numFmtId="0" xfId="0" applyAlignment="1" applyBorder="1" applyFont="1">
      <alignment/>
    </xf>
    <xf borderId="21" fillId="19" fontId="5" numFmtId="0" xfId="0" applyAlignment="1" applyBorder="1" applyFill="1" applyFont="1">
      <alignment/>
    </xf>
    <xf borderId="6" fillId="3" fontId="10" numFmtId="0" xfId="0" applyBorder="1" applyFont="1"/>
    <xf borderId="21" fillId="19" fontId="5" numFmtId="0" xfId="0" applyAlignment="1" applyBorder="1" applyFont="1">
      <alignment horizontal="center"/>
    </xf>
    <xf borderId="109" fillId="19" fontId="5" numFmtId="0" xfId="0" applyAlignment="1" applyBorder="1" applyFont="1">
      <alignment horizontal="center"/>
    </xf>
    <xf borderId="12" fillId="0" fontId="2" numFmtId="0" xfId="0" applyAlignment="1" applyBorder="1" applyFont="1">
      <alignment/>
    </xf>
    <xf borderId="110" fillId="0" fontId="2" numFmtId="0" xfId="0" applyBorder="1" applyFont="1"/>
    <xf borderId="0" fillId="5" fontId="9" numFmtId="0" xfId="0" applyAlignment="1" applyFont="1">
      <alignment/>
    </xf>
    <xf borderId="111" fillId="0" fontId="2" numFmtId="0" xfId="0" applyBorder="1" applyFont="1"/>
    <xf borderId="41" fillId="0" fontId="2" numFmtId="0" xfId="0" applyAlignment="1" applyBorder="1" applyFont="1">
      <alignment/>
    </xf>
    <xf borderId="12" fillId="5" fontId="9" numFmtId="0" xfId="0" applyAlignment="1" applyBorder="1" applyFont="1">
      <alignment/>
    </xf>
    <xf borderId="12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11" fillId="2" fontId="1" numFmtId="0" xfId="0" applyAlignment="1" applyBorder="1" applyFont="1">
      <alignment/>
    </xf>
    <xf borderId="8" fillId="3" fontId="10" numFmtId="0" xfId="0" applyAlignment="1" applyBorder="1" applyFont="1">
      <alignment/>
    </xf>
    <xf borderId="8" fillId="3" fontId="4" numFmtId="0" xfId="0" applyAlignment="1" applyBorder="1" applyFont="1">
      <alignment horizontal="center"/>
    </xf>
    <xf borderId="8" fillId="0" fontId="2" numFmtId="0" xfId="0" applyAlignment="1" applyBorder="1" applyFont="1">
      <alignment/>
    </xf>
    <xf borderId="20" fillId="0" fontId="2" numFmtId="0" xfId="0" applyAlignment="1" applyBorder="1" applyFont="1">
      <alignment/>
    </xf>
    <xf borderId="8" fillId="5" fontId="2" numFmtId="0" xfId="0" applyBorder="1" applyFont="1"/>
    <xf borderId="6" fillId="5" fontId="23" numFmtId="0" xfId="0" applyAlignment="1" applyBorder="1" applyFont="1">
      <alignment/>
    </xf>
    <xf borderId="21" fillId="5" fontId="9" numFmtId="0" xfId="0" applyAlignment="1" applyBorder="1" applyFont="1">
      <alignment/>
    </xf>
    <xf borderId="6" fillId="3" fontId="2" numFmtId="0" xfId="0" applyAlignment="1" applyBorder="1" applyFont="1">
      <alignment/>
    </xf>
    <xf borderId="6" fillId="3" fontId="2" numFmtId="0" xfId="0" applyAlignment="1" applyBorder="1" applyFont="1">
      <alignment horizontal="center"/>
    </xf>
    <xf borderId="21" fillId="0" fontId="2" numFmtId="0" xfId="0" applyAlignment="1" applyBorder="1" applyFont="1">
      <alignment/>
    </xf>
    <xf borderId="6" fillId="5" fontId="23" numFmtId="0" xfId="0" applyBorder="1" applyFont="1"/>
    <xf borderId="8" fillId="0" fontId="2" numFmtId="0" xfId="0" applyAlignment="1" applyBorder="1" applyFont="1">
      <alignment/>
    </xf>
    <xf borderId="0" fillId="0" fontId="9" numFmtId="0" xfId="0" applyAlignment="1" applyFont="1">
      <alignment horizontal="right"/>
    </xf>
    <xf borderId="0" fillId="5" fontId="9" numFmtId="0" xfId="0" applyAlignment="1" applyFont="1">
      <alignment/>
    </xf>
    <xf borderId="0" fillId="0" fontId="9" numFmtId="0" xfId="0" applyFont="1"/>
    <xf borderId="54" fillId="0" fontId="9" numFmtId="0" xfId="0" applyBorder="1" applyFont="1"/>
    <xf borderId="6" fillId="5" fontId="23" numFmtId="0" xfId="0" applyAlignment="1" applyBorder="1" applyFont="1">
      <alignment horizontal="center"/>
    </xf>
    <xf borderId="0" fillId="2" fontId="24" numFmtId="0" xfId="0" applyAlignment="1" applyFont="1">
      <alignment horizontal="center"/>
    </xf>
    <xf borderId="112" fillId="3" fontId="2" numFmtId="0" xfId="0" applyAlignment="1" applyBorder="1" applyFont="1">
      <alignment horizontal="right"/>
    </xf>
    <xf borderId="113" fillId="3" fontId="2" numFmtId="0" xfId="0" applyAlignment="1" applyBorder="1" applyFont="1">
      <alignment horizontal="right"/>
    </xf>
    <xf borderId="114" fillId="3" fontId="2" numFmtId="0" xfId="0" applyAlignment="1" applyBorder="1" applyFont="1">
      <alignment horizontal="right"/>
    </xf>
    <xf borderId="115" fillId="3" fontId="2" numFmtId="0" xfId="0" applyBorder="1" applyFont="1"/>
    <xf borderId="116" fillId="3" fontId="2" numFmtId="0" xfId="0" applyAlignment="1" applyBorder="1" applyFont="1">
      <alignment horizontal="right"/>
    </xf>
    <xf borderId="117" fillId="3" fontId="2" numFmtId="0" xfId="0" applyAlignment="1" applyBorder="1" applyFont="1">
      <alignment horizontal="right"/>
    </xf>
    <xf borderId="118" fillId="3" fontId="2" numFmtId="0" xfId="0" applyAlignment="1" applyBorder="1" applyFont="1">
      <alignment horizontal="right"/>
    </xf>
    <xf borderId="117" fillId="3" fontId="2" numFmtId="0" xfId="0" applyBorder="1" applyFont="1"/>
    <xf borderId="119" fillId="3" fontId="2" numFmtId="0" xfId="0" applyBorder="1" applyFont="1"/>
    <xf borderId="120" fillId="3" fontId="2" numFmtId="0" xfId="0" applyBorder="1" applyFont="1"/>
    <xf borderId="121" fillId="3" fontId="2" numFmtId="0" xfId="0" applyBorder="1" applyFont="1"/>
    <xf borderId="122" fillId="3" fontId="2" numFmtId="0" xfId="0" applyBorder="1" applyFont="1"/>
    <xf borderId="123" fillId="3" fontId="2" numFmtId="0" xfId="0" applyBorder="1" applyFont="1"/>
    <xf borderId="124" fillId="3" fontId="2" numFmtId="0" xfId="0" applyBorder="1" applyFont="1"/>
    <xf borderId="125" fillId="3" fontId="2" numFmtId="0" xfId="0" applyAlignment="1" applyBorder="1" applyFont="1">
      <alignment horizontal="right"/>
    </xf>
    <xf borderId="116" fillId="3" fontId="2" numFmtId="0" xfId="0" applyBorder="1" applyFont="1"/>
    <xf borderId="126" fillId="3" fontId="2" numFmtId="0" xfId="0" applyBorder="1" applyFont="1"/>
    <xf borderId="127" fillId="3" fontId="2" numFmtId="0" xfId="0" applyBorder="1" applyFont="1"/>
    <xf borderId="128" fillId="3" fontId="2" numFmtId="0" xfId="0" applyBorder="1" applyFont="1"/>
    <xf borderId="129" fillId="3" fontId="2" numFmtId="0" xfId="0" applyBorder="1" applyFont="1"/>
    <xf borderId="130" fillId="3" fontId="2" numFmtId="0" xfId="0" applyBorder="1" applyFont="1"/>
    <xf borderId="119" fillId="3" fontId="2" numFmtId="0" xfId="0" applyAlignment="1" applyBorder="1" applyFont="1">
      <alignment horizontal="right"/>
    </xf>
    <xf borderId="131" fillId="3" fontId="2" numFmtId="0" xfId="0" applyBorder="1" applyFont="1"/>
    <xf borderId="132" fillId="3" fontId="2" numFmtId="0" xfId="0" applyAlignment="1" applyBorder="1" applyFont="1">
      <alignment horizontal="right"/>
    </xf>
    <xf borderId="133" fillId="3" fontId="2" numFmtId="0" xfId="0" applyAlignment="1" applyBorder="1" applyFont="1">
      <alignment horizontal="right"/>
    </xf>
    <xf borderId="134" fillId="3" fontId="2" numFmtId="0" xfId="0" applyBorder="1" applyFont="1"/>
    <xf borderId="135" fillId="3" fontId="2" numFmtId="0" xfId="0" applyBorder="1" applyFont="1"/>
    <xf borderId="136" fillId="3" fontId="2" numFmtId="0" xfId="0" applyBorder="1" applyFont="1"/>
    <xf borderId="6" fillId="3" fontId="25" numFmtId="0" xfId="0" applyAlignment="1" applyBorder="1" applyFont="1">
      <alignment/>
    </xf>
    <xf borderId="137" fillId="3" fontId="2" numFmtId="0" xfId="0" applyAlignment="1" applyBorder="1" applyFont="1">
      <alignment horizontal="right"/>
    </xf>
    <xf borderId="122" fillId="3" fontId="2" numFmtId="0" xfId="0" applyAlignment="1" applyBorder="1" applyFont="1">
      <alignment horizontal="right"/>
    </xf>
    <xf borderId="138" fillId="3" fontId="2" numFmtId="0" xfId="0" applyBorder="1" applyFont="1"/>
    <xf borderId="125" fillId="3" fontId="2" numFmtId="0" xfId="0" applyBorder="1" applyFont="1"/>
    <xf borderId="139" fillId="3" fontId="2" numFmtId="0" xfId="0" applyBorder="1" applyFont="1"/>
    <xf borderId="140" fillId="3" fontId="2" numFmtId="0" xfId="0" applyBorder="1" applyFont="1"/>
    <xf borderId="141" fillId="3" fontId="2" numFmtId="0" xfId="0" applyAlignment="1" applyBorder="1" applyFont="1">
      <alignment horizontal="right"/>
    </xf>
    <xf borderId="137" fillId="3" fontId="2" numFmtId="0" xfId="0" applyBorder="1" applyFont="1"/>
    <xf borderId="0" fillId="0" fontId="26" numFmtId="0" xfId="0" applyFont="1"/>
    <xf borderId="0" fillId="3" fontId="2" numFmtId="0" xfId="0" applyFont="1"/>
    <xf borderId="142" fillId="3" fontId="2" numFmtId="0" xfId="0" applyBorder="1" applyFont="1"/>
  </cellXfs>
  <cellStyles count="1">
    <cellStyle xfId="0" name="Normal" builtinId="0"/>
  </cellStyles>
  <dxfs count="23">
    <dxf>
      <font>
        <color rgb="FF6AA84F"/>
      </font>
      <fill>
        <patternFill patternType="solid">
          <fgColor rgb="FFD9EAD3"/>
          <bgColor rgb="FFD9EAD3"/>
        </patternFill>
      </fill>
      <alignment/>
      <border>
        <left/>
        <right/>
        <top/>
        <bottom/>
      </border>
    </dxf>
    <dxf>
      <font>
        <color rgb="FFBF9000"/>
      </font>
      <fill>
        <patternFill patternType="solid">
          <fgColor rgb="FFFFF2CC"/>
          <bgColor rgb="FFFFF2CC"/>
        </patternFill>
      </fill>
      <alignment/>
      <border>
        <left/>
        <right/>
        <top/>
        <bottom/>
      </border>
    </dxf>
    <dxf>
      <font>
        <color rgb="FFCC0000"/>
      </font>
      <fill>
        <patternFill patternType="solid">
          <fgColor rgb="FFF4CCCC"/>
          <bgColor rgb="FFF4CCCC"/>
        </patternFill>
      </fill>
      <alignment/>
      <border>
        <left/>
        <right/>
        <top/>
        <bottom/>
      </border>
    </dxf>
    <dxf>
      <font>
        <color rgb="FF6AA84F"/>
      </font>
      <fill>
        <patternFill patternType="none"/>
      </fill>
      <alignment/>
      <border>
        <left/>
        <right/>
        <top/>
        <bottom/>
      </border>
    </dxf>
    <dxf>
      <font>
        <color rgb="FFF1C232"/>
      </font>
      <fill>
        <patternFill patternType="none"/>
      </fill>
      <alignment/>
      <border>
        <left/>
        <right/>
        <top/>
        <bottom/>
      </border>
    </dxf>
    <dxf>
      <font>
        <color rgb="FFCC0000"/>
      </font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  <dxf>
      <font/>
      <fill>
        <patternFill patternType="solid">
          <fgColor rgb="FFFFFF00"/>
          <bgColor rgb="FFFFFF00"/>
        </patternFill>
      </fill>
      <alignment/>
      <border>
        <left/>
        <right/>
        <top/>
        <bottom/>
      </border>
    </dxf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/>
      <fill>
        <patternFill patternType="none"/>
      </fill>
      <alignment/>
      <border>
        <left/>
        <right/>
        <top/>
        <bottom/>
      </border>
    </dxf>
    <dxf>
      <font>
        <b/>
      </font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>
        <strike/>
      </font>
      <fill>
        <patternFill patternType="none"/>
      </fill>
      <alignment/>
      <border>
        <left/>
        <right/>
        <top/>
        <bottom/>
      </border>
    </dxf>
    <dxf>
      <font>
        <b/>
        <color rgb="FFFF0000"/>
      </font>
      <fill>
        <patternFill patternType="solid">
          <fgColor rgb="FFFFFF00"/>
          <bgColor rgb="FFFFFF00"/>
        </patternFill>
      </fill>
      <alignment/>
      <border>
        <left/>
        <right/>
        <top/>
        <bottom/>
      </border>
    </dxf>
    <dxf>
      <font>
        <b/>
        <color rgb="FFFF0000"/>
      </font>
      <fill>
        <patternFill patternType="none"/>
      </fill>
      <alignment/>
      <border>
        <left/>
        <right/>
        <top/>
        <bottom/>
      </border>
    </dxf>
    <dxf>
      <font>
        <color rgb="FFFF0000"/>
      </font>
      <fill>
        <patternFill patternType="none"/>
      </fill>
      <alignment/>
      <border>
        <left/>
        <right/>
        <top/>
        <bottom/>
      </border>
    </dxf>
    <dxf>
      <font>
        <color rgb="FF000000"/>
      </font>
      <fill>
        <patternFill patternType="solid">
          <fgColor rgb="FF000000"/>
          <bgColor rgb="FF000000"/>
        </patternFill>
      </fill>
      <alignment/>
      <border>
        <left/>
        <right/>
        <top/>
        <bottom/>
      </border>
    </dxf>
    <dxf>
      <font>
        <color rgb="FFFF0000"/>
      </font>
      <fill>
        <patternFill patternType="solid">
          <fgColor rgb="FF000000"/>
          <bgColor rgb="FF000000"/>
        </patternFill>
      </fill>
      <alignment/>
      <border>
        <left/>
        <right/>
        <top/>
        <bottom/>
      </border>
    </dxf>
    <dxf>
      <font>
        <color rgb="FF0000FF"/>
      </font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4CF8AA"/>
          <bgColor rgb="FF4CF8AA"/>
        </patternFill>
      </fill>
      <alignment/>
      <border>
        <left/>
        <right/>
        <top/>
        <bottom/>
      </border>
    </dxf>
    <dxf>
      <font>
        <color rgb="FF666666"/>
      </font>
      <fill>
        <patternFill patternType="solid">
          <fgColor rgb="FFBFF8E3"/>
          <bgColor rgb="FFBFF8E3"/>
        </patternFill>
      </fill>
      <alignment/>
      <border>
        <left/>
        <right/>
        <top/>
        <bottom/>
      </border>
    </dxf>
    <dxf>
      <font/>
      <fill>
        <patternFill patternType="solid">
          <fgColor rgb="FFA4C2F4"/>
          <bgColor rgb="FFA4C2F4"/>
        </patternFill>
      </fill>
      <alignment/>
      <border>
        <left/>
        <right/>
        <top/>
        <bottom/>
      </border>
    </dxf>
    <dxf>
      <font>
        <color rgb="FF666666"/>
      </font>
      <fill>
        <patternFill patternType="solid">
          <fgColor rgb="FFD9E2F8"/>
          <bgColor rgb="FFD9E2F8"/>
        </patternFill>
      </fill>
      <alignment/>
      <border>
        <left/>
        <right/>
        <top/>
        <bottom/>
      </border>
    </dxf>
    <dxf>
      <font>
        <color rgb="FFCCCCCC"/>
      </font>
      <fill>
        <patternFill patternType="solid">
          <fgColor rgb="FF000000"/>
          <bgColor rgb="FF0000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Character!$J$11:$J$13</c:f>
            </c:strRef>
          </c:cat>
          <c:val>
            <c:numRef>
              <c:f>Character!$L$11:$L$13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25"/>
      </c:doughnutChart>
    </c:plotArea>
    <c:legend>
      <c:legendPos val="r"/>
      <c:overlay val="0"/>
    </c:legend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Character!$J$10:$J$13</c:f>
            </c:strRef>
          </c:cat>
          <c:val>
            <c:numRef>
              <c:f>Character!$M$10:$M$13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Log!$B$2:$E$2</c:f>
            </c:strRef>
          </c:cat>
          <c:val>
            <c:numRef>
              <c:f>Log!$B$5:$E$5</c:f>
            </c:numRef>
          </c:val>
        </c:ser>
        <c:axId val="1779819575"/>
        <c:axId val="668565109"/>
      </c:barChart>
      <c:catAx>
        <c:axId val="1779819575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668565109"/>
      </c:catAx>
      <c:valAx>
        <c:axId val="668565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79819575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13</xdr:col>
      <xdr:colOff>28575</xdr:colOff>
      <xdr:row>10</xdr:row>
      <xdr:rowOff>19050</xdr:rowOff>
    </xdr:from>
    <xdr:to>
      <xdr:col>16</xdr:col>
      <xdr:colOff>666750</xdr:colOff>
      <xdr:row>17</xdr:row>
      <xdr:rowOff>171450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13</xdr:col>
      <xdr:colOff>0</xdr:colOff>
      <xdr:row>10</xdr:row>
      <xdr:rowOff>9525</xdr:rowOff>
    </xdr:from>
    <xdr:to>
      <xdr:col>16</xdr:col>
      <xdr:colOff>676275</xdr:colOff>
      <xdr:row>17</xdr:row>
      <xdr:rowOff>180975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</xdr:col>
      <xdr:colOff>47625</xdr:colOff>
      <xdr:row>5</xdr:row>
      <xdr:rowOff>0</xdr:rowOff>
    </xdr:from>
    <xdr:to>
      <xdr:col>9</xdr:col>
      <xdr:colOff>828675</xdr:colOff>
      <xdr:row>23</xdr:row>
      <xdr:rowOff>9525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www.dandwiki.com/wiki/SRD:Psionic_Overview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9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0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</sheetPr>
  <sheetViews>
    <sheetView showGridLines="0" workbookViewId="0"/>
  </sheetViews>
  <sheetFormatPr customHeight="1" defaultColWidth="14.43" defaultRowHeight="15.75"/>
  <cols>
    <col customWidth="1" min="1" max="12" width="7.29"/>
    <col customWidth="1" min="13" max="13" width="10.43"/>
    <col customWidth="1" min="14" max="16" width="7.29"/>
    <col customWidth="1" min="17" max="17" width="11.14"/>
    <col customWidth="1" min="18" max="18" width="7.29"/>
    <col customWidth="1" min="19" max="19" width="9.57"/>
    <col customWidth="1" min="20" max="23" width="7.29"/>
  </cols>
  <sheetData>
    <row r="1">
      <c r="A1" s="18" t="s">
        <v>9</v>
      </c>
      <c r="B1" s="20"/>
      <c r="C1" s="22"/>
      <c r="D1" s="24"/>
      <c r="E1" s="26" t="s">
        <v>12</v>
      </c>
      <c r="F1" s="30" t="str">
        <f>IF(F2&lt;&gt;"",VLOOKUP(F2,Races,2,false)&amp;IF(VLOOKUP(F2,Races,3,false)&lt;&gt;""," ("&amp;VLOOKUP(F2,Races,3,false)&amp;")",""),"")</f>
        <v>Humanoid (Reptilian)</v>
      </c>
      <c r="G1" s="31"/>
      <c r="H1" s="31"/>
      <c r="I1" s="22"/>
      <c r="J1" s="24"/>
      <c r="K1" s="26" t="s">
        <v>14</v>
      </c>
      <c r="L1" s="30" t="str">
        <f>IF(F2&lt;&gt;"",VLOOKUP(F2,Races,4,false),"")</f>
        <v>Medium</v>
      </c>
      <c r="M1" s="22"/>
      <c r="N1" s="39"/>
      <c r="O1" s="41"/>
      <c r="P1" s="2" t="s">
        <v>27</v>
      </c>
      <c r="Q1" s="47">
        <f>12+(1/12)</f>
        <v>12.08333333</v>
      </c>
      <c r="R1" s="2" t="s">
        <v>32</v>
      </c>
      <c r="S1" s="49"/>
      <c r="T1" s="45"/>
      <c r="U1" s="5"/>
      <c r="V1" s="5"/>
      <c r="W1" s="5"/>
    </row>
    <row r="2">
      <c r="A2" s="51" t="s">
        <v>33</v>
      </c>
      <c r="B2" s="53">
        <f>Classes!F42</f>
        <v>1</v>
      </c>
      <c r="C2" s="55"/>
      <c r="D2" s="59"/>
      <c r="E2" s="61" t="s">
        <v>73</v>
      </c>
      <c r="F2" s="63" t="str">
        <f>Race</f>
        <v>Dragonborn</v>
      </c>
      <c r="G2" s="65"/>
      <c r="H2" s="65"/>
      <c r="I2" s="55"/>
      <c r="J2" s="59"/>
      <c r="K2" s="67" t="s">
        <v>81</v>
      </c>
      <c r="L2" s="55"/>
      <c r="M2" s="70" t="s">
        <v>87</v>
      </c>
      <c r="N2" s="55"/>
      <c r="O2" s="59"/>
      <c r="P2" s="72" t="s">
        <v>56</v>
      </c>
      <c r="Q2" s="74">
        <v>180.0</v>
      </c>
      <c r="R2" s="75" t="s">
        <v>99</v>
      </c>
      <c r="S2" s="77" t="s">
        <v>100</v>
      </c>
      <c r="T2" s="65"/>
      <c r="U2" s="78"/>
      <c r="V2" s="78"/>
      <c r="W2" s="78"/>
    </row>
    <row r="3" hidden="1"/>
    <row r="4" hidden="1"/>
    <row r="5">
      <c r="A5" s="41"/>
      <c r="B5" s="45"/>
      <c r="C5" s="45"/>
      <c r="P5" s="45"/>
    </row>
    <row r="6">
      <c r="A6" s="80" t="s">
        <v>116</v>
      </c>
      <c r="B6" s="82"/>
      <c r="C6" s="84"/>
      <c r="E6" s="86" t="s">
        <v>120</v>
      </c>
      <c r="F6" s="88" t="s">
        <v>122</v>
      </c>
      <c r="G6" s="88" t="s">
        <v>126</v>
      </c>
      <c r="H6" s="88" t="s">
        <v>127</v>
      </c>
      <c r="J6" s="90" t="str">
        <f>HYPERLINK("www.dandwiki.com/wiki/SRD:Hit_Points","Health")</f>
        <v>Health</v>
      </c>
      <c r="K6" s="82"/>
      <c r="L6" s="82"/>
      <c r="M6" s="92"/>
      <c r="N6" s="94" t="s">
        <v>132</v>
      </c>
      <c r="O6" s="82"/>
      <c r="P6" s="84"/>
      <c r="Q6" s="11"/>
      <c r="R6" s="96" t="s">
        <v>133</v>
      </c>
      <c r="S6" s="22"/>
    </row>
    <row r="7">
      <c r="A7" s="98" t="s">
        <v>135</v>
      </c>
      <c r="B7" s="100"/>
      <c r="C7" s="103">
        <f t="shared" ref="C7:C12" si="1">INT((SUM(E7:H7)-10)/2)</f>
        <v>3</v>
      </c>
      <c r="D7" s="105"/>
      <c r="E7" s="109">
        <f>Abilities!X2</f>
        <v>16</v>
      </c>
      <c r="F7" s="23"/>
      <c r="G7" s="23"/>
      <c r="H7" s="23"/>
      <c r="I7" s="11"/>
      <c r="J7" s="98" t="s">
        <v>120</v>
      </c>
      <c r="K7" s="100"/>
      <c r="L7" s="115">
        <f>SUM(Classes!E2:E41)</f>
        <v>16</v>
      </c>
      <c r="M7" s="105"/>
      <c r="N7" s="117" t="s">
        <v>143</v>
      </c>
      <c r="O7" s="119"/>
      <c r="P7" s="121" t="str">
        <f>IFERROR(IF(F2&lt;&gt;"",VLOOKUP(F2,Races,5,false),"")&amp;" ("&amp;IF(F2&lt;&gt;"",VLOOKUP(F2,Races,5,false)-5&amp;")"),IF(F2&lt;&gt;"",VLOOKUP(F2,Races,5,false),""))</f>
        <v>30 (25)</v>
      </c>
      <c r="R7" s="123" t="str">
        <f>IFERROR(__xludf.DUMMYFUNCTION("IFERROR(SORT(TRANSPOSE(SPLIT(VLOOKUP(F2,Races,16,false),"",""))),""N/A"")"),"Paralysis")</f>
        <v>Paralysis</v>
      </c>
      <c r="S7" s="22"/>
    </row>
    <row r="8">
      <c r="A8" s="98" t="s">
        <v>145</v>
      </c>
      <c r="B8" s="100"/>
      <c r="C8" s="125">
        <f t="shared" si="1"/>
        <v>1</v>
      </c>
      <c r="D8" s="105"/>
      <c r="E8" s="109">
        <f>Abilities!X3</f>
        <v>12</v>
      </c>
      <c r="F8" s="24"/>
      <c r="G8" s="24"/>
      <c r="H8" s="23"/>
      <c r="I8" s="11"/>
      <c r="J8" s="98" t="s">
        <v>146</v>
      </c>
      <c r="K8" s="100"/>
      <c r="L8" s="109">
        <f>HitDice</f>
        <v>2</v>
      </c>
      <c r="M8" s="105"/>
      <c r="N8" s="117" t="s">
        <v>147</v>
      </c>
      <c r="O8" s="119"/>
      <c r="P8" s="127" t="str">
        <f>IF(F2&lt;&gt;"",VLOOKUP(F2,Races,7,false),"")&amp;" ("&amp;IF(F2&lt;&gt;"",VLOOKUP(F2,Races,7,false)-5&amp;")")</f>
        <v> (-5)</v>
      </c>
      <c r="R8" s="123" t="s">
        <v>149</v>
      </c>
      <c r="S8" s="22"/>
    </row>
    <row r="9">
      <c r="A9" s="98" t="s">
        <v>146</v>
      </c>
      <c r="B9" s="100"/>
      <c r="C9" s="125">
        <f t="shared" si="1"/>
        <v>2</v>
      </c>
      <c r="D9" s="105"/>
      <c r="E9" s="109">
        <f>Abilities!X4</f>
        <v>14</v>
      </c>
      <c r="F9" s="24"/>
      <c r="G9" s="24"/>
      <c r="H9" s="24"/>
      <c r="I9" s="11"/>
      <c r="J9" s="98" t="s">
        <v>67</v>
      </c>
      <c r="K9" s="100"/>
      <c r="L9" s="128">
        <f>L7+L8</f>
        <v>18</v>
      </c>
      <c r="M9" s="131" t="str">
        <f>IF(sum(L9,L10,-L11)=L9,"",IF(sum(L9,L10,-L11)&lt;L9,"",sum(L9,L10,-L11)))</f>
        <v/>
      </c>
      <c r="N9" s="117" t="s">
        <v>150</v>
      </c>
      <c r="O9" s="119"/>
      <c r="P9" s="127" t="str">
        <f>IF(F2&lt;&gt;"",VLOOKUP(F2,Races,8,false),"")&amp;" ("&amp;IF(F2&lt;&gt;"",VLOOKUP(F2,Races,8,false)-5&amp;")")</f>
        <v> (-5)</v>
      </c>
      <c r="R9" s="123"/>
      <c r="S9" s="22"/>
    </row>
    <row r="10">
      <c r="A10" s="98" t="s">
        <v>151</v>
      </c>
      <c r="B10" s="100"/>
      <c r="C10" s="125">
        <f t="shared" si="1"/>
        <v>2</v>
      </c>
      <c r="D10" s="105"/>
      <c r="E10" s="109">
        <f>Abilities!X5</f>
        <v>14</v>
      </c>
      <c r="F10" s="24"/>
      <c r="G10" s="24"/>
      <c r="H10" s="24"/>
      <c r="I10" s="137" t="s">
        <v>152</v>
      </c>
      <c r="J10" s="98" t="s">
        <v>152</v>
      </c>
      <c r="K10" s="100"/>
      <c r="L10" s="23">
        <v>0.0</v>
      </c>
      <c r="M10" s="131">
        <f>IF(L10="","",IF(L10-L11&lt;0,0,L10-L11))</f>
        <v>0</v>
      </c>
      <c r="N10" s="139" t="s">
        <v>153</v>
      </c>
      <c r="O10" s="140"/>
      <c r="P10" s="127" t="str">
        <f>IF(F2&lt;&gt;"",VLOOKUP(F2,Races,6,false),"")</f>
        <v/>
      </c>
      <c r="R10" s="123"/>
      <c r="S10" s="22"/>
    </row>
    <row r="11">
      <c r="A11" s="98" t="s">
        <v>154</v>
      </c>
      <c r="B11" s="100"/>
      <c r="C11" s="125">
        <f t="shared" si="1"/>
        <v>2</v>
      </c>
      <c r="D11" s="105"/>
      <c r="E11" s="109">
        <f>Abilities!X6</f>
        <v>14</v>
      </c>
      <c r="F11" s="24"/>
      <c r="G11" s="24"/>
      <c r="H11" s="24"/>
      <c r="I11" s="137" t="s">
        <v>155</v>
      </c>
      <c r="J11" s="98" t="s">
        <v>155</v>
      </c>
      <c r="K11" s="100"/>
      <c r="L11" s="141"/>
      <c r="M11" s="142" t="str">
        <f>IF(L11="","",IF(L10="","",IF(L10-L11&lt;0,L11-L10,0)))</f>
        <v/>
      </c>
      <c r="N11" s="28"/>
      <c r="O11" s="28"/>
      <c r="P11" s="28"/>
    </row>
    <row r="12">
      <c r="A12" s="143" t="s">
        <v>156</v>
      </c>
      <c r="B12" s="144"/>
      <c r="C12" s="125">
        <f t="shared" si="1"/>
        <v>2</v>
      </c>
      <c r="D12" s="105"/>
      <c r="E12" s="109">
        <f>Abilities!X7</f>
        <v>14</v>
      </c>
      <c r="F12" s="23"/>
      <c r="G12" s="24"/>
      <c r="H12" s="24"/>
      <c r="I12" s="137" t="s">
        <v>158</v>
      </c>
      <c r="J12" s="143" t="s">
        <v>158</v>
      </c>
      <c r="K12" s="144"/>
      <c r="L12" s="147"/>
      <c r="M12" s="149" t="str">
        <f t="shared" ref="M12:M13" si="2">L12</f>
        <v/>
      </c>
      <c r="R12" s="150" t="s">
        <v>165</v>
      </c>
      <c r="S12" s="82"/>
      <c r="T12" s="82"/>
    </row>
    <row r="13">
      <c r="A13" s="45"/>
      <c r="B13" s="45"/>
      <c r="C13" s="31"/>
      <c r="E13" s="31"/>
      <c r="F13" s="31"/>
      <c r="G13" s="31"/>
      <c r="H13" s="31"/>
      <c r="I13" s="152" t="s">
        <v>167</v>
      </c>
      <c r="J13" s="154" t="s">
        <v>171</v>
      </c>
      <c r="K13" s="155"/>
      <c r="L13" s="164">
        <f>IF(L10+L9-(L11+L12)&lt;0,0,L10+L9-(L11+L12))</f>
        <v>18</v>
      </c>
      <c r="M13" s="166">
        <f t="shared" si="2"/>
        <v>18</v>
      </c>
      <c r="R13" s="98" t="s">
        <v>179</v>
      </c>
      <c r="S13" s="100"/>
      <c r="T13" s="167"/>
    </row>
    <row r="14">
      <c r="A14" s="168" t="s">
        <v>180</v>
      </c>
      <c r="B14" s="31"/>
      <c r="C14" s="22"/>
      <c r="D14" s="105"/>
      <c r="E14" s="170" t="s">
        <v>120</v>
      </c>
      <c r="F14" s="170" t="s">
        <v>181</v>
      </c>
      <c r="G14" s="170" t="s">
        <v>122</v>
      </c>
      <c r="H14" s="170" t="s">
        <v>127</v>
      </c>
      <c r="I14" s="177" t="str">
        <f>L9+L10-L11&amp;IF(L9+L10-L11&gt;=-9,IF(L9+L10-L11-L12=0," (Disabled)"&amp;IF(L9+L10-L11&lt;SUM(L9:L10)/2,IF(L9+L10-L11&lt;SUM(L9:L10)/5,"(Severely Woneded)", IF(L9+L10-L11&lt;SUM(L9:L10)/3,"(Severely Ingered)","(Bloodied)")),""), IF(L9+L10-L11-L12&lt;0,IF(L9+L10-L11&lt;0," (Dying)"," (Unconsious)"&amp;IF(L9+L10-L11&lt;SUM(L9:L10)/2,IF(L9+L10-L11&lt;SUM(L9:L10)/5,"(Severely Woneded)", IF(L9+L10-L11&lt;SUM(L9:L10)/3,"(Severely Ingered)","(Bloodied)")),"")), IF(L9+L10-L11&lt;SUM(L9:L10)/2,IF(L9+L10-L11&lt;SUM(L9:L10)/5," (Severely Woneded)", IF(L9+L10-L11&lt;SUM(L9:L10)/3," (Severely Ingered)"," (Bloodied)")),"")))," (Dead)")</f>
        <v>18</v>
      </c>
      <c r="J14" s="31"/>
      <c r="K14" s="31"/>
      <c r="L14" s="31"/>
      <c r="M14" s="22"/>
      <c r="R14" s="98" t="s">
        <v>183</v>
      </c>
      <c r="S14" s="100"/>
      <c r="T14" s="179"/>
    </row>
    <row r="15">
      <c r="A15" s="182" t="s">
        <v>184</v>
      </c>
      <c r="B15" s="22"/>
      <c r="C15" s="185">
        <f t="shared" ref="C15:C17" si="3">sum(E15:H15)</f>
        <v>2</v>
      </c>
      <c r="D15" s="187"/>
      <c r="E15" s="188"/>
      <c r="F15" s="190">
        <f>C9</f>
        <v>2</v>
      </c>
      <c r="G15" s="188"/>
      <c r="H15" s="192"/>
      <c r="I15" s="194"/>
      <c r="R15" s="98" t="s">
        <v>191</v>
      </c>
      <c r="S15" s="100"/>
      <c r="T15" s="179"/>
    </row>
    <row r="16">
      <c r="A16" s="182" t="s">
        <v>192</v>
      </c>
      <c r="B16" s="22"/>
      <c r="C16" s="185">
        <f t="shared" si="3"/>
        <v>1</v>
      </c>
      <c r="E16" s="195"/>
      <c r="F16" s="196">
        <f>C8</f>
        <v>1</v>
      </c>
      <c r="G16" s="197"/>
      <c r="H16" s="197"/>
      <c r="I16" s="198"/>
      <c r="J16" s="199" t="s">
        <v>196</v>
      </c>
      <c r="L16" s="92"/>
      <c r="M16" s="11"/>
      <c r="R16" s="143" t="s">
        <v>197</v>
      </c>
      <c r="S16" s="144"/>
      <c r="T16" s="201"/>
    </row>
    <row r="17">
      <c r="A17" s="182" t="s">
        <v>200</v>
      </c>
      <c r="B17" s="22"/>
      <c r="C17" s="185">
        <f t="shared" si="3"/>
        <v>2</v>
      </c>
      <c r="E17" s="195"/>
      <c r="F17" s="196">
        <f>C11</f>
        <v>2</v>
      </c>
      <c r="G17" s="197"/>
      <c r="H17" s="197"/>
      <c r="I17" s="194"/>
      <c r="J17" s="20"/>
      <c r="K17" s="31"/>
      <c r="L17" s="22"/>
      <c r="R17" s="139" t="s">
        <v>202</v>
      </c>
      <c r="S17" s="155"/>
      <c r="T17" s="201"/>
    </row>
    <row r="18">
      <c r="A18" s="28"/>
      <c r="B18" s="28"/>
      <c r="C18" s="205"/>
      <c r="E18" s="206"/>
      <c r="F18" s="206"/>
      <c r="G18" s="206"/>
      <c r="H18" s="206"/>
      <c r="I18" s="207"/>
      <c r="J18" s="207"/>
      <c r="K18" s="207"/>
      <c r="L18" s="207"/>
      <c r="N18" s="207"/>
      <c r="O18" s="207"/>
      <c r="P18" s="207"/>
      <c r="Q18" s="207"/>
      <c r="R18" s="207"/>
      <c r="S18" s="207"/>
    </row>
    <row r="19">
      <c r="A19" s="208" t="s">
        <v>204</v>
      </c>
      <c r="B19" s="3"/>
      <c r="C19" s="3"/>
      <c r="D19" s="210"/>
      <c r="E19" s="211" t="s">
        <v>125</v>
      </c>
      <c r="F19" s="213" t="s">
        <v>205</v>
      </c>
      <c r="G19" s="213" t="s">
        <v>206</v>
      </c>
      <c r="H19" s="213" t="s">
        <v>207</v>
      </c>
      <c r="I19" s="213" t="s">
        <v>208</v>
      </c>
      <c r="J19" s="213" t="s">
        <v>14</v>
      </c>
      <c r="K19" s="213" t="s">
        <v>126</v>
      </c>
      <c r="L19" s="216" t="s">
        <v>127</v>
      </c>
      <c r="M19" s="217"/>
      <c r="N19" s="219" t="s">
        <v>210</v>
      </c>
      <c r="O19" s="220"/>
      <c r="P19" s="221"/>
      <c r="Q19" s="221"/>
      <c r="R19" s="221"/>
      <c r="S19" s="223"/>
      <c r="T19" s="225"/>
    </row>
    <row r="20">
      <c r="A20" s="226" t="s">
        <v>212</v>
      </c>
      <c r="B20" s="100"/>
      <c r="C20" s="227">
        <f t="shared" ref="C20:C22" si="4">10+SUM(E20:L20)</f>
        <v>9</v>
      </c>
      <c r="D20" s="210"/>
      <c r="E20" s="228" t="str">
        <f>N21</f>
        <v/>
      </c>
      <c r="F20" s="228" t="str">
        <f>N26</f>
        <v/>
      </c>
      <c r="G20" s="228">
        <f>C8</f>
        <v>1</v>
      </c>
      <c r="H20" s="229">
        <f>-VLOOKUP(F2,RaceData!A1:CJ599,88,false)</f>
        <v>-2</v>
      </c>
      <c r="I20" s="229"/>
      <c r="J20" s="228">
        <f>VLOOKUP(L1,CalcData!Sizes,2, false)</f>
        <v>0</v>
      </c>
      <c r="K20" s="230"/>
      <c r="L20" s="231"/>
      <c r="M20" s="217"/>
      <c r="N20" s="232" t="s">
        <v>213</v>
      </c>
      <c r="O20" s="213" t="s">
        <v>206</v>
      </c>
      <c r="P20" s="213" t="s">
        <v>214</v>
      </c>
      <c r="Q20" s="213" t="s">
        <v>56</v>
      </c>
      <c r="R20" s="213" t="s">
        <v>215</v>
      </c>
      <c r="S20" s="216" t="s">
        <v>12</v>
      </c>
      <c r="T20" s="225"/>
    </row>
    <row r="21">
      <c r="A21" s="226" t="s">
        <v>216</v>
      </c>
      <c r="B21" s="100"/>
      <c r="C21" s="233">
        <f t="shared" si="4"/>
        <v>8</v>
      </c>
      <c r="D21" s="210"/>
      <c r="E21" s="228" t="str">
        <f t="shared" ref="E21:F21" si="5">E20</f>
        <v/>
      </c>
      <c r="F21" s="228" t="str">
        <f t="shared" si="5"/>
        <v/>
      </c>
      <c r="G21" s="235">
        <f>IF(C8&lt;0,C8,0)</f>
        <v>0</v>
      </c>
      <c r="H21" s="228">
        <f t="shared" ref="H21:J21" si="6">H20</f>
        <v>-2</v>
      </c>
      <c r="I21" s="228" t="str">
        <f t="shared" si="6"/>
        <v/>
      </c>
      <c r="J21" s="228">
        <f t="shared" si="6"/>
        <v>0</v>
      </c>
      <c r="K21" s="237"/>
      <c r="L21" s="238"/>
      <c r="M21" s="217"/>
      <c r="N21" s="229"/>
      <c r="O21" s="229"/>
      <c r="P21" s="230"/>
      <c r="Q21" s="229"/>
      <c r="R21" s="239"/>
      <c r="S21" s="241"/>
      <c r="T21" s="225"/>
    </row>
    <row r="22">
      <c r="A22" s="242" t="s">
        <v>220</v>
      </c>
      <c r="B22" s="144"/>
      <c r="C22" s="233">
        <f t="shared" si="4"/>
        <v>11</v>
      </c>
      <c r="D22" s="210"/>
      <c r="E22" s="243"/>
      <c r="F22" s="223"/>
      <c r="G22" s="228">
        <f>C8</f>
        <v>1</v>
      </c>
      <c r="H22" s="244"/>
      <c r="I22" s="228" t="str">
        <f t="shared" ref="I22:J22" si="7">I20</f>
        <v/>
      </c>
      <c r="J22" s="228">
        <f t="shared" si="7"/>
        <v>0</v>
      </c>
      <c r="K22" s="246"/>
      <c r="L22" s="238"/>
      <c r="M22" s="217"/>
      <c r="N22" s="247"/>
      <c r="O22" s="221"/>
      <c r="P22" s="221"/>
      <c r="Q22" s="221"/>
      <c r="R22" s="221"/>
      <c r="S22" s="223"/>
      <c r="T22" s="225"/>
    </row>
    <row r="23">
      <c r="C23" s="248"/>
      <c r="E23" s="249"/>
      <c r="F23" s="249"/>
      <c r="G23" s="249"/>
      <c r="H23" s="249"/>
      <c r="I23" s="248"/>
      <c r="J23" s="250"/>
      <c r="K23" s="248"/>
      <c r="L23" s="248"/>
      <c r="N23" s="221"/>
      <c r="O23" s="221"/>
      <c r="P23" s="221"/>
      <c r="Q23" s="221"/>
      <c r="R23" s="221"/>
      <c r="S23" s="221"/>
    </row>
    <row r="24">
      <c r="A24" s="251" t="s">
        <v>223</v>
      </c>
      <c r="B24" s="3"/>
      <c r="C24" s="252"/>
      <c r="D24" s="253"/>
      <c r="E24" s="254" t="s">
        <v>206</v>
      </c>
      <c r="F24" s="255" t="s">
        <v>122</v>
      </c>
      <c r="G24" s="255" t="s">
        <v>126</v>
      </c>
      <c r="H24" s="256" t="s">
        <v>127</v>
      </c>
      <c r="I24" s="257"/>
      <c r="J24" s="5"/>
      <c r="M24" s="258"/>
      <c r="N24" s="219" t="s">
        <v>226</v>
      </c>
      <c r="O24" s="259"/>
      <c r="P24" s="221"/>
      <c r="Q24" s="221"/>
      <c r="R24" s="221"/>
      <c r="S24" s="223"/>
      <c r="T24" s="225"/>
    </row>
    <row r="25">
      <c r="A25" s="260" t="s">
        <v>227</v>
      </c>
      <c r="B25" s="261"/>
      <c r="C25" s="262">
        <f>SUM(E25:H25)</f>
        <v>1</v>
      </c>
      <c r="D25" s="253"/>
      <c r="E25" s="263">
        <f>C8</f>
        <v>1</v>
      </c>
      <c r="F25" s="264"/>
      <c r="G25" s="265"/>
      <c r="H25" s="265"/>
      <c r="I25" s="257"/>
      <c r="M25" s="258"/>
      <c r="N25" s="232" t="s">
        <v>213</v>
      </c>
      <c r="O25" s="213" t="s">
        <v>206</v>
      </c>
      <c r="P25" s="213" t="s">
        <v>214</v>
      </c>
      <c r="Q25" s="213" t="s">
        <v>56</v>
      </c>
      <c r="R25" s="213" t="s">
        <v>215</v>
      </c>
      <c r="S25" s="216" t="s">
        <v>12</v>
      </c>
      <c r="T25" s="225"/>
    </row>
    <row r="26">
      <c r="C26" s="266"/>
      <c r="E26" s="266"/>
      <c r="F26" s="266"/>
      <c r="G26" s="266"/>
      <c r="H26" s="266"/>
      <c r="M26" s="258"/>
      <c r="N26" s="231"/>
      <c r="O26" s="231"/>
      <c r="P26" s="229"/>
      <c r="Q26" s="231"/>
      <c r="R26" s="267"/>
      <c r="S26" s="241" t="s">
        <v>230</v>
      </c>
      <c r="T26" s="225"/>
    </row>
    <row r="27">
      <c r="A27" s="268" t="s">
        <v>231</v>
      </c>
      <c r="B27" s="3"/>
      <c r="C27" s="3"/>
      <c r="E27" s="269"/>
      <c r="F27" s="269"/>
      <c r="G27" s="269"/>
      <c r="H27" s="269"/>
      <c r="I27" s="269"/>
      <c r="J27" s="269"/>
      <c r="M27" s="258"/>
      <c r="N27" s="270"/>
      <c r="O27" s="221"/>
      <c r="P27" s="221"/>
      <c r="Q27" s="221"/>
      <c r="R27" s="221"/>
      <c r="S27" s="223"/>
      <c r="T27" s="225"/>
    </row>
    <row r="28">
      <c r="A28" s="271" t="s">
        <v>120</v>
      </c>
      <c r="B28" s="100"/>
      <c r="C28" s="272">
        <f>BaseAttackBonus</f>
        <v>1</v>
      </c>
      <c r="D28" s="273"/>
      <c r="E28" s="274" t="s">
        <v>120</v>
      </c>
      <c r="F28" s="275" t="s">
        <v>181</v>
      </c>
      <c r="G28" s="275" t="s">
        <v>14</v>
      </c>
      <c r="H28" s="276" t="s">
        <v>122</v>
      </c>
      <c r="I28" s="277" t="s">
        <v>126</v>
      </c>
      <c r="J28" s="278" t="s">
        <v>127</v>
      </c>
      <c r="K28" s="279"/>
      <c r="N28" s="280"/>
      <c r="O28" s="280"/>
      <c r="P28" s="280"/>
      <c r="Q28" s="280"/>
      <c r="R28" s="280"/>
      <c r="S28" s="280"/>
    </row>
    <row r="29">
      <c r="A29" s="271" t="s">
        <v>233</v>
      </c>
      <c r="B29" s="100"/>
      <c r="C29" s="281">
        <f t="shared" ref="C29:C31" si="8">SUM(E29:J29)</f>
        <v>4</v>
      </c>
      <c r="D29" s="273"/>
      <c r="E29" s="282">
        <f>C28</f>
        <v>1</v>
      </c>
      <c r="F29" s="282">
        <f>C7</f>
        <v>3</v>
      </c>
      <c r="G29" s="282">
        <f>VLOOKUP($L$1,CalcData!Sizes,3, false)</f>
        <v>0</v>
      </c>
      <c r="H29" s="283"/>
      <c r="I29" s="284"/>
      <c r="J29" s="284"/>
      <c r="K29" s="279"/>
      <c r="M29" s="92"/>
      <c r="N29" s="86" t="s">
        <v>235</v>
      </c>
      <c r="O29" s="31"/>
      <c r="P29" s="31"/>
      <c r="Q29" s="285" t="s">
        <v>236</v>
      </c>
      <c r="R29" s="31"/>
      <c r="S29" s="31"/>
      <c r="T29" s="11"/>
    </row>
    <row r="30">
      <c r="A30" s="271" t="s">
        <v>239</v>
      </c>
      <c r="B30" s="100"/>
      <c r="C30" s="281">
        <f t="shared" si="8"/>
        <v>4</v>
      </c>
      <c r="D30" s="273"/>
      <c r="E30" s="282">
        <f>C28</f>
        <v>1</v>
      </c>
      <c r="F30" s="282">
        <f t="shared" ref="F30:F31" si="9">C7</f>
        <v>3</v>
      </c>
      <c r="G30" s="282">
        <f>VLOOKUP($L$1,CalcData!Sizes,2, false)</f>
        <v>0</v>
      </c>
      <c r="H30" s="283"/>
      <c r="I30" s="284"/>
      <c r="J30" s="284"/>
      <c r="K30" s="279"/>
      <c r="M30" s="92"/>
      <c r="N30" s="123" t="str">
        <f>IFERROR(__xludf.DUMMYFUNCTION("IFERROR(SORT(TRANSPOSE(SPLIT(VLOOKUP(F2,Races,15,false),"",""))),""N/A"")"),"Darkvision")</f>
        <v>Darkvision</v>
      </c>
      <c r="O30" s="31"/>
      <c r="P30" s="22"/>
      <c r="Q30" s="20"/>
      <c r="R30" s="31"/>
      <c r="S30" s="22"/>
      <c r="T30" s="11"/>
    </row>
    <row r="31">
      <c r="A31" s="286" t="s">
        <v>240</v>
      </c>
      <c r="B31" s="144"/>
      <c r="C31" s="281">
        <f t="shared" si="8"/>
        <v>2</v>
      </c>
      <c r="D31" s="273"/>
      <c r="E31" s="282">
        <f>C28</f>
        <v>1</v>
      </c>
      <c r="F31" s="282">
        <f t="shared" si="9"/>
        <v>1</v>
      </c>
      <c r="G31" s="282">
        <f>VLOOKUP($L$1,CalcData!Sizes,2, false)</f>
        <v>0</v>
      </c>
      <c r="H31" s="284"/>
      <c r="I31" s="284"/>
      <c r="J31" s="284"/>
      <c r="K31" s="279"/>
      <c r="M31" s="92"/>
      <c r="N31" s="20" t="s">
        <v>242</v>
      </c>
      <c r="O31" s="31"/>
      <c r="P31" s="22"/>
      <c r="Q31" s="20"/>
      <c r="R31" s="31"/>
      <c r="S31" s="22"/>
      <c r="T31" s="11"/>
    </row>
    <row r="32">
      <c r="A32" s="269"/>
      <c r="B32" s="269"/>
      <c r="C32" s="288"/>
      <c r="D32" s="269"/>
      <c r="E32" s="289"/>
      <c r="F32" s="290"/>
      <c r="G32" s="289"/>
      <c r="H32" s="289"/>
      <c r="I32" s="289"/>
      <c r="J32" s="289"/>
      <c r="K32" s="269"/>
      <c r="M32" s="92"/>
      <c r="N32" s="291" t="s">
        <v>243</v>
      </c>
      <c r="O32" s="31"/>
      <c r="P32" s="22"/>
      <c r="Q32" s="20"/>
      <c r="R32" s="31"/>
      <c r="S32" s="22"/>
      <c r="T32" s="11"/>
    </row>
    <row r="33">
      <c r="A33" s="292" t="s">
        <v>244</v>
      </c>
      <c r="B33" s="293"/>
      <c r="C33" s="289"/>
      <c r="D33" s="289"/>
      <c r="E33" s="294"/>
      <c r="F33" s="295"/>
      <c r="G33" s="292" t="s">
        <v>244</v>
      </c>
      <c r="H33" s="293"/>
      <c r="I33" s="289"/>
      <c r="J33" s="289"/>
      <c r="K33" s="294"/>
      <c r="L33" s="279"/>
      <c r="M33" s="92"/>
      <c r="N33" s="20" t="s">
        <v>246</v>
      </c>
      <c r="O33" s="31"/>
      <c r="P33" s="22"/>
      <c r="Q33" s="20"/>
      <c r="R33" s="31"/>
      <c r="S33" s="22"/>
      <c r="T33" s="11"/>
    </row>
    <row r="34">
      <c r="A34" s="298" t="s">
        <v>247</v>
      </c>
      <c r="B34" s="300" t="s">
        <v>248</v>
      </c>
      <c r="C34" s="302"/>
      <c r="D34" s="300" t="s">
        <v>249</v>
      </c>
      <c r="E34" s="294"/>
      <c r="F34" s="295"/>
      <c r="G34" s="298" t="s">
        <v>247</v>
      </c>
      <c r="H34" s="300" t="s">
        <v>248</v>
      </c>
      <c r="I34" s="302"/>
      <c r="J34" s="300" t="s">
        <v>249</v>
      </c>
      <c r="K34" s="294"/>
      <c r="L34" s="279"/>
      <c r="M34" s="92"/>
      <c r="N34" s="20" t="s">
        <v>251</v>
      </c>
      <c r="O34" s="31"/>
      <c r="P34" s="22"/>
      <c r="Q34" s="20"/>
      <c r="R34" s="31"/>
      <c r="S34" s="22"/>
      <c r="T34" s="11"/>
    </row>
    <row r="35">
      <c r="A35" s="303"/>
      <c r="B35" s="304"/>
      <c r="C35" s="294"/>
      <c r="D35" s="304"/>
      <c r="E35" s="294"/>
      <c r="F35" s="295"/>
      <c r="G35" s="303"/>
      <c r="H35" s="305"/>
      <c r="I35" s="294"/>
      <c r="J35" s="304"/>
      <c r="K35" s="294"/>
      <c r="L35" s="279"/>
      <c r="N35" s="20"/>
      <c r="O35" s="31"/>
      <c r="P35" s="22"/>
      <c r="Q35" s="20"/>
      <c r="R35" s="31"/>
      <c r="S35" s="22"/>
    </row>
    <row r="36">
      <c r="A36" s="306" t="s">
        <v>12</v>
      </c>
      <c r="B36" s="275" t="s">
        <v>19</v>
      </c>
      <c r="C36" s="275" t="s">
        <v>14</v>
      </c>
      <c r="D36" s="300" t="s">
        <v>252</v>
      </c>
      <c r="E36" s="289"/>
      <c r="G36" s="306" t="s">
        <v>12</v>
      </c>
      <c r="H36" s="275" t="s">
        <v>19</v>
      </c>
      <c r="I36" s="275" t="s">
        <v>14</v>
      </c>
      <c r="J36" s="300" t="s">
        <v>252</v>
      </c>
      <c r="K36" s="289"/>
      <c r="M36" s="92"/>
      <c r="N36" s="20"/>
      <c r="O36" s="31"/>
      <c r="P36" s="22"/>
      <c r="Q36" s="20"/>
      <c r="R36" s="31"/>
      <c r="S36" s="22"/>
      <c r="T36" s="11"/>
    </row>
    <row r="37">
      <c r="A37" s="307"/>
      <c r="B37" s="308"/>
      <c r="C37" s="308"/>
      <c r="D37" s="310"/>
      <c r="E37" s="294"/>
      <c r="F37" s="295"/>
      <c r="G37" s="312"/>
      <c r="H37" s="308"/>
      <c r="I37" s="308"/>
      <c r="J37" s="310"/>
      <c r="K37" s="294"/>
      <c r="L37" s="279"/>
      <c r="M37" s="92"/>
      <c r="N37" s="20"/>
      <c r="O37" s="31"/>
      <c r="P37" s="22"/>
      <c r="Q37" s="20"/>
      <c r="R37" s="31"/>
      <c r="S37" s="22"/>
      <c r="T37" s="11"/>
    </row>
    <row r="38">
      <c r="A38" s="289"/>
      <c r="B38" s="289"/>
      <c r="C38" s="289"/>
      <c r="D38" s="289"/>
      <c r="E38" s="289"/>
      <c r="G38" s="289"/>
      <c r="H38" s="289"/>
      <c r="I38" s="289"/>
      <c r="J38" s="289"/>
      <c r="K38" s="289"/>
      <c r="M38" s="92"/>
      <c r="N38" s="20"/>
      <c r="O38" s="31"/>
      <c r="P38" s="22"/>
      <c r="Q38" s="20"/>
      <c r="R38" s="31"/>
      <c r="S38" s="22"/>
      <c r="T38" s="11"/>
    </row>
    <row r="39">
      <c r="A39" s="292" t="s">
        <v>244</v>
      </c>
      <c r="B39" s="315"/>
      <c r="C39" s="289"/>
      <c r="D39" s="289"/>
      <c r="E39" s="294"/>
      <c r="F39" s="279"/>
      <c r="G39" s="292" t="s">
        <v>244</v>
      </c>
      <c r="H39" s="315"/>
      <c r="I39" s="289"/>
      <c r="J39" s="289"/>
      <c r="K39" s="294"/>
      <c r="L39" s="279"/>
      <c r="M39" s="92"/>
      <c r="N39" s="20"/>
      <c r="O39" s="31"/>
      <c r="P39" s="22"/>
      <c r="Q39" s="20"/>
      <c r="R39" s="31"/>
      <c r="S39" s="22"/>
      <c r="T39" s="11"/>
    </row>
    <row r="40">
      <c r="A40" s="298" t="s">
        <v>247</v>
      </c>
      <c r="B40" s="300" t="s">
        <v>248</v>
      </c>
      <c r="C40" s="302"/>
      <c r="D40" s="300" t="s">
        <v>249</v>
      </c>
      <c r="E40" s="294"/>
      <c r="F40" s="279"/>
      <c r="G40" s="298" t="s">
        <v>247</v>
      </c>
      <c r="H40" s="300" t="s">
        <v>248</v>
      </c>
      <c r="I40" s="302"/>
      <c r="J40" s="300" t="s">
        <v>249</v>
      </c>
      <c r="K40" s="294"/>
      <c r="L40" s="279"/>
      <c r="N40" s="20"/>
      <c r="O40" s="31"/>
      <c r="P40" s="22"/>
      <c r="Q40" s="20"/>
      <c r="R40" s="31"/>
      <c r="S40" s="22"/>
    </row>
    <row r="41">
      <c r="A41" s="303"/>
      <c r="B41" s="305"/>
      <c r="C41" s="294"/>
      <c r="D41" s="305"/>
      <c r="E41" s="294"/>
      <c r="F41" s="279"/>
      <c r="G41" s="303"/>
      <c r="H41" s="305"/>
      <c r="I41" s="294"/>
      <c r="J41" s="305"/>
      <c r="K41" s="294"/>
      <c r="L41" s="279"/>
      <c r="N41" s="20"/>
      <c r="O41" s="31"/>
      <c r="P41" s="22"/>
      <c r="Q41" s="20"/>
      <c r="R41" s="31"/>
      <c r="S41" s="22"/>
    </row>
    <row r="42">
      <c r="A42" s="306" t="s">
        <v>12</v>
      </c>
      <c r="B42" s="275" t="s">
        <v>19</v>
      </c>
      <c r="C42" s="275" t="s">
        <v>14</v>
      </c>
      <c r="D42" s="300" t="s">
        <v>252</v>
      </c>
      <c r="E42" s="289"/>
      <c r="G42" s="274" t="s">
        <v>12</v>
      </c>
      <c r="H42" s="275" t="s">
        <v>19</v>
      </c>
      <c r="I42" s="275" t="s">
        <v>14</v>
      </c>
      <c r="J42" s="300" t="s">
        <v>252</v>
      </c>
      <c r="K42" s="289"/>
      <c r="N42" s="20"/>
      <c r="O42" s="31"/>
      <c r="P42" s="22"/>
      <c r="Q42" s="20"/>
      <c r="R42" s="31"/>
      <c r="S42" s="22"/>
    </row>
    <row r="43">
      <c r="A43" s="303"/>
      <c r="B43" s="316"/>
      <c r="C43" s="316"/>
      <c r="D43" s="318"/>
      <c r="E43" s="294"/>
      <c r="F43" s="279"/>
      <c r="G43" s="307"/>
      <c r="H43" s="316"/>
      <c r="I43" s="308"/>
      <c r="J43" s="319"/>
      <c r="K43" s="294"/>
      <c r="L43" s="279"/>
      <c r="N43" s="28"/>
      <c r="O43" s="28"/>
      <c r="P43" s="28"/>
      <c r="Q43" s="28"/>
      <c r="R43" s="28"/>
      <c r="S43" s="28"/>
    </row>
    <row r="44">
      <c r="A44" s="290"/>
      <c r="B44" s="290"/>
      <c r="C44" s="290"/>
      <c r="D44" s="290"/>
      <c r="E44" s="290"/>
      <c r="G44" s="290"/>
      <c r="H44" s="290"/>
      <c r="K44" s="290"/>
      <c r="N44" s="86" t="s">
        <v>266</v>
      </c>
      <c r="O44" s="31"/>
      <c r="P44" s="31"/>
      <c r="Q44" s="31"/>
      <c r="R44" s="31"/>
      <c r="S44" s="31"/>
      <c r="T44" s="31"/>
      <c r="U44" s="31"/>
      <c r="V44" s="31"/>
    </row>
    <row r="45">
      <c r="A45" s="1" t="s">
        <v>267</v>
      </c>
      <c r="B45" s="3"/>
      <c r="C45" s="3"/>
      <c r="D45" s="3"/>
      <c r="F45" s="320" t="s">
        <v>181</v>
      </c>
      <c r="G45" s="321" t="s">
        <v>188</v>
      </c>
      <c r="H45" s="322" t="s">
        <v>189</v>
      </c>
      <c r="I45" s="323" t="s">
        <v>127</v>
      </c>
      <c r="K45" s="86" t="s">
        <v>269</v>
      </c>
      <c r="L45" s="22"/>
      <c r="N45" s="123" t="str">
        <f>IFERROR(__xludf.DUMMYFUNCTION("if('Generic Warrior'!G2="""",""N/A"",TRANSPOSE(split(JOIN("","",'Generic Warrior'!G2:G21,'Generic Warrior'!H2:H21,'Generic Warrior'!I2:I21),"","")))"),"N/A")</f>
        <v>N/A</v>
      </c>
      <c r="O45" s="31"/>
      <c r="P45" s="22"/>
      <c r="Q45" s="324" t="str">
        <f>IFERROR(__xludf.DUMMYFUNCTION("if('Generic Expert'!G2="""",""N/A"",TRANSPOSE(split(JOIN("","",'Generic Expert'!G2:G21,'Generic Expert'!H2:H21,'Generic Expert'!I2:I21),"","")))"),"N/A")</f>
        <v>N/A</v>
      </c>
      <c r="R45" s="31"/>
      <c r="S45" s="22"/>
      <c r="T45" s="123" t="str">
        <f>IFERROR(__xludf.DUMMYFUNCTION("if('Generic SpellCaster'!G2="""",""N/A"",TRANSPOSE(split(JOIN("","",'Generic SpellCaster'!G2:G21,'Generic SpellCaster'!H2:H21,'Generic SpellCaster'!I2:I21),"","")))"),"N/A")</f>
        <v>N/A</v>
      </c>
      <c r="U45" s="31"/>
      <c r="V45" s="22"/>
    </row>
    <row r="46">
      <c r="A46" s="325" t="str">
        <f>IFERROR(__xludf.DUMMYFUNCTION("SORT(UNIQUE(TRANSPOSE(SPLIT(JOIN("","",FILTER(Skills!A3:A67,SkillData!CE1:CE65),IF(SUM(Skills!F3:F67)&gt;0,FILTER(Skills!A3:A67,Skills!F3:F67&gt;0),"""")),"",""))),1,true)"),"Appraise")</f>
        <v>Appraise</v>
      </c>
      <c r="B46" s="100"/>
      <c r="C46" s="100"/>
      <c r="D46" s="326">
        <f t="shared" ref="D46:D98" si="10">IF(A46="","",INT(SUM(F46:I46)))</f>
        <v>2</v>
      </c>
      <c r="E46" s="105"/>
      <c r="F46" s="109">
        <f>IF(A46="","",VLOOKUP(A46,SkillDataTable,4,false))</f>
        <v>2</v>
      </c>
      <c r="G46" s="173">
        <f>IF(A46="","",VLOOKUP(A46,SkillDataTable,3,false))</f>
        <v>0</v>
      </c>
      <c r="H46" s="30">
        <f>IF(A46="","",VLOOKUP(A46,SkillDataTable,5,false))</f>
        <v>0</v>
      </c>
      <c r="I46" s="24"/>
      <c r="K46" s="123" t="str">
        <f>IFERROR(__xludf.DUMMYFUNCTION("IFERROR(SORT(TRANSPOSE(SPLIT(VLOOKUP(F2,Races,17,false),"",""))),""N/A"")"),"Common")</f>
        <v>Common</v>
      </c>
      <c r="L46" s="22"/>
      <c r="N46" s="327"/>
      <c r="O46" s="31"/>
      <c r="P46" s="31"/>
      <c r="Q46" s="327"/>
      <c r="R46" s="31"/>
      <c r="S46" s="31"/>
      <c r="T46" s="327"/>
      <c r="U46" s="31"/>
      <c r="V46" s="22"/>
    </row>
    <row r="47">
      <c r="A47" s="325" t="s">
        <v>224</v>
      </c>
      <c r="B47" s="100"/>
      <c r="C47" s="100"/>
      <c r="D47" s="326">
        <f t="shared" si="10"/>
        <v>1</v>
      </c>
      <c r="E47" s="105"/>
      <c r="F47" s="109">
        <f>IF(A47="","",VLOOKUP(A47,SkillDataTable,4,false))</f>
        <v>1</v>
      </c>
      <c r="G47" s="173">
        <f>IF(A47="","",VLOOKUP(A47,SkillDataTable,3,false))</f>
        <v>0</v>
      </c>
      <c r="H47" s="30">
        <f>IF(A47="","",VLOOKUP(A47,SkillDataTable,5,false))</f>
        <v>0</v>
      </c>
      <c r="I47" s="328"/>
      <c r="K47" s="329" t="s">
        <v>274</v>
      </c>
      <c r="L47" s="22"/>
      <c r="N47" s="327"/>
      <c r="O47" s="31"/>
      <c r="P47" s="31"/>
      <c r="Q47" s="327"/>
      <c r="R47" s="31"/>
      <c r="S47" s="31"/>
      <c r="T47" s="327"/>
      <c r="U47" s="31"/>
      <c r="V47" s="22"/>
    </row>
    <row r="48">
      <c r="A48" s="325" t="s">
        <v>228</v>
      </c>
      <c r="B48" s="100"/>
      <c r="C48" s="100"/>
      <c r="D48" s="326">
        <f t="shared" si="10"/>
        <v>2</v>
      </c>
      <c r="E48" s="105"/>
      <c r="F48" s="109">
        <f>IF(A48="","",VLOOKUP(A48,SkillDataTable,4,false))</f>
        <v>2</v>
      </c>
      <c r="G48" s="173">
        <f>IF(A48="","",VLOOKUP(A48,SkillDataTable,3,false))</f>
        <v>0</v>
      </c>
      <c r="H48" s="30">
        <f>IF(A48="","",VLOOKUP(A48,SkillDataTable,5,false))</f>
        <v>0</v>
      </c>
      <c r="I48" s="24"/>
      <c r="K48" s="329"/>
      <c r="L48" s="22"/>
      <c r="N48" s="327"/>
      <c r="O48" s="31"/>
      <c r="P48" s="31"/>
      <c r="Q48" s="327"/>
      <c r="R48" s="31"/>
      <c r="S48" s="31"/>
      <c r="T48" s="327"/>
      <c r="U48" s="31"/>
      <c r="V48" s="22"/>
    </row>
    <row r="49">
      <c r="A49" s="325" t="s">
        <v>147</v>
      </c>
      <c r="B49" s="100"/>
      <c r="C49" s="100"/>
      <c r="D49" s="326">
        <f t="shared" si="10"/>
        <v>3</v>
      </c>
      <c r="E49" s="105"/>
      <c r="F49" s="109">
        <f>IF(A49="","",VLOOKUP(A49,SkillDataTable,4,false))</f>
        <v>3</v>
      </c>
      <c r="G49" s="173">
        <f>IF(A49="","",VLOOKUP(A49,SkillDataTable,3,false))</f>
        <v>0</v>
      </c>
      <c r="H49" s="30">
        <f>IF(A49="","",VLOOKUP(A49,SkillDataTable,5,false))</f>
        <v>0</v>
      </c>
      <c r="I49" s="24"/>
      <c r="K49" s="329"/>
      <c r="L49" s="22"/>
      <c r="N49" s="327"/>
      <c r="O49" s="31"/>
      <c r="P49" s="31"/>
      <c r="Q49" s="327"/>
      <c r="R49" s="31"/>
      <c r="S49" s="31"/>
      <c r="T49" s="327"/>
      <c r="U49" s="31"/>
      <c r="V49" s="22"/>
    </row>
    <row r="50">
      <c r="A50" s="325" t="s">
        <v>237</v>
      </c>
      <c r="B50" s="100"/>
      <c r="C50" s="100"/>
      <c r="D50" s="326">
        <f t="shared" si="10"/>
        <v>2</v>
      </c>
      <c r="E50" s="105"/>
      <c r="F50" s="109">
        <f>IF(A50="","",VLOOKUP(A50,SkillDataTable,4,false))</f>
        <v>2</v>
      </c>
      <c r="G50" s="173">
        <f>IF(A50="","",VLOOKUP(A50,SkillDataTable,3,false))</f>
        <v>0</v>
      </c>
      <c r="H50" s="30">
        <f>IF(A50="","",VLOOKUP(A50,SkillDataTable,5,false))</f>
        <v>0</v>
      </c>
      <c r="I50" s="24"/>
      <c r="K50" s="329"/>
      <c r="L50" s="22"/>
      <c r="N50" s="327"/>
      <c r="O50" s="31"/>
      <c r="P50" s="31"/>
      <c r="Q50" s="327"/>
      <c r="R50" s="31"/>
      <c r="S50" s="31"/>
      <c r="T50" s="327"/>
      <c r="U50" s="31"/>
      <c r="V50" s="22"/>
    </row>
    <row r="51">
      <c r="A51" s="325" t="s">
        <v>241</v>
      </c>
      <c r="B51" s="100"/>
      <c r="C51" s="100"/>
      <c r="D51" s="326">
        <f t="shared" si="10"/>
        <v>2</v>
      </c>
      <c r="E51" s="105"/>
      <c r="F51" s="109">
        <f>IF(A51="","",VLOOKUP(A51,SkillDataTable,4,false))</f>
        <v>2</v>
      </c>
      <c r="G51" s="173">
        <f>IF(A51="","",VLOOKUP(A51,SkillDataTable,3,false))</f>
        <v>0</v>
      </c>
      <c r="H51" s="30">
        <f>IF(A51="","",VLOOKUP(A51,SkillDataTable,5,false))</f>
        <v>0</v>
      </c>
      <c r="I51" s="24"/>
      <c r="K51" s="123"/>
      <c r="L51" s="22"/>
      <c r="N51" s="327"/>
      <c r="O51" s="31"/>
      <c r="P51" s="31"/>
      <c r="Q51" s="327"/>
      <c r="R51" s="31"/>
      <c r="S51" s="31"/>
      <c r="T51" s="327"/>
      <c r="U51" s="31"/>
      <c r="V51" s="22"/>
    </row>
    <row r="52">
      <c r="A52" s="325" t="s">
        <v>250</v>
      </c>
      <c r="B52" s="100"/>
      <c r="C52" s="100"/>
      <c r="D52" s="326">
        <f t="shared" si="10"/>
        <v>2</v>
      </c>
      <c r="E52" s="105"/>
      <c r="F52" s="109">
        <f>IF(A52="","",VLOOKUP(A52,SkillDataTable,4,false))</f>
        <v>2</v>
      </c>
      <c r="G52" s="173">
        <f>IF(A52="","",VLOOKUP(A52,SkillDataTable,3,false))</f>
        <v>0</v>
      </c>
      <c r="H52" s="30">
        <f>IF(A52="","",VLOOKUP(A52,SkillDataTable,5,false))</f>
        <v>0</v>
      </c>
      <c r="I52" s="24"/>
      <c r="K52" s="123"/>
      <c r="L52" s="22"/>
      <c r="N52" s="327"/>
      <c r="O52" s="31"/>
      <c r="P52" s="31"/>
      <c r="Q52" s="327"/>
      <c r="R52" s="31"/>
      <c r="S52" s="31"/>
      <c r="T52" s="327"/>
      <c r="U52" s="31"/>
      <c r="V52" s="22"/>
    </row>
    <row r="53">
      <c r="A53" s="325" t="s">
        <v>263</v>
      </c>
      <c r="B53" s="100"/>
      <c r="C53" s="100"/>
      <c r="D53" s="326">
        <f t="shared" si="10"/>
        <v>2</v>
      </c>
      <c r="E53" s="105"/>
      <c r="F53" s="109">
        <f>IF(A53="","",VLOOKUP(A53,SkillDataTable,4,false))</f>
        <v>2</v>
      </c>
      <c r="G53" s="173">
        <f>IF(A53="","",VLOOKUP(A53,SkillDataTable,3,false))</f>
        <v>0</v>
      </c>
      <c r="H53" s="30">
        <f>IF(A53="","",VLOOKUP(A53,SkillDataTable,5,false))</f>
        <v>0</v>
      </c>
      <c r="I53" s="24"/>
      <c r="K53" s="123"/>
      <c r="L53" s="22"/>
      <c r="N53" s="327"/>
      <c r="O53" s="31"/>
      <c r="P53" s="31"/>
      <c r="Q53" s="327"/>
      <c r="R53" s="31"/>
      <c r="S53" s="31"/>
      <c r="T53" s="327"/>
      <c r="U53" s="31"/>
      <c r="V53" s="22"/>
    </row>
    <row r="54">
      <c r="A54" s="325" t="s">
        <v>264</v>
      </c>
      <c r="B54" s="100"/>
      <c r="C54" s="100"/>
      <c r="D54" s="326">
        <f t="shared" si="10"/>
        <v>1</v>
      </c>
      <c r="E54" s="105"/>
      <c r="F54" s="109">
        <f>IF(A54="","",VLOOKUP(A54,SkillDataTable,4,false))</f>
        <v>1</v>
      </c>
      <c r="G54" s="173">
        <f>IF(A54="","",VLOOKUP(A54,SkillDataTable,3,false))</f>
        <v>0</v>
      </c>
      <c r="H54" s="30">
        <f>IF(A54="","",VLOOKUP(A54,SkillDataTable,5,false))</f>
        <v>0</v>
      </c>
      <c r="I54" s="24"/>
      <c r="K54" s="123"/>
      <c r="L54" s="22"/>
      <c r="N54" s="327"/>
      <c r="O54" s="31"/>
      <c r="P54" s="31"/>
      <c r="Q54" s="327"/>
      <c r="R54" s="31"/>
      <c r="S54" s="31"/>
      <c r="T54" s="327"/>
      <c r="U54" s="31"/>
      <c r="V54" s="22"/>
    </row>
    <row r="55">
      <c r="A55" s="325" t="s">
        <v>268</v>
      </c>
      <c r="B55" s="100"/>
      <c r="C55" s="100"/>
      <c r="D55" s="326">
        <f t="shared" si="10"/>
        <v>2</v>
      </c>
      <c r="E55" s="105"/>
      <c r="F55" s="109">
        <f>IF(A55="","",VLOOKUP(A55,SkillDataTable,4,false))</f>
        <v>2</v>
      </c>
      <c r="G55" s="173">
        <f>IF(A55="","",VLOOKUP(A55,SkillDataTable,3,false))</f>
        <v>0</v>
      </c>
      <c r="H55" s="30">
        <f>IF(A55="","",VLOOKUP(A55,SkillDataTable,5,false))</f>
        <v>0</v>
      </c>
      <c r="I55" s="24"/>
      <c r="K55" s="123"/>
      <c r="L55" s="22"/>
      <c r="N55" s="327"/>
      <c r="O55" s="31"/>
      <c r="P55" s="31"/>
      <c r="Q55" s="327"/>
      <c r="R55" s="31"/>
      <c r="S55" s="31"/>
      <c r="T55" s="327"/>
      <c r="U55" s="31"/>
      <c r="V55" s="22"/>
    </row>
    <row r="56">
      <c r="A56" s="325" t="s">
        <v>272</v>
      </c>
      <c r="B56" s="100"/>
      <c r="C56" s="100"/>
      <c r="D56" s="326">
        <f t="shared" si="10"/>
        <v>2</v>
      </c>
      <c r="E56" s="105"/>
      <c r="F56" s="109">
        <f>IF(A56="","",VLOOKUP(A56,SkillDataTable,4,false))</f>
        <v>2</v>
      </c>
      <c r="G56" s="173">
        <f>IF(A56="","",VLOOKUP(A56,SkillDataTable,3,false))</f>
        <v>0</v>
      </c>
      <c r="H56" s="30">
        <f>IF(A56="","",VLOOKUP(A56,SkillDataTable,5,false))</f>
        <v>0</v>
      </c>
      <c r="I56" s="24"/>
      <c r="K56" s="123"/>
      <c r="L56" s="22"/>
      <c r="N56" s="327"/>
      <c r="O56" s="31"/>
      <c r="P56" s="31"/>
      <c r="Q56" s="327"/>
      <c r="R56" s="31"/>
      <c r="S56" s="31"/>
      <c r="T56" s="327"/>
      <c r="U56" s="31"/>
      <c r="V56" s="22"/>
    </row>
    <row r="57">
      <c r="A57" s="325" t="s">
        <v>276</v>
      </c>
      <c r="B57" s="100"/>
      <c r="C57" s="100"/>
      <c r="D57" s="326">
        <f t="shared" si="10"/>
        <v>2</v>
      </c>
      <c r="E57" s="105"/>
      <c r="F57" s="109">
        <f>IF(A57="","",VLOOKUP(A57,SkillDataTable,4,false))</f>
        <v>2</v>
      </c>
      <c r="G57" s="173">
        <f>IF(A57="","",VLOOKUP(A57,SkillDataTable,3,false))</f>
        <v>0</v>
      </c>
      <c r="H57" s="30">
        <f>IF(A57="","",VLOOKUP(A57,SkillDataTable,5,false))</f>
        <v>0</v>
      </c>
      <c r="I57" s="24"/>
      <c r="K57" s="123"/>
      <c r="L57" s="22"/>
      <c r="M57" s="5"/>
      <c r="N57" s="327"/>
      <c r="O57" s="31"/>
      <c r="P57" s="31"/>
      <c r="Q57" s="327"/>
      <c r="R57" s="31"/>
      <c r="S57" s="31"/>
      <c r="T57" s="327"/>
      <c r="U57" s="31"/>
      <c r="V57" s="22"/>
    </row>
    <row r="58">
      <c r="A58" s="325" t="s">
        <v>277</v>
      </c>
      <c r="B58" s="100"/>
      <c r="C58" s="100"/>
      <c r="D58" s="326">
        <f t="shared" si="10"/>
        <v>1</v>
      </c>
      <c r="E58" s="105"/>
      <c r="F58" s="109">
        <f>IF(A58="","",VLOOKUP(A58,SkillDataTable,4,false))</f>
        <v>1</v>
      </c>
      <c r="G58" s="173">
        <f>IF(A58="","",VLOOKUP(A58,SkillDataTable,3,false))</f>
        <v>0</v>
      </c>
      <c r="H58" s="30">
        <f>IF(A58="","",VLOOKUP(A58,SkillDataTable,5,false))</f>
        <v>0</v>
      </c>
      <c r="I58" s="24"/>
      <c r="K58" s="123"/>
      <c r="L58" s="22"/>
      <c r="N58" s="327"/>
      <c r="O58" s="31"/>
      <c r="P58" s="31"/>
      <c r="Q58" s="327"/>
      <c r="R58" s="31"/>
      <c r="S58" s="31"/>
      <c r="T58" s="327"/>
      <c r="U58" s="31"/>
      <c r="V58" s="22"/>
    </row>
    <row r="59">
      <c r="A59" s="325" t="s">
        <v>281</v>
      </c>
      <c r="B59" s="100"/>
      <c r="C59" s="100"/>
      <c r="D59" s="326">
        <f t="shared" si="10"/>
        <v>2</v>
      </c>
      <c r="E59" s="105"/>
      <c r="F59" s="109">
        <f>IF(A59="","",VLOOKUP(A59,SkillDataTable,4,false))</f>
        <v>2</v>
      </c>
      <c r="G59" s="173">
        <f>IF(A59="","",VLOOKUP(A59,SkillDataTable,3,false))</f>
        <v>0</v>
      </c>
      <c r="H59" s="30">
        <f>IF(A59="","",VLOOKUP(A59,SkillDataTable,5,false))</f>
        <v>0</v>
      </c>
      <c r="I59" s="24"/>
      <c r="K59" s="123"/>
      <c r="L59" s="22"/>
      <c r="N59" s="327"/>
      <c r="O59" s="31"/>
      <c r="P59" s="31"/>
      <c r="Q59" s="327"/>
      <c r="R59" s="31"/>
      <c r="S59" s="31"/>
      <c r="T59" s="327"/>
      <c r="U59" s="31"/>
      <c r="V59" s="22"/>
    </row>
    <row r="60">
      <c r="A60" s="325" t="s">
        <v>283</v>
      </c>
      <c r="B60" s="100"/>
      <c r="C60" s="100"/>
      <c r="D60" s="326">
        <f t="shared" si="10"/>
        <v>3</v>
      </c>
      <c r="E60" s="105"/>
      <c r="F60" s="109">
        <f>IF(A60="","",VLOOKUP(A60,SkillDataTable,4,false))</f>
        <v>3</v>
      </c>
      <c r="G60" s="173">
        <f>IF(A60="","",VLOOKUP(A60,SkillDataTable,3,false))</f>
        <v>0</v>
      </c>
      <c r="H60" s="30">
        <f>IF(A60="","",VLOOKUP(A60,SkillDataTable,5,false))</f>
        <v>0</v>
      </c>
      <c r="I60" s="24"/>
      <c r="K60" s="123"/>
      <c r="L60" s="22"/>
      <c r="N60" s="327"/>
      <c r="O60" s="31"/>
      <c r="P60" s="31"/>
      <c r="Q60" s="327"/>
      <c r="R60" s="31"/>
      <c r="S60" s="31"/>
      <c r="T60" s="327"/>
      <c r="U60" s="31"/>
      <c r="V60" s="22"/>
    </row>
    <row r="61">
      <c r="A61" s="325" t="s">
        <v>290</v>
      </c>
      <c r="B61" s="100"/>
      <c r="C61" s="100"/>
      <c r="D61" s="326">
        <f t="shared" si="10"/>
        <v>2</v>
      </c>
      <c r="E61" s="105"/>
      <c r="F61" s="109">
        <f>IF(A61="","",VLOOKUP(A61,SkillDataTable,4,false))</f>
        <v>2</v>
      </c>
      <c r="G61" s="173">
        <f>IF(A61="","",VLOOKUP(A61,SkillDataTable,3,false))</f>
        <v>0</v>
      </c>
      <c r="H61" s="30">
        <f>IF(A61="","",VLOOKUP(A61,SkillDataTable,5,false))</f>
        <v>0</v>
      </c>
      <c r="I61" s="24"/>
      <c r="K61" s="123"/>
      <c r="L61" s="22"/>
      <c r="N61" s="327"/>
      <c r="O61" s="31"/>
      <c r="P61" s="31"/>
      <c r="Q61" s="327"/>
      <c r="R61" s="31"/>
      <c r="S61" s="31"/>
      <c r="T61" s="327"/>
      <c r="U61" s="31"/>
      <c r="V61" s="22"/>
    </row>
    <row r="62">
      <c r="A62" s="325" t="s">
        <v>291</v>
      </c>
      <c r="B62" s="100"/>
      <c r="C62" s="100"/>
      <c r="D62" s="326">
        <f t="shared" si="10"/>
        <v>1</v>
      </c>
      <c r="E62" s="105"/>
      <c r="F62" s="109">
        <f>IF(A62="","",VLOOKUP(A62,SkillDataTable,4,false))</f>
        <v>1</v>
      </c>
      <c r="G62" s="173">
        <f>IF(A62="","",VLOOKUP(A62,SkillDataTable,3,false))</f>
        <v>0</v>
      </c>
      <c r="H62" s="30">
        <f>IF(A62="","",VLOOKUP(A62,SkillDataTable,5,false))</f>
        <v>0</v>
      </c>
      <c r="I62" s="24"/>
      <c r="K62" s="123"/>
      <c r="L62" s="22"/>
      <c r="N62" s="5"/>
      <c r="R62" s="5"/>
    </row>
    <row r="63">
      <c r="A63" s="325" t="s">
        <v>293</v>
      </c>
      <c r="B63" s="100"/>
      <c r="C63" s="100"/>
      <c r="D63" s="326">
        <f t="shared" si="10"/>
        <v>2</v>
      </c>
      <c r="E63" s="105"/>
      <c r="F63" s="109">
        <f>IF(A63="","",VLOOKUP(A63,SkillDataTable,4,false))</f>
        <v>2</v>
      </c>
      <c r="G63" s="173">
        <f>IF(A63="","",VLOOKUP(A63,SkillDataTable,3,false))</f>
        <v>0</v>
      </c>
      <c r="H63" s="30">
        <f>IF(A63="","",VLOOKUP(A63,SkillDataTable,5,false))</f>
        <v>0</v>
      </c>
      <c r="I63" s="24"/>
      <c r="K63" s="123"/>
      <c r="L63" s="22"/>
      <c r="M63" s="5"/>
      <c r="N63" s="5"/>
      <c r="R63" s="5"/>
    </row>
    <row r="64">
      <c r="A64" s="325" t="s">
        <v>295</v>
      </c>
      <c r="B64" s="100"/>
      <c r="C64" s="100"/>
      <c r="D64" s="326">
        <f t="shared" si="10"/>
        <v>1</v>
      </c>
      <c r="E64" s="105"/>
      <c r="F64" s="109">
        <f>IF(A64="","",VLOOKUP(A64,SkillDataTable,4,false))</f>
        <v>1</v>
      </c>
      <c r="G64" s="173">
        <f>IF(A64="","",VLOOKUP(A64,SkillDataTable,3,false))</f>
        <v>0</v>
      </c>
      <c r="H64" s="30">
        <f>IF(A64="","",VLOOKUP(A64,SkillDataTable,5,false))</f>
        <v>0</v>
      </c>
      <c r="I64" s="24"/>
      <c r="R64" s="5"/>
    </row>
    <row r="65">
      <c r="A65" s="325" t="s">
        <v>296</v>
      </c>
      <c r="B65" s="100"/>
      <c r="C65" s="100"/>
      <c r="D65" s="326">
        <f t="shared" si="10"/>
        <v>2</v>
      </c>
      <c r="E65" s="105"/>
      <c r="F65" s="109">
        <f>IF(A65="","",VLOOKUP(A65,SkillDataTable,4,false))</f>
        <v>2</v>
      </c>
      <c r="G65" s="173">
        <f>IF(A65="","",VLOOKUP(A65,SkillDataTable,3,false))</f>
        <v>0</v>
      </c>
      <c r="H65" s="30">
        <f>IF(A65="","",VLOOKUP(A65,SkillDataTable,5,false))</f>
        <v>0</v>
      </c>
      <c r="I65" s="24"/>
    </row>
    <row r="66">
      <c r="A66" s="325" t="s">
        <v>298</v>
      </c>
      <c r="B66" s="100"/>
      <c r="C66" s="100"/>
      <c r="D66" s="326">
        <f t="shared" si="10"/>
        <v>2</v>
      </c>
      <c r="E66" s="105"/>
      <c r="F66" s="109">
        <f>IF(A66="","",VLOOKUP(A66,SkillDataTable,4,false))</f>
        <v>2</v>
      </c>
      <c r="G66" s="173">
        <f>IF(A66="","",VLOOKUP(A66,SkillDataTable,3,false))</f>
        <v>0</v>
      </c>
      <c r="H66" s="30">
        <f>IF(A66="","",VLOOKUP(A66,SkillDataTable,5,false))</f>
        <v>0</v>
      </c>
      <c r="I66" s="24"/>
    </row>
    <row r="67">
      <c r="A67" s="325" t="s">
        <v>301</v>
      </c>
      <c r="B67" s="100"/>
      <c r="C67" s="100"/>
      <c r="D67" s="326">
        <f t="shared" si="10"/>
        <v>2</v>
      </c>
      <c r="E67" s="105"/>
      <c r="F67" s="109">
        <f>IF(A67="","",VLOOKUP(A67,SkillDataTable,4,false))</f>
        <v>2</v>
      </c>
      <c r="G67" s="173">
        <f>IF(A67="","",VLOOKUP(A67,SkillDataTable,3,false))</f>
        <v>0</v>
      </c>
      <c r="H67" s="30">
        <f>IF(A67="","",VLOOKUP(A67,SkillDataTable,5,false))</f>
        <v>0</v>
      </c>
      <c r="I67" s="24"/>
    </row>
    <row r="68">
      <c r="A68" s="325" t="s">
        <v>302</v>
      </c>
      <c r="B68" s="100"/>
      <c r="C68" s="100"/>
      <c r="D68" s="326">
        <f t="shared" si="10"/>
        <v>2</v>
      </c>
      <c r="E68" s="105"/>
      <c r="F68" s="109">
        <f>IF(A68="","",VLOOKUP(A68,SkillDataTable,4,false))</f>
        <v>2</v>
      </c>
      <c r="G68" s="173">
        <f>IF(A68="","",VLOOKUP(A68,SkillDataTable,3,false))</f>
        <v>0</v>
      </c>
      <c r="H68" s="30">
        <f>IF(A68="","",VLOOKUP(A68,SkillDataTable,5,false))</f>
        <v>0</v>
      </c>
      <c r="I68" s="24"/>
    </row>
    <row r="69">
      <c r="A69" s="325" t="s">
        <v>303</v>
      </c>
      <c r="B69" s="100"/>
      <c r="C69" s="100"/>
      <c r="D69" s="326">
        <f t="shared" si="10"/>
        <v>2</v>
      </c>
      <c r="E69" s="105"/>
      <c r="F69" s="109">
        <f>IF(A69="","",VLOOKUP(A69,SkillDataTable,4,false))</f>
        <v>2</v>
      </c>
      <c r="G69" s="173">
        <f>IF(A69="","",VLOOKUP(A69,SkillDataTable,3,false))</f>
        <v>0</v>
      </c>
      <c r="H69" s="30">
        <f>IF(A69="","",VLOOKUP(A69,SkillDataTable,5,false))</f>
        <v>0</v>
      </c>
      <c r="I69" s="24"/>
    </row>
    <row r="70">
      <c r="A70" s="325" t="s">
        <v>150</v>
      </c>
      <c r="B70" s="100"/>
      <c r="C70" s="100"/>
      <c r="D70" s="326">
        <f t="shared" si="10"/>
        <v>3</v>
      </c>
      <c r="E70" s="105"/>
      <c r="F70" s="109">
        <f>IF(A70="","",VLOOKUP(A70,SkillDataTable,4,false))</f>
        <v>3</v>
      </c>
      <c r="G70" s="173">
        <f>IF(A70="","",VLOOKUP(A70,SkillDataTable,3,false))</f>
        <v>0</v>
      </c>
      <c r="H70" s="30">
        <f>IF(A70="","",VLOOKUP(A70,SkillDataTable,5,false))</f>
        <v>0</v>
      </c>
      <c r="I70" s="24"/>
    </row>
    <row r="71">
      <c r="A71" s="325" t="s">
        <v>305</v>
      </c>
      <c r="B71" s="100"/>
      <c r="C71" s="100"/>
      <c r="D71" s="326">
        <f t="shared" si="10"/>
        <v>1</v>
      </c>
      <c r="E71" s="105"/>
      <c r="F71" s="109">
        <f>IF(A71="","",VLOOKUP(A71,SkillDataTable,4,false))</f>
        <v>1</v>
      </c>
      <c r="G71" s="173">
        <f>IF(A71="","",VLOOKUP(A71,SkillDataTable,3,false))</f>
        <v>0</v>
      </c>
      <c r="H71" s="30">
        <f>IF(A71="","",VLOOKUP(A71,SkillDataTable,5,false))</f>
        <v>0</v>
      </c>
      <c r="I71" s="24"/>
    </row>
    <row r="72">
      <c r="A72" s="325" t="s">
        <v>306</v>
      </c>
      <c r="B72" s="100"/>
      <c r="C72" s="100"/>
      <c r="D72" s="326">
        <f t="shared" si="10"/>
        <v>1</v>
      </c>
      <c r="E72" s="105"/>
      <c r="F72" s="109">
        <f>IF(A72="","",VLOOKUP(A72,SkillDataTable,4,false))</f>
        <v>1</v>
      </c>
      <c r="G72" s="173">
        <f>IF(A72="","",VLOOKUP(A72,SkillDataTable,3,false))</f>
        <v>0</v>
      </c>
      <c r="H72" s="30">
        <f>IF(A72="","",VLOOKUP(A72,SkillDataTable,5,false))</f>
        <v>0</v>
      </c>
      <c r="I72" s="24"/>
    </row>
    <row r="73">
      <c r="A73" s="325"/>
      <c r="B73" s="100"/>
      <c r="C73" s="100"/>
      <c r="D73" s="326" t="str">
        <f t="shared" si="10"/>
        <v/>
      </c>
      <c r="E73" s="105"/>
      <c r="F73" s="109" t="str">
        <f>IF(A73="","",VLOOKUP(A73,SkillDataTable,4,false))</f>
        <v/>
      </c>
      <c r="G73" s="173" t="str">
        <f>IF(A73="","",VLOOKUP(A73,SkillDataTable,3,false))</f>
        <v/>
      </c>
      <c r="H73" s="30" t="str">
        <f>IF(A73="","",VLOOKUP(A73,SkillDataTable,5,false))</f>
        <v/>
      </c>
      <c r="I73" s="24"/>
    </row>
    <row r="74">
      <c r="A74" s="325"/>
      <c r="B74" s="100"/>
      <c r="C74" s="100"/>
      <c r="D74" s="326" t="str">
        <f t="shared" si="10"/>
        <v/>
      </c>
      <c r="E74" s="105"/>
      <c r="F74" s="109" t="str">
        <f>IF(A74="","",VLOOKUP(A74,SkillDataTable,4,false))</f>
        <v/>
      </c>
      <c r="G74" s="173" t="str">
        <f>IF(A74="","",VLOOKUP(A74,SkillDataTable,3,false))</f>
        <v/>
      </c>
      <c r="H74" s="30" t="str">
        <f>IF(A74="","",VLOOKUP(A74,SkillDataTable,5,false))</f>
        <v/>
      </c>
      <c r="I74" s="328"/>
    </row>
    <row r="75">
      <c r="A75" s="325"/>
      <c r="B75" s="100"/>
      <c r="C75" s="100"/>
      <c r="D75" s="326" t="str">
        <f t="shared" si="10"/>
        <v/>
      </c>
      <c r="E75" s="105"/>
      <c r="F75" s="109" t="str">
        <f>IF(A75="","",VLOOKUP(A75,SkillDataTable,4,false))</f>
        <v/>
      </c>
      <c r="G75" s="173" t="str">
        <f>IF(A75="","",VLOOKUP(A75,SkillDataTable,3,false))</f>
        <v/>
      </c>
      <c r="H75" s="30" t="str">
        <f>IF(A75="","",VLOOKUP(A75,SkillDataTable,5,false))</f>
        <v/>
      </c>
      <c r="I75" s="24"/>
    </row>
    <row r="76">
      <c r="A76" s="325"/>
      <c r="B76" s="100"/>
      <c r="C76" s="100"/>
      <c r="D76" s="326" t="str">
        <f t="shared" si="10"/>
        <v/>
      </c>
      <c r="E76" s="105"/>
      <c r="F76" s="109" t="str">
        <f>IF(A76="","",VLOOKUP(A76,SkillDataTable,4,false))</f>
        <v/>
      </c>
      <c r="G76" s="173" t="str">
        <f>IF(A76="","",VLOOKUP(A76,SkillDataTable,3,false))</f>
        <v/>
      </c>
      <c r="H76" s="30" t="str">
        <f>IF(A76="","",VLOOKUP(A76,SkillDataTable,5,false))</f>
        <v/>
      </c>
      <c r="I76" s="24"/>
    </row>
    <row r="77">
      <c r="A77" s="325"/>
      <c r="B77" s="100"/>
      <c r="C77" s="100"/>
      <c r="D77" s="326" t="str">
        <f t="shared" si="10"/>
        <v/>
      </c>
      <c r="E77" s="105"/>
      <c r="F77" s="109" t="str">
        <f>IF(A77="","",VLOOKUP(A77,SkillDataTable,4,false))</f>
        <v/>
      </c>
      <c r="G77" s="173" t="str">
        <f>IF(A77="","",VLOOKUP(A77,SkillDataTable,3,false))</f>
        <v/>
      </c>
      <c r="H77" s="30" t="str">
        <f>IF(A77="","",VLOOKUP(A77,SkillDataTable,5,false))</f>
        <v/>
      </c>
      <c r="I77" s="328"/>
    </row>
    <row r="78">
      <c r="A78" s="325"/>
      <c r="B78" s="100"/>
      <c r="C78" s="100"/>
      <c r="D78" s="326" t="str">
        <f t="shared" si="10"/>
        <v/>
      </c>
      <c r="E78" s="105"/>
      <c r="F78" s="109" t="str">
        <f>IF(A78="","",VLOOKUP(A78,SkillDataTable,4,false))</f>
        <v/>
      </c>
      <c r="G78" s="173" t="str">
        <f>IF(A78="","",VLOOKUP(A78,SkillDataTable,3,false))</f>
        <v/>
      </c>
      <c r="H78" s="30" t="str">
        <f>IF(A78="","",VLOOKUP(A78,SkillDataTable,5,false))</f>
        <v/>
      </c>
      <c r="I78" s="328"/>
    </row>
    <row r="79">
      <c r="A79" s="325"/>
      <c r="B79" s="100"/>
      <c r="C79" s="100"/>
      <c r="D79" s="326" t="str">
        <f t="shared" si="10"/>
        <v/>
      </c>
      <c r="E79" s="105"/>
      <c r="F79" s="109" t="str">
        <f>IF(A79="","",VLOOKUP(A79,SkillDataTable,4,false))</f>
        <v/>
      </c>
      <c r="G79" s="173" t="str">
        <f>IF(A79="","",VLOOKUP(A79,SkillDataTable,3,false))</f>
        <v/>
      </c>
      <c r="H79" s="30" t="str">
        <f>IF(A79="","",VLOOKUP(A79,SkillDataTable,5,false))</f>
        <v/>
      </c>
      <c r="I79" s="24"/>
    </row>
    <row r="80">
      <c r="A80" s="325"/>
      <c r="B80" s="100"/>
      <c r="C80" s="100"/>
      <c r="D80" s="326" t="str">
        <f t="shared" si="10"/>
        <v/>
      </c>
      <c r="E80" s="105"/>
      <c r="F80" s="109" t="str">
        <f>IF(A80="","",VLOOKUP(A80,SkillDataTable,4,false))</f>
        <v/>
      </c>
      <c r="G80" s="173" t="str">
        <f>IF(A80="","",VLOOKUP(A80,SkillDataTable,3,false))</f>
        <v/>
      </c>
      <c r="H80" s="30" t="str">
        <f>IF(A80="","",VLOOKUP(A80,SkillDataTable,5,false))</f>
        <v/>
      </c>
      <c r="I80" s="24"/>
    </row>
    <row r="81">
      <c r="A81" s="325"/>
      <c r="B81" s="100"/>
      <c r="C81" s="100"/>
      <c r="D81" s="326" t="str">
        <f t="shared" si="10"/>
        <v/>
      </c>
      <c r="E81" s="105"/>
      <c r="F81" s="109" t="str">
        <f>IF(A81="","",VLOOKUP(A81,SkillDataTable,4,false))</f>
        <v/>
      </c>
      <c r="G81" s="173" t="str">
        <f>IF(A81="","",VLOOKUP(A81,SkillDataTable,3,false))</f>
        <v/>
      </c>
      <c r="H81" s="30" t="str">
        <f>IF(A81="","",VLOOKUP(A81,SkillDataTable,5,false))</f>
        <v/>
      </c>
      <c r="I81" s="328"/>
    </row>
    <row r="82">
      <c r="A82" s="325"/>
      <c r="B82" s="100"/>
      <c r="C82" s="100"/>
      <c r="D82" s="326" t="str">
        <f t="shared" si="10"/>
        <v/>
      </c>
      <c r="E82" s="105"/>
      <c r="F82" s="109" t="str">
        <f>IF(A82="","",VLOOKUP(A82,SkillDataTable,4,false))</f>
        <v/>
      </c>
      <c r="G82" s="173" t="str">
        <f>IF(A82="","",VLOOKUP(A82,SkillDataTable,3,false))</f>
        <v/>
      </c>
      <c r="H82" s="30" t="str">
        <f>IF(A82="","",VLOOKUP(A82,SkillDataTable,5,false))</f>
        <v/>
      </c>
      <c r="I82" s="24"/>
    </row>
    <row r="83">
      <c r="A83" s="325"/>
      <c r="B83" s="100"/>
      <c r="C83" s="100"/>
      <c r="D83" s="326" t="str">
        <f t="shared" si="10"/>
        <v/>
      </c>
      <c r="E83" s="105"/>
      <c r="F83" s="109" t="str">
        <f>IF(A83="","",VLOOKUP(A83,SkillDataTable,4,false))</f>
        <v/>
      </c>
      <c r="G83" s="173" t="str">
        <f>IF(A83="","",VLOOKUP(A83,SkillDataTable,3,false))</f>
        <v/>
      </c>
      <c r="H83" s="30" t="str">
        <f>IF(A83="","",VLOOKUP(A83,SkillDataTable,5,false))</f>
        <v/>
      </c>
      <c r="I83" s="328"/>
    </row>
    <row r="84">
      <c r="A84" s="325"/>
      <c r="B84" s="100"/>
      <c r="C84" s="100"/>
      <c r="D84" s="326" t="str">
        <f t="shared" si="10"/>
        <v/>
      </c>
      <c r="E84" s="105"/>
      <c r="F84" s="109" t="str">
        <f>IF(A84="","",VLOOKUP(A84,SkillDataTable,4,false))</f>
        <v/>
      </c>
      <c r="G84" s="173" t="str">
        <f>IF(A84="","",VLOOKUP(A84,SkillDataTable,3,false))</f>
        <v/>
      </c>
      <c r="H84" s="30" t="str">
        <f>IF(A84="","",VLOOKUP(A84,SkillDataTable,5,false))</f>
        <v/>
      </c>
      <c r="I84" s="24"/>
    </row>
    <row r="85">
      <c r="A85" s="325"/>
      <c r="B85" s="100"/>
      <c r="C85" s="100"/>
      <c r="D85" s="326" t="str">
        <f t="shared" si="10"/>
        <v/>
      </c>
      <c r="E85" s="105"/>
      <c r="F85" s="109" t="str">
        <f>IF(A85="","",VLOOKUP(A85,SkillDataTable,4,false))</f>
        <v/>
      </c>
      <c r="G85" s="173" t="str">
        <f>IF(A85="","",VLOOKUP(A85,SkillDataTable,3,false))</f>
        <v/>
      </c>
      <c r="H85" s="30" t="str">
        <f>IF(A85="","",VLOOKUP(A85,SkillDataTable,5,false))</f>
        <v/>
      </c>
      <c r="I85" s="328"/>
    </row>
    <row r="86">
      <c r="A86" s="325"/>
      <c r="B86" s="100"/>
      <c r="C86" s="100"/>
      <c r="D86" s="326" t="str">
        <f t="shared" si="10"/>
        <v/>
      </c>
      <c r="E86" s="105"/>
      <c r="F86" s="109" t="str">
        <f>IF(A86="","",VLOOKUP(A86,SkillDataTable,4,false))</f>
        <v/>
      </c>
      <c r="G86" s="173" t="str">
        <f>IF(A86="","",VLOOKUP(A86,SkillDataTable,3,false))</f>
        <v/>
      </c>
      <c r="H86" s="30" t="str">
        <f>IF(A86="","",VLOOKUP(A86,SkillDataTable,5,false))</f>
        <v/>
      </c>
      <c r="I86" s="24"/>
    </row>
    <row r="87">
      <c r="A87" s="325"/>
      <c r="B87" s="100"/>
      <c r="C87" s="100"/>
      <c r="D87" s="326" t="str">
        <f t="shared" si="10"/>
        <v/>
      </c>
      <c r="E87" s="105"/>
      <c r="F87" s="109" t="str">
        <f>IF(A87="","",VLOOKUP(A87,SkillDataTable,4,false))</f>
        <v/>
      </c>
      <c r="G87" s="173" t="str">
        <f>IF(A87="","",VLOOKUP(A87,SkillDataTable,3,false))</f>
        <v/>
      </c>
      <c r="H87" s="30" t="str">
        <f>IF(A87="","",VLOOKUP(A87,SkillDataTable,5,false))</f>
        <v/>
      </c>
      <c r="I87" s="328"/>
    </row>
    <row r="88">
      <c r="A88" s="325"/>
      <c r="B88" s="100"/>
      <c r="C88" s="100"/>
      <c r="D88" s="326" t="str">
        <f t="shared" si="10"/>
        <v/>
      </c>
      <c r="E88" s="105"/>
      <c r="F88" s="109" t="str">
        <f>IF(A88="","",VLOOKUP(A88,SkillDataTable,4,false))</f>
        <v/>
      </c>
      <c r="G88" s="173" t="str">
        <f>IF(A88="","",VLOOKUP(A88,SkillDataTable,3,false))</f>
        <v/>
      </c>
      <c r="H88" s="30" t="str">
        <f>IF(A88="","",VLOOKUP(A88,SkillDataTable,5,false))</f>
        <v/>
      </c>
      <c r="I88" s="24"/>
    </row>
    <row r="89">
      <c r="A89" s="325"/>
      <c r="B89" s="100"/>
      <c r="C89" s="100"/>
      <c r="D89" s="326" t="str">
        <f t="shared" si="10"/>
        <v/>
      </c>
      <c r="E89" s="105"/>
      <c r="F89" s="109" t="str">
        <f>IF(A89="","",VLOOKUP(A89,SkillDataTable,4,false))</f>
        <v/>
      </c>
      <c r="G89" s="173" t="str">
        <f>IF(A89="","",VLOOKUP(A89,SkillDataTable,3,false))</f>
        <v/>
      </c>
      <c r="H89" s="30" t="str">
        <f>IF(A89="","",VLOOKUP(A89,SkillDataTable,5,false))</f>
        <v/>
      </c>
      <c r="I89" s="328"/>
    </row>
    <row r="90">
      <c r="A90" s="325"/>
      <c r="B90" s="100"/>
      <c r="C90" s="100"/>
      <c r="D90" s="332" t="str">
        <f t="shared" si="10"/>
        <v/>
      </c>
      <c r="E90" s="105"/>
      <c r="F90" s="109" t="str">
        <f>IF(A90="","",VLOOKUP(A90,SkillDataTable,4,false))</f>
        <v/>
      </c>
      <c r="G90" s="173" t="str">
        <f>IF(A90="","",VLOOKUP(A90,SkillDataTable,3,false))</f>
        <v/>
      </c>
      <c r="H90" s="30" t="str">
        <f>IF(A90="","",VLOOKUP(A90,SkillDataTable,5,false))</f>
        <v/>
      </c>
      <c r="I90" s="328"/>
    </row>
    <row r="91">
      <c r="A91" s="325"/>
      <c r="B91" s="100"/>
      <c r="C91" s="100"/>
      <c r="D91" s="125" t="str">
        <f t="shared" si="10"/>
        <v/>
      </c>
      <c r="F91" s="109" t="str">
        <f>IF(A91="","",VLOOKUP(A91,SkillDataTable,4,false))</f>
        <v/>
      </c>
      <c r="G91" s="173" t="str">
        <f>IF(A91="","",VLOOKUP(A91,SkillDataTable,3,false))</f>
        <v/>
      </c>
      <c r="H91" s="173" t="str">
        <f>IF(A91="","",VLOOKUP(A91,SkillDataTable,5,false))</f>
        <v/>
      </c>
      <c r="I91" s="328"/>
    </row>
    <row r="92">
      <c r="A92" s="325"/>
      <c r="B92" s="100"/>
      <c r="C92" s="100"/>
      <c r="D92" s="125" t="str">
        <f t="shared" si="10"/>
        <v/>
      </c>
      <c r="F92" s="109" t="str">
        <f>IF(A92="","",VLOOKUP(A92,SkillDataTable,4,false))</f>
        <v/>
      </c>
      <c r="G92" s="173" t="str">
        <f>IF(A92="","",VLOOKUP(A92,SkillDataTable,3,false))</f>
        <v/>
      </c>
      <c r="H92" s="173" t="str">
        <f>IF(A92="","",VLOOKUP(A92,SkillDataTable,5,false))</f>
        <v/>
      </c>
      <c r="I92" s="328"/>
    </row>
    <row r="93">
      <c r="A93" s="325"/>
      <c r="B93" s="100"/>
      <c r="C93" s="100"/>
      <c r="D93" s="125" t="str">
        <f t="shared" si="10"/>
        <v/>
      </c>
      <c r="F93" s="109" t="str">
        <f>IF(A93="","",VLOOKUP(A93,SkillDataTable,4,false))</f>
        <v/>
      </c>
      <c r="G93" s="173" t="str">
        <f>IF(A93="","",VLOOKUP(A93,SkillDataTable,3,false))</f>
        <v/>
      </c>
      <c r="H93" s="173" t="str">
        <f>IF(A93="","",VLOOKUP(A93,SkillDataTable,5,false))</f>
        <v/>
      </c>
      <c r="I93" s="328"/>
    </row>
    <row r="94">
      <c r="A94" s="325"/>
      <c r="B94" s="100"/>
      <c r="C94" s="100"/>
      <c r="D94" s="125" t="str">
        <f t="shared" si="10"/>
        <v/>
      </c>
      <c r="F94" s="109" t="str">
        <f>IF(A94="","",VLOOKUP(A94,SkillDataTable,4,false))</f>
        <v/>
      </c>
      <c r="G94" s="173" t="str">
        <f>IF(A94="","",VLOOKUP(A94,SkillDataTable,3,false))</f>
        <v/>
      </c>
      <c r="H94" s="173" t="str">
        <f>IF(A94="","",VLOOKUP(A94,SkillDataTable,5,false))</f>
        <v/>
      </c>
      <c r="I94" s="24"/>
    </row>
    <row r="95">
      <c r="A95" s="325"/>
      <c r="B95" s="100"/>
      <c r="C95" s="100"/>
      <c r="D95" s="125" t="str">
        <f t="shared" si="10"/>
        <v/>
      </c>
      <c r="F95" s="109" t="str">
        <f>IF(A95="","",VLOOKUP(A95,SkillDataTable,4,false))</f>
        <v/>
      </c>
      <c r="G95" s="173" t="str">
        <f>IF(A95="","",VLOOKUP(A95,SkillDataTable,3,false))</f>
        <v/>
      </c>
      <c r="H95" s="173" t="str">
        <f>IF(A95="","",VLOOKUP(A95,SkillDataTable,5,false))</f>
        <v/>
      </c>
      <c r="I95" s="24"/>
    </row>
    <row r="96">
      <c r="A96" s="325"/>
      <c r="B96" s="100"/>
      <c r="C96" s="100"/>
      <c r="D96" s="125" t="str">
        <f t="shared" si="10"/>
        <v/>
      </c>
      <c r="F96" s="109" t="str">
        <f>IF(A96="","",VLOOKUP(A96,SkillDataTable,4,false))</f>
        <v/>
      </c>
      <c r="G96" s="173" t="str">
        <f>IF(A96="","",VLOOKUP(A96,SkillDataTable,3,false))</f>
        <v/>
      </c>
      <c r="H96" s="173" t="str">
        <f>IF(A96="","",VLOOKUP(A96,SkillDataTable,5,false))</f>
        <v/>
      </c>
      <c r="I96" s="328"/>
    </row>
    <row r="97">
      <c r="A97" s="325"/>
      <c r="B97" s="100"/>
      <c r="C97" s="100"/>
      <c r="D97" s="125" t="str">
        <f t="shared" si="10"/>
        <v/>
      </c>
      <c r="F97" s="109" t="str">
        <f>IF(A97="","",VLOOKUP(A97,SkillDataTable,4,false))</f>
        <v/>
      </c>
      <c r="G97" s="173" t="str">
        <f>IF(A97="","",VLOOKUP(A97,SkillDataTable,3,false))</f>
        <v/>
      </c>
      <c r="H97" s="173" t="str">
        <f>IF(A97="","",VLOOKUP(A97,SkillDataTable,5,false))</f>
        <v/>
      </c>
      <c r="I97" s="24"/>
    </row>
    <row r="98">
      <c r="A98" s="333"/>
      <c r="B98" s="155"/>
      <c r="C98" s="155"/>
      <c r="D98" s="125" t="str">
        <f t="shared" si="10"/>
        <v/>
      </c>
      <c r="F98" s="109" t="str">
        <f>IF(A98="","",VLOOKUP(A98,SkillDataTable,4,false))</f>
        <v/>
      </c>
      <c r="G98" s="173" t="str">
        <f>IF(A98="","",VLOOKUP(A98,SkillDataTable,3,false))</f>
        <v/>
      </c>
      <c r="H98" s="173" t="str">
        <f>IF(A98="","",VLOOKUP(A98,SkillDataTable,5,false))</f>
        <v/>
      </c>
      <c r="I98" s="24"/>
    </row>
  </sheetData>
  <mergeCells count="244">
    <mergeCell ref="A45:D45"/>
    <mergeCell ref="A48:C48"/>
    <mergeCell ref="A47:C47"/>
    <mergeCell ref="A46:C46"/>
    <mergeCell ref="H41:I41"/>
    <mergeCell ref="H40:I40"/>
    <mergeCell ref="H33:K33"/>
    <mergeCell ref="B40:C40"/>
    <mergeCell ref="B41:C41"/>
    <mergeCell ref="J42:K42"/>
    <mergeCell ref="D41:E41"/>
    <mergeCell ref="D42:E42"/>
    <mergeCell ref="D40:E40"/>
    <mergeCell ref="D43:E43"/>
    <mergeCell ref="A21:B21"/>
    <mergeCell ref="A19:C19"/>
    <mergeCell ref="A20:B20"/>
    <mergeCell ref="A22:B22"/>
    <mergeCell ref="A24:C24"/>
    <mergeCell ref="E22:F22"/>
    <mergeCell ref="A6:C6"/>
    <mergeCell ref="A7:B7"/>
    <mergeCell ref="A15:B15"/>
    <mergeCell ref="A17:B17"/>
    <mergeCell ref="A16:B16"/>
    <mergeCell ref="A9:B9"/>
    <mergeCell ref="A8:B8"/>
    <mergeCell ref="A25:B25"/>
    <mergeCell ref="A27:C27"/>
    <mergeCell ref="A28:B28"/>
    <mergeCell ref="A14:C14"/>
    <mergeCell ref="A11:B11"/>
    <mergeCell ref="A10:B10"/>
    <mergeCell ref="A12:B12"/>
    <mergeCell ref="J6:L6"/>
    <mergeCell ref="N6:P6"/>
    <mergeCell ref="J12:K12"/>
    <mergeCell ref="J8:K8"/>
    <mergeCell ref="J11:K11"/>
    <mergeCell ref="J10:K10"/>
    <mergeCell ref="J9:K9"/>
    <mergeCell ref="R7:S7"/>
    <mergeCell ref="R6:S6"/>
    <mergeCell ref="R12:T12"/>
    <mergeCell ref="K2:L2"/>
    <mergeCell ref="J7:K7"/>
    <mergeCell ref="S2:T2"/>
    <mergeCell ref="S1:T1"/>
    <mergeCell ref="N7:O7"/>
    <mergeCell ref="N8:O8"/>
    <mergeCell ref="R8:S8"/>
    <mergeCell ref="R13:S13"/>
    <mergeCell ref="R15:S15"/>
    <mergeCell ref="R14:S14"/>
    <mergeCell ref="R17:S17"/>
    <mergeCell ref="R16:S16"/>
    <mergeCell ref="J17:L17"/>
    <mergeCell ref="J16:L16"/>
    <mergeCell ref="R10:S10"/>
    <mergeCell ref="N10:O10"/>
    <mergeCell ref="O19:S19"/>
    <mergeCell ref="N22:S22"/>
    <mergeCell ref="O24:S24"/>
    <mergeCell ref="N27:S27"/>
    <mergeCell ref="J13:K13"/>
    <mergeCell ref="Q50:S50"/>
    <mergeCell ref="Q49:S49"/>
    <mergeCell ref="Q51:S51"/>
    <mergeCell ref="Q52:S52"/>
    <mergeCell ref="Q54:S54"/>
    <mergeCell ref="Q53:S53"/>
    <mergeCell ref="Q33:S33"/>
    <mergeCell ref="Q32:S32"/>
    <mergeCell ref="Q31:S31"/>
    <mergeCell ref="Q30:S30"/>
    <mergeCell ref="Q29:S29"/>
    <mergeCell ref="Q58:S58"/>
    <mergeCell ref="Q55:S55"/>
    <mergeCell ref="Q59:S59"/>
    <mergeCell ref="Q60:S60"/>
    <mergeCell ref="Q61:S61"/>
    <mergeCell ref="Q56:S56"/>
    <mergeCell ref="Q57:S57"/>
    <mergeCell ref="N53:P53"/>
    <mergeCell ref="N49:P49"/>
    <mergeCell ref="N50:P50"/>
    <mergeCell ref="N51:P51"/>
    <mergeCell ref="N52:P52"/>
    <mergeCell ref="A80:C80"/>
    <mergeCell ref="A79:C79"/>
    <mergeCell ref="A72:C72"/>
    <mergeCell ref="A73:C73"/>
    <mergeCell ref="A50:C50"/>
    <mergeCell ref="A51:C51"/>
    <mergeCell ref="A49:C49"/>
    <mergeCell ref="A52:C52"/>
    <mergeCell ref="A53:C53"/>
    <mergeCell ref="B1:C1"/>
    <mergeCell ref="B2:C2"/>
    <mergeCell ref="D37:E37"/>
    <mergeCell ref="D34:E34"/>
    <mergeCell ref="B35:C35"/>
    <mergeCell ref="D36:E36"/>
    <mergeCell ref="D35:E35"/>
    <mergeCell ref="B33:E33"/>
    <mergeCell ref="B34:C34"/>
    <mergeCell ref="K52:L52"/>
    <mergeCell ref="K51:L51"/>
    <mergeCell ref="J40:K40"/>
    <mergeCell ref="J41:K41"/>
    <mergeCell ref="J43:K43"/>
    <mergeCell ref="K45:L45"/>
    <mergeCell ref="I14:M14"/>
    <mergeCell ref="K53:L53"/>
    <mergeCell ref="K50:L50"/>
    <mergeCell ref="K49:L49"/>
    <mergeCell ref="A57:C57"/>
    <mergeCell ref="A58:C58"/>
    <mergeCell ref="A59:C59"/>
    <mergeCell ref="A62:C62"/>
    <mergeCell ref="A63:C63"/>
    <mergeCell ref="A65:C65"/>
    <mergeCell ref="A64:C64"/>
    <mergeCell ref="A61:C61"/>
    <mergeCell ref="A60:C60"/>
    <mergeCell ref="N61:P61"/>
    <mergeCell ref="N60:P60"/>
    <mergeCell ref="A69:C69"/>
    <mergeCell ref="K63:L63"/>
    <mergeCell ref="A66:C66"/>
    <mergeCell ref="A93:C93"/>
    <mergeCell ref="A92:C92"/>
    <mergeCell ref="A89:C89"/>
    <mergeCell ref="A91:C91"/>
    <mergeCell ref="A94:C94"/>
    <mergeCell ref="A95:C95"/>
    <mergeCell ref="A97:C97"/>
    <mergeCell ref="A98:C98"/>
    <mergeCell ref="A96:C96"/>
    <mergeCell ref="A90:C90"/>
    <mergeCell ref="A75:C75"/>
    <mergeCell ref="A76:C76"/>
    <mergeCell ref="A86:C86"/>
    <mergeCell ref="A85:C85"/>
    <mergeCell ref="A77:C77"/>
    <mergeCell ref="A78:C78"/>
    <mergeCell ref="K62:L62"/>
    <mergeCell ref="K61:L61"/>
    <mergeCell ref="K56:L56"/>
    <mergeCell ref="K55:L55"/>
    <mergeCell ref="K54:L54"/>
    <mergeCell ref="K60:L60"/>
    <mergeCell ref="K59:L59"/>
    <mergeCell ref="N55:P55"/>
    <mergeCell ref="A55:C55"/>
    <mergeCell ref="A54:C54"/>
    <mergeCell ref="A56:C56"/>
    <mergeCell ref="K58:L58"/>
    <mergeCell ref="K57:L57"/>
    <mergeCell ref="N59:P59"/>
    <mergeCell ref="N58:P58"/>
    <mergeCell ref="N57:P57"/>
    <mergeCell ref="N56:P56"/>
    <mergeCell ref="N54:P54"/>
    <mergeCell ref="Q34:S34"/>
    <mergeCell ref="Q35:S35"/>
    <mergeCell ref="Q36:S36"/>
    <mergeCell ref="Q37:S37"/>
    <mergeCell ref="N34:P34"/>
    <mergeCell ref="N35:P35"/>
    <mergeCell ref="Q38:S38"/>
    <mergeCell ref="Q39:S39"/>
    <mergeCell ref="H39:K39"/>
    <mergeCell ref="H35:I35"/>
    <mergeCell ref="B39:E39"/>
    <mergeCell ref="A30:B30"/>
    <mergeCell ref="A29:B29"/>
    <mergeCell ref="A31:B31"/>
    <mergeCell ref="H34:I34"/>
    <mergeCell ref="N32:P32"/>
    <mergeCell ref="N33:P33"/>
    <mergeCell ref="N37:P37"/>
    <mergeCell ref="N31:P31"/>
    <mergeCell ref="N29:P29"/>
    <mergeCell ref="N30:P30"/>
    <mergeCell ref="N38:P38"/>
    <mergeCell ref="N41:P41"/>
    <mergeCell ref="N36:P36"/>
    <mergeCell ref="Q45:S45"/>
    <mergeCell ref="N44:V44"/>
    <mergeCell ref="Q42:S42"/>
    <mergeCell ref="N42:P42"/>
    <mergeCell ref="T51:V51"/>
    <mergeCell ref="T47:V47"/>
    <mergeCell ref="T45:V45"/>
    <mergeCell ref="T46:V46"/>
    <mergeCell ref="T48:V48"/>
    <mergeCell ref="T50:V50"/>
    <mergeCell ref="T49:V49"/>
    <mergeCell ref="T54:V54"/>
    <mergeCell ref="T53:V53"/>
    <mergeCell ref="T52:V52"/>
    <mergeCell ref="T55:V55"/>
    <mergeCell ref="T57:V57"/>
    <mergeCell ref="T56:V56"/>
    <mergeCell ref="T59:V59"/>
    <mergeCell ref="T58:V58"/>
    <mergeCell ref="T60:V60"/>
    <mergeCell ref="T61:V61"/>
    <mergeCell ref="N39:P39"/>
    <mergeCell ref="N40:P40"/>
    <mergeCell ref="N46:P46"/>
    <mergeCell ref="Q46:S46"/>
    <mergeCell ref="K48:L48"/>
    <mergeCell ref="K47:L47"/>
    <mergeCell ref="Q48:S48"/>
    <mergeCell ref="N48:P48"/>
    <mergeCell ref="Q47:S47"/>
    <mergeCell ref="N47:P47"/>
    <mergeCell ref="Q41:S41"/>
    <mergeCell ref="Q40:S40"/>
    <mergeCell ref="K46:L46"/>
    <mergeCell ref="N45:P45"/>
    <mergeCell ref="A83:C83"/>
    <mergeCell ref="A82:C82"/>
    <mergeCell ref="A68:C68"/>
    <mergeCell ref="A67:C67"/>
    <mergeCell ref="A81:C81"/>
    <mergeCell ref="A87:C87"/>
    <mergeCell ref="A88:C88"/>
    <mergeCell ref="A84:C84"/>
    <mergeCell ref="A74:C74"/>
    <mergeCell ref="L1:M1"/>
    <mergeCell ref="J37:K37"/>
    <mergeCell ref="J35:K35"/>
    <mergeCell ref="J36:K36"/>
    <mergeCell ref="J34:K34"/>
    <mergeCell ref="A71:C71"/>
    <mergeCell ref="A70:C70"/>
    <mergeCell ref="F1:I1"/>
    <mergeCell ref="R9:S9"/>
    <mergeCell ref="M2:N2"/>
    <mergeCell ref="F2:I2"/>
    <mergeCell ref="N9:O9"/>
  </mergeCells>
  <conditionalFormatting sqref="J13">
    <cfRule type="containsText" dxfId="14" priority="1" operator="containsText" text="-">
      <formula>NOT(ISERROR(SEARCH(("-"),(J13))))</formula>
    </cfRule>
  </conditionalFormatting>
  <conditionalFormatting sqref="G21">
    <cfRule type="cellIs" dxfId="15" priority="2" operator="greaterThan">
      <formula>-1</formula>
    </cfRule>
  </conditionalFormatting>
  <conditionalFormatting sqref="G21">
    <cfRule type="cellIs" dxfId="16" priority="3" operator="lessThan">
      <formula>0</formula>
    </cfRule>
  </conditionalFormatting>
  <dataValidations>
    <dataValidation type="decimal" allowBlank="1" showInputMessage="1" prompt="Enter a number between 1 and 1000" sqref="Q1">
      <formula1>1.0</formula1>
      <formula2>1000.0</formula2>
    </dataValidation>
    <dataValidation type="list" allowBlank="1" sqref="A37 G37 A43 G43">
      <formula1>"Melee,Ranged,AOE"</formula1>
    </dataValidation>
    <dataValidation type="list" allowBlank="1" showInputMessage="1" prompt="Click and enter a value from the list of items" sqref="M2">
      <formula1>"Lawful good,Neutral good,Chaotic good,Lawful neutral,Neutral,Chaotic neutral,Lawful evil,Neutral evil,Chaotic evil"</formula1>
    </dataValidation>
    <dataValidation type="list" allowBlank="1" sqref="S21 S26">
      <formula1>"Light,Medium,Heavy,Shields,Metal,Non-Metal"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06666"/>
  </sheetPr>
  <sheetViews>
    <sheetView showGridLines="0" workbookViewId="0"/>
  </sheetViews>
  <sheetFormatPr customHeight="1" defaultColWidth="14.43" defaultRowHeight="15.75"/>
  <cols>
    <col customWidth="1" min="1" max="1" width="37.86"/>
    <col customWidth="1" min="2" max="2" width="14.43"/>
    <col customWidth="1" min="3" max="3" width="9.71"/>
    <col customWidth="1" min="4" max="4" width="6.43"/>
    <col customWidth="1" min="5" max="5" width="13.86"/>
    <col customWidth="1" min="6" max="6" width="6.43"/>
  </cols>
  <sheetData>
    <row r="1">
      <c r="A1" s="2" t="s">
        <v>1</v>
      </c>
      <c r="B1" s="4" t="s">
        <v>2</v>
      </c>
      <c r="C1" s="7">
        <f>SUMPRODUCT(CalcData!A26:D26,Log!B5:E5)</f>
        <v>0</v>
      </c>
      <c r="D1" s="8"/>
      <c r="E1" s="10"/>
      <c r="G1" s="12" t="s">
        <v>4</v>
      </c>
      <c r="I1" s="14" t="s">
        <v>5</v>
      </c>
    </row>
    <row r="2">
      <c r="A2" s="15"/>
      <c r="B2" s="4" t="s">
        <v>7</v>
      </c>
      <c r="C2" s="17">
        <f>SUM(E4:E119)</f>
        <v>0</v>
      </c>
      <c r="D2" s="8"/>
      <c r="E2" s="10"/>
      <c r="G2" s="19">
        <f>INT(G4/3)</f>
        <v>76</v>
      </c>
      <c r="H2" s="29" t="s">
        <v>10</v>
      </c>
      <c r="I2" s="33">
        <f t="shared" ref="I2:I4" si="1">G2-$C$2</f>
        <v>76</v>
      </c>
    </row>
    <row r="3">
      <c r="A3" s="15"/>
      <c r="B3" s="35" t="s">
        <v>15</v>
      </c>
      <c r="C3" s="37">
        <f>Log!XP</f>
        <v>0</v>
      </c>
      <c r="D3" s="8"/>
      <c r="E3" s="10"/>
      <c r="G3" s="19">
        <f>INT(G4*2/3)</f>
        <v>153</v>
      </c>
      <c r="H3" s="29" t="s">
        <v>6</v>
      </c>
      <c r="I3" s="33">
        <f t="shared" si="1"/>
        <v>153</v>
      </c>
    </row>
    <row r="4">
      <c r="A4" s="43" t="s">
        <v>26</v>
      </c>
      <c r="B4" s="45"/>
      <c r="C4" s="45"/>
      <c r="D4" s="45"/>
      <c r="E4" s="48">
        <f>SUM(Log!B5:E5)/50</f>
        <v>0</v>
      </c>
      <c r="G4" s="19">
        <f>IF(StrScore&gt;29,VLOOKUP(MOD(StrScore,10)+20,CapacityTable,2,true)*(INT(StrScore/10)-2)*4,VLOOKUP(StrScore,CapacityTable,2,true))</f>
        <v>230</v>
      </c>
      <c r="H4" s="52" t="s">
        <v>34</v>
      </c>
      <c r="I4" s="33">
        <f t="shared" si="1"/>
        <v>230</v>
      </c>
    </row>
    <row r="5">
      <c r="A5" s="26" t="s">
        <v>49</v>
      </c>
      <c r="B5" s="26" t="s">
        <v>50</v>
      </c>
      <c r="C5" s="54" t="s">
        <v>56</v>
      </c>
      <c r="D5" s="56" t="s">
        <v>62</v>
      </c>
      <c r="E5" s="57" t="s">
        <v>67</v>
      </c>
      <c r="G5" s="58"/>
      <c r="H5" s="58"/>
      <c r="I5" s="60"/>
    </row>
    <row r="6">
      <c r="A6" s="24"/>
      <c r="B6" s="66" t="s">
        <v>74</v>
      </c>
      <c r="C6" s="23"/>
      <c r="D6" s="68"/>
      <c r="E6" s="71">
        <f t="shared" ref="E6:E17" si="2">C6*IF(D6=0,1,D6)*if(0&gt;D6,0,1)</f>
        <v>0</v>
      </c>
      <c r="G6" s="12" t="s">
        <v>92</v>
      </c>
      <c r="I6" s="60"/>
    </row>
    <row r="7">
      <c r="A7" s="24"/>
      <c r="B7" s="66" t="s">
        <v>93</v>
      </c>
      <c r="C7" s="73"/>
      <c r="D7" s="68"/>
      <c r="E7" s="71">
        <f t="shared" si="2"/>
        <v>0</v>
      </c>
      <c r="F7" s="11"/>
      <c r="G7" s="19">
        <f>G4</f>
        <v>230</v>
      </c>
      <c r="H7" s="29" t="s">
        <v>98</v>
      </c>
      <c r="I7" s="33">
        <f t="shared" ref="I7:I9" si="3">G7-$C$2</f>
        <v>230</v>
      </c>
    </row>
    <row r="8">
      <c r="A8" s="76"/>
      <c r="B8" s="66" t="s">
        <v>103</v>
      </c>
      <c r="C8" s="73"/>
      <c r="D8" s="68"/>
      <c r="E8" s="71">
        <f t="shared" si="2"/>
        <v>0</v>
      </c>
      <c r="F8" s="11"/>
      <c r="G8" s="19">
        <f>G4*2</f>
        <v>460</v>
      </c>
      <c r="H8" s="29" t="s">
        <v>109</v>
      </c>
      <c r="I8" s="33">
        <f t="shared" si="3"/>
        <v>460</v>
      </c>
    </row>
    <row r="9">
      <c r="A9" s="24"/>
      <c r="B9" s="66" t="s">
        <v>113</v>
      </c>
      <c r="C9" s="73"/>
      <c r="D9" s="79"/>
      <c r="E9" s="71">
        <f t="shared" si="2"/>
        <v>0</v>
      </c>
      <c r="F9" s="11"/>
      <c r="G9" s="19">
        <f>G4*5</f>
        <v>1150</v>
      </c>
      <c r="H9" s="52" t="s">
        <v>117</v>
      </c>
      <c r="I9" s="33">
        <f t="shared" si="3"/>
        <v>1150</v>
      </c>
    </row>
    <row r="10">
      <c r="A10" s="24"/>
      <c r="B10" s="66" t="s">
        <v>118</v>
      </c>
      <c r="C10" s="81"/>
      <c r="D10" s="79"/>
      <c r="E10" s="71">
        <f t="shared" si="2"/>
        <v>0</v>
      </c>
      <c r="G10" s="83"/>
    </row>
    <row r="11">
      <c r="A11" s="24"/>
      <c r="B11" s="66" t="s">
        <v>119</v>
      </c>
      <c r="C11" s="81"/>
      <c r="D11" s="79"/>
      <c r="E11" s="71">
        <f t="shared" si="2"/>
        <v>0</v>
      </c>
      <c r="G11" s="83"/>
    </row>
    <row r="12">
      <c r="A12" s="85"/>
      <c r="B12" s="66" t="s">
        <v>121</v>
      </c>
      <c r="C12" s="73"/>
      <c r="D12" s="79"/>
      <c r="E12" s="71">
        <f t="shared" si="2"/>
        <v>0</v>
      </c>
      <c r="G12" s="83"/>
    </row>
    <row r="13">
      <c r="A13" s="87"/>
      <c r="B13" s="66" t="s">
        <v>123</v>
      </c>
      <c r="C13" s="81"/>
      <c r="D13" s="79"/>
      <c r="E13" s="71">
        <f t="shared" si="2"/>
        <v>0</v>
      </c>
      <c r="G13" s="83"/>
    </row>
    <row r="14">
      <c r="A14" s="24"/>
      <c r="B14" s="66" t="s">
        <v>124</v>
      </c>
      <c r="C14" s="73"/>
      <c r="D14" s="79"/>
      <c r="E14" s="71">
        <f t="shared" si="2"/>
        <v>0</v>
      </c>
      <c r="G14" s="83"/>
    </row>
    <row r="15">
      <c r="A15" s="89" t="s">
        <v>125</v>
      </c>
      <c r="B15" s="66" t="s">
        <v>128</v>
      </c>
      <c r="C15" s="81"/>
      <c r="D15" s="79"/>
      <c r="E15" s="71">
        <f t="shared" si="2"/>
        <v>0</v>
      </c>
      <c r="G15" s="83"/>
    </row>
    <row r="16">
      <c r="A16" s="24"/>
      <c r="B16" s="66" t="s">
        <v>129</v>
      </c>
      <c r="C16" s="81"/>
      <c r="D16" s="79"/>
      <c r="E16" s="71">
        <f t="shared" si="2"/>
        <v>0</v>
      </c>
      <c r="G16" s="83"/>
    </row>
    <row r="17">
      <c r="A17" s="87"/>
      <c r="B17" s="66" t="s">
        <v>130</v>
      </c>
      <c r="C17" s="81"/>
      <c r="D17" s="79"/>
      <c r="E17" s="71">
        <f t="shared" si="2"/>
        <v>0</v>
      </c>
      <c r="G17" s="83"/>
    </row>
    <row r="18">
      <c r="A18" s="31"/>
      <c r="B18" s="31"/>
      <c r="C18" s="91"/>
      <c r="D18" s="8"/>
      <c r="E18" s="10"/>
      <c r="G18" s="83"/>
    </row>
    <row r="19">
      <c r="A19" s="26" t="s">
        <v>131</v>
      </c>
      <c r="B19" s="93"/>
      <c r="C19" s="95" t="s">
        <v>56</v>
      </c>
      <c r="D19" s="56" t="s">
        <v>62</v>
      </c>
      <c r="E19" s="57" t="s">
        <v>67</v>
      </c>
      <c r="F19" s="5" t="s">
        <v>134</v>
      </c>
      <c r="G19" s="83"/>
    </row>
    <row r="20">
      <c r="A20" s="89" t="s">
        <v>125</v>
      </c>
      <c r="B20" s="97"/>
      <c r="C20" s="99" t="str">
        <f>Character!ArmorWeight</f>
        <v/>
      </c>
      <c r="D20" s="101">
        <v>1.0</v>
      </c>
      <c r="E20" s="71">
        <f>C20*IF(D20=0,1,D20)*if(0&gt;D20,0,1)</f>
        <v>0</v>
      </c>
      <c r="F20" s="5">
        <v>1.0</v>
      </c>
      <c r="G20" s="83"/>
    </row>
    <row r="21">
      <c r="A21" s="23"/>
      <c r="B21" s="50"/>
      <c r="C21" s="104"/>
      <c r="D21" s="68"/>
      <c r="E21" s="71">
        <f t="shared" ref="E21:E28" si="4">C21*IF(D21=0,1,D21)</f>
        <v>0</v>
      </c>
      <c r="F21" s="5">
        <v>2.0</v>
      </c>
      <c r="G21" s="83"/>
    </row>
    <row r="22">
      <c r="A22" s="23"/>
      <c r="B22" s="24"/>
      <c r="C22" s="73"/>
      <c r="D22" s="79"/>
      <c r="E22" s="71">
        <f t="shared" si="4"/>
        <v>0</v>
      </c>
      <c r="F22" s="5">
        <v>3.0</v>
      </c>
      <c r="G22" s="83"/>
    </row>
    <row r="23">
      <c r="A23" s="87"/>
      <c r="B23" s="24"/>
      <c r="C23" s="73"/>
      <c r="D23" s="79"/>
      <c r="E23" s="71">
        <f t="shared" si="4"/>
        <v>0</v>
      </c>
      <c r="F23" s="5">
        <v>4.0</v>
      </c>
      <c r="G23" s="83"/>
    </row>
    <row r="24">
      <c r="A24" s="87"/>
      <c r="B24" s="24"/>
      <c r="C24" s="73"/>
      <c r="D24" s="79"/>
      <c r="E24" s="71">
        <f t="shared" si="4"/>
        <v>0</v>
      </c>
      <c r="F24" s="5">
        <v>5.0</v>
      </c>
      <c r="G24" s="83"/>
    </row>
    <row r="25">
      <c r="A25" s="24"/>
      <c r="B25" s="24"/>
      <c r="C25" s="81"/>
      <c r="D25" s="79"/>
      <c r="E25" s="71">
        <f t="shared" si="4"/>
        <v>0</v>
      </c>
      <c r="F25" s="5">
        <v>6.0</v>
      </c>
      <c r="G25" s="83"/>
    </row>
    <row r="26">
      <c r="A26" s="24"/>
      <c r="B26" s="24"/>
      <c r="C26" s="81"/>
      <c r="D26" s="79"/>
      <c r="E26" s="71">
        <f t="shared" si="4"/>
        <v>0</v>
      </c>
      <c r="F26" s="5">
        <v>7.0</v>
      </c>
      <c r="G26" s="83"/>
    </row>
    <row r="27">
      <c r="A27" s="24"/>
      <c r="B27" s="24"/>
      <c r="C27" s="81"/>
      <c r="D27" s="79"/>
      <c r="E27" s="71">
        <f t="shared" si="4"/>
        <v>0</v>
      </c>
      <c r="F27" s="5">
        <v>8.0</v>
      </c>
      <c r="G27" s="83"/>
    </row>
    <row r="28">
      <c r="A28" s="24"/>
      <c r="B28" s="24"/>
      <c r="C28" s="81"/>
      <c r="D28" s="108"/>
      <c r="E28" s="71">
        <f t="shared" si="4"/>
        <v>0</v>
      </c>
      <c r="F28" s="5">
        <v>9.0</v>
      </c>
      <c r="G28" s="83"/>
    </row>
    <row r="29">
      <c r="A29" s="110" t="s">
        <v>136</v>
      </c>
      <c r="B29" s="111"/>
      <c r="C29" s="113">
        <v>2.0</v>
      </c>
      <c r="D29" s="56">
        <v>-1.0</v>
      </c>
      <c r="E29" s="71">
        <f t="shared" ref="E29:E30" si="5">C29*IF(D29=0,1,D29)*if(0&gt;D29,0,1)</f>
        <v>0</v>
      </c>
      <c r="F29" s="5">
        <v>10.0</v>
      </c>
      <c r="G29" s="83"/>
    </row>
    <row r="30">
      <c r="A30" s="23"/>
      <c r="B30" s="24"/>
      <c r="C30" s="81"/>
      <c r="D30" s="79"/>
      <c r="E30" s="71">
        <f t="shared" si="5"/>
        <v>0</v>
      </c>
      <c r="F30" s="5">
        <v>11.0</v>
      </c>
      <c r="G30" s="83"/>
    </row>
    <row r="31">
      <c r="A31" s="23"/>
      <c r="B31" s="24"/>
      <c r="C31" s="81"/>
      <c r="D31" s="79"/>
      <c r="E31" s="71">
        <f t="shared" ref="E31:E34" si="6">C31*IF(D31=0,1,D31)</f>
        <v>0</v>
      </c>
      <c r="F31" s="5">
        <v>12.0</v>
      </c>
      <c r="G31" s="83"/>
    </row>
    <row r="32">
      <c r="A32" s="23"/>
      <c r="B32" s="24"/>
      <c r="C32" s="81"/>
      <c r="D32" s="79"/>
      <c r="E32" s="71">
        <f t="shared" si="6"/>
        <v>0</v>
      </c>
      <c r="F32" s="5">
        <v>13.0</v>
      </c>
      <c r="G32" s="83"/>
    </row>
    <row r="33">
      <c r="A33" s="24"/>
      <c r="B33" s="24"/>
      <c r="C33" s="81"/>
      <c r="D33" s="79"/>
      <c r="E33" s="71">
        <f t="shared" si="6"/>
        <v>0</v>
      </c>
      <c r="F33" s="5">
        <v>14.0</v>
      </c>
      <c r="G33" s="83"/>
    </row>
    <row r="34">
      <c r="A34" s="24"/>
      <c r="B34" s="24"/>
      <c r="C34" s="81"/>
      <c r="D34" s="108"/>
      <c r="E34" s="71">
        <f t="shared" si="6"/>
        <v>0</v>
      </c>
      <c r="F34" s="5">
        <v>15.0</v>
      </c>
      <c r="G34" s="83"/>
    </row>
    <row r="35">
      <c r="A35" s="110" t="s">
        <v>144</v>
      </c>
      <c r="B35" s="111"/>
      <c r="C35" s="113">
        <v>5.0</v>
      </c>
      <c r="D35" s="56">
        <v>-1.0</v>
      </c>
      <c r="E35" s="71">
        <f t="shared" ref="E35:E36" si="7">C35*IF(D35=0,1,D35)*if(0&gt;D35,0,1)</f>
        <v>0</v>
      </c>
      <c r="F35" s="5">
        <v>16.0</v>
      </c>
      <c r="G35" s="83"/>
    </row>
    <row r="36">
      <c r="A36" s="87"/>
      <c r="B36" s="24"/>
      <c r="C36" s="81"/>
      <c r="D36" s="79"/>
      <c r="E36" s="71">
        <f t="shared" si="7"/>
        <v>0</v>
      </c>
      <c r="F36" s="5">
        <v>17.0</v>
      </c>
      <c r="G36" s="83"/>
    </row>
    <row r="37">
      <c r="A37" s="87"/>
      <c r="B37" s="24"/>
      <c r="C37" s="81"/>
      <c r="D37" s="79"/>
      <c r="E37" s="71">
        <f t="shared" ref="E37:E119" si="8">C37*IF(D37=0,1,D37)</f>
        <v>0</v>
      </c>
      <c r="F37" s="5">
        <v>18.0</v>
      </c>
      <c r="G37" s="83"/>
    </row>
    <row r="38">
      <c r="A38" s="87"/>
      <c r="B38" s="24"/>
      <c r="C38" s="81"/>
      <c r="D38" s="79"/>
      <c r="E38" s="71">
        <f t="shared" si="8"/>
        <v>0</v>
      </c>
      <c r="F38" s="5">
        <v>19.0</v>
      </c>
      <c r="G38" s="83"/>
    </row>
    <row r="39">
      <c r="A39" s="87"/>
      <c r="B39" s="24"/>
      <c r="C39" s="81"/>
      <c r="D39" s="79"/>
      <c r="E39" s="71">
        <f t="shared" si="8"/>
        <v>0</v>
      </c>
      <c r="F39" s="5">
        <v>20.0</v>
      </c>
      <c r="G39" s="83"/>
    </row>
    <row r="40">
      <c r="A40" s="87"/>
      <c r="B40" s="24"/>
      <c r="C40" s="81"/>
      <c r="D40" s="79"/>
      <c r="E40" s="71">
        <f t="shared" si="8"/>
        <v>0</v>
      </c>
      <c r="F40" s="5">
        <v>21.0</v>
      </c>
      <c r="G40" s="83"/>
    </row>
    <row r="41">
      <c r="A41" s="87"/>
      <c r="B41" s="24"/>
      <c r="C41" s="81"/>
      <c r="D41" s="79"/>
      <c r="E41" s="71">
        <f t="shared" si="8"/>
        <v>0</v>
      </c>
      <c r="F41" s="5">
        <v>22.0</v>
      </c>
      <c r="G41" s="83"/>
    </row>
    <row r="42">
      <c r="A42" s="87"/>
      <c r="B42" s="24"/>
      <c r="C42" s="81"/>
      <c r="D42" s="79"/>
      <c r="E42" s="71">
        <f t="shared" si="8"/>
        <v>0</v>
      </c>
      <c r="F42" s="5">
        <v>23.0</v>
      </c>
      <c r="G42" s="83"/>
    </row>
    <row r="43">
      <c r="A43" s="87"/>
      <c r="B43" s="24"/>
      <c r="C43" s="81"/>
      <c r="D43" s="79"/>
      <c r="E43" s="71">
        <f t="shared" si="8"/>
        <v>0</v>
      </c>
      <c r="F43" s="5">
        <v>24.0</v>
      </c>
      <c r="G43" s="83"/>
    </row>
    <row r="44">
      <c r="A44" s="87"/>
      <c r="B44" s="24"/>
      <c r="C44" s="81"/>
      <c r="D44" s="79"/>
      <c r="E44" s="71">
        <f t="shared" si="8"/>
        <v>0</v>
      </c>
      <c r="F44" s="5">
        <v>25.0</v>
      </c>
      <c r="G44" s="83"/>
    </row>
    <row r="45">
      <c r="A45" s="87"/>
      <c r="B45" s="24"/>
      <c r="C45" s="81"/>
      <c r="D45" s="79"/>
      <c r="E45" s="71">
        <f t="shared" si="8"/>
        <v>0</v>
      </c>
      <c r="F45" s="5">
        <v>26.0</v>
      </c>
      <c r="G45" s="83"/>
    </row>
    <row r="46">
      <c r="A46" s="23"/>
      <c r="B46" s="24"/>
      <c r="C46" s="81"/>
      <c r="D46" s="79"/>
      <c r="E46" s="71">
        <f t="shared" si="8"/>
        <v>0</v>
      </c>
      <c r="F46" s="5">
        <v>27.0</v>
      </c>
      <c r="G46" s="83"/>
    </row>
    <row r="47">
      <c r="A47" s="23"/>
      <c r="B47" s="24"/>
      <c r="C47" s="81"/>
      <c r="D47" s="79"/>
      <c r="E47" s="71">
        <f t="shared" si="8"/>
        <v>0</v>
      </c>
      <c r="F47" s="5">
        <v>28.0</v>
      </c>
      <c r="G47" s="83"/>
    </row>
    <row r="48">
      <c r="A48" s="23"/>
      <c r="B48" s="24"/>
      <c r="C48" s="81"/>
      <c r="D48" s="79"/>
      <c r="E48" s="71">
        <f t="shared" si="8"/>
        <v>0</v>
      </c>
      <c r="F48" s="5">
        <v>29.0</v>
      </c>
      <c r="G48" s="83"/>
    </row>
    <row r="49">
      <c r="A49" s="87"/>
      <c r="B49" s="24"/>
      <c r="C49" s="81"/>
      <c r="D49" s="79"/>
      <c r="E49" s="71">
        <f t="shared" si="8"/>
        <v>0</v>
      </c>
      <c r="F49" s="5">
        <v>30.0</v>
      </c>
      <c r="G49" s="83"/>
    </row>
    <row r="50">
      <c r="A50" s="87"/>
      <c r="B50" s="24"/>
      <c r="C50" s="81"/>
      <c r="D50" s="79"/>
      <c r="E50" s="71">
        <f t="shared" si="8"/>
        <v>0</v>
      </c>
      <c r="F50" s="5">
        <v>31.0</v>
      </c>
      <c r="G50" s="83"/>
    </row>
    <row r="51">
      <c r="A51" s="24"/>
      <c r="B51" s="24"/>
      <c r="C51" s="81"/>
      <c r="D51" s="79"/>
      <c r="E51" s="71">
        <f t="shared" si="8"/>
        <v>0</v>
      </c>
      <c r="F51" s="5">
        <v>32.0</v>
      </c>
      <c r="G51" s="83"/>
    </row>
    <row r="52">
      <c r="A52" s="24"/>
      <c r="B52" s="24"/>
      <c r="C52" s="81"/>
      <c r="D52" s="79"/>
      <c r="E52" s="71">
        <f t="shared" si="8"/>
        <v>0</v>
      </c>
      <c r="F52" s="5">
        <v>33.0</v>
      </c>
      <c r="G52" s="83"/>
    </row>
    <row r="53">
      <c r="A53" s="24"/>
      <c r="B53" s="24"/>
      <c r="C53" s="81"/>
      <c r="D53" s="79"/>
      <c r="E53" s="71">
        <f t="shared" si="8"/>
        <v>0</v>
      </c>
      <c r="F53" s="5">
        <v>34.0</v>
      </c>
      <c r="G53" s="83"/>
    </row>
    <row r="54">
      <c r="A54" s="24"/>
      <c r="B54" s="24"/>
      <c r="C54" s="81"/>
      <c r="D54" s="79"/>
      <c r="E54" s="71">
        <f t="shared" si="8"/>
        <v>0</v>
      </c>
      <c r="F54" s="5">
        <v>35.0</v>
      </c>
      <c r="G54" s="83"/>
    </row>
    <row r="55">
      <c r="A55" s="24"/>
      <c r="B55" s="24"/>
      <c r="C55" s="81"/>
      <c r="D55" s="79"/>
      <c r="E55" s="71">
        <f t="shared" si="8"/>
        <v>0</v>
      </c>
      <c r="F55" s="5">
        <v>36.0</v>
      </c>
      <c r="G55" s="83"/>
    </row>
    <row r="56">
      <c r="A56" s="24"/>
      <c r="B56" s="24"/>
      <c r="C56" s="81"/>
      <c r="D56" s="79"/>
      <c r="E56" s="71">
        <f t="shared" si="8"/>
        <v>0</v>
      </c>
      <c r="F56" s="5">
        <v>37.0</v>
      </c>
      <c r="G56" s="83"/>
    </row>
    <row r="57">
      <c r="A57" s="24"/>
      <c r="B57" s="24"/>
      <c r="C57" s="81"/>
      <c r="D57" s="79"/>
      <c r="E57" s="71">
        <f t="shared" si="8"/>
        <v>0</v>
      </c>
      <c r="F57" s="5">
        <v>38.0</v>
      </c>
      <c r="G57" s="83"/>
    </row>
    <row r="58">
      <c r="A58" s="24"/>
      <c r="B58" s="24"/>
      <c r="C58" s="81"/>
      <c r="D58" s="79"/>
      <c r="E58" s="71">
        <f t="shared" si="8"/>
        <v>0</v>
      </c>
      <c r="F58" s="5">
        <v>39.0</v>
      </c>
      <c r="G58" s="83"/>
    </row>
    <row r="59">
      <c r="A59" s="24"/>
      <c r="B59" s="24"/>
      <c r="C59" s="81"/>
      <c r="D59" s="79"/>
      <c r="E59" s="71">
        <f t="shared" si="8"/>
        <v>0</v>
      </c>
      <c r="F59" s="5">
        <v>40.0</v>
      </c>
      <c r="G59" s="83"/>
    </row>
    <row r="60">
      <c r="A60" s="24"/>
      <c r="B60" s="24"/>
      <c r="C60" s="81"/>
      <c r="D60" s="79"/>
      <c r="E60" s="71">
        <f t="shared" si="8"/>
        <v>0</v>
      </c>
      <c r="F60" s="5">
        <v>41.0</v>
      </c>
      <c r="G60" s="83"/>
    </row>
    <row r="61">
      <c r="A61" s="24"/>
      <c r="B61" s="24"/>
      <c r="C61" s="81"/>
      <c r="D61" s="79"/>
      <c r="E61" s="71">
        <f t="shared" si="8"/>
        <v>0</v>
      </c>
      <c r="F61" s="5">
        <v>42.0</v>
      </c>
      <c r="G61" s="83"/>
    </row>
    <row r="62">
      <c r="A62" s="24"/>
      <c r="B62" s="24"/>
      <c r="C62" s="81"/>
      <c r="D62" s="79"/>
      <c r="E62" s="71">
        <f t="shared" si="8"/>
        <v>0</v>
      </c>
      <c r="F62" s="5">
        <v>43.0</v>
      </c>
      <c r="G62" s="83"/>
    </row>
    <row r="63">
      <c r="A63" s="24"/>
      <c r="B63" s="24"/>
      <c r="C63" s="81"/>
      <c r="D63" s="79"/>
      <c r="E63" s="71">
        <f t="shared" si="8"/>
        <v>0</v>
      </c>
      <c r="F63" s="5">
        <v>44.0</v>
      </c>
      <c r="G63" s="83"/>
    </row>
    <row r="64">
      <c r="A64" s="24"/>
      <c r="B64" s="24"/>
      <c r="C64" s="81"/>
      <c r="D64" s="79"/>
      <c r="E64" s="71">
        <f t="shared" si="8"/>
        <v>0</v>
      </c>
      <c r="F64" s="5">
        <v>45.0</v>
      </c>
      <c r="G64" s="83"/>
    </row>
    <row r="65">
      <c r="A65" s="24"/>
      <c r="B65" s="24"/>
      <c r="C65" s="81"/>
      <c r="D65" s="79"/>
      <c r="E65" s="71">
        <f t="shared" si="8"/>
        <v>0</v>
      </c>
      <c r="F65" s="5">
        <v>46.0</v>
      </c>
      <c r="G65" s="83"/>
    </row>
    <row r="66">
      <c r="A66" s="24"/>
      <c r="B66" s="24"/>
      <c r="C66" s="81"/>
      <c r="D66" s="79"/>
      <c r="E66" s="71">
        <f t="shared" si="8"/>
        <v>0</v>
      </c>
      <c r="F66" s="5">
        <v>47.0</v>
      </c>
      <c r="G66" s="83"/>
    </row>
    <row r="67">
      <c r="A67" s="24"/>
      <c r="B67" s="24"/>
      <c r="C67" s="81"/>
      <c r="D67" s="79"/>
      <c r="E67" s="71">
        <f t="shared" si="8"/>
        <v>0</v>
      </c>
      <c r="F67" s="5">
        <v>48.0</v>
      </c>
      <c r="G67" s="83"/>
    </row>
    <row r="68">
      <c r="A68" s="24"/>
      <c r="B68" s="24"/>
      <c r="C68" s="81"/>
      <c r="D68" s="79"/>
      <c r="E68" s="71">
        <f t="shared" si="8"/>
        <v>0</v>
      </c>
      <c r="F68" s="5">
        <v>49.0</v>
      </c>
      <c r="G68" s="83"/>
    </row>
    <row r="69">
      <c r="A69" s="24"/>
      <c r="B69" s="24"/>
      <c r="C69" s="81"/>
      <c r="D69" s="79"/>
      <c r="E69" s="71">
        <f t="shared" si="8"/>
        <v>0</v>
      </c>
      <c r="F69" s="5">
        <v>50.0</v>
      </c>
      <c r="G69" s="83"/>
    </row>
    <row r="70">
      <c r="A70" s="24"/>
      <c r="B70" s="24"/>
      <c r="C70" s="81"/>
      <c r="D70" s="79"/>
      <c r="E70" s="71">
        <f t="shared" si="8"/>
        <v>0</v>
      </c>
      <c r="F70" s="5">
        <v>51.0</v>
      </c>
      <c r="G70" s="83"/>
    </row>
    <row r="71">
      <c r="A71" s="24"/>
      <c r="B71" s="24"/>
      <c r="C71" s="81"/>
      <c r="D71" s="79"/>
      <c r="E71" s="71">
        <f t="shared" si="8"/>
        <v>0</v>
      </c>
      <c r="F71" s="5">
        <v>52.0</v>
      </c>
      <c r="G71" s="83"/>
    </row>
    <row r="72">
      <c r="A72" s="24"/>
      <c r="B72" s="24"/>
      <c r="C72" s="81"/>
      <c r="D72" s="79"/>
      <c r="E72" s="71">
        <f t="shared" si="8"/>
        <v>0</v>
      </c>
      <c r="F72" s="5">
        <v>53.0</v>
      </c>
      <c r="G72" s="83"/>
    </row>
    <row r="73">
      <c r="A73" s="24"/>
      <c r="B73" s="24"/>
      <c r="C73" s="81"/>
      <c r="D73" s="79"/>
      <c r="E73" s="71">
        <f t="shared" si="8"/>
        <v>0</v>
      </c>
      <c r="F73" s="5">
        <v>54.0</v>
      </c>
      <c r="G73" s="83"/>
    </row>
    <row r="74">
      <c r="A74" s="24"/>
      <c r="B74" s="24"/>
      <c r="C74" s="81"/>
      <c r="D74" s="79"/>
      <c r="E74" s="71">
        <f t="shared" si="8"/>
        <v>0</v>
      </c>
      <c r="F74" s="5">
        <v>55.0</v>
      </c>
      <c r="G74" s="83"/>
    </row>
    <row r="75">
      <c r="A75" s="24"/>
      <c r="B75" s="24"/>
      <c r="C75" s="81"/>
      <c r="D75" s="79"/>
      <c r="E75" s="71">
        <f t="shared" si="8"/>
        <v>0</v>
      </c>
      <c r="F75" s="5">
        <v>56.0</v>
      </c>
      <c r="G75" s="83"/>
    </row>
    <row r="76">
      <c r="A76" s="24"/>
      <c r="B76" s="24"/>
      <c r="C76" s="81"/>
      <c r="D76" s="79"/>
      <c r="E76" s="71">
        <f t="shared" si="8"/>
        <v>0</v>
      </c>
      <c r="F76" s="5">
        <v>57.0</v>
      </c>
      <c r="G76" s="83"/>
    </row>
    <row r="77">
      <c r="A77" s="24"/>
      <c r="B77" s="24"/>
      <c r="C77" s="81"/>
      <c r="D77" s="79"/>
      <c r="E77" s="71">
        <f t="shared" si="8"/>
        <v>0</v>
      </c>
      <c r="F77" s="5">
        <v>58.0</v>
      </c>
      <c r="G77" s="83"/>
    </row>
    <row r="78">
      <c r="A78" s="24"/>
      <c r="B78" s="24"/>
      <c r="C78" s="81"/>
      <c r="D78" s="79"/>
      <c r="E78" s="71">
        <f t="shared" si="8"/>
        <v>0</v>
      </c>
      <c r="F78" s="5">
        <v>59.0</v>
      </c>
      <c r="G78" s="83"/>
    </row>
    <row r="79">
      <c r="A79" s="24"/>
      <c r="B79" s="24"/>
      <c r="C79" s="81"/>
      <c r="D79" s="79"/>
      <c r="E79" s="71">
        <f t="shared" si="8"/>
        <v>0</v>
      </c>
      <c r="F79" s="5">
        <v>60.0</v>
      </c>
      <c r="G79" s="83"/>
    </row>
    <row r="80">
      <c r="A80" s="24"/>
      <c r="B80" s="24"/>
      <c r="C80" s="81"/>
      <c r="D80" s="79"/>
      <c r="E80" s="71">
        <f t="shared" si="8"/>
        <v>0</v>
      </c>
      <c r="F80" s="5">
        <v>61.0</v>
      </c>
      <c r="G80" s="83"/>
    </row>
    <row r="81">
      <c r="A81" s="24"/>
      <c r="B81" s="24"/>
      <c r="C81" s="81"/>
      <c r="D81" s="79"/>
      <c r="E81" s="71">
        <f t="shared" si="8"/>
        <v>0</v>
      </c>
      <c r="F81" s="5">
        <v>62.0</v>
      </c>
      <c r="G81" s="83"/>
    </row>
    <row r="82">
      <c r="A82" s="24"/>
      <c r="B82" s="24"/>
      <c r="C82" s="81"/>
      <c r="D82" s="79"/>
      <c r="E82" s="71">
        <f t="shared" si="8"/>
        <v>0</v>
      </c>
      <c r="F82" s="5">
        <v>63.0</v>
      </c>
      <c r="G82" s="83"/>
    </row>
    <row r="83">
      <c r="A83" s="24"/>
      <c r="B83" s="24"/>
      <c r="C83" s="81"/>
      <c r="D83" s="79"/>
      <c r="E83" s="71">
        <f t="shared" si="8"/>
        <v>0</v>
      </c>
      <c r="F83" s="5">
        <v>64.0</v>
      </c>
      <c r="G83" s="83"/>
    </row>
    <row r="84">
      <c r="A84" s="24"/>
      <c r="B84" s="24"/>
      <c r="C84" s="81"/>
      <c r="D84" s="79"/>
      <c r="E84" s="71">
        <f t="shared" si="8"/>
        <v>0</v>
      </c>
      <c r="F84" s="5">
        <v>65.0</v>
      </c>
      <c r="G84" s="83"/>
    </row>
    <row r="85">
      <c r="A85" s="24"/>
      <c r="B85" s="24"/>
      <c r="C85" s="81"/>
      <c r="D85" s="79"/>
      <c r="E85" s="71">
        <f t="shared" si="8"/>
        <v>0</v>
      </c>
      <c r="F85" s="5">
        <v>66.0</v>
      </c>
      <c r="G85" s="83"/>
    </row>
    <row r="86">
      <c r="A86" s="24"/>
      <c r="B86" s="24"/>
      <c r="C86" s="81"/>
      <c r="D86" s="79"/>
      <c r="E86" s="71">
        <f t="shared" si="8"/>
        <v>0</v>
      </c>
      <c r="F86" s="5">
        <v>67.0</v>
      </c>
      <c r="G86" s="83"/>
    </row>
    <row r="87">
      <c r="A87" s="24"/>
      <c r="B87" s="24"/>
      <c r="C87" s="81"/>
      <c r="D87" s="79"/>
      <c r="E87" s="71">
        <f t="shared" si="8"/>
        <v>0</v>
      </c>
      <c r="F87" s="5">
        <v>68.0</v>
      </c>
      <c r="G87" s="83"/>
    </row>
    <row r="88">
      <c r="A88" s="24"/>
      <c r="B88" s="24"/>
      <c r="C88" s="81"/>
      <c r="D88" s="79"/>
      <c r="E88" s="71">
        <f t="shared" si="8"/>
        <v>0</v>
      </c>
      <c r="F88" s="5">
        <v>69.0</v>
      </c>
      <c r="G88" s="83"/>
    </row>
    <row r="89">
      <c r="A89" s="24"/>
      <c r="B89" s="24"/>
      <c r="C89" s="81"/>
      <c r="D89" s="79"/>
      <c r="E89" s="71">
        <f t="shared" si="8"/>
        <v>0</v>
      </c>
      <c r="F89" s="5">
        <v>70.0</v>
      </c>
      <c r="G89" s="83"/>
    </row>
    <row r="90">
      <c r="A90" s="24"/>
      <c r="B90" s="24"/>
      <c r="C90" s="81"/>
      <c r="D90" s="79"/>
      <c r="E90" s="71">
        <f t="shared" si="8"/>
        <v>0</v>
      </c>
      <c r="F90" s="5">
        <v>71.0</v>
      </c>
      <c r="G90" s="83"/>
    </row>
    <row r="91">
      <c r="A91" s="24"/>
      <c r="B91" s="24"/>
      <c r="C91" s="81"/>
      <c r="D91" s="79"/>
      <c r="E91" s="71">
        <f t="shared" si="8"/>
        <v>0</v>
      </c>
      <c r="F91" s="5">
        <v>72.0</v>
      </c>
      <c r="G91" s="83"/>
    </row>
    <row r="92">
      <c r="A92" s="24"/>
      <c r="B92" s="24"/>
      <c r="C92" s="81"/>
      <c r="D92" s="79"/>
      <c r="E92" s="71">
        <f t="shared" si="8"/>
        <v>0</v>
      </c>
      <c r="F92" s="5">
        <v>73.0</v>
      </c>
      <c r="G92" s="83"/>
    </row>
    <row r="93">
      <c r="A93" s="24"/>
      <c r="B93" s="24"/>
      <c r="C93" s="81"/>
      <c r="D93" s="79"/>
      <c r="E93" s="71">
        <f t="shared" si="8"/>
        <v>0</v>
      </c>
      <c r="F93" s="5">
        <v>74.0</v>
      </c>
      <c r="G93" s="83"/>
    </row>
    <row r="94">
      <c r="A94" s="24"/>
      <c r="B94" s="24"/>
      <c r="C94" s="81"/>
      <c r="D94" s="79"/>
      <c r="E94" s="71">
        <f t="shared" si="8"/>
        <v>0</v>
      </c>
      <c r="F94" s="5">
        <v>75.0</v>
      </c>
      <c r="G94" s="83"/>
    </row>
    <row r="95">
      <c r="A95" s="24"/>
      <c r="B95" s="24"/>
      <c r="C95" s="81"/>
      <c r="D95" s="79"/>
      <c r="E95" s="71">
        <f t="shared" si="8"/>
        <v>0</v>
      </c>
      <c r="F95" s="5">
        <v>76.0</v>
      </c>
      <c r="G95" s="83"/>
    </row>
    <row r="96">
      <c r="A96" s="24"/>
      <c r="B96" s="24"/>
      <c r="C96" s="81"/>
      <c r="D96" s="79"/>
      <c r="E96" s="71">
        <f t="shared" si="8"/>
        <v>0</v>
      </c>
      <c r="F96" s="5">
        <v>77.0</v>
      </c>
      <c r="G96" s="83"/>
    </row>
    <row r="97">
      <c r="A97" s="24"/>
      <c r="B97" s="24"/>
      <c r="C97" s="81"/>
      <c r="D97" s="79"/>
      <c r="E97" s="71">
        <f t="shared" si="8"/>
        <v>0</v>
      </c>
      <c r="F97" s="5">
        <v>78.0</v>
      </c>
      <c r="G97" s="83"/>
    </row>
    <row r="98">
      <c r="A98" s="24"/>
      <c r="B98" s="24"/>
      <c r="C98" s="81"/>
      <c r="D98" s="79"/>
      <c r="E98" s="71">
        <f t="shared" si="8"/>
        <v>0</v>
      </c>
      <c r="F98" s="5">
        <v>79.0</v>
      </c>
      <c r="G98" s="83"/>
    </row>
    <row r="99">
      <c r="A99" s="24"/>
      <c r="B99" s="24"/>
      <c r="C99" s="81"/>
      <c r="D99" s="79"/>
      <c r="E99" s="71">
        <f t="shared" si="8"/>
        <v>0</v>
      </c>
      <c r="F99" s="5">
        <v>80.0</v>
      </c>
      <c r="G99" s="83"/>
    </row>
    <row r="100">
      <c r="A100" s="24"/>
      <c r="B100" s="24"/>
      <c r="C100" s="81"/>
      <c r="D100" s="79"/>
      <c r="E100" s="71">
        <f t="shared" si="8"/>
        <v>0</v>
      </c>
      <c r="F100" s="5">
        <v>81.0</v>
      </c>
      <c r="G100" s="83"/>
    </row>
    <row r="101">
      <c r="A101" s="24"/>
      <c r="B101" s="24"/>
      <c r="C101" s="81"/>
      <c r="D101" s="79"/>
      <c r="E101" s="71">
        <f t="shared" si="8"/>
        <v>0</v>
      </c>
      <c r="F101" s="5">
        <v>82.0</v>
      </c>
      <c r="G101" s="83"/>
    </row>
    <row r="102">
      <c r="A102" s="24"/>
      <c r="B102" s="24"/>
      <c r="C102" s="81"/>
      <c r="D102" s="79"/>
      <c r="E102" s="71">
        <f t="shared" si="8"/>
        <v>0</v>
      </c>
      <c r="F102" s="5">
        <v>83.0</v>
      </c>
      <c r="G102" s="83"/>
    </row>
    <row r="103">
      <c r="A103" s="24"/>
      <c r="B103" s="24"/>
      <c r="C103" s="81"/>
      <c r="D103" s="79"/>
      <c r="E103" s="71">
        <f t="shared" si="8"/>
        <v>0</v>
      </c>
      <c r="F103" s="5">
        <v>84.0</v>
      </c>
      <c r="G103" s="83"/>
    </row>
    <row r="104">
      <c r="A104" s="24"/>
      <c r="B104" s="24"/>
      <c r="C104" s="81"/>
      <c r="D104" s="79"/>
      <c r="E104" s="71">
        <f t="shared" si="8"/>
        <v>0</v>
      </c>
      <c r="F104" s="5">
        <v>85.0</v>
      </c>
      <c r="G104" s="83"/>
    </row>
    <row r="105">
      <c r="A105" s="24"/>
      <c r="B105" s="24"/>
      <c r="C105" s="81"/>
      <c r="D105" s="79"/>
      <c r="E105" s="71">
        <f t="shared" si="8"/>
        <v>0</v>
      </c>
      <c r="F105" s="5">
        <v>86.0</v>
      </c>
      <c r="G105" s="83"/>
    </row>
    <row r="106">
      <c r="A106" s="24"/>
      <c r="B106" s="24"/>
      <c r="C106" s="81"/>
      <c r="D106" s="79"/>
      <c r="E106" s="71">
        <f t="shared" si="8"/>
        <v>0</v>
      </c>
      <c r="F106" s="5">
        <v>87.0</v>
      </c>
      <c r="G106" s="83"/>
    </row>
    <row r="107">
      <c r="A107" s="24"/>
      <c r="B107" s="24"/>
      <c r="C107" s="81"/>
      <c r="D107" s="79"/>
      <c r="E107" s="71">
        <f t="shared" si="8"/>
        <v>0</v>
      </c>
      <c r="F107" s="5">
        <v>88.0</v>
      </c>
      <c r="G107" s="83"/>
    </row>
    <row r="108">
      <c r="A108" s="24"/>
      <c r="B108" s="24"/>
      <c r="C108" s="81"/>
      <c r="D108" s="79"/>
      <c r="E108" s="71">
        <f t="shared" si="8"/>
        <v>0</v>
      </c>
      <c r="F108" s="5">
        <v>89.0</v>
      </c>
      <c r="G108" s="83"/>
    </row>
    <row r="109">
      <c r="A109" s="24"/>
      <c r="B109" s="24"/>
      <c r="C109" s="81"/>
      <c r="D109" s="79"/>
      <c r="E109" s="71">
        <f t="shared" si="8"/>
        <v>0</v>
      </c>
      <c r="F109" s="5">
        <v>90.0</v>
      </c>
      <c r="G109" s="83"/>
    </row>
    <row r="110">
      <c r="A110" s="24"/>
      <c r="B110" s="24"/>
      <c r="C110" s="81"/>
      <c r="D110" s="79"/>
      <c r="E110" s="71">
        <f t="shared" si="8"/>
        <v>0</v>
      </c>
      <c r="F110" s="5">
        <v>91.0</v>
      </c>
      <c r="G110" s="83"/>
    </row>
    <row r="111">
      <c r="A111" s="24"/>
      <c r="B111" s="24"/>
      <c r="C111" s="81"/>
      <c r="D111" s="79"/>
      <c r="E111" s="71">
        <f t="shared" si="8"/>
        <v>0</v>
      </c>
      <c r="F111" s="5">
        <v>92.0</v>
      </c>
      <c r="G111" s="83"/>
    </row>
    <row r="112">
      <c r="A112" s="24"/>
      <c r="B112" s="24"/>
      <c r="C112" s="81"/>
      <c r="D112" s="79"/>
      <c r="E112" s="71">
        <f t="shared" si="8"/>
        <v>0</v>
      </c>
      <c r="F112" s="5">
        <v>93.0</v>
      </c>
      <c r="G112" s="83"/>
    </row>
    <row r="113">
      <c r="A113" s="24"/>
      <c r="B113" s="24"/>
      <c r="C113" s="81"/>
      <c r="D113" s="79"/>
      <c r="E113" s="71">
        <f t="shared" si="8"/>
        <v>0</v>
      </c>
      <c r="F113" s="5">
        <v>94.0</v>
      </c>
      <c r="G113" s="83"/>
    </row>
    <row r="114">
      <c r="A114" s="24"/>
      <c r="B114" s="24"/>
      <c r="C114" s="81"/>
      <c r="D114" s="79"/>
      <c r="E114" s="71">
        <f t="shared" si="8"/>
        <v>0</v>
      </c>
      <c r="F114" s="5">
        <v>95.0</v>
      </c>
      <c r="G114" s="83"/>
    </row>
    <row r="115">
      <c r="A115" s="24"/>
      <c r="B115" s="24"/>
      <c r="C115" s="81"/>
      <c r="D115" s="79"/>
      <c r="E115" s="71">
        <f t="shared" si="8"/>
        <v>0</v>
      </c>
      <c r="F115" s="5">
        <v>96.0</v>
      </c>
      <c r="G115" s="83"/>
    </row>
    <row r="116">
      <c r="A116" s="24"/>
      <c r="B116" s="24"/>
      <c r="C116" s="81"/>
      <c r="D116" s="79"/>
      <c r="E116" s="71">
        <f t="shared" si="8"/>
        <v>0</v>
      </c>
      <c r="F116" s="5">
        <v>97.0</v>
      </c>
      <c r="G116" s="83"/>
    </row>
    <row r="117">
      <c r="A117" s="24"/>
      <c r="B117" s="24"/>
      <c r="C117" s="81"/>
      <c r="D117" s="79"/>
      <c r="E117" s="71">
        <f t="shared" si="8"/>
        <v>0</v>
      </c>
      <c r="F117" s="5">
        <v>98.0</v>
      </c>
      <c r="G117" s="83"/>
    </row>
    <row r="118">
      <c r="A118" s="24"/>
      <c r="B118" s="24"/>
      <c r="C118" s="81"/>
      <c r="D118" s="79"/>
      <c r="E118" s="71">
        <f t="shared" si="8"/>
        <v>0</v>
      </c>
      <c r="F118" s="5">
        <v>99.0</v>
      </c>
      <c r="G118" s="83"/>
    </row>
    <row r="119">
      <c r="A119" s="24"/>
      <c r="B119" s="24"/>
      <c r="C119" s="81"/>
      <c r="D119" s="79"/>
      <c r="E119" s="71">
        <f t="shared" si="8"/>
        <v>0</v>
      </c>
      <c r="F119" s="5">
        <v>100.0</v>
      </c>
      <c r="G119" s="83"/>
    </row>
  </sheetData>
  <autoFilter ref="$A$19:$F$119"/>
  <mergeCells count="3">
    <mergeCell ref="G1:H1"/>
    <mergeCell ref="A4:D4"/>
    <mergeCell ref="G6:H6"/>
  </mergeCells>
  <conditionalFormatting sqref="G2">
    <cfRule type="expression" dxfId="0" priority="1">
      <formula>indirect("CarriedWeight")&lt;=indirect("LightCapacity")</formula>
    </cfRule>
  </conditionalFormatting>
  <conditionalFormatting sqref="G3">
    <cfRule type="expression" dxfId="1" priority="2">
      <formula>AND(indirect("CarriedWeight")&gt;indirect("LightCapacity"),indirect("CarriedWeight")&lt;=indirect("MediumCapacity"))</formula>
    </cfRule>
  </conditionalFormatting>
  <conditionalFormatting sqref="G4">
    <cfRule type="expression" dxfId="2" priority="3">
      <formula>indirect("CarriedWeight")&gt;indirect("MediumCapacity")</formula>
    </cfRule>
  </conditionalFormatting>
  <conditionalFormatting sqref="C2">
    <cfRule type="cellIs" dxfId="3" priority="4" operator="lessThanOrEqual">
      <formula>G2</formula>
    </cfRule>
  </conditionalFormatting>
  <conditionalFormatting sqref="C2">
    <cfRule type="cellIs" dxfId="4" priority="5" operator="lessThanOrEqual">
      <formula>G3</formula>
    </cfRule>
  </conditionalFormatting>
  <conditionalFormatting sqref="C2">
    <cfRule type="cellIs" dxfId="5" priority="6" operator="lessThanOrEqual">
      <formula>G4</formula>
    </cfRule>
  </conditionalFormatting>
  <conditionalFormatting sqref="G7">
    <cfRule type="cellIs" dxfId="6" priority="7" operator="lessThanOrEqual">
      <formula>C2</formula>
    </cfRule>
  </conditionalFormatting>
  <conditionalFormatting sqref="G8">
    <cfRule type="cellIs" dxfId="7" priority="8" operator="lessThanOrEqual">
      <formula>C2</formula>
    </cfRule>
  </conditionalFormatting>
  <conditionalFormatting sqref="G9">
    <cfRule type="cellIs" dxfId="8" priority="9" operator="lessThanOrEqual">
      <formula>C2</formula>
    </cfRule>
  </conditionalFormatting>
  <conditionalFormatting sqref="E1:E28 E30:E119">
    <cfRule type="cellIs" dxfId="9" priority="10" operator="equal">
      <formula>0</formula>
    </cfRule>
  </conditionalFormatting>
  <conditionalFormatting sqref="E1:E28 E30:E119">
    <cfRule type="cellIs" dxfId="10" priority="11" operator="equal">
      <formula>max(E:E)</formula>
    </cfRule>
  </conditionalFormatting>
  <conditionalFormatting sqref="E1:E28 E30:E119">
    <cfRule type="colorScale" priority="1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6:C119">
    <cfRule type="cellIs" dxfId="9" priority="13" operator="equal">
      <formula>0</formula>
    </cfRule>
  </conditionalFormatting>
  <conditionalFormatting sqref="C6:C119">
    <cfRule type="cellIs" dxfId="10" priority="14" operator="greaterThanOrEqual">
      <formula>max(C6:C)</formula>
    </cfRule>
  </conditionalFormatting>
  <conditionalFormatting sqref="C6:C119">
    <cfRule type="colorScale" priority="1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C6:C119">
    <cfRule type="cellIs" dxfId="11" priority="16" operator="lessThan">
      <formula>0</formula>
    </cfRule>
  </conditionalFormatting>
  <conditionalFormatting sqref="E1:E28 E30:E119">
    <cfRule type="cellIs" dxfId="11" priority="17" operator="lessThan">
      <formula>0</formula>
    </cfRule>
  </conditionalFormatting>
  <dataValidations>
    <dataValidation type="custom" allowBlank="1" sqref="D20:D119">
      <formula1>or(floor(D20),0,-1)</formula1>
    </dataValidation>
    <dataValidation type="custom" allowBlank="1" showErrorMessage="1" sqref="D6:D17">
      <formula1>or(floor(D20),0,-1)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8E7CC3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24.43"/>
    <col customWidth="1" min="3" max="3" width="25.57"/>
    <col customWidth="1" min="4" max="4" width="14.0"/>
    <col customWidth="1" min="5" max="5" width="11.29"/>
    <col customWidth="1" min="6" max="6" width="8.71"/>
    <col customWidth="1" min="7" max="7" width="11.14"/>
    <col customWidth="1" min="8" max="8" width="16.29"/>
    <col customWidth="1" min="9" max="9" width="4.14"/>
    <col customWidth="1" min="10" max="10" width="69.71"/>
    <col customWidth="1" min="11" max="11" width="4.43"/>
  </cols>
  <sheetData>
    <row r="1">
      <c r="E1" s="1" t="s">
        <v>0</v>
      </c>
      <c r="F1" s="3"/>
    </row>
    <row r="2">
      <c r="B2" s="5"/>
      <c r="E2" s="6" t="s">
        <v>3</v>
      </c>
      <c r="F2" s="9">
        <f>25+5*INT(C4/2)</f>
        <v>35</v>
      </c>
      <c r="G2" s="11"/>
    </row>
    <row r="3">
      <c r="C3" s="13"/>
      <c r="E3" s="6" t="s">
        <v>6</v>
      </c>
      <c r="F3" s="16">
        <f>100+10*C4</f>
        <v>150</v>
      </c>
      <c r="G3" s="11"/>
    </row>
    <row r="4">
      <c r="B4" s="21" t="s">
        <v>8</v>
      </c>
      <c r="C4" s="23">
        <v>5.0</v>
      </c>
      <c r="E4" s="25" t="s">
        <v>11</v>
      </c>
      <c r="F4" s="16">
        <f>400+40*C4</f>
        <v>600</v>
      </c>
      <c r="G4" s="11"/>
    </row>
    <row r="5">
      <c r="E5" s="27"/>
      <c r="F5" s="28"/>
    </row>
    <row r="7">
      <c r="A7" s="32" t="s">
        <v>13</v>
      </c>
      <c r="B7" s="34" t="s">
        <v>9</v>
      </c>
      <c r="C7" s="34" t="s">
        <v>16</v>
      </c>
      <c r="D7" s="34" t="s">
        <v>17</v>
      </c>
      <c r="E7" s="34" t="s">
        <v>18</v>
      </c>
      <c r="F7" s="34" t="s">
        <v>19</v>
      </c>
      <c r="G7" s="34" t="s">
        <v>20</v>
      </c>
      <c r="H7" s="34" t="s">
        <v>21</v>
      </c>
      <c r="I7" s="34" t="s">
        <v>22</v>
      </c>
      <c r="J7" s="34" t="s">
        <v>23</v>
      </c>
      <c r="K7" s="36" t="s">
        <v>24</v>
      </c>
    </row>
    <row r="8">
      <c r="A8" s="38">
        <v>6.0</v>
      </c>
      <c r="B8" s="40" t="s">
        <v>25</v>
      </c>
      <c r="C8" s="31"/>
      <c r="D8" s="31"/>
      <c r="E8" s="31"/>
      <c r="F8" s="31"/>
      <c r="G8" s="31"/>
      <c r="H8" s="42">
        <f>10+Int</f>
        <v>12</v>
      </c>
      <c r="I8" s="42"/>
      <c r="J8" s="31"/>
      <c r="K8" s="22"/>
    </row>
    <row r="9">
      <c r="A9" s="44"/>
      <c r="B9" s="46" t="s">
        <v>28</v>
      </c>
      <c r="C9" s="46" t="s">
        <v>29</v>
      </c>
      <c r="D9" s="46" t="s">
        <v>30</v>
      </c>
      <c r="E9" s="46" t="s">
        <v>31</v>
      </c>
      <c r="F9" s="46" t="s">
        <v>3</v>
      </c>
      <c r="G9" s="50"/>
      <c r="H9" s="46" t="s">
        <v>35</v>
      </c>
      <c r="I9" s="46" t="s">
        <v>36</v>
      </c>
      <c r="J9" s="50" t="str">
        <f>"Conjure up to "&amp;C4*2&amp;" gallons of water"</f>
        <v>Conjure up to 10 gallons of water</v>
      </c>
      <c r="K9" s="50"/>
    </row>
    <row r="10">
      <c r="A10" s="44">
        <v>2.0</v>
      </c>
      <c r="B10" s="46" t="s">
        <v>37</v>
      </c>
      <c r="C10" s="46" t="s">
        <v>38</v>
      </c>
      <c r="D10" s="46" t="s">
        <v>30</v>
      </c>
      <c r="E10" s="46" t="s">
        <v>31</v>
      </c>
      <c r="F10" s="46" t="s">
        <v>39</v>
      </c>
      <c r="G10" s="50"/>
      <c r="H10" s="46" t="s">
        <v>40</v>
      </c>
      <c r="I10" s="46" t="s">
        <v>41</v>
      </c>
      <c r="J10" s="46" t="s">
        <v>42</v>
      </c>
      <c r="K10" s="50"/>
    </row>
    <row r="11">
      <c r="A11" s="46"/>
      <c r="B11" s="46" t="s">
        <v>43</v>
      </c>
      <c r="C11" s="46" t="s">
        <v>44</v>
      </c>
      <c r="D11" s="46" t="s">
        <v>30</v>
      </c>
      <c r="E11" s="46" t="s">
        <v>31</v>
      </c>
      <c r="F11" s="46" t="s">
        <v>3</v>
      </c>
      <c r="G11" s="50"/>
      <c r="H11" s="46" t="s">
        <v>35</v>
      </c>
      <c r="I11" s="46" t="s">
        <v>36</v>
      </c>
      <c r="J11" s="46" t="s">
        <v>45</v>
      </c>
      <c r="K11" s="50"/>
    </row>
    <row r="12">
      <c r="A12" s="46"/>
      <c r="B12" s="46" t="s">
        <v>10</v>
      </c>
      <c r="C12" s="46" t="s">
        <v>46</v>
      </c>
      <c r="D12" s="46" t="s">
        <v>47</v>
      </c>
      <c r="E12" s="46" t="s">
        <v>31</v>
      </c>
      <c r="F12" s="46" t="s">
        <v>39</v>
      </c>
      <c r="G12" s="50" t="str">
        <f>10*C4&amp;" min"</f>
        <v>50 min</v>
      </c>
      <c r="H12" s="46" t="s">
        <v>35</v>
      </c>
      <c r="I12" s="46" t="s">
        <v>36</v>
      </c>
      <c r="J12" s="46" t="s">
        <v>48</v>
      </c>
      <c r="K12" s="50"/>
    </row>
    <row r="13">
      <c r="A13" s="44">
        <v>1.0</v>
      </c>
      <c r="B13" s="46" t="s">
        <v>51</v>
      </c>
      <c r="C13" s="46" t="s">
        <v>52</v>
      </c>
      <c r="D13" s="46" t="s">
        <v>30</v>
      </c>
      <c r="E13" s="46" t="s">
        <v>31</v>
      </c>
      <c r="F13" s="46" t="s">
        <v>53</v>
      </c>
      <c r="G13" s="50"/>
      <c r="H13" s="46" t="s">
        <v>54</v>
      </c>
      <c r="I13" s="46" t="s">
        <v>41</v>
      </c>
      <c r="J13" s="46" t="s">
        <v>55</v>
      </c>
      <c r="K13" s="50"/>
    </row>
    <row r="14">
      <c r="A14" s="50"/>
      <c r="B14" s="46" t="s">
        <v>57</v>
      </c>
      <c r="C14" s="46" t="s">
        <v>44</v>
      </c>
      <c r="D14" s="46" t="s">
        <v>58</v>
      </c>
      <c r="E14" s="46" t="s">
        <v>31</v>
      </c>
      <c r="F14" s="46" t="s">
        <v>59</v>
      </c>
      <c r="G14" s="50" t="str">
        <f>10*C4&amp;" min"</f>
        <v>50 min</v>
      </c>
      <c r="H14" s="46" t="s">
        <v>35</v>
      </c>
      <c r="I14" s="46" t="s">
        <v>36</v>
      </c>
      <c r="J14" s="46" t="s">
        <v>60</v>
      </c>
      <c r="K14" s="50"/>
    </row>
    <row r="15">
      <c r="A15" s="38">
        <v>5.0</v>
      </c>
      <c r="B15" s="40" t="s">
        <v>61</v>
      </c>
      <c r="C15" s="31"/>
      <c r="D15" s="31"/>
      <c r="E15" s="31"/>
      <c r="F15" s="31"/>
      <c r="G15" s="31"/>
      <c r="H15" s="42">
        <f>11+Int</f>
        <v>13</v>
      </c>
      <c r="I15" s="42"/>
      <c r="J15" s="31"/>
      <c r="K15" s="22"/>
    </row>
    <row r="16">
      <c r="A16" s="50"/>
      <c r="B16" s="46" t="s">
        <v>63</v>
      </c>
      <c r="C16" s="46" t="s">
        <v>52</v>
      </c>
      <c r="D16" s="46" t="s">
        <v>30</v>
      </c>
      <c r="E16" s="46" t="s">
        <v>31</v>
      </c>
      <c r="F16" s="46" t="s">
        <v>59</v>
      </c>
      <c r="G16" s="50" t="str">
        <f>(C4*10)&amp;" min"</f>
        <v>50 min</v>
      </c>
      <c r="H16" s="46" t="s">
        <v>35</v>
      </c>
      <c r="I16" s="46" t="s">
        <v>36</v>
      </c>
      <c r="J16" s="46" t="s">
        <v>64</v>
      </c>
      <c r="K16" s="50"/>
    </row>
    <row r="17">
      <c r="A17" s="44">
        <v>4.0</v>
      </c>
      <c r="B17" s="46" t="s">
        <v>65</v>
      </c>
      <c r="C17" s="46" t="s">
        <v>38</v>
      </c>
      <c r="D17" s="46" t="s">
        <v>30</v>
      </c>
      <c r="E17" s="46" t="s">
        <v>31</v>
      </c>
      <c r="F17" s="46" t="s">
        <v>39</v>
      </c>
      <c r="G17" s="50"/>
      <c r="H17" s="46" t="s">
        <v>66</v>
      </c>
      <c r="I17" s="46" t="s">
        <v>41</v>
      </c>
      <c r="J17" s="50" t="str">
        <f>"Heal living creature for 1d8+"&amp;MIN(5,C4)&amp;" hp or damage undead for same amount"</f>
        <v>Heal living creature for 1d8+5 hp or damage undead for same amount</v>
      </c>
      <c r="K17" s="50"/>
    </row>
    <row r="18">
      <c r="A18" s="44">
        <v>1.0</v>
      </c>
      <c r="B18" s="44" t="s">
        <v>68</v>
      </c>
      <c r="C18" s="44" t="s">
        <v>44</v>
      </c>
      <c r="D18" s="44" t="s">
        <v>30</v>
      </c>
      <c r="E18" s="44" t="s">
        <v>69</v>
      </c>
      <c r="F18" s="44" t="s">
        <v>59</v>
      </c>
      <c r="G18" s="44" t="s">
        <v>70</v>
      </c>
      <c r="H18" s="44" t="s">
        <v>35</v>
      </c>
      <c r="I18" s="44" t="s">
        <v>36</v>
      </c>
      <c r="J18" s="44" t="s">
        <v>71</v>
      </c>
      <c r="K18" s="50"/>
    </row>
    <row r="19">
      <c r="A19" s="50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>
      <c r="A20" s="38">
        <v>2.0</v>
      </c>
      <c r="B20" s="40" t="s">
        <v>72</v>
      </c>
      <c r="C20" s="31"/>
      <c r="D20" s="31"/>
      <c r="E20" s="31"/>
      <c r="F20" s="31"/>
      <c r="G20" s="31"/>
      <c r="H20" s="42">
        <f>12+Int</f>
        <v>14</v>
      </c>
      <c r="I20" s="42"/>
      <c r="J20" s="31"/>
      <c r="K20" s="22"/>
    </row>
    <row r="21">
      <c r="A21" s="50"/>
      <c r="B21" s="62" t="s">
        <v>75</v>
      </c>
      <c r="C21" s="62" t="s">
        <v>52</v>
      </c>
      <c r="D21" s="62" t="s">
        <v>30</v>
      </c>
      <c r="E21" s="62" t="s">
        <v>31</v>
      </c>
      <c r="F21" s="62" t="s">
        <v>59</v>
      </c>
      <c r="G21" s="64" t="str">
        <f>(C4*10)&amp;" min"</f>
        <v>50 min</v>
      </c>
      <c r="H21" s="44" t="s">
        <v>35</v>
      </c>
      <c r="I21" s="44" t="s">
        <v>36</v>
      </c>
      <c r="J21" s="44" t="s">
        <v>76</v>
      </c>
      <c r="K21" s="50"/>
    </row>
    <row r="22">
      <c r="A22" s="44">
        <v>2.0</v>
      </c>
      <c r="B22" s="62" t="s">
        <v>77</v>
      </c>
      <c r="C22" s="62" t="s">
        <v>78</v>
      </c>
      <c r="D22" s="62" t="s">
        <v>79</v>
      </c>
      <c r="E22" s="62" t="s">
        <v>31</v>
      </c>
      <c r="F22" s="62" t="str">
        <f>Spells!CasterLevel*10&amp;" feet"</f>
        <v>50 feet</v>
      </c>
      <c r="G22" s="64"/>
      <c r="H22" s="44" t="s">
        <v>35</v>
      </c>
      <c r="I22" s="44" t="s">
        <v>36</v>
      </c>
      <c r="J22" s="44" t="s">
        <v>80</v>
      </c>
      <c r="K22" s="50"/>
    </row>
    <row r="23">
      <c r="A23" s="50"/>
      <c r="B23" s="44" t="s">
        <v>82</v>
      </c>
      <c r="C23" s="44"/>
      <c r="D23" s="44"/>
      <c r="E23" s="44"/>
      <c r="F23" s="44"/>
      <c r="G23" s="50"/>
      <c r="H23" s="44"/>
      <c r="I23" s="44"/>
      <c r="J23" s="44"/>
      <c r="K23" s="50"/>
    </row>
    <row r="24">
      <c r="A24" s="50"/>
      <c r="B24" s="44" t="s">
        <v>83</v>
      </c>
      <c r="C24" s="44" t="s">
        <v>84</v>
      </c>
      <c r="D24" s="44" t="s">
        <v>85</v>
      </c>
      <c r="E24" s="44" t="s">
        <v>31</v>
      </c>
      <c r="F24" s="44" t="s">
        <v>39</v>
      </c>
      <c r="G24" s="50" t="str">
        <f>(C4*10)&amp;" min"</f>
        <v>50 min</v>
      </c>
      <c r="H24" s="44" t="s">
        <v>86</v>
      </c>
      <c r="I24" s="44" t="s">
        <v>41</v>
      </c>
      <c r="J24" s="50" t="str">
        <f>"Absorb up to " &amp;(MIN(10,Spells!CasterLevel)*12)&amp;" points of specified energy type"</f>
        <v>Absorb up to 60 points of specified energy type</v>
      </c>
      <c r="K24" s="50"/>
    </row>
    <row r="25">
      <c r="A25" s="69">
        <v>0.0</v>
      </c>
      <c r="B25" s="40" t="s">
        <v>88</v>
      </c>
      <c r="C25" s="31"/>
      <c r="D25" s="31"/>
      <c r="E25" s="31"/>
      <c r="F25" s="31"/>
      <c r="G25" s="31"/>
      <c r="H25" s="42">
        <f>13+Int</f>
        <v>15</v>
      </c>
      <c r="I25" s="42"/>
      <c r="J25" s="31"/>
      <c r="K25" s="22"/>
    </row>
    <row r="26">
      <c r="A26" s="50"/>
      <c r="B26" s="44" t="s">
        <v>89</v>
      </c>
      <c r="C26" s="44" t="s">
        <v>90</v>
      </c>
      <c r="D26" s="44" t="s">
        <v>91</v>
      </c>
      <c r="E26" s="44" t="s">
        <v>31</v>
      </c>
      <c r="F26" s="44" t="s">
        <v>3</v>
      </c>
      <c r="G26" s="50" t="str">
        <f>C4&amp;" rounds"</f>
        <v>5 rounds</v>
      </c>
      <c r="H26" s="44" t="s">
        <v>94</v>
      </c>
      <c r="I26" s="44" t="s">
        <v>41</v>
      </c>
      <c r="J26" s="44" t="s">
        <v>95</v>
      </c>
      <c r="K26" s="46"/>
    </row>
    <row r="27">
      <c r="A27" s="50"/>
      <c r="B27" s="44" t="s">
        <v>96</v>
      </c>
      <c r="C27" s="44" t="s">
        <v>84</v>
      </c>
      <c r="D27" s="44" t="s">
        <v>30</v>
      </c>
      <c r="E27" s="44" t="s">
        <v>31</v>
      </c>
      <c r="F27" s="44" t="s">
        <v>6</v>
      </c>
      <c r="G27" s="50"/>
      <c r="H27" s="44" t="s">
        <v>35</v>
      </c>
      <c r="I27" s="44" t="s">
        <v>36</v>
      </c>
      <c r="J27" s="50" t="str">
        <f>"1d20+"&amp;MIN(10,Spells!CasterLevel)&amp;" DC effect CL to dispell spell, spell/creature in area, or all effects on creature"</f>
        <v>1d20+5 DC effect CL to dispell spell, spell/creature in area, or all effects on creature</v>
      </c>
      <c r="K27" s="50"/>
    </row>
    <row r="28">
      <c r="A28" s="50"/>
      <c r="B28" s="46"/>
      <c r="C28" s="46"/>
      <c r="D28" s="46"/>
      <c r="E28" s="46"/>
      <c r="F28" s="46"/>
      <c r="G28" s="50"/>
      <c r="H28" s="46"/>
      <c r="I28" s="46"/>
      <c r="J28" s="46"/>
      <c r="K28" s="46"/>
    </row>
    <row r="29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>
      <c r="A30" s="69">
        <v>0.0</v>
      </c>
      <c r="B30" s="40" t="s">
        <v>97</v>
      </c>
      <c r="C30" s="31"/>
      <c r="D30" s="31"/>
      <c r="E30" s="31"/>
      <c r="F30" s="31"/>
      <c r="G30" s="31"/>
      <c r="H30" s="42">
        <f>14+Int</f>
        <v>16</v>
      </c>
      <c r="I30" s="42"/>
      <c r="J30" s="31"/>
      <c r="K30" s="22"/>
    </row>
    <row r="31">
      <c r="A31" s="50"/>
      <c r="B31" s="44" t="s">
        <v>101</v>
      </c>
      <c r="C31" s="44" t="s">
        <v>102</v>
      </c>
      <c r="D31" s="44" t="s">
        <v>30</v>
      </c>
      <c r="E31" s="44" t="s">
        <v>31</v>
      </c>
      <c r="F31" s="44" t="s">
        <v>39</v>
      </c>
      <c r="G31" s="50" t="str">
        <f>Spells!CasterLevel&amp;" days"</f>
        <v>5 days</v>
      </c>
      <c r="H31" s="44" t="s">
        <v>35</v>
      </c>
      <c r="I31" s="44" t="s">
        <v>36</v>
      </c>
      <c r="J31" s="44" t="s">
        <v>104</v>
      </c>
      <c r="K31" s="50"/>
    </row>
    <row r="32">
      <c r="A32" s="50"/>
      <c r="B32" s="46" t="s">
        <v>105</v>
      </c>
      <c r="C32" s="46" t="s">
        <v>84</v>
      </c>
      <c r="D32" s="46" t="s">
        <v>106</v>
      </c>
      <c r="E32" s="46" t="s">
        <v>31</v>
      </c>
      <c r="F32" s="46" t="s">
        <v>39</v>
      </c>
      <c r="G32" s="50" t="str">
        <f>(C4*10)&amp;" min"</f>
        <v>50 min</v>
      </c>
      <c r="H32" s="46" t="s">
        <v>107</v>
      </c>
      <c r="I32" s="46" t="s">
        <v>41</v>
      </c>
      <c r="J32" s="46" t="s">
        <v>108</v>
      </c>
      <c r="K32" s="46" t="s">
        <v>110</v>
      </c>
    </row>
    <row r="33">
      <c r="A33" s="50"/>
      <c r="B33" s="44" t="s">
        <v>111</v>
      </c>
      <c r="C33" s="44" t="s">
        <v>112</v>
      </c>
      <c r="D33" s="44" t="s">
        <v>30</v>
      </c>
      <c r="E33" s="44" t="s">
        <v>31</v>
      </c>
      <c r="F33" s="44" t="s">
        <v>6</v>
      </c>
      <c r="G33" s="50" t="str">
        <f>Spells!CasterLevel&amp;" minutes"</f>
        <v>5 minutes</v>
      </c>
      <c r="H33" s="44" t="s">
        <v>35</v>
      </c>
      <c r="I33" s="44" t="s">
        <v>36</v>
      </c>
      <c r="J33" s="44" t="s">
        <v>114</v>
      </c>
      <c r="K33" s="46"/>
    </row>
    <row r="34">
      <c r="A34" s="50"/>
      <c r="B34" s="46"/>
      <c r="C34" s="46"/>
      <c r="D34" s="46"/>
      <c r="E34" s="46"/>
      <c r="F34" s="46"/>
      <c r="G34" s="50"/>
      <c r="H34" s="46"/>
      <c r="I34" s="46"/>
      <c r="J34" s="46"/>
      <c r="K34" s="46"/>
    </row>
    <row r="35">
      <c r="A35" s="69">
        <v>0.0</v>
      </c>
      <c r="B35" s="40" t="s">
        <v>115</v>
      </c>
      <c r="C35" s="31"/>
      <c r="D35" s="31"/>
      <c r="E35" s="31"/>
      <c r="F35" s="31"/>
      <c r="G35" s="31"/>
      <c r="H35" s="42">
        <f>15+Int</f>
        <v>17</v>
      </c>
      <c r="I35" s="42"/>
      <c r="J35" s="31"/>
      <c r="K35" s="22"/>
    </row>
    <row r="36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hidden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</row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</sheetData>
  <mergeCells count="13">
    <mergeCell ref="B8:G8"/>
    <mergeCell ref="E1:F1"/>
    <mergeCell ref="B35:G35"/>
    <mergeCell ref="I35:K35"/>
    <mergeCell ref="B15:G15"/>
    <mergeCell ref="I15:K15"/>
    <mergeCell ref="B25:G25"/>
    <mergeCell ref="I25:K25"/>
    <mergeCell ref="I8:K8"/>
    <mergeCell ref="B30:G30"/>
    <mergeCell ref="I30:K30"/>
    <mergeCell ref="B20:G20"/>
    <mergeCell ref="I20:K20"/>
  </mergeCells>
  <dataValidations>
    <dataValidation type="decimal" operator="greaterThanOrEqual" allowBlank="1" showErrorMessage="1" sqref="C4">
      <formula1>0.0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4C2F4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75"/>
  <cols>
    <col customWidth="1" min="1" max="1" width="48.43"/>
    <col customWidth="1" min="2" max="2" width="12.29"/>
  </cols>
  <sheetData>
    <row r="1">
      <c r="A1" s="102"/>
      <c r="B1" s="106" t="str">
        <f>If(sum(sum(B6:B305)/10+SUM(C6:C305)+sum(D6:D305)*10+sum(E6:E305)*100)&lt;0,"---- Error Negative Total Error! ----",If(sum(sum(B6:B305)/10+SUM(C6:C305)+sum(D6:D305)*10+sum(E6:E305)*100)=0,"You Are Broke!","Totals (No error)"))</f>
        <v>You Are Broke!</v>
      </c>
      <c r="G1" s="107"/>
      <c r="H1" s="112" t="s">
        <v>26</v>
      </c>
    </row>
    <row r="2">
      <c r="A2" s="114"/>
      <c r="B2" s="35" t="s">
        <v>137</v>
      </c>
      <c r="C2" s="35" t="s">
        <v>138</v>
      </c>
      <c r="D2" s="35" t="s">
        <v>139</v>
      </c>
      <c r="E2" s="35" t="s">
        <v>140</v>
      </c>
      <c r="F2" s="35" t="s">
        <v>141</v>
      </c>
      <c r="G2" s="116" t="s">
        <v>142</v>
      </c>
      <c r="H2" s="118">
        <f>SUM(B5:E5)/50</f>
        <v>0</v>
      </c>
    </row>
    <row r="3">
      <c r="A3" s="114"/>
      <c r="B3" s="4">
        <f>SUMPRODUCT(CalcData!A26:D26,B5:E5)/10</f>
        <v>0</v>
      </c>
      <c r="C3" s="35">
        <f>SUMPRODUCT(CalcData!A26:D26,B5:E5)</f>
        <v>0</v>
      </c>
      <c r="D3" s="35">
        <f>SUMPRODUCT(CalcData!A26:D26,B5:E5)*10</f>
        <v>0</v>
      </c>
      <c r="E3" s="35">
        <f>SUMPRODUCT(CalcData!A26:D26,B5:E5)*100</f>
        <v>0</v>
      </c>
      <c r="F3" s="35"/>
      <c r="G3" s="120"/>
    </row>
    <row r="4" hidden="1">
      <c r="A4" s="122"/>
      <c r="B4" s="124">
        <f t="shared" ref="B4:D4" si="1">if(SUM(B6:B305)+IF(C4&lt;0,floor(C4/10),0)&lt;0,0,SUM(B6:B305)+IF(C4&lt;0,floor(C4/10),0))</f>
        <v>0</v>
      </c>
      <c r="C4" s="124">
        <f t="shared" si="1"/>
        <v>0</v>
      </c>
      <c r="D4" s="124">
        <f t="shared" si="1"/>
        <v>0</v>
      </c>
      <c r="E4" s="124">
        <f>SUM(E6:E305)+IF(SUM(B6:B305)&lt;0,SUM(B6:B305)*1000,0)+IF(SUM(C6:C305)&lt;0,SUM(C6:C305)*100,0)+IF(SUM(D6:D305)&lt;0,SUM(D6:D305)*10,0)</f>
        <v>0</v>
      </c>
      <c r="F4" s="124"/>
      <c r="G4" s="126"/>
    </row>
    <row r="5">
      <c r="A5" s="122" t="s">
        <v>148</v>
      </c>
      <c r="B5" s="124">
        <f t="shared" ref="B5:E5" si="2">IF(B4&lt;0,CEILING(-B4,10)+B4,B4)</f>
        <v>0</v>
      </c>
      <c r="C5" s="124">
        <f t="shared" si="2"/>
        <v>0</v>
      </c>
      <c r="D5" s="124">
        <f t="shared" si="2"/>
        <v>0</v>
      </c>
      <c r="E5" s="124">
        <f t="shared" si="2"/>
        <v>0</v>
      </c>
      <c r="F5" s="124">
        <f>SUM(F6:F305)</f>
        <v>0</v>
      </c>
      <c r="G5" s="126">
        <f>(Pow(HitDice+1,2)-HitDice-1)*500</f>
        <v>3000</v>
      </c>
      <c r="H5" s="5" t="s">
        <v>134</v>
      </c>
    </row>
    <row r="6">
      <c r="A6" s="129"/>
      <c r="B6" s="5"/>
      <c r="C6" s="5"/>
      <c r="D6" s="5"/>
      <c r="E6" s="5"/>
      <c r="F6" s="130"/>
      <c r="G6" s="5"/>
      <c r="H6" s="132">
        <v>1.0</v>
      </c>
    </row>
    <row r="7">
      <c r="A7" s="129"/>
      <c r="B7" s="5"/>
      <c r="C7" s="5"/>
      <c r="D7" s="5"/>
      <c r="E7" s="5"/>
      <c r="F7" s="5"/>
      <c r="H7" s="133">
        <v>2.0</v>
      </c>
      <c r="I7" s="134"/>
      <c r="J7" s="134"/>
    </row>
    <row r="8">
      <c r="A8" s="129"/>
      <c r="C8" s="5"/>
      <c r="D8" s="5"/>
      <c r="E8" s="5"/>
      <c r="F8" s="5"/>
      <c r="H8" s="133">
        <v>3.0</v>
      </c>
      <c r="I8" s="134"/>
      <c r="J8" s="134"/>
    </row>
    <row r="9">
      <c r="A9" s="135"/>
      <c r="B9" s="5"/>
      <c r="C9" s="5"/>
      <c r="D9" s="5"/>
      <c r="E9" s="5"/>
      <c r="F9" s="5"/>
      <c r="H9" s="133">
        <v>4.0</v>
      </c>
      <c r="I9" s="134"/>
      <c r="J9" s="134"/>
    </row>
    <row r="10">
      <c r="A10" s="135"/>
      <c r="B10" s="5"/>
      <c r="C10" s="5"/>
      <c r="D10" s="5"/>
      <c r="E10" s="5"/>
      <c r="F10" s="5"/>
      <c r="H10" s="133">
        <v>5.0</v>
      </c>
      <c r="I10" s="134"/>
      <c r="J10" s="134"/>
    </row>
    <row r="11">
      <c r="A11" s="135"/>
      <c r="C11" s="5"/>
      <c r="D11" s="5"/>
      <c r="E11" s="5"/>
      <c r="F11" s="5"/>
      <c r="H11" s="133">
        <v>6.0</v>
      </c>
      <c r="I11" s="134"/>
      <c r="J11" s="134"/>
    </row>
    <row r="12">
      <c r="A12" s="135"/>
      <c r="C12" s="5"/>
      <c r="D12" s="5"/>
      <c r="H12" s="133">
        <v>7.0</v>
      </c>
      <c r="I12" s="134"/>
      <c r="J12" s="134"/>
    </row>
    <row r="13">
      <c r="A13" s="135"/>
      <c r="C13" s="5"/>
      <c r="H13" s="133">
        <v>8.0</v>
      </c>
      <c r="I13" s="134"/>
      <c r="J13" s="134"/>
    </row>
    <row r="14">
      <c r="A14" s="129"/>
      <c r="B14" s="5"/>
      <c r="C14" s="5"/>
      <c r="E14" s="5"/>
      <c r="H14" s="133">
        <v>9.0</v>
      </c>
      <c r="I14" s="134"/>
      <c r="J14" s="134"/>
    </row>
    <row r="15">
      <c r="A15" s="135"/>
      <c r="B15" s="5"/>
      <c r="C15" s="5"/>
      <c r="H15" s="133">
        <v>10.0</v>
      </c>
      <c r="I15" s="134"/>
      <c r="J15" s="134"/>
    </row>
    <row r="16">
      <c r="A16" s="129"/>
      <c r="B16" s="5"/>
      <c r="C16" s="136"/>
      <c r="H16" s="133">
        <v>11.0</v>
      </c>
      <c r="I16" s="134"/>
      <c r="J16" s="134"/>
    </row>
    <row r="17">
      <c r="A17" s="129"/>
      <c r="B17" s="5"/>
      <c r="C17" s="136"/>
      <c r="H17" s="133">
        <v>12.0</v>
      </c>
      <c r="I17" s="134"/>
      <c r="J17" s="134"/>
    </row>
    <row r="18">
      <c r="A18" s="129"/>
      <c r="C18" s="136"/>
      <c r="H18" s="133">
        <v>13.0</v>
      </c>
      <c r="I18" s="134"/>
      <c r="J18" s="134"/>
    </row>
    <row r="19">
      <c r="A19" s="129"/>
      <c r="C19" s="136"/>
      <c r="H19" s="133">
        <v>14.0</v>
      </c>
      <c r="I19" s="134"/>
      <c r="J19" s="134"/>
    </row>
    <row r="20">
      <c r="A20" s="135"/>
      <c r="C20" s="5"/>
      <c r="D20" s="5"/>
      <c r="H20" s="133">
        <v>15.0</v>
      </c>
      <c r="I20" s="134"/>
      <c r="J20" s="134"/>
    </row>
    <row r="21">
      <c r="A21" s="129"/>
      <c r="D21" s="136"/>
      <c r="H21" s="133">
        <v>16.0</v>
      </c>
      <c r="I21" s="134"/>
      <c r="J21" s="134"/>
    </row>
    <row r="22">
      <c r="A22" s="129"/>
      <c r="D22" s="136"/>
      <c r="H22" s="133">
        <v>17.0</v>
      </c>
      <c r="I22" s="134"/>
      <c r="J22" s="134"/>
    </row>
    <row r="23">
      <c r="A23" s="129"/>
      <c r="D23" s="136"/>
      <c r="H23" s="133">
        <v>18.0</v>
      </c>
      <c r="I23" s="134"/>
      <c r="J23" s="134"/>
    </row>
    <row r="24">
      <c r="A24" s="135"/>
      <c r="D24" s="5"/>
      <c r="H24" s="133">
        <v>19.0</v>
      </c>
      <c r="I24" s="134"/>
      <c r="J24" s="134"/>
    </row>
    <row r="25">
      <c r="A25" s="129"/>
      <c r="D25" s="136"/>
      <c r="H25" s="133">
        <v>20.0</v>
      </c>
      <c r="I25" s="134"/>
      <c r="J25" s="134"/>
    </row>
    <row r="26">
      <c r="A26" s="129"/>
      <c r="C26" s="136"/>
      <c r="H26" s="133">
        <v>21.0</v>
      </c>
      <c r="I26" s="134"/>
      <c r="J26" s="134"/>
    </row>
    <row r="27">
      <c r="A27" s="135"/>
      <c r="C27" s="5"/>
      <c r="H27" s="133">
        <v>22.0</v>
      </c>
      <c r="I27" s="134"/>
      <c r="J27" s="134"/>
    </row>
    <row r="28">
      <c r="A28" s="135"/>
      <c r="C28" s="5"/>
      <c r="H28" s="133">
        <v>23.0</v>
      </c>
      <c r="I28" s="134"/>
      <c r="J28" s="134"/>
    </row>
    <row r="29">
      <c r="A29" s="135"/>
      <c r="C29" s="5"/>
      <c r="H29" s="133">
        <v>24.0</v>
      </c>
      <c r="I29" s="134"/>
      <c r="J29" s="134"/>
    </row>
    <row r="30">
      <c r="A30" s="138"/>
      <c r="H30" s="132">
        <v>25.0</v>
      </c>
    </row>
    <row r="31">
      <c r="A31" s="138"/>
      <c r="H31" s="132">
        <v>26.0</v>
      </c>
    </row>
    <row r="32">
      <c r="A32" s="138"/>
      <c r="H32" s="132">
        <v>27.0</v>
      </c>
    </row>
    <row r="33">
      <c r="A33" s="138"/>
      <c r="H33" s="132">
        <v>28.0</v>
      </c>
    </row>
    <row r="34">
      <c r="A34" s="138"/>
      <c r="H34" s="132">
        <v>29.0</v>
      </c>
    </row>
    <row r="35">
      <c r="A35" s="138"/>
      <c r="H35" s="132">
        <v>30.0</v>
      </c>
    </row>
    <row r="36">
      <c r="A36" s="138"/>
      <c r="H36" s="132">
        <v>31.0</v>
      </c>
    </row>
    <row r="37">
      <c r="A37" s="138"/>
      <c r="H37" s="132">
        <v>32.0</v>
      </c>
    </row>
    <row r="38">
      <c r="A38" s="138"/>
      <c r="H38" s="132">
        <v>33.0</v>
      </c>
    </row>
    <row r="39">
      <c r="A39" s="138"/>
      <c r="H39" s="132">
        <v>34.0</v>
      </c>
    </row>
    <row r="40">
      <c r="A40" s="138"/>
      <c r="H40" s="132">
        <v>35.0</v>
      </c>
    </row>
    <row r="41">
      <c r="A41" s="138"/>
      <c r="H41" s="132">
        <v>36.0</v>
      </c>
    </row>
    <row r="42">
      <c r="A42" s="138"/>
      <c r="H42" s="132">
        <v>37.0</v>
      </c>
    </row>
    <row r="43">
      <c r="A43" s="138"/>
      <c r="H43" s="132">
        <v>38.0</v>
      </c>
    </row>
    <row r="44">
      <c r="A44" s="138"/>
      <c r="H44" s="132">
        <v>39.0</v>
      </c>
    </row>
    <row r="45">
      <c r="A45" s="138"/>
      <c r="H45" s="132">
        <v>40.0</v>
      </c>
    </row>
    <row r="46">
      <c r="A46" s="138"/>
      <c r="H46" s="132">
        <v>41.0</v>
      </c>
    </row>
    <row r="47">
      <c r="A47" s="138"/>
      <c r="H47" s="132">
        <v>42.0</v>
      </c>
    </row>
    <row r="48">
      <c r="A48" s="138"/>
      <c r="H48" s="132">
        <v>43.0</v>
      </c>
    </row>
    <row r="49">
      <c r="A49" s="138"/>
      <c r="H49" s="132">
        <v>44.0</v>
      </c>
    </row>
    <row r="50">
      <c r="A50" s="138"/>
      <c r="H50" s="132">
        <v>45.0</v>
      </c>
    </row>
    <row r="51">
      <c r="A51" s="138"/>
      <c r="H51" s="132">
        <v>46.0</v>
      </c>
    </row>
    <row r="52">
      <c r="A52" s="138"/>
      <c r="H52" s="132">
        <v>47.0</v>
      </c>
    </row>
    <row r="53">
      <c r="A53" s="138"/>
      <c r="H53" s="132">
        <v>48.0</v>
      </c>
    </row>
    <row r="54">
      <c r="A54" s="138"/>
      <c r="H54" s="132">
        <v>49.0</v>
      </c>
    </row>
    <row r="55">
      <c r="A55" s="138"/>
      <c r="H55" s="132">
        <v>50.0</v>
      </c>
    </row>
    <row r="56">
      <c r="A56" s="138"/>
      <c r="H56" s="132">
        <v>51.0</v>
      </c>
    </row>
    <row r="57">
      <c r="A57" s="138"/>
      <c r="H57" s="132">
        <v>52.0</v>
      </c>
    </row>
    <row r="58">
      <c r="A58" s="138"/>
      <c r="H58" s="132">
        <v>53.0</v>
      </c>
    </row>
    <row r="59">
      <c r="A59" s="138"/>
      <c r="H59" s="132">
        <v>54.0</v>
      </c>
    </row>
    <row r="60">
      <c r="A60" s="138"/>
      <c r="H60" s="132">
        <v>55.0</v>
      </c>
    </row>
    <row r="61">
      <c r="A61" s="138"/>
      <c r="H61" s="132">
        <v>56.0</v>
      </c>
    </row>
    <row r="62">
      <c r="A62" s="138"/>
      <c r="H62" s="132">
        <v>57.0</v>
      </c>
    </row>
    <row r="63">
      <c r="A63" s="138"/>
      <c r="H63" s="132">
        <v>58.0</v>
      </c>
    </row>
    <row r="64">
      <c r="A64" s="138"/>
      <c r="H64" s="132">
        <v>59.0</v>
      </c>
    </row>
    <row r="65">
      <c r="A65" s="138"/>
      <c r="H65" s="132">
        <v>60.0</v>
      </c>
    </row>
    <row r="66">
      <c r="A66" s="138"/>
      <c r="H66" s="132">
        <v>61.0</v>
      </c>
    </row>
    <row r="67">
      <c r="A67" s="138"/>
      <c r="H67" s="132">
        <v>62.0</v>
      </c>
    </row>
    <row r="68">
      <c r="A68" s="138"/>
      <c r="H68" s="132">
        <v>63.0</v>
      </c>
    </row>
    <row r="69">
      <c r="A69" s="138"/>
      <c r="H69" s="132">
        <v>64.0</v>
      </c>
    </row>
    <row r="70">
      <c r="A70" s="138"/>
      <c r="H70" s="132">
        <v>65.0</v>
      </c>
    </row>
    <row r="71">
      <c r="A71" s="138"/>
      <c r="H71" s="132">
        <v>66.0</v>
      </c>
    </row>
    <row r="72">
      <c r="A72" s="138"/>
      <c r="H72" s="132">
        <v>67.0</v>
      </c>
    </row>
    <row r="73">
      <c r="A73" s="138"/>
      <c r="H73" s="132">
        <v>68.0</v>
      </c>
    </row>
    <row r="74">
      <c r="A74" s="138"/>
      <c r="H74" s="132">
        <v>69.0</v>
      </c>
    </row>
    <row r="75">
      <c r="A75" s="138"/>
      <c r="H75" s="132">
        <v>70.0</v>
      </c>
    </row>
    <row r="76">
      <c r="A76" s="138"/>
      <c r="H76" s="132">
        <v>71.0</v>
      </c>
    </row>
    <row r="77">
      <c r="A77" s="138"/>
      <c r="H77" s="132">
        <v>72.0</v>
      </c>
    </row>
    <row r="78">
      <c r="A78" s="138"/>
      <c r="H78" s="132">
        <v>73.0</v>
      </c>
    </row>
    <row r="79">
      <c r="A79" s="138"/>
      <c r="H79" s="132">
        <v>74.0</v>
      </c>
    </row>
    <row r="80">
      <c r="A80" s="138"/>
      <c r="H80" s="132">
        <v>75.0</v>
      </c>
    </row>
    <row r="81">
      <c r="A81" s="138"/>
      <c r="H81" s="132">
        <v>76.0</v>
      </c>
    </row>
    <row r="82">
      <c r="A82" s="138"/>
      <c r="H82" s="132">
        <v>77.0</v>
      </c>
    </row>
    <row r="83">
      <c r="A83" s="138"/>
      <c r="H83" s="132">
        <v>78.0</v>
      </c>
    </row>
    <row r="84">
      <c r="A84" s="138"/>
      <c r="H84" s="132">
        <v>79.0</v>
      </c>
    </row>
    <row r="85">
      <c r="A85" s="138"/>
      <c r="H85" s="132">
        <v>80.0</v>
      </c>
    </row>
    <row r="86">
      <c r="A86" s="138"/>
      <c r="H86" s="132">
        <v>81.0</v>
      </c>
    </row>
    <row r="87">
      <c r="A87" s="138"/>
      <c r="H87" s="132">
        <v>82.0</v>
      </c>
    </row>
    <row r="88">
      <c r="A88" s="138"/>
      <c r="H88" s="132">
        <v>83.0</v>
      </c>
    </row>
    <row r="89">
      <c r="A89" s="138"/>
      <c r="H89" s="132">
        <v>84.0</v>
      </c>
    </row>
    <row r="90">
      <c r="A90" s="138"/>
      <c r="H90" s="132">
        <v>85.0</v>
      </c>
    </row>
    <row r="91">
      <c r="A91" s="138"/>
      <c r="H91" s="132">
        <v>86.0</v>
      </c>
    </row>
    <row r="92">
      <c r="A92" s="138"/>
      <c r="H92" s="132">
        <v>87.0</v>
      </c>
    </row>
    <row r="93">
      <c r="A93" s="138"/>
      <c r="H93" s="132">
        <v>88.0</v>
      </c>
    </row>
    <row r="94">
      <c r="A94" s="138"/>
      <c r="H94" s="132">
        <v>89.0</v>
      </c>
    </row>
    <row r="95">
      <c r="A95" s="138"/>
      <c r="H95" s="132">
        <v>90.0</v>
      </c>
    </row>
    <row r="96">
      <c r="A96" s="138"/>
      <c r="H96" s="132">
        <v>91.0</v>
      </c>
    </row>
    <row r="97">
      <c r="A97" s="138"/>
      <c r="H97" s="132">
        <v>92.0</v>
      </c>
    </row>
    <row r="98">
      <c r="A98" s="138"/>
      <c r="H98" s="132">
        <v>93.0</v>
      </c>
    </row>
    <row r="99">
      <c r="A99" s="138"/>
      <c r="H99" s="132">
        <v>94.0</v>
      </c>
    </row>
    <row r="100">
      <c r="A100" s="138"/>
      <c r="H100" s="132">
        <v>95.0</v>
      </c>
    </row>
    <row r="101">
      <c r="A101" s="138"/>
      <c r="H101" s="132">
        <v>96.0</v>
      </c>
    </row>
    <row r="102">
      <c r="A102" s="138"/>
      <c r="H102" s="132">
        <v>97.0</v>
      </c>
    </row>
    <row r="103">
      <c r="A103" s="138"/>
      <c r="H103" s="132">
        <v>98.0</v>
      </c>
    </row>
    <row r="104">
      <c r="A104" s="138"/>
      <c r="H104" s="132">
        <v>99.0</v>
      </c>
    </row>
    <row r="105">
      <c r="A105" s="138"/>
      <c r="H105" s="132">
        <v>100.0</v>
      </c>
    </row>
    <row r="106">
      <c r="A106" s="138"/>
      <c r="H106">
        <v>101.0</v>
      </c>
    </row>
    <row r="107">
      <c r="A107" s="138"/>
      <c r="H107">
        <v>102.0</v>
      </c>
    </row>
    <row r="108">
      <c r="A108" s="138"/>
      <c r="H108">
        <v>103.0</v>
      </c>
    </row>
    <row r="109">
      <c r="A109" s="138"/>
      <c r="H109">
        <v>104.0</v>
      </c>
    </row>
    <row r="110">
      <c r="A110" s="138"/>
      <c r="H110">
        <v>105.0</v>
      </c>
    </row>
    <row r="111">
      <c r="A111" s="138"/>
      <c r="H111">
        <v>106.0</v>
      </c>
    </row>
    <row r="112">
      <c r="A112" s="138"/>
      <c r="H112">
        <v>107.0</v>
      </c>
    </row>
    <row r="113">
      <c r="A113" s="138"/>
      <c r="H113">
        <v>108.0</v>
      </c>
    </row>
    <row r="114">
      <c r="A114" s="138"/>
      <c r="H114">
        <v>109.0</v>
      </c>
    </row>
    <row r="115">
      <c r="A115" s="138"/>
      <c r="H115">
        <v>110.0</v>
      </c>
    </row>
    <row r="116">
      <c r="A116" s="138"/>
      <c r="H116">
        <v>111.0</v>
      </c>
    </row>
    <row r="117">
      <c r="A117" s="138"/>
      <c r="H117">
        <v>112.0</v>
      </c>
    </row>
    <row r="118">
      <c r="A118" s="138"/>
      <c r="H118">
        <v>113.0</v>
      </c>
    </row>
    <row r="119">
      <c r="A119" s="138"/>
      <c r="H119">
        <v>114.0</v>
      </c>
    </row>
    <row r="120">
      <c r="A120" s="138"/>
      <c r="H120">
        <v>115.0</v>
      </c>
    </row>
    <row r="121">
      <c r="A121" s="138"/>
      <c r="H121">
        <v>116.0</v>
      </c>
    </row>
    <row r="122">
      <c r="A122" s="138"/>
      <c r="H122">
        <v>117.0</v>
      </c>
    </row>
    <row r="123">
      <c r="A123" s="138"/>
      <c r="H123">
        <v>118.0</v>
      </c>
    </row>
    <row r="124">
      <c r="A124" s="138"/>
      <c r="H124">
        <v>119.0</v>
      </c>
    </row>
    <row r="125">
      <c r="A125" s="138"/>
      <c r="H125">
        <v>120.0</v>
      </c>
    </row>
    <row r="126">
      <c r="A126" s="138"/>
      <c r="H126">
        <v>121.0</v>
      </c>
    </row>
    <row r="127">
      <c r="A127" s="138"/>
      <c r="H127">
        <v>122.0</v>
      </c>
    </row>
    <row r="128">
      <c r="A128" s="138"/>
      <c r="H128">
        <v>123.0</v>
      </c>
    </row>
    <row r="129">
      <c r="A129" s="138"/>
      <c r="H129">
        <v>124.0</v>
      </c>
    </row>
    <row r="130">
      <c r="A130" s="138"/>
      <c r="H130">
        <v>125.0</v>
      </c>
    </row>
    <row r="131">
      <c r="A131" s="138"/>
      <c r="H131">
        <v>126.0</v>
      </c>
    </row>
    <row r="132">
      <c r="A132" s="138"/>
      <c r="H132">
        <v>127.0</v>
      </c>
    </row>
    <row r="133">
      <c r="A133" s="138"/>
      <c r="H133">
        <v>128.0</v>
      </c>
    </row>
    <row r="134">
      <c r="A134" s="138"/>
      <c r="H134">
        <v>129.0</v>
      </c>
    </row>
    <row r="135">
      <c r="A135" s="138"/>
      <c r="H135">
        <v>130.0</v>
      </c>
    </row>
    <row r="136">
      <c r="A136" s="138"/>
      <c r="H136">
        <v>131.0</v>
      </c>
    </row>
    <row r="137">
      <c r="A137" s="138"/>
      <c r="H137">
        <v>132.0</v>
      </c>
    </row>
    <row r="138">
      <c r="A138" s="138"/>
      <c r="H138">
        <v>133.0</v>
      </c>
    </row>
    <row r="139">
      <c r="A139" s="138"/>
      <c r="H139">
        <v>134.0</v>
      </c>
    </row>
    <row r="140">
      <c r="A140" s="138"/>
      <c r="H140">
        <v>135.0</v>
      </c>
    </row>
    <row r="141">
      <c r="A141" s="138"/>
      <c r="H141">
        <v>136.0</v>
      </c>
    </row>
    <row r="142">
      <c r="A142" s="138"/>
      <c r="H142">
        <v>137.0</v>
      </c>
    </row>
    <row r="143">
      <c r="A143" s="138"/>
      <c r="H143">
        <v>138.0</v>
      </c>
    </row>
    <row r="144">
      <c r="A144" s="138"/>
      <c r="H144">
        <v>139.0</v>
      </c>
    </row>
    <row r="145">
      <c r="A145" s="138"/>
      <c r="H145">
        <v>140.0</v>
      </c>
    </row>
    <row r="146">
      <c r="A146" s="138"/>
      <c r="H146">
        <v>141.0</v>
      </c>
    </row>
    <row r="147">
      <c r="A147" s="138"/>
      <c r="H147">
        <v>142.0</v>
      </c>
    </row>
    <row r="148">
      <c r="A148" s="138"/>
      <c r="H148">
        <v>143.0</v>
      </c>
    </row>
    <row r="149">
      <c r="A149" s="138"/>
      <c r="H149">
        <v>144.0</v>
      </c>
    </row>
    <row r="150">
      <c r="A150" s="138"/>
      <c r="H150">
        <v>145.0</v>
      </c>
    </row>
    <row r="151">
      <c r="A151" s="138"/>
      <c r="H151">
        <v>146.0</v>
      </c>
    </row>
    <row r="152">
      <c r="A152" s="138"/>
      <c r="H152">
        <v>147.0</v>
      </c>
    </row>
    <row r="153">
      <c r="A153" s="138"/>
      <c r="H153">
        <v>148.0</v>
      </c>
    </row>
    <row r="154">
      <c r="A154" s="138"/>
      <c r="H154">
        <v>149.0</v>
      </c>
    </row>
    <row r="155">
      <c r="A155" s="138"/>
      <c r="H155">
        <v>150.0</v>
      </c>
    </row>
    <row r="156">
      <c r="A156" s="138"/>
      <c r="H156">
        <v>151.0</v>
      </c>
    </row>
    <row r="157">
      <c r="A157" s="138"/>
      <c r="H157">
        <v>152.0</v>
      </c>
    </row>
    <row r="158">
      <c r="A158" s="138"/>
      <c r="H158">
        <v>153.0</v>
      </c>
    </row>
    <row r="159">
      <c r="A159" s="138"/>
      <c r="H159">
        <v>154.0</v>
      </c>
    </row>
    <row r="160">
      <c r="A160" s="138"/>
      <c r="H160">
        <v>155.0</v>
      </c>
    </row>
    <row r="161">
      <c r="A161" s="138"/>
      <c r="H161">
        <v>156.0</v>
      </c>
    </row>
    <row r="162">
      <c r="A162" s="138"/>
      <c r="H162">
        <v>157.0</v>
      </c>
    </row>
    <row r="163">
      <c r="A163" s="138"/>
      <c r="H163">
        <v>158.0</v>
      </c>
    </row>
    <row r="164">
      <c r="A164" s="138"/>
      <c r="H164">
        <v>159.0</v>
      </c>
    </row>
    <row r="165">
      <c r="A165" s="138"/>
      <c r="H165">
        <v>160.0</v>
      </c>
    </row>
    <row r="166">
      <c r="A166" s="138"/>
      <c r="H166">
        <v>161.0</v>
      </c>
    </row>
    <row r="167">
      <c r="A167" s="138"/>
      <c r="H167">
        <v>162.0</v>
      </c>
    </row>
    <row r="168">
      <c r="A168" s="138"/>
      <c r="H168">
        <v>163.0</v>
      </c>
    </row>
    <row r="169">
      <c r="A169" s="138"/>
      <c r="H169">
        <v>164.0</v>
      </c>
    </row>
    <row r="170">
      <c r="A170" s="138"/>
      <c r="H170">
        <v>165.0</v>
      </c>
    </row>
    <row r="171">
      <c r="A171" s="138"/>
      <c r="H171">
        <v>166.0</v>
      </c>
    </row>
    <row r="172">
      <c r="A172" s="138"/>
      <c r="H172">
        <v>167.0</v>
      </c>
    </row>
    <row r="173">
      <c r="A173" s="138"/>
      <c r="H173">
        <v>168.0</v>
      </c>
    </row>
    <row r="174">
      <c r="A174" s="138"/>
      <c r="H174">
        <v>169.0</v>
      </c>
    </row>
    <row r="175">
      <c r="A175" s="138"/>
      <c r="H175">
        <v>170.0</v>
      </c>
    </row>
    <row r="176">
      <c r="A176" s="138"/>
      <c r="H176">
        <v>171.0</v>
      </c>
    </row>
    <row r="177">
      <c r="A177" s="138"/>
      <c r="H177">
        <v>172.0</v>
      </c>
    </row>
    <row r="178">
      <c r="A178" s="138"/>
      <c r="H178">
        <v>173.0</v>
      </c>
    </row>
    <row r="179">
      <c r="A179" s="138"/>
      <c r="H179">
        <v>174.0</v>
      </c>
    </row>
    <row r="180">
      <c r="A180" s="138"/>
      <c r="H180">
        <v>175.0</v>
      </c>
    </row>
    <row r="181">
      <c r="A181" s="138"/>
      <c r="H181">
        <v>176.0</v>
      </c>
    </row>
    <row r="182">
      <c r="A182" s="138"/>
      <c r="H182">
        <v>177.0</v>
      </c>
    </row>
    <row r="183">
      <c r="A183" s="138"/>
      <c r="H183">
        <v>178.0</v>
      </c>
    </row>
    <row r="184">
      <c r="A184" s="138"/>
      <c r="H184">
        <v>179.0</v>
      </c>
    </row>
    <row r="185">
      <c r="A185" s="138"/>
      <c r="H185">
        <v>180.0</v>
      </c>
    </row>
    <row r="186">
      <c r="A186" s="138"/>
      <c r="H186">
        <v>181.0</v>
      </c>
    </row>
    <row r="187">
      <c r="A187" s="138"/>
      <c r="H187">
        <v>182.0</v>
      </c>
    </row>
    <row r="188">
      <c r="A188" s="138"/>
      <c r="H188">
        <v>183.0</v>
      </c>
    </row>
    <row r="189">
      <c r="A189" s="138"/>
      <c r="H189">
        <v>184.0</v>
      </c>
    </row>
    <row r="190">
      <c r="A190" s="138"/>
      <c r="H190">
        <v>185.0</v>
      </c>
    </row>
    <row r="191">
      <c r="A191" s="138"/>
      <c r="H191">
        <v>186.0</v>
      </c>
    </row>
    <row r="192">
      <c r="A192" s="138"/>
      <c r="H192">
        <v>187.0</v>
      </c>
    </row>
    <row r="193">
      <c r="A193" s="138"/>
      <c r="H193">
        <v>188.0</v>
      </c>
    </row>
    <row r="194">
      <c r="A194" s="138"/>
      <c r="H194">
        <v>189.0</v>
      </c>
    </row>
    <row r="195">
      <c r="A195" s="138"/>
      <c r="H195">
        <v>190.0</v>
      </c>
    </row>
    <row r="196">
      <c r="A196" s="138"/>
      <c r="H196">
        <v>191.0</v>
      </c>
    </row>
    <row r="197">
      <c r="A197" s="138"/>
      <c r="H197">
        <v>192.0</v>
      </c>
    </row>
    <row r="198">
      <c r="A198" s="138"/>
      <c r="H198">
        <v>193.0</v>
      </c>
    </row>
    <row r="199">
      <c r="A199" s="138"/>
      <c r="H199">
        <v>194.0</v>
      </c>
    </row>
    <row r="200">
      <c r="A200" s="138"/>
      <c r="H200">
        <v>195.0</v>
      </c>
    </row>
    <row r="201">
      <c r="A201" s="138"/>
      <c r="H201">
        <v>196.0</v>
      </c>
    </row>
    <row r="202">
      <c r="A202" s="138"/>
      <c r="H202">
        <v>197.0</v>
      </c>
    </row>
    <row r="203">
      <c r="A203" s="138"/>
      <c r="H203">
        <v>198.0</v>
      </c>
    </row>
    <row r="204">
      <c r="A204" s="138"/>
      <c r="H204">
        <v>199.0</v>
      </c>
    </row>
    <row r="205">
      <c r="A205" s="138"/>
      <c r="H205">
        <v>200.0</v>
      </c>
    </row>
    <row r="206">
      <c r="A206" s="138"/>
      <c r="H206">
        <v>201.0</v>
      </c>
    </row>
    <row r="207">
      <c r="A207" s="138"/>
      <c r="H207">
        <v>202.0</v>
      </c>
    </row>
    <row r="208">
      <c r="A208" s="138"/>
      <c r="H208">
        <v>203.0</v>
      </c>
    </row>
    <row r="209">
      <c r="A209" s="138"/>
      <c r="H209">
        <v>204.0</v>
      </c>
    </row>
    <row r="210">
      <c r="A210" s="138"/>
      <c r="H210">
        <v>205.0</v>
      </c>
    </row>
    <row r="211">
      <c r="A211" s="138"/>
      <c r="H211">
        <v>206.0</v>
      </c>
    </row>
    <row r="212">
      <c r="A212" s="138"/>
      <c r="H212">
        <v>207.0</v>
      </c>
    </row>
    <row r="213">
      <c r="A213" s="138"/>
      <c r="H213">
        <v>208.0</v>
      </c>
    </row>
    <row r="214">
      <c r="A214" s="138"/>
      <c r="H214">
        <v>209.0</v>
      </c>
    </row>
    <row r="215">
      <c r="A215" s="138"/>
      <c r="H215">
        <v>210.0</v>
      </c>
    </row>
    <row r="216">
      <c r="A216" s="138"/>
      <c r="H216">
        <v>211.0</v>
      </c>
    </row>
    <row r="217">
      <c r="A217" s="138"/>
      <c r="H217">
        <v>212.0</v>
      </c>
    </row>
    <row r="218">
      <c r="A218" s="138"/>
      <c r="H218">
        <v>213.0</v>
      </c>
    </row>
    <row r="219">
      <c r="A219" s="138"/>
      <c r="H219">
        <v>214.0</v>
      </c>
    </row>
    <row r="220">
      <c r="A220" s="138"/>
      <c r="H220">
        <v>215.0</v>
      </c>
    </row>
    <row r="221">
      <c r="A221" s="138"/>
      <c r="H221">
        <v>216.0</v>
      </c>
    </row>
    <row r="222">
      <c r="A222" s="138"/>
      <c r="H222">
        <v>217.0</v>
      </c>
    </row>
    <row r="223">
      <c r="A223" s="138"/>
      <c r="H223">
        <v>218.0</v>
      </c>
    </row>
    <row r="224">
      <c r="A224" s="138"/>
      <c r="H224">
        <v>219.0</v>
      </c>
    </row>
    <row r="225">
      <c r="A225" s="138"/>
      <c r="H225">
        <v>220.0</v>
      </c>
    </row>
    <row r="226">
      <c r="A226" s="138"/>
      <c r="H226">
        <v>221.0</v>
      </c>
    </row>
    <row r="227">
      <c r="A227" s="138"/>
      <c r="H227">
        <v>222.0</v>
      </c>
    </row>
    <row r="228">
      <c r="A228" s="138"/>
      <c r="H228">
        <v>223.0</v>
      </c>
    </row>
    <row r="229">
      <c r="A229" s="138"/>
      <c r="H229">
        <v>224.0</v>
      </c>
    </row>
    <row r="230">
      <c r="A230" s="138"/>
      <c r="H230">
        <v>225.0</v>
      </c>
    </row>
    <row r="231">
      <c r="A231" s="138"/>
      <c r="H231">
        <v>226.0</v>
      </c>
    </row>
    <row r="232">
      <c r="A232" s="138"/>
      <c r="H232">
        <v>227.0</v>
      </c>
    </row>
    <row r="233">
      <c r="A233" s="138"/>
      <c r="H233">
        <v>228.0</v>
      </c>
    </row>
    <row r="234">
      <c r="A234" s="138"/>
      <c r="H234">
        <v>229.0</v>
      </c>
    </row>
    <row r="235">
      <c r="A235" s="138"/>
      <c r="H235">
        <v>230.0</v>
      </c>
    </row>
    <row r="236">
      <c r="A236" s="138"/>
      <c r="H236">
        <v>231.0</v>
      </c>
    </row>
    <row r="237">
      <c r="A237" s="138"/>
      <c r="H237">
        <v>232.0</v>
      </c>
    </row>
    <row r="238">
      <c r="A238" s="138"/>
      <c r="H238">
        <v>233.0</v>
      </c>
    </row>
    <row r="239">
      <c r="A239" s="138"/>
      <c r="H239">
        <v>234.0</v>
      </c>
    </row>
    <row r="240">
      <c r="A240" s="138"/>
      <c r="H240">
        <v>235.0</v>
      </c>
    </row>
    <row r="241">
      <c r="A241" s="138"/>
      <c r="H241">
        <v>236.0</v>
      </c>
    </row>
    <row r="242">
      <c r="A242" s="138"/>
      <c r="H242">
        <v>237.0</v>
      </c>
    </row>
    <row r="243">
      <c r="A243" s="138"/>
      <c r="H243">
        <v>238.0</v>
      </c>
    </row>
    <row r="244">
      <c r="A244" s="138"/>
      <c r="H244">
        <v>239.0</v>
      </c>
    </row>
    <row r="245">
      <c r="A245" s="138"/>
      <c r="H245">
        <v>240.0</v>
      </c>
    </row>
    <row r="246">
      <c r="A246" s="138"/>
      <c r="H246">
        <v>241.0</v>
      </c>
    </row>
    <row r="247">
      <c r="A247" s="138"/>
      <c r="H247">
        <v>242.0</v>
      </c>
    </row>
    <row r="248">
      <c r="A248" s="138"/>
      <c r="H248">
        <v>243.0</v>
      </c>
    </row>
    <row r="249">
      <c r="A249" s="138"/>
      <c r="H249">
        <v>244.0</v>
      </c>
    </row>
    <row r="250">
      <c r="A250" s="138"/>
      <c r="H250">
        <v>245.0</v>
      </c>
    </row>
    <row r="251">
      <c r="A251" s="138"/>
      <c r="H251">
        <v>246.0</v>
      </c>
    </row>
    <row r="252">
      <c r="A252" s="138"/>
      <c r="H252">
        <v>247.0</v>
      </c>
    </row>
    <row r="253">
      <c r="A253" s="138"/>
      <c r="H253">
        <v>248.0</v>
      </c>
    </row>
    <row r="254">
      <c r="A254" s="138"/>
      <c r="H254">
        <v>249.0</v>
      </c>
    </row>
    <row r="255">
      <c r="A255" s="138"/>
      <c r="H255">
        <v>250.0</v>
      </c>
    </row>
    <row r="256">
      <c r="A256" s="138"/>
      <c r="H256">
        <v>251.0</v>
      </c>
    </row>
    <row r="257">
      <c r="A257" s="138"/>
      <c r="H257">
        <v>252.0</v>
      </c>
    </row>
    <row r="258">
      <c r="A258" s="138"/>
      <c r="H258">
        <v>253.0</v>
      </c>
    </row>
    <row r="259">
      <c r="A259" s="138"/>
      <c r="H259">
        <v>254.0</v>
      </c>
    </row>
    <row r="260">
      <c r="A260" s="138"/>
      <c r="H260">
        <v>255.0</v>
      </c>
    </row>
    <row r="261">
      <c r="A261" s="138"/>
      <c r="H261">
        <v>256.0</v>
      </c>
    </row>
    <row r="262">
      <c r="A262" s="138"/>
      <c r="H262">
        <v>257.0</v>
      </c>
    </row>
    <row r="263">
      <c r="A263" s="138"/>
      <c r="H263">
        <v>258.0</v>
      </c>
    </row>
    <row r="264">
      <c r="A264" s="138"/>
      <c r="H264">
        <v>259.0</v>
      </c>
    </row>
    <row r="265">
      <c r="A265" s="138"/>
      <c r="H265">
        <v>260.0</v>
      </c>
    </row>
    <row r="266">
      <c r="A266" s="138"/>
      <c r="H266">
        <v>261.0</v>
      </c>
    </row>
    <row r="267">
      <c r="A267" s="138"/>
      <c r="H267">
        <v>262.0</v>
      </c>
    </row>
    <row r="268">
      <c r="A268" s="138"/>
      <c r="H268">
        <v>263.0</v>
      </c>
    </row>
    <row r="269">
      <c r="A269" s="138"/>
      <c r="H269">
        <v>264.0</v>
      </c>
    </row>
    <row r="270">
      <c r="A270" s="138"/>
      <c r="H270">
        <v>265.0</v>
      </c>
    </row>
    <row r="271">
      <c r="A271" s="138"/>
      <c r="H271">
        <v>266.0</v>
      </c>
    </row>
    <row r="272">
      <c r="A272" s="138"/>
      <c r="H272">
        <v>267.0</v>
      </c>
    </row>
    <row r="273">
      <c r="A273" s="138"/>
      <c r="H273">
        <v>268.0</v>
      </c>
    </row>
    <row r="274">
      <c r="A274" s="138"/>
      <c r="H274">
        <v>269.0</v>
      </c>
    </row>
    <row r="275">
      <c r="A275" s="138"/>
      <c r="H275">
        <v>270.0</v>
      </c>
    </row>
    <row r="276">
      <c r="A276" s="138"/>
      <c r="H276">
        <v>271.0</v>
      </c>
    </row>
    <row r="277">
      <c r="A277" s="138"/>
      <c r="H277">
        <v>272.0</v>
      </c>
    </row>
    <row r="278">
      <c r="A278" s="138"/>
      <c r="H278">
        <v>273.0</v>
      </c>
    </row>
    <row r="279">
      <c r="A279" s="138"/>
      <c r="H279">
        <v>274.0</v>
      </c>
    </row>
    <row r="280">
      <c r="A280" s="138"/>
      <c r="H280">
        <v>275.0</v>
      </c>
    </row>
    <row r="281">
      <c r="A281" s="138"/>
      <c r="H281">
        <v>276.0</v>
      </c>
    </row>
    <row r="282">
      <c r="A282" s="138"/>
      <c r="H282">
        <v>277.0</v>
      </c>
    </row>
    <row r="283">
      <c r="A283" s="138"/>
      <c r="H283">
        <v>278.0</v>
      </c>
    </row>
    <row r="284">
      <c r="A284" s="138"/>
      <c r="H284">
        <v>279.0</v>
      </c>
    </row>
    <row r="285">
      <c r="A285" s="138"/>
      <c r="H285">
        <v>280.0</v>
      </c>
    </row>
    <row r="286">
      <c r="A286" s="138"/>
      <c r="H286">
        <v>281.0</v>
      </c>
    </row>
    <row r="287">
      <c r="A287" s="138"/>
      <c r="H287">
        <v>282.0</v>
      </c>
    </row>
    <row r="288">
      <c r="A288" s="138"/>
      <c r="H288">
        <v>283.0</v>
      </c>
    </row>
    <row r="289">
      <c r="A289" s="138"/>
      <c r="H289">
        <v>284.0</v>
      </c>
    </row>
    <row r="290">
      <c r="A290" s="138"/>
      <c r="H290">
        <v>285.0</v>
      </c>
    </row>
    <row r="291">
      <c r="A291" s="138"/>
      <c r="H291">
        <v>286.0</v>
      </c>
    </row>
    <row r="292">
      <c r="A292" s="138"/>
      <c r="H292">
        <v>287.0</v>
      </c>
    </row>
    <row r="293">
      <c r="A293" s="138"/>
      <c r="H293">
        <v>288.0</v>
      </c>
    </row>
    <row r="294">
      <c r="A294" s="138"/>
      <c r="H294">
        <v>289.0</v>
      </c>
    </row>
    <row r="295">
      <c r="A295" s="138"/>
      <c r="H295">
        <v>290.0</v>
      </c>
    </row>
    <row r="296">
      <c r="A296" s="138"/>
      <c r="H296">
        <v>291.0</v>
      </c>
    </row>
    <row r="297">
      <c r="A297" s="138"/>
      <c r="H297">
        <v>292.0</v>
      </c>
    </row>
    <row r="298">
      <c r="A298" s="138"/>
      <c r="H298">
        <v>293.0</v>
      </c>
    </row>
    <row r="299">
      <c r="A299" s="138"/>
      <c r="H299">
        <v>294.0</v>
      </c>
    </row>
    <row r="300">
      <c r="A300" s="138"/>
      <c r="H300">
        <v>295.0</v>
      </c>
    </row>
    <row r="301">
      <c r="A301" s="138"/>
      <c r="H301">
        <v>296.0</v>
      </c>
    </row>
    <row r="302">
      <c r="A302" s="138"/>
      <c r="H302">
        <v>297.0</v>
      </c>
    </row>
    <row r="303">
      <c r="A303" s="138"/>
      <c r="H303">
        <v>298.0</v>
      </c>
    </row>
    <row r="304">
      <c r="A304" s="138"/>
      <c r="H304">
        <v>299.0</v>
      </c>
    </row>
    <row r="305">
      <c r="A305" s="138"/>
      <c r="H305">
        <v>300.0</v>
      </c>
    </row>
  </sheetData>
  <autoFilter ref="$A$5:$H$305"/>
  <mergeCells count="1">
    <mergeCell ref="B1:F1"/>
  </mergeCells>
  <conditionalFormatting sqref="G4:G5">
    <cfRule type="cellIs" dxfId="12" priority="1" operator="lessThanOrEqual">
      <formula>F4</formula>
    </cfRule>
  </conditionalFormatting>
  <conditionalFormatting sqref="B3:E305">
    <cfRule type="cellIs" dxfId="13" priority="2" operator="lessThan">
      <formula>0</formula>
    </cfRule>
  </conditionalFormatting>
  <conditionalFormatting sqref="B6:B305">
    <cfRule type="colorScale" priority="3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C6:C305">
    <cfRule type="colorScale" priority="4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6:D305">
    <cfRule type="colorScale" priority="5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E6:E305">
    <cfRule type="colorScale" priority="6">
      <colorScale>
        <cfvo type="min"/>
        <cfvo type="percentile" val="50"/>
        <cfvo type="max"/>
        <color rgb="FFE67C73"/>
        <color rgb="FFFFD666"/>
        <color rgb="FF57BB8A"/>
      </colorScale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4.0" customHeight="1">
      <c r="A1" s="145" t="s">
        <v>157</v>
      </c>
      <c r="B1" s="45"/>
      <c r="C1" s="45"/>
      <c r="D1" s="45"/>
      <c r="E1" s="45"/>
      <c r="F1" s="45"/>
      <c r="G1" s="45"/>
      <c r="H1" s="45"/>
      <c r="I1" s="45"/>
      <c r="J1" s="45"/>
    </row>
    <row r="2">
      <c r="A2" s="146" t="s">
        <v>159</v>
      </c>
      <c r="F2" s="146" t="s">
        <v>160</v>
      </c>
    </row>
    <row r="4">
      <c r="F4" s="146" t="s">
        <v>161</v>
      </c>
    </row>
    <row r="5">
      <c r="F5" s="146"/>
    </row>
    <row r="6">
      <c r="F6" s="146"/>
    </row>
    <row r="7">
      <c r="F7" s="146"/>
    </row>
    <row r="8">
      <c r="A8" s="148" t="s">
        <v>162</v>
      </c>
      <c r="B8" s="45"/>
      <c r="C8" s="45"/>
      <c r="D8" s="45"/>
      <c r="E8" s="45"/>
      <c r="F8" s="45"/>
      <c r="G8" s="45"/>
      <c r="H8" s="45"/>
      <c r="I8" s="45"/>
      <c r="J8" s="45"/>
    </row>
    <row r="9">
      <c r="A9" s="5" t="s">
        <v>163</v>
      </c>
      <c r="B9" s="146" t="s">
        <v>164</v>
      </c>
      <c r="E9" s="92"/>
      <c r="F9" s="151" t="s">
        <v>166</v>
      </c>
      <c r="J9" s="5" t="s">
        <v>168</v>
      </c>
    </row>
    <row r="10">
      <c r="E10" s="92"/>
      <c r="F10" s="11"/>
      <c r="J10" s="156" t="s">
        <v>169</v>
      </c>
    </row>
    <row r="11">
      <c r="B11" s="158" t="s">
        <v>172</v>
      </c>
      <c r="C11" s="28"/>
      <c r="D11" s="28"/>
      <c r="E11" s="28"/>
      <c r="F11" s="28"/>
      <c r="G11" s="28"/>
      <c r="H11" s="28"/>
      <c r="I11" s="160"/>
    </row>
    <row r="12">
      <c r="B12" s="41"/>
      <c r="C12" s="45"/>
      <c r="D12" s="45"/>
      <c r="E12" s="45"/>
      <c r="F12" s="45"/>
      <c r="G12" s="45"/>
      <c r="H12" s="45"/>
      <c r="I12" s="162"/>
    </row>
    <row r="13">
      <c r="B13" s="158" t="s">
        <v>177</v>
      </c>
      <c r="C13" s="28"/>
      <c r="D13" s="28"/>
      <c r="E13" s="28"/>
      <c r="F13" s="28"/>
      <c r="G13" s="28"/>
      <c r="H13" s="28"/>
      <c r="I13" s="160"/>
    </row>
    <row r="14">
      <c r="B14" s="41"/>
      <c r="C14" s="45"/>
      <c r="D14" s="45"/>
      <c r="E14" s="45"/>
      <c r="F14" s="45"/>
      <c r="G14" s="45"/>
      <c r="H14" s="45"/>
      <c r="I14" s="162"/>
    </row>
    <row r="15">
      <c r="B15" s="158" t="s">
        <v>178</v>
      </c>
      <c r="C15" s="28"/>
      <c r="D15" s="28"/>
      <c r="E15" s="28"/>
      <c r="F15" s="28"/>
      <c r="G15" s="28"/>
      <c r="H15" s="28"/>
      <c r="I15" s="160"/>
    </row>
    <row r="16">
      <c r="B16" s="41"/>
      <c r="C16" s="45"/>
      <c r="D16" s="45"/>
      <c r="E16" s="45"/>
      <c r="F16" s="45"/>
      <c r="G16" s="45"/>
      <c r="H16" s="45"/>
      <c r="I16" s="162"/>
    </row>
  </sheetData>
  <mergeCells count="14">
    <mergeCell ref="F4:J4"/>
    <mergeCell ref="F2:J3"/>
    <mergeCell ref="A1:J1"/>
    <mergeCell ref="A2:E7"/>
    <mergeCell ref="A8:J8"/>
    <mergeCell ref="F7:J7"/>
    <mergeCell ref="F6:J6"/>
    <mergeCell ref="F5:J5"/>
    <mergeCell ref="F9:I10"/>
    <mergeCell ref="B13:I14"/>
    <mergeCell ref="B15:I16"/>
    <mergeCell ref="B11:I12"/>
    <mergeCell ref="J10:K14"/>
    <mergeCell ref="B9:E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D966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75"/>
  <cols>
    <col customWidth="1" min="1" max="1" width="13.71"/>
    <col customWidth="1" min="2" max="2" width="5.29"/>
    <col customWidth="1" min="3" max="3" width="6.71"/>
    <col customWidth="1" min="4" max="23" width="3.14"/>
    <col customWidth="1" min="24" max="24" width="13.29"/>
    <col customWidth="1" min="25" max="25" width="4.71"/>
    <col customWidth="1" min="26" max="26" width="2.43"/>
  </cols>
  <sheetData>
    <row r="1">
      <c r="A1" s="153" t="s">
        <v>170</v>
      </c>
      <c r="B1" s="157" t="s">
        <v>120</v>
      </c>
      <c r="C1" s="157" t="s">
        <v>173</v>
      </c>
      <c r="D1" s="157">
        <v>1.0</v>
      </c>
      <c r="E1" s="157">
        <v>2.0</v>
      </c>
      <c r="F1" s="157">
        <v>3.0</v>
      </c>
      <c r="G1" s="157">
        <v>4.0</v>
      </c>
      <c r="H1" s="157">
        <v>5.0</v>
      </c>
      <c r="I1" s="157">
        <v>6.0</v>
      </c>
      <c r="J1" s="157">
        <v>7.0</v>
      </c>
      <c r="K1" s="157">
        <v>8.0</v>
      </c>
      <c r="L1" s="157">
        <v>9.0</v>
      </c>
      <c r="M1" s="157">
        <v>10.0</v>
      </c>
      <c r="N1" s="157">
        <v>11.0</v>
      </c>
      <c r="O1" s="157">
        <v>12.0</v>
      </c>
      <c r="P1" s="157">
        <v>13.0</v>
      </c>
      <c r="Q1" s="157">
        <v>14.0</v>
      </c>
      <c r="R1" s="157">
        <v>15.0</v>
      </c>
      <c r="S1" s="157">
        <v>16.0</v>
      </c>
      <c r="T1" s="157">
        <v>17.0</v>
      </c>
      <c r="U1" s="157">
        <v>18.0</v>
      </c>
      <c r="V1" s="157">
        <v>19.0</v>
      </c>
      <c r="W1" s="159">
        <v>20.0</v>
      </c>
      <c r="X1" s="161" t="s">
        <v>174</v>
      </c>
      <c r="Y1" s="161" t="s">
        <v>175</v>
      </c>
      <c r="Z1" s="163" t="s">
        <v>176</v>
      </c>
      <c r="AA1" s="45"/>
    </row>
    <row r="2">
      <c r="A2" s="165" t="s">
        <v>135</v>
      </c>
      <c r="B2" s="23">
        <v>12.0</v>
      </c>
      <c r="C2" s="109">
        <f t="array" ref="C2:C7">TRANSPOSE(RacialAbilities)</f>
        <v>4</v>
      </c>
      <c r="D2" s="44"/>
      <c r="E2" s="50"/>
      <c r="F2" s="50"/>
      <c r="G2" s="44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109">
        <f t="shared" ref="X2:X7" si="1">Sum(B2:W2)+COUNTIFS($AA$2:$AA$7,A2,$Z$2:$Z$7,"✓")</f>
        <v>16</v>
      </c>
      <c r="Y2" s="109">
        <f t="shared" ref="Y2:Y7" si="2">INT((X2-10)/2)</f>
        <v>3</v>
      </c>
      <c r="Z2" s="169" t="str">
        <f>If(HitDiceU&gt;3,"✓","")</f>
        <v/>
      </c>
      <c r="AA2" s="171"/>
    </row>
    <row r="3">
      <c r="A3" s="165" t="s">
        <v>145</v>
      </c>
      <c r="B3" s="23">
        <v>14.0</v>
      </c>
      <c r="C3" s="173">
        <v>-2.0</v>
      </c>
      <c r="D3" s="50"/>
      <c r="E3" s="44"/>
      <c r="F3" s="50"/>
      <c r="G3" s="44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109">
        <f t="shared" si="1"/>
        <v>12</v>
      </c>
      <c r="Y3" s="109">
        <f t="shared" si="2"/>
        <v>1</v>
      </c>
      <c r="Z3" s="169" t="str">
        <f>If(HitDiceU&gt;7,"✓","")</f>
        <v/>
      </c>
      <c r="AA3" s="171"/>
    </row>
    <row r="4">
      <c r="A4" s="165" t="s">
        <v>146</v>
      </c>
      <c r="B4" s="23">
        <v>14.0</v>
      </c>
      <c r="C4" s="109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109">
        <f t="shared" si="1"/>
        <v>14</v>
      </c>
      <c r="Y4" s="109">
        <f t="shared" si="2"/>
        <v>2</v>
      </c>
      <c r="Z4" s="169" t="str">
        <f>If(HitDiceU&gt;11,"✓","")</f>
        <v/>
      </c>
      <c r="AA4" s="171"/>
    </row>
    <row r="5">
      <c r="A5" s="165" t="s">
        <v>151</v>
      </c>
      <c r="B5" s="23">
        <v>14.0</v>
      </c>
      <c r="C5" s="109"/>
      <c r="D5" s="50"/>
      <c r="E5" s="50"/>
      <c r="F5" s="50"/>
      <c r="G5" s="44"/>
      <c r="H5" s="50"/>
      <c r="I5" s="50"/>
      <c r="J5" s="44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109">
        <f t="shared" si="1"/>
        <v>14</v>
      </c>
      <c r="Y5" s="109">
        <f t="shared" si="2"/>
        <v>2</v>
      </c>
      <c r="Z5" s="169" t="str">
        <f>If(HitDiceU&gt;15,"✓","")</f>
        <v/>
      </c>
      <c r="AA5" s="171"/>
    </row>
    <row r="6">
      <c r="A6" s="165" t="s">
        <v>154</v>
      </c>
      <c r="B6" s="23">
        <v>14.0</v>
      </c>
      <c r="C6" s="109"/>
      <c r="D6" s="50"/>
      <c r="E6" s="50"/>
      <c r="F6" s="50"/>
      <c r="G6" s="44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109">
        <f t="shared" si="1"/>
        <v>14</v>
      </c>
      <c r="Y6" s="109">
        <f t="shared" si="2"/>
        <v>2</v>
      </c>
      <c r="Z6" s="169" t="str">
        <f>If(HitDiceU&gt;19,"✓","")</f>
        <v/>
      </c>
      <c r="AA6" s="171"/>
    </row>
    <row r="7">
      <c r="A7" s="178" t="s">
        <v>156</v>
      </c>
      <c r="B7" s="23">
        <v>14.0</v>
      </c>
      <c r="C7" s="173"/>
      <c r="D7" s="44"/>
      <c r="E7" s="44"/>
      <c r="F7" s="50"/>
      <c r="G7" s="44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109">
        <f t="shared" si="1"/>
        <v>14</v>
      </c>
      <c r="Y7" s="109">
        <f t="shared" si="2"/>
        <v>2</v>
      </c>
      <c r="Z7" s="169"/>
      <c r="AA7" s="181"/>
    </row>
    <row r="8">
      <c r="B8" s="31"/>
      <c r="C8" s="28"/>
      <c r="D8" s="28"/>
      <c r="E8" s="28"/>
      <c r="F8" s="28"/>
      <c r="G8" s="28"/>
      <c r="H8" s="28"/>
      <c r="I8" s="28"/>
      <c r="J8" s="28"/>
      <c r="K8" s="28"/>
      <c r="L8" s="28"/>
      <c r="S8" s="28"/>
      <c r="T8" s="28"/>
      <c r="U8" s="28"/>
      <c r="V8" s="28"/>
      <c r="W8" s="28"/>
      <c r="X8" s="28"/>
      <c r="Y8" s="28"/>
      <c r="Z8" s="28"/>
      <c r="AA8" s="28"/>
    </row>
    <row r="9">
      <c r="A9" s="183" t="s">
        <v>185</v>
      </c>
      <c r="B9" s="109">
        <f t="array" ref="B9">SUM(VLOOKUP(B2:B7,PointBuyTable,2,true))</f>
        <v>34</v>
      </c>
      <c r="C9" s="11"/>
    </row>
    <row r="10">
      <c r="B10" s="28"/>
    </row>
    <row r="11">
      <c r="A11" s="189" t="s">
        <v>73</v>
      </c>
      <c r="B11" s="20" t="s">
        <v>190</v>
      </c>
      <c r="C11" s="22"/>
      <c r="D11" s="134"/>
      <c r="E11" s="134"/>
    </row>
  </sheetData>
  <mergeCells count="2">
    <mergeCell ref="B11:C11"/>
    <mergeCell ref="Z1:AA1"/>
  </mergeCells>
  <dataValidations>
    <dataValidation type="list" allowBlank="1" showErrorMessage="1" sqref="AA2:AA6">
      <formula1>Abilities!$A$2:$A$7</formula1>
    </dataValidation>
    <dataValidation type="list" allowBlank="1" showErrorMessage="1" sqref="B11">
      <formula1>RaceData!$A$2:$A$101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1" width="26.14"/>
    <col customWidth="1" min="2" max="2" width="9.0"/>
    <col customWidth="1" min="3" max="3" width="6.0"/>
    <col customWidth="1" min="4" max="4" width="4.43"/>
    <col customWidth="1" min="5" max="5" width="6.0"/>
    <col customWidth="1" min="6" max="6" width="8.0"/>
    <col customWidth="1" min="7" max="7" width="6.71"/>
    <col customWidth="1" min="8" max="47" width="5.14"/>
  </cols>
  <sheetData>
    <row r="1">
      <c r="A1" s="172"/>
      <c r="B1" s="172"/>
      <c r="C1" s="172"/>
      <c r="D1" s="172"/>
      <c r="E1" s="172"/>
      <c r="F1" s="172"/>
      <c r="G1" s="172"/>
      <c r="H1" s="174">
        <v>1.0</v>
      </c>
      <c r="I1" s="174">
        <v>2.0</v>
      </c>
      <c r="J1" s="174">
        <v>3.0</v>
      </c>
      <c r="K1" s="174">
        <v>4.0</v>
      </c>
      <c r="L1" s="174">
        <v>5.0</v>
      </c>
      <c r="M1" s="174">
        <v>6.0</v>
      </c>
      <c r="N1" s="174">
        <v>7.0</v>
      </c>
      <c r="O1" s="174">
        <v>8.0</v>
      </c>
      <c r="P1" s="174">
        <v>9.0</v>
      </c>
      <c r="Q1" s="174">
        <v>10.0</v>
      </c>
      <c r="R1" s="174">
        <v>11.0</v>
      </c>
      <c r="S1" s="174">
        <v>12.0</v>
      </c>
      <c r="T1" s="174">
        <v>13.0</v>
      </c>
      <c r="U1" s="174">
        <v>14.0</v>
      </c>
      <c r="V1" s="174">
        <v>15.0</v>
      </c>
      <c r="W1" s="174">
        <v>16.0</v>
      </c>
      <c r="X1" s="174">
        <v>17.0</v>
      </c>
      <c r="Y1" s="174">
        <v>18.0</v>
      </c>
      <c r="Z1" s="174">
        <v>19.0</v>
      </c>
      <c r="AA1" s="175">
        <v>20.0</v>
      </c>
      <c r="AB1" s="174">
        <v>21.0</v>
      </c>
      <c r="AC1" s="174">
        <v>22.0</v>
      </c>
      <c r="AD1" s="174">
        <v>23.0</v>
      </c>
      <c r="AE1" s="174">
        <v>24.0</v>
      </c>
      <c r="AF1" s="174">
        <v>25.0</v>
      </c>
      <c r="AG1" s="174">
        <v>26.0</v>
      </c>
      <c r="AH1" s="174">
        <v>27.0</v>
      </c>
      <c r="AI1" s="174">
        <v>28.0</v>
      </c>
      <c r="AJ1" s="174">
        <v>29.0</v>
      </c>
      <c r="AK1" s="175">
        <v>30.0</v>
      </c>
      <c r="AL1" s="174">
        <v>31.0</v>
      </c>
      <c r="AM1" s="174">
        <v>32.0</v>
      </c>
      <c r="AN1" s="174">
        <v>33.0</v>
      </c>
      <c r="AO1" s="174">
        <v>34.0</v>
      </c>
      <c r="AP1" s="174">
        <v>35.0</v>
      </c>
      <c r="AQ1" s="174">
        <v>36.0</v>
      </c>
      <c r="AR1" s="174">
        <v>37.0</v>
      </c>
      <c r="AS1" s="174">
        <v>38.0</v>
      </c>
      <c r="AT1" s="174">
        <v>39.0</v>
      </c>
      <c r="AU1" s="175">
        <v>40.0</v>
      </c>
    </row>
    <row r="2">
      <c r="A2" s="176" t="s">
        <v>182</v>
      </c>
      <c r="B2" s="180" t="s">
        <v>181</v>
      </c>
      <c r="C2" s="184" t="s">
        <v>175</v>
      </c>
      <c r="D2" s="180" t="s">
        <v>186</v>
      </c>
      <c r="E2" s="186" t="s">
        <v>187</v>
      </c>
      <c r="F2" s="180" t="s">
        <v>188</v>
      </c>
      <c r="G2" s="186" t="s">
        <v>189</v>
      </c>
      <c r="H2" s="191">
        <f>IF(AND(VLOOKUP(H1,Classes!$A$2:$C67,3,FALSE)&lt;&gt;"",VLOOKUP(H1,Classes!$A$2:$C67,3,FALSE)-SUM(H3:H67)&lt;&gt;0),VLOOKUP(H1,Classes!$A$2:$C67,3,FALSE)-SUM(H3:H67),"")</f>
        <v>16</v>
      </c>
      <c r="I2" s="193">
        <f>IF(AND(VLOOKUP(I1,Classes!$A$2:$C67,3,FALSE)&lt;&gt;"",VLOOKUP(I1,Classes!$A$2:$C67,3,FALSE)-SUM(I3:I67)&lt;&gt;0),VLOOKUP(I1,Classes!$A$2:$C67,3,FALSE)-SUM(I3:I67),"")</f>
        <v>32</v>
      </c>
      <c r="J2" s="193" t="str">
        <f>IF(AND(VLOOKUP(J1,Classes!$A$2:$C67,3,FALSE)&lt;&gt;"",VLOOKUP(J1,Classes!$A$2:$C67,3,FALSE)-SUM(J3:J67)&lt;&gt;0),VLOOKUP(J1,Classes!$A$2:$C67,3,FALSE)-SUM(J3:J67),"")</f>
        <v/>
      </c>
      <c r="K2" s="193" t="str">
        <f>IF(AND(VLOOKUP(K1,Classes!$A$2:$C67,3,FALSE)&lt;&gt;"",VLOOKUP(K1,Classes!$A$2:$C67,3,FALSE)-SUM(K3:K67)&lt;&gt;0),VLOOKUP(K1,Classes!$A$2:$C67,3,FALSE)-SUM(K3:K67),"")</f>
        <v/>
      </c>
      <c r="L2" s="193" t="str">
        <f>IF(AND(VLOOKUP(L1,Classes!$A$2:$C67,3,FALSE)&lt;&gt;"",VLOOKUP(L1,Classes!$A$2:$C67,3,FALSE)-SUM(L3:L67)&lt;&gt;0),VLOOKUP(L1,Classes!$A$2:$C67,3,FALSE)-SUM(L3:L67),"")</f>
        <v/>
      </c>
      <c r="M2" s="193" t="str">
        <f>IF(AND(VLOOKUP(M1,Classes!$A$2:$C67,3,FALSE)&lt;&gt;"",VLOOKUP(M1,Classes!$A$2:$C67,3,FALSE)-SUM(M3:M67)&lt;&gt;0),VLOOKUP(M1,Classes!$A$2:$C67,3,FALSE)-SUM(M3:M67),"")</f>
        <v/>
      </c>
      <c r="N2" s="193" t="str">
        <f>IF(AND(VLOOKUP(N1,Classes!$A$2:$C67,3,FALSE)&lt;&gt;"",VLOOKUP(N1,Classes!$A$2:$C67,3,FALSE)-SUM(N3:N67)&lt;&gt;0),VLOOKUP(N1,Classes!$A$2:$C67,3,FALSE)-SUM(N3:N67),"")</f>
        <v/>
      </c>
      <c r="O2" s="193" t="str">
        <f>IF(AND(VLOOKUP(O1,Classes!$A$2:$C67,3,FALSE)&lt;&gt;"",VLOOKUP(O1,Classes!$A$2:$C67,3,FALSE)-SUM(O3:O67)&lt;&gt;0),VLOOKUP(O1,Classes!$A$2:$C67,3,FALSE)-SUM(O3:O67),"")</f>
        <v/>
      </c>
      <c r="P2" s="193" t="str">
        <f>IF(AND(VLOOKUP(P1,Classes!$A$2:$C67,3,FALSE)&lt;&gt;"",VLOOKUP(P1,Classes!$A$2:$C67,3,FALSE)-SUM(P3:P67)&lt;&gt;0),VLOOKUP(P1,Classes!$A$2:$C67,3,FALSE)-SUM(P3:P67),"")</f>
        <v/>
      </c>
      <c r="Q2" s="193" t="str">
        <f>IF(AND(VLOOKUP(Q1,Classes!$A$2:$C67,3,FALSE)&lt;&gt;"",VLOOKUP(Q1,Classes!$A$2:$C67,3,FALSE)-SUM(Q3:Q67)&lt;&gt;0),VLOOKUP(Q1,Classes!$A$2:$C67,3,FALSE)-SUM(Q3:Q67),"")</f>
        <v/>
      </c>
      <c r="R2" s="193" t="str">
        <f>IF(AND(VLOOKUP(R1,Classes!$A$2:$C67,3,FALSE)&lt;&gt;"",VLOOKUP(R1,Classes!$A$2:$C67,3,FALSE)-SUM(R3:R67)&lt;&gt;0),VLOOKUP(R1,Classes!$A$2:$C67,3,FALSE)-SUM(R3:R67),"")</f>
        <v/>
      </c>
      <c r="S2" s="193" t="str">
        <f>IF(AND(VLOOKUP(S1,Classes!$A$2:$C67,3,FALSE)&lt;&gt;"",VLOOKUP(S1,Classes!$A$2:$C67,3,FALSE)-SUM(S3:S67)&lt;&gt;0),VLOOKUP(S1,Classes!$A$2:$C67,3,FALSE)-SUM(S3:S67),"")</f>
        <v/>
      </c>
      <c r="T2" s="193" t="str">
        <f>IF(AND(VLOOKUP(T1,Classes!$A$2:$C67,3,FALSE)&lt;&gt;"",VLOOKUP(T1,Classes!$A$2:$C67,3,FALSE)-SUM(T3:T67)&lt;&gt;0),VLOOKUP(T1,Classes!$A$2:$C67,3,FALSE)-SUM(T3:T67),"")</f>
        <v/>
      </c>
      <c r="U2" s="193" t="str">
        <f>IF(AND(VLOOKUP(U1,Classes!$A$2:$C67,3,FALSE)&lt;&gt;"",VLOOKUP(U1,Classes!$A$2:$C67,3,FALSE)-SUM(U3:U67)&lt;&gt;0),VLOOKUP(U1,Classes!$A$2:$C67,3,FALSE)-SUM(U3:U67),"")</f>
        <v/>
      </c>
      <c r="V2" s="193" t="str">
        <f>IF(AND(VLOOKUP(V1,Classes!$A$2:$C67,3,FALSE)&lt;&gt;"",VLOOKUP(V1,Classes!$A$2:$C67,3,FALSE)-SUM(V3:V67)&lt;&gt;0),VLOOKUP(V1,Classes!$A$2:$C67,3,FALSE)-SUM(V3:V67),"")</f>
        <v/>
      </c>
      <c r="W2" s="193" t="str">
        <f>IF(AND(VLOOKUP(W1,Classes!$A$2:$C67,3,FALSE)&lt;&gt;"",VLOOKUP(W1,Classes!$A$2:$C67,3,FALSE)-SUM(W3:W67)&lt;&gt;0),VLOOKUP(W1,Classes!$A$2:$C67,3,FALSE)-SUM(W3:W67),"")</f>
        <v/>
      </c>
      <c r="X2" s="193" t="str">
        <f>IF(AND(VLOOKUP(X1,Classes!$A$2:$C67,3,FALSE)&lt;&gt;"",VLOOKUP(X1,Classes!$A$2:$C67,3,FALSE)-SUM(X3:X67)&lt;&gt;0),VLOOKUP(X1,Classes!$A$2:$C67,3,FALSE)-SUM(X3:X67),"")</f>
        <v/>
      </c>
      <c r="Y2" s="193" t="str">
        <f>IF(AND(VLOOKUP(Y1,Classes!$A$2:$C67,3,FALSE)&lt;&gt;"",VLOOKUP(Y1,Classes!$A$2:$C67,3,FALSE)-SUM(Y3:Y67)&lt;&gt;0),VLOOKUP(Y1,Classes!$A$2:$C67,3,FALSE)-SUM(Y3:Y67),"")</f>
        <v/>
      </c>
      <c r="Z2" s="193" t="str">
        <f>IF(AND(VLOOKUP(Z1,Classes!$A$2:$C67,3,FALSE)&lt;&gt;"",VLOOKUP(Z1,Classes!$A$2:$C67,3,FALSE)-SUM(Z3:Z67)&lt;&gt;0),VLOOKUP(Z1,Classes!$A$2:$C67,3,FALSE)-SUM(Z3:Z67),"")</f>
        <v/>
      </c>
      <c r="AA2" s="193" t="str">
        <f>IF(AND(VLOOKUP(AA1,Classes!$A$2:$C67,3,FALSE)&lt;&gt;"",VLOOKUP(AA1,Classes!$A$2:$C67,3,FALSE)-SUM(AA3:AA67)&lt;&gt;0),VLOOKUP(AA1,Classes!$A$2:$C67,3,FALSE)-SUM(AA3:AA67),"")</f>
        <v/>
      </c>
      <c r="AB2" s="193" t="str">
        <f>IF(AND(VLOOKUP(AB1,Classes!$A$2:$C67,3,FALSE)&lt;&gt;"",VLOOKUP(AB1,Classes!$A$2:$C67,3,FALSE)-SUM(AB3:AB67)&lt;&gt;0),VLOOKUP(AB1,Classes!$A$2:$C67,3,FALSE)-SUM(AB3:AB67),"")</f>
        <v/>
      </c>
      <c r="AC2" s="193" t="str">
        <f>IF(AND(VLOOKUP(AC1,Classes!$A$2:$C67,3,FALSE)&lt;&gt;"",VLOOKUP(AC1,Classes!$A$2:$C67,3,FALSE)-SUM(AC3:AC67)&lt;&gt;0),VLOOKUP(AC1,Classes!$A$2:$C67,3,FALSE)-SUM(AC3:AC67),"")</f>
        <v/>
      </c>
      <c r="AD2" s="193" t="str">
        <f>IF(AND(VLOOKUP(AD1,Classes!$A$2:$C67,3,FALSE)&lt;&gt;"",VLOOKUP(AD1,Classes!$A$2:$C67,3,FALSE)-SUM(AD3:AD67)&lt;&gt;0),VLOOKUP(AD1,Classes!$A$2:$C67,3,FALSE)-SUM(AD3:AD67),"")</f>
        <v/>
      </c>
      <c r="AE2" s="193" t="str">
        <f>IF(AND(VLOOKUP(AE1,Classes!$A$2:$C67,3,FALSE)&lt;&gt;"",VLOOKUP(AE1,Classes!$A$2:$C67,3,FALSE)-SUM(AE3:AE67)&lt;&gt;0),VLOOKUP(AE1,Classes!$A$2:$C67,3,FALSE)-SUM(AE3:AE67),"")</f>
        <v/>
      </c>
      <c r="AF2" s="193" t="str">
        <f>IF(AND(VLOOKUP(AF1,Classes!$A$2:$C67,3,FALSE)&lt;&gt;"",VLOOKUP(AF1,Classes!$A$2:$C67,3,FALSE)-SUM(AF3:AF67)&lt;&gt;0),VLOOKUP(AF1,Classes!$A$2:$C67,3,FALSE)-SUM(AF3:AF67),"")</f>
        <v/>
      </c>
      <c r="AG2" s="193" t="str">
        <f>IF(AND(VLOOKUP(AG1,Classes!$A$2:$C67,3,FALSE)&lt;&gt;"",VLOOKUP(AG1,Classes!$A$2:$C67,3,FALSE)-SUM(AG3:AG67)&lt;&gt;0),VLOOKUP(AG1,Classes!$A$2:$C67,3,FALSE)-SUM(AG3:AG67),"")</f>
        <v/>
      </c>
      <c r="AH2" s="193" t="str">
        <f>IF(AND(VLOOKUP(AH1,Classes!$A$2:$C67,3,FALSE)&lt;&gt;"",VLOOKUP(AH1,Classes!$A$2:$C67,3,FALSE)-SUM(AH3:AH67)&lt;&gt;0),VLOOKUP(AH1,Classes!$A$2:$C67,3,FALSE)-SUM(AH3:AH67),"")</f>
        <v/>
      </c>
      <c r="AI2" s="193" t="str">
        <f>IF(AND(VLOOKUP(AI1,Classes!$A$2:$C67,3,FALSE)&lt;&gt;"",VLOOKUP(AI1,Classes!$A$2:$C67,3,FALSE)-SUM(AI3:AI67)&lt;&gt;0),VLOOKUP(AI1,Classes!$A$2:$C67,3,FALSE)-SUM(AI3:AI67),"")</f>
        <v/>
      </c>
      <c r="AJ2" s="193" t="str">
        <f>IF(AND(VLOOKUP(AJ1,Classes!$A$2:$C67,3,FALSE)&lt;&gt;"",VLOOKUP(AJ1,Classes!$A$2:$C67,3,FALSE)-SUM(AJ3:AJ67)&lt;&gt;0),VLOOKUP(AJ1,Classes!$A$2:$C67,3,FALSE)-SUM(AJ3:AJ67),"")</f>
        <v/>
      </c>
      <c r="AK2" s="193" t="str">
        <f>IF(AND(VLOOKUP(AK1,Classes!$A$2:$C67,3,FALSE)&lt;&gt;"",VLOOKUP(AK1,Classes!$A$2:$C67,3,FALSE)-SUM(AK3:AK67)&lt;&gt;0),VLOOKUP(AK1,Classes!$A$2:$C67,3,FALSE)-SUM(AK3:AK67),"")</f>
        <v/>
      </c>
      <c r="AL2" s="193" t="str">
        <f>IF(AND(VLOOKUP(AL1,Classes!$A$2:$C67,3,FALSE)&lt;&gt;"",VLOOKUP(AL1,Classes!$A$2:$C67,3,FALSE)-SUM(AL3:AL67)&lt;&gt;0),VLOOKUP(AL1,Classes!$A$2:$C67,3,FALSE)-SUM(AL3:AL67),"")</f>
        <v/>
      </c>
      <c r="AM2" s="193" t="str">
        <f>IF(AND(VLOOKUP(AM1,Classes!$A$2:$C67,3,FALSE)&lt;&gt;"",VLOOKUP(AM1,Classes!$A$2:$C67,3,FALSE)-SUM(AM3:AM67)&lt;&gt;0),VLOOKUP(AM1,Classes!$A$2:$C67,3,FALSE)-SUM(AM3:AM67),"")</f>
        <v/>
      </c>
      <c r="AN2" s="193" t="str">
        <f>IF(AND(VLOOKUP(AN1,Classes!$A$2:$C67,3,FALSE)&lt;&gt;"",VLOOKUP(AN1,Classes!$A$2:$C67,3,FALSE)-SUM(AN3:AN67)&lt;&gt;0),VLOOKUP(AN1,Classes!$A$2:$C67,3,FALSE)-SUM(AN3:AN67),"")</f>
        <v/>
      </c>
      <c r="AO2" s="193" t="str">
        <f>IF(AND(VLOOKUP(AO1,Classes!$A$2:$C67,3,FALSE)&lt;&gt;"",VLOOKUP(AO1,Classes!$A$2:$C67,3,FALSE)-SUM(AO3:AO67)&lt;&gt;0),VLOOKUP(AO1,Classes!$A$2:$C67,3,FALSE)-SUM(AO3:AO67),"")</f>
        <v/>
      </c>
      <c r="AP2" s="193" t="str">
        <f>IF(AND(VLOOKUP(AP1,Classes!$A$2:$C67,3,FALSE)&lt;&gt;"",VLOOKUP(AP1,Classes!$A$2:$C67,3,FALSE)-SUM(AP3:AP67)&lt;&gt;0),VLOOKUP(AP1,Classes!$A$2:$C67,3,FALSE)-SUM(AP3:AP67),"")</f>
        <v/>
      </c>
      <c r="AQ2" s="193" t="str">
        <f>IF(AND(VLOOKUP(AQ1,Classes!$A$2:$C67,3,FALSE)&lt;&gt;"",VLOOKUP(AQ1,Classes!$A$2:$C67,3,FALSE)-SUM(AQ3:AQ67)&lt;&gt;0),VLOOKUP(AQ1,Classes!$A$2:$C67,3,FALSE)-SUM(AQ3:AQ67),"")</f>
        <v/>
      </c>
      <c r="AR2" s="193" t="str">
        <f>IF(AND(VLOOKUP(AR1,Classes!$A$2:$C67,3,FALSE)&lt;&gt;"",VLOOKUP(AR1,Classes!$A$2:$C67,3,FALSE)-SUM(AR3:AR67)&lt;&gt;0),VLOOKUP(AR1,Classes!$A$2:$C67,3,FALSE)-SUM(AR3:AR67),"")</f>
        <v/>
      </c>
      <c r="AS2" s="193" t="str">
        <f>IF(AND(VLOOKUP(AS1,Classes!$A$2:$C67,3,FALSE)&lt;&gt;"",VLOOKUP(AS1,Classes!$A$2:$C67,3,FALSE)-SUM(AS3:AS67)&lt;&gt;0),VLOOKUP(AS1,Classes!$A$2:$C67,3,FALSE)-SUM(AS3:AS67),"")</f>
        <v/>
      </c>
      <c r="AT2" s="193" t="str">
        <f>IF(AND(VLOOKUP(AT1,Classes!$A$2:$C67,3,FALSE)&lt;&gt;"",VLOOKUP(AT1,Classes!$A$2:$C67,3,FALSE)-SUM(AT3:AT67)&lt;&gt;0),VLOOKUP(AT1,Classes!$A$2:$C67,3,FALSE)-SUM(AT3:AT67),"")</f>
        <v/>
      </c>
      <c r="AU2" s="193" t="str">
        <f>IF(AND(VLOOKUP(AU1,Classes!$A$2:$C67,3,FALSE)&lt;&gt;"",VLOOKUP(AU1,Classes!$A$2:$C67,3,FALSE)-SUM(AU3:AU67)&lt;&gt;0),VLOOKUP(AU1,Classes!$A$2:$C67,3,FALSE)-SUM(AU3:AU67),"")</f>
        <v/>
      </c>
    </row>
    <row r="3">
      <c r="A3" s="6" t="s">
        <v>217</v>
      </c>
      <c r="B3" s="234" t="s">
        <v>218</v>
      </c>
      <c r="C3" s="236">
        <f>IF(OR(E3="", AND(SkillData!CE1="FALSE",F3=0)),"",FLOOR(SkillData!CH1))</f>
        <v>2</v>
      </c>
      <c r="D3" s="23" t="s">
        <v>219</v>
      </c>
      <c r="E3" s="109">
        <f>IF(OR(COUNTIF(OFFSET(SkillData!A1,0,0,1,40),"1")&gt;0,D3="✓"),HitDice+3,IF(COUNTIF(OFFSET(SkillData!A1,0,0,1,40),"0.5")&gt;0,(HitDice+3)/2,""))</f>
        <v>2.5</v>
      </c>
      <c r="F3" s="245">
        <f t="array" ref="F3">SUMPRODUCT(H3:AU3,SkillData!A1:AN1)</f>
        <v>0</v>
      </c>
      <c r="G3" s="44"/>
      <c r="H3" s="23"/>
      <c r="I3" s="23"/>
      <c r="J3" s="23"/>
      <c r="K3" s="23"/>
      <c r="L3" s="23"/>
      <c r="M3" s="23"/>
      <c r="N3" s="23"/>
      <c r="O3" s="23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</row>
    <row r="4">
      <c r="A4" s="6" t="s">
        <v>221</v>
      </c>
      <c r="B4" s="234" t="s">
        <v>222</v>
      </c>
      <c r="C4" s="236" t="str">
        <f>IF(OR(E4="", AND(SkillData!CE2="FALSE",F4=0)),"",FLOOR(SkillData!CH2))</f>
        <v/>
      </c>
      <c r="D4" s="23" t="s">
        <v>219</v>
      </c>
      <c r="E4" s="109" t="str">
        <f>IF(OR(COUNTIF(OFFSET(SkillData!A2,0,0,1,40),"1")&gt;0,D4="✓"),HitDice+3,IF(COUNTIF(OFFSET(SkillData!A2,0,0,1,40),"0.5")&gt;0,(HitDice+3)/2,""))</f>
        <v/>
      </c>
      <c r="F4" s="245">
        <f t="array" ref="F4">SUMPRODUCT(H4:AU4,SkillData!A2:AN2)</f>
        <v>0</v>
      </c>
      <c r="G4" s="50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</row>
    <row r="5">
      <c r="A5" s="6" t="s">
        <v>224</v>
      </c>
      <c r="B5" s="234" t="s">
        <v>225</v>
      </c>
      <c r="C5" s="236">
        <f>IF(OR(E5="", AND(SkillData!CE3="FALSE",F5=0)),"",FLOOR(SkillData!CH3))</f>
        <v>1</v>
      </c>
      <c r="D5" s="87" t="s">
        <v>219</v>
      </c>
      <c r="E5" s="109">
        <f>IF(OR(COUNTIF(OFFSET(SkillData!A3,0,0,1,40),"1")&gt;0,D5="✓"),HitDice+3,IF(COUNTIF(OFFSET(SkillData!A3,0,0,1,40),"0.5")&gt;0,(HitDice+3)/2,""))</f>
        <v>2.5</v>
      </c>
      <c r="F5" s="245">
        <f t="array" ref="F5">SUMPRODUCT(H5:AU5,SkillData!A3:AN3)</f>
        <v>0</v>
      </c>
      <c r="G5" s="5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</row>
    <row r="6">
      <c r="A6" s="6" t="s">
        <v>228</v>
      </c>
      <c r="B6" s="234" t="s">
        <v>229</v>
      </c>
      <c r="C6" s="236">
        <f>IF(OR(E6="", AND(SkillData!CE4="FALSE",F6=0)),"",FLOOR(SkillData!CH4))</f>
        <v>2</v>
      </c>
      <c r="D6" s="23" t="s">
        <v>219</v>
      </c>
      <c r="E6" s="109">
        <f>IF(OR(COUNTIF(OFFSET(SkillData!A4,0,0,1,40),"1")&gt;0,D6="✓"),HitDice+3,IF(COUNTIF(OFFSET(SkillData!A4,0,0,1,40),"0.5")&gt;0,(HitDice+3)/2,""))</f>
        <v>2.5</v>
      </c>
      <c r="F6" s="245">
        <f t="array" ref="F6">SUMPRODUCT(H6:AU6,SkillData!A4:AN4)</f>
        <v>0</v>
      </c>
      <c r="G6" s="50"/>
      <c r="H6" s="23"/>
      <c r="I6" s="23"/>
      <c r="J6" s="23"/>
      <c r="K6" s="23"/>
      <c r="L6" s="23"/>
      <c r="M6" s="23"/>
      <c r="N6" s="24"/>
      <c r="O6" s="24"/>
      <c r="P6" s="24"/>
      <c r="Q6" s="24"/>
      <c r="R6" s="24"/>
      <c r="S6" s="24"/>
      <c r="T6" s="24"/>
      <c r="U6" s="24"/>
      <c r="V6" s="24"/>
      <c r="W6" s="24"/>
      <c r="X6" s="23"/>
      <c r="Y6" s="23"/>
      <c r="Z6" s="23"/>
      <c r="AA6" s="23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</row>
    <row r="7">
      <c r="A7" s="6" t="s">
        <v>147</v>
      </c>
      <c r="B7" s="234" t="s">
        <v>232</v>
      </c>
      <c r="C7" s="236">
        <f>IF(OR(E7="", AND(SkillData!CE5="FALSE",F7=0)),"",FLOOR(SkillData!CH5))</f>
        <v>3</v>
      </c>
      <c r="D7" s="87" t="s">
        <v>219</v>
      </c>
      <c r="E7" s="109">
        <f>IF(OR(COUNTIF(OFFSET(SkillData!A5,0,0,1,40),"1")&gt;0,D7="✓"),HitDice+3,IF(COUNTIF(OFFSET(SkillData!A5,0,0,1,40),"0.5")&gt;0,(HitDice+3)/2,""))</f>
        <v>5</v>
      </c>
      <c r="F7" s="245">
        <f t="array" ref="F7">SUMPRODUCT(H7:AU7,SkillData!A5:AN5)</f>
        <v>0</v>
      </c>
      <c r="G7" s="50"/>
      <c r="H7" s="23"/>
      <c r="I7" s="23"/>
      <c r="J7" s="24"/>
      <c r="K7" s="24"/>
      <c r="L7" s="23"/>
      <c r="M7" s="23"/>
      <c r="N7" s="23"/>
      <c r="O7" s="23"/>
      <c r="P7" s="23"/>
      <c r="Q7" s="23"/>
      <c r="R7" s="24"/>
      <c r="S7" s="23"/>
      <c r="T7" s="23"/>
      <c r="U7" s="23"/>
      <c r="V7" s="23"/>
      <c r="W7" s="23"/>
      <c r="X7" s="23"/>
      <c r="Y7" s="23"/>
      <c r="Z7" s="23"/>
      <c r="AA7" s="23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</row>
    <row r="8">
      <c r="A8" s="6" t="s">
        <v>234</v>
      </c>
      <c r="B8" s="234" t="s">
        <v>222</v>
      </c>
      <c r="C8" s="236" t="str">
        <f>IF(OR(E8="", AND(SkillData!CE6="FALSE",F8=0)),"",FLOOR(SkillData!CH6))</f>
        <v/>
      </c>
      <c r="D8" s="23" t="s">
        <v>219</v>
      </c>
      <c r="E8" s="109" t="str">
        <f>IF(OR(COUNTIF(OFFSET(SkillData!A6,0,0,1,40),"1")&gt;0,D8="✓"),HitDice+3,IF(COUNTIF(OFFSET(SkillData!A6,0,0,1,40),"0.5")&gt;0,(HitDice+3)/2,""))</f>
        <v/>
      </c>
      <c r="F8" s="245">
        <f t="array" ref="F8">SUMPRODUCT(H8:AU8,SkillData!A6:AN6)</f>
        <v>0</v>
      </c>
      <c r="G8" s="50"/>
      <c r="H8" s="24"/>
      <c r="I8" s="24"/>
      <c r="J8" s="24"/>
      <c r="K8" s="24"/>
      <c r="L8" s="23"/>
      <c r="M8" s="24"/>
      <c r="N8" s="24"/>
      <c r="O8" s="24"/>
      <c r="P8" s="23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</row>
    <row r="9">
      <c r="A9" s="6" t="s">
        <v>237</v>
      </c>
      <c r="B9" s="234" t="s">
        <v>238</v>
      </c>
      <c r="C9" s="236">
        <f>IF(OR(E9="", AND(SkillData!CE7="FALSE",F9=0)),"",FLOOR(SkillData!CH7))</f>
        <v>2</v>
      </c>
      <c r="D9" s="23" t="s">
        <v>219</v>
      </c>
      <c r="E9" s="109">
        <f>IF(OR(COUNTIF(OFFSET(SkillData!A7,0,0,1,40),"1")&gt;0,D9="✓"),HitDice+3,IF(COUNTIF(OFFSET(SkillData!A7,0,0,1,40),"0.5")&gt;0,(HitDice+3)/2,""))</f>
        <v>5</v>
      </c>
      <c r="F9" s="245">
        <f t="array" ref="F9">SUMPRODUCT(H9:AU9,SkillData!A7:AN7)</f>
        <v>0</v>
      </c>
      <c r="G9" s="50"/>
      <c r="H9" s="23"/>
      <c r="I9" s="23"/>
      <c r="J9" s="24"/>
      <c r="K9" s="23"/>
      <c r="L9" s="24"/>
      <c r="M9" s="24"/>
      <c r="N9" s="24"/>
      <c r="O9" s="24"/>
      <c r="P9" s="23"/>
      <c r="Q9" s="24"/>
      <c r="R9" s="24"/>
      <c r="S9" s="287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</row>
    <row r="10">
      <c r="A10" s="6" t="s">
        <v>241</v>
      </c>
      <c r="B10" s="234" t="s">
        <v>218</v>
      </c>
      <c r="C10" s="236">
        <f>IF(OR(E10="", AND(SkillData!CE8="FALSE",F10=0)),"",FLOOR(SkillData!CH8))</f>
        <v>2</v>
      </c>
      <c r="D10" s="87" t="s">
        <v>219</v>
      </c>
      <c r="E10" s="109">
        <f>IF(OR(COUNTIF(OFFSET(SkillData!A8,0,0,1,40),"1")&gt;0,D10="✓"),HitDice+3,IF(COUNTIF(OFFSET(SkillData!A8,0,0,1,40),"0.5")&gt;0,(HitDice+3)/2,""))</f>
        <v>5</v>
      </c>
      <c r="F10" s="245">
        <f t="array" ref="F10">SUMPRODUCT(H10:AU10,SkillData!A8:AN8)</f>
        <v>0</v>
      </c>
      <c r="G10" s="50"/>
      <c r="H10" s="23"/>
      <c r="I10" s="24"/>
      <c r="J10" s="24"/>
      <c r="K10" s="24"/>
      <c r="L10" s="24"/>
      <c r="M10" s="24"/>
      <c r="N10" s="24"/>
      <c r="O10" s="24"/>
      <c r="P10" s="23"/>
      <c r="Q10" s="24"/>
      <c r="R10" s="24"/>
      <c r="S10" s="24"/>
      <c r="T10" s="23"/>
      <c r="U10" s="23"/>
      <c r="V10" s="23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</row>
    <row r="11">
      <c r="A11" s="6" t="s">
        <v>245</v>
      </c>
      <c r="B11" s="234" t="s">
        <v>218</v>
      </c>
      <c r="C11" s="236">
        <f>IF(OR(E11="", AND(SkillData!CE9="FALSE",F11=0)),"",FLOOR(SkillData!CH9))</f>
        <v>2</v>
      </c>
      <c r="D11" s="87" t="s">
        <v>219</v>
      </c>
      <c r="E11" s="109">
        <f>IF(OR(COUNTIF(OFFSET(SkillData!A9,0,0,1,40),"1")&gt;0,D11="✓"),HitDice+3,IF(COUNTIF(OFFSET(SkillData!A9,0,0,1,40),"0.5")&gt;0,(HitDice+3)/2,""))</f>
        <v>5</v>
      </c>
      <c r="F11" s="245">
        <f t="array" ref="F11">SUMPRODUCT(H11:AU11,SkillData!A9:AN9)</f>
        <v>0</v>
      </c>
      <c r="G11" s="50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</row>
    <row r="12">
      <c r="A12" s="6" t="s">
        <v>250</v>
      </c>
      <c r="B12" s="234" t="s">
        <v>229</v>
      </c>
      <c r="C12" s="236">
        <f>IF(OR(E12="", AND(SkillData!CE10="FALSE",F12=0)),"",FLOOR(SkillData!CH10))</f>
        <v>2</v>
      </c>
      <c r="D12" s="87" t="s">
        <v>219</v>
      </c>
      <c r="E12" s="109">
        <f>IF(OR(COUNTIF(OFFSET(SkillData!A10,0,0,1,40),"1")&gt;0,D12="✓"),HitDice+3,IF(COUNTIF(OFFSET(SkillData!A10,0,0,1,40),"0.5")&gt;0,(HitDice+3)/2,""))</f>
        <v>5</v>
      </c>
      <c r="F12" s="245">
        <f t="array" ref="F12">SUMPRODUCT(H12:AU12,SkillData!A10:AN10)</f>
        <v>0</v>
      </c>
      <c r="G12" s="50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</row>
    <row r="13">
      <c r="A13" s="6" t="s">
        <v>253</v>
      </c>
      <c r="B13" s="234" t="s">
        <v>218</v>
      </c>
      <c r="C13" s="236">
        <f>IF(OR(E13="", AND(SkillData!CE11="FALSE",F13=0)),"",FLOOR(SkillData!CH11))</f>
        <v>2</v>
      </c>
      <c r="D13" s="87" t="s">
        <v>219</v>
      </c>
      <c r="E13" s="109">
        <f>IF(OR(COUNTIF(OFFSET(SkillData!A11,0,0,1,40),"1")&gt;0,D13="✓"),HitDice+3,IF(COUNTIF(OFFSET(SkillData!A11,0,0,1,40),"0.5")&gt;0,(HitDice+3)/2,""))</f>
        <v>2.5</v>
      </c>
      <c r="F13" s="245">
        <f t="array" ref="F13">SUMPRODUCT(H13:AU13,SkillData!A11:AN11)</f>
        <v>0</v>
      </c>
      <c r="G13" s="50"/>
      <c r="H13" s="23"/>
      <c r="I13" s="23"/>
      <c r="J13" s="23"/>
      <c r="K13" s="24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</row>
    <row r="14">
      <c r="A14" s="6" t="s">
        <v>263</v>
      </c>
      <c r="B14" s="234" t="s">
        <v>229</v>
      </c>
      <c r="C14" s="236">
        <f>IF(OR(E14="", AND(SkillData!CE12="FALSE",F14=0)),"",FLOOR(SkillData!CH12))</f>
        <v>2</v>
      </c>
      <c r="D14" s="87" t="s">
        <v>219</v>
      </c>
      <c r="E14" s="109">
        <f>IF(OR(COUNTIF(OFFSET(SkillData!A12,0,0,1,40),"1")&gt;0,D14="✓"),HitDice+3,IF(COUNTIF(OFFSET(SkillData!A12,0,0,1,40),"0.5")&gt;0,(HitDice+3)/2,""))</f>
        <v>2.5</v>
      </c>
      <c r="F14" s="245">
        <f t="array" ref="F14">SUMPRODUCT(H14:AU14,SkillData!A12:AN12)</f>
        <v>0</v>
      </c>
      <c r="G14" s="50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</row>
    <row r="15">
      <c r="A15" s="6" t="s">
        <v>264</v>
      </c>
      <c r="B15" s="234" t="s">
        <v>225</v>
      </c>
      <c r="C15" s="236">
        <f>IF(OR(E15="", AND(SkillData!CE13="FALSE",F15=0)),"",FLOOR(SkillData!CH13))</f>
        <v>1</v>
      </c>
      <c r="D15" s="23" t="s">
        <v>219</v>
      </c>
      <c r="E15" s="109">
        <f>IF(OR(COUNTIF(OFFSET(SkillData!A13,0,0,1,40),"1")&gt;0,D15="✓"),HitDice+3,IF(COUNTIF(OFFSET(SkillData!A13,0,0,1,40),"0.5")&gt;0,(HitDice+3)/2,""))</f>
        <v>2.5</v>
      </c>
      <c r="F15" s="245">
        <f t="array" ref="F15">SUMPRODUCT(H15:AU15,SkillData!A13:AN13)</f>
        <v>0</v>
      </c>
      <c r="G15" s="50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</row>
    <row r="16">
      <c r="A16" s="6" t="s">
        <v>268</v>
      </c>
      <c r="B16" s="234" t="s">
        <v>218</v>
      </c>
      <c r="C16" s="236">
        <f>IF(OR(E16="", AND(SkillData!CE14="FALSE",F16=0)),"",FLOOR(SkillData!CH14))</f>
        <v>2</v>
      </c>
      <c r="D16" s="23" t="s">
        <v>219</v>
      </c>
      <c r="E16" s="109">
        <f>IF(OR(COUNTIF(OFFSET(SkillData!A14,0,0,1,40),"1")&gt;0,D16="✓"),HitDice+3,IF(COUNTIF(OFFSET(SkillData!A14,0,0,1,40),"0.5")&gt;0,(HitDice+3)/2,""))</f>
        <v>2.5</v>
      </c>
      <c r="F16" s="245">
        <f t="array" ref="F16">SUMPRODUCT(H16:AU16,SkillData!A14:AN14)</f>
        <v>0</v>
      </c>
      <c r="G16" s="50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</row>
    <row r="17">
      <c r="A17" s="6" t="s">
        <v>272</v>
      </c>
      <c r="B17" s="234" t="s">
        <v>229</v>
      </c>
      <c r="C17" s="236">
        <f>IF(OR(E17="", AND(SkillData!CE15="FALSE",F17=0)),"",FLOOR(SkillData!CH15))</f>
        <v>2</v>
      </c>
      <c r="D17" s="87" t="s">
        <v>219</v>
      </c>
      <c r="E17" s="109">
        <f>IF(OR(COUNTIF(OFFSET(SkillData!A15,0,0,1,40),"1")&gt;0,D17="✓"),HitDice+3,IF(COUNTIF(OFFSET(SkillData!A15,0,0,1,40),"0.5")&gt;0,(HitDice+3)/2,""))</f>
        <v>2.5</v>
      </c>
      <c r="F17" s="245">
        <f t="array" ref="F17">SUMPRODUCT(H17:AU17,SkillData!A15:AN15)</f>
        <v>0</v>
      </c>
      <c r="G17" s="50"/>
      <c r="H17" s="24"/>
      <c r="I17" s="24"/>
      <c r="J17" s="24"/>
      <c r="K17" s="24"/>
      <c r="L17" s="23"/>
      <c r="M17" s="23"/>
      <c r="N17" s="23"/>
      <c r="O17" s="23"/>
      <c r="P17" s="23"/>
      <c r="Q17" s="24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</row>
    <row r="18">
      <c r="A18" s="6" t="s">
        <v>273</v>
      </c>
      <c r="B18" s="234" t="s">
        <v>229</v>
      </c>
      <c r="C18" s="236">
        <f>IF(OR(E18="", AND(SkillData!CE16="FALSE",F18=0)),"",FLOOR(SkillData!CH16))</f>
        <v>2</v>
      </c>
      <c r="D18" s="87" t="s">
        <v>219</v>
      </c>
      <c r="E18" s="109">
        <f>IF(OR(COUNTIF(OFFSET(SkillData!A16,0,0,1,40),"1")&gt;0,D18="✓"),HitDice+3,IF(COUNTIF(OFFSET(SkillData!A16,0,0,1,40),"0.5")&gt;0,(HitDice+3)/2,""))</f>
        <v>5</v>
      </c>
      <c r="F18" s="245">
        <f t="array" ref="F18">SUMPRODUCT(H18:AU18,SkillData!A16:AN16)</f>
        <v>0</v>
      </c>
      <c r="G18" s="50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</row>
    <row r="19">
      <c r="A19" s="6" t="s">
        <v>276</v>
      </c>
      <c r="B19" s="234" t="s">
        <v>222</v>
      </c>
      <c r="C19" s="236">
        <f>IF(OR(E19="", AND(SkillData!CE17="FALSE",F19=0)),"",FLOOR(SkillData!CH17))</f>
        <v>2</v>
      </c>
      <c r="D19" s="87" t="s">
        <v>219</v>
      </c>
      <c r="E19" s="109">
        <f>IF(OR(COUNTIF(OFFSET(SkillData!A17,0,0,1,40),"1")&gt;0,D19="✓"),HitDice+3,IF(COUNTIF(OFFSET(SkillData!A17,0,0,1,40),"0.5")&gt;0,(HitDice+3)/2,""))</f>
        <v>5</v>
      </c>
      <c r="F19" s="245">
        <f t="array" ref="F19">SUMPRODUCT(H19:AU19,SkillData!A17:AN17)</f>
        <v>0</v>
      </c>
      <c r="G19" s="50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</row>
    <row r="20">
      <c r="A20" s="6" t="s">
        <v>277</v>
      </c>
      <c r="B20" s="234" t="s">
        <v>225</v>
      </c>
      <c r="C20" s="236">
        <f>IF(OR(E20="", AND(SkillData!CE18="FALSE",F20=0)),"",FLOOR(SkillData!CH18))</f>
        <v>1</v>
      </c>
      <c r="D20" s="87" t="s">
        <v>219</v>
      </c>
      <c r="E20" s="109">
        <f>IF(OR(COUNTIF(OFFSET(SkillData!A18,0,0,1,40),"1")&gt;0,D20="✓"),HitDice+3,IF(COUNTIF(OFFSET(SkillData!A18,0,0,1,40),"0.5")&gt;0,(HitDice+3)/2,""))</f>
        <v>2.5</v>
      </c>
      <c r="F20" s="245">
        <f t="array" ref="F20">SUMPRODUCT(H20:AU20,SkillData!A18:AN18)</f>
        <v>0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</row>
    <row r="21">
      <c r="A21" s="6" t="s">
        <v>279</v>
      </c>
      <c r="B21" s="234" t="s">
        <v>229</v>
      </c>
      <c r="C21" s="236" t="str">
        <f>IF(OR(E21="", AND(SkillData!CE19="FALSE",F21=0)),"",FLOOR(SkillData!CH19))</f>
        <v/>
      </c>
      <c r="D21" s="23" t="s">
        <v>219</v>
      </c>
      <c r="E21" s="109" t="str">
        <f>IF(OR(COUNTIF(OFFSET(SkillData!A19,0,0,1,40),"1")&gt;0,D21="✓"),HitDice+3,IF(COUNTIF(OFFSET(SkillData!A19,0,0,1,40),"0.5")&gt;0,(HitDice+3)/2,""))</f>
        <v/>
      </c>
      <c r="F21" s="245">
        <f t="array" ref="F21">SUMPRODUCT(H21:AU21,SkillData!A19:AN19)</f>
        <v>0</v>
      </c>
      <c r="G21" s="50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</row>
    <row r="22">
      <c r="A22" s="6" t="s">
        <v>281</v>
      </c>
      <c r="B22" s="234" t="s">
        <v>229</v>
      </c>
      <c r="C22" s="236">
        <f>IF(OR(E22="", AND(SkillData!CE20="FALSE",F22=0)),"",FLOOR(SkillData!CH20))</f>
        <v>2</v>
      </c>
      <c r="D22" s="87" t="s">
        <v>219</v>
      </c>
      <c r="E22" s="109">
        <f>IF(OR(COUNTIF(OFFSET(SkillData!A20,0,0,1,40),"1")&gt;0,D22="✓"),HitDice+3,IF(COUNTIF(OFFSET(SkillData!A20,0,0,1,40),"0.5")&gt;0,(HitDice+3)/2,""))</f>
        <v>5</v>
      </c>
      <c r="F22" s="245">
        <f t="array" ref="F22">SUMPRODUCT(H22:AU22,SkillData!A20:AN20)</f>
        <v>0</v>
      </c>
      <c r="G22" s="50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</row>
    <row r="23">
      <c r="A23" s="6" t="s">
        <v>283</v>
      </c>
      <c r="B23" s="234" t="s">
        <v>232</v>
      </c>
      <c r="C23" s="236">
        <f>IF(OR(E23="", AND(SkillData!CE21="FALSE",F23=0)),"",FLOOR(SkillData!CH21))</f>
        <v>3</v>
      </c>
      <c r="D23" s="87" t="s">
        <v>219</v>
      </c>
      <c r="E23" s="109">
        <f>IF(OR(COUNTIF(OFFSET(SkillData!A21,0,0,1,40),"1")&gt;0,D23="✓"),HitDice+3,IF(COUNTIF(OFFSET(SkillData!A21,0,0,1,40),"0.5")&gt;0,(HitDice+3)/2,""))</f>
        <v>5</v>
      </c>
      <c r="F23" s="245">
        <f t="array" ref="F23">SUMPRODUCT(H23:AU23,SkillData!A21:AN21)</f>
        <v>0</v>
      </c>
      <c r="G23" s="44"/>
      <c r="H23" s="23"/>
      <c r="I23" s="23"/>
      <c r="J23" s="23"/>
      <c r="K23" s="23"/>
      <c r="L23" s="24"/>
      <c r="M23" s="23"/>
      <c r="N23" s="23"/>
      <c r="O23" s="23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</row>
    <row r="24">
      <c r="A24" s="330" t="s">
        <v>284</v>
      </c>
      <c r="B24" s="234" t="s">
        <v>218</v>
      </c>
      <c r="C24" s="236">
        <f>IF(OR(E24="", AND(SkillData!CE22="FALSE",F24=0)),"",FLOOR(SkillData!CH22))</f>
        <v>2</v>
      </c>
      <c r="D24" s="23" t="s">
        <v>219</v>
      </c>
      <c r="E24" s="109">
        <f>IF(OR(COUNTIF(OFFSET(SkillData!A22,0,0,1,40),"1")&gt;0,D24="✓"),HitDice+3,IF(COUNTIF(OFFSET(SkillData!A22,0,0,1,40),"0.5")&gt;0,(HitDice+3)/2,""))</f>
        <v>5</v>
      </c>
      <c r="F24" s="245">
        <f t="array" ref="F24">SUMPRODUCT(H24:AU24,SkillData!A22:AN22)</f>
        <v>0</v>
      </c>
      <c r="G24" s="44"/>
      <c r="H24" s="23"/>
      <c r="I24" s="24"/>
      <c r="J24" s="24"/>
      <c r="K24" s="23"/>
      <c r="L24" s="24"/>
      <c r="M24" s="23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</row>
    <row r="25">
      <c r="A25" s="6" t="s">
        <v>288</v>
      </c>
      <c r="B25" s="234" t="s">
        <v>218</v>
      </c>
      <c r="C25" s="236">
        <f>IF(OR(E25="", AND(SkillData!CE23="FALSE",F25=0)),"",FLOOR(SkillData!CH23))</f>
        <v>2</v>
      </c>
      <c r="D25" s="23" t="s">
        <v>219</v>
      </c>
      <c r="E25" s="109">
        <f>IF(OR(COUNTIF(OFFSET(SkillData!A23,0,0,1,40),"1")&gt;0,D25="✓"),HitDice+3,IF(COUNTIF(OFFSET(SkillData!A23,0,0,1,40),"0.5")&gt;0,(HitDice+3)/2,""))</f>
        <v>5</v>
      </c>
      <c r="F25" s="245">
        <f t="array" ref="F25">SUMPRODUCT(H25:AU25,SkillData!A23:AN23)</f>
        <v>0</v>
      </c>
      <c r="G25" s="4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</row>
    <row r="26">
      <c r="A26" s="6" t="s">
        <v>292</v>
      </c>
      <c r="B26" s="234" t="s">
        <v>218</v>
      </c>
      <c r="C26" s="236">
        <f>IF(OR(E26="", AND(SkillData!CE24="FALSE",F26=0)),"",FLOOR(SkillData!CH24))</f>
        <v>2</v>
      </c>
      <c r="D26" s="23" t="s">
        <v>219</v>
      </c>
      <c r="E26" s="109">
        <f>IF(OR(COUNTIF(OFFSET(SkillData!A24,0,0,1,40),"1")&gt;0,D26="✓"),HitDice+3,IF(COUNTIF(OFFSET(SkillData!A24,0,0,1,40),"0.5")&gt;0,(HitDice+3)/2,""))</f>
        <v>5</v>
      </c>
      <c r="F26" s="245">
        <f t="array" ref="F26">SUMPRODUCT(H26:AU26,SkillData!A24:AN24)</f>
        <v>0</v>
      </c>
      <c r="G26" s="44"/>
      <c r="H26" s="24"/>
      <c r="I26" s="24"/>
      <c r="J26" s="24"/>
      <c r="K26" s="23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</row>
    <row r="27">
      <c r="A27" s="6" t="s">
        <v>297</v>
      </c>
      <c r="B27" s="234" t="s">
        <v>218</v>
      </c>
      <c r="C27" s="236">
        <f>IF(OR(E27="", AND(SkillData!CE25="FALSE",F27=0)),"",FLOOR(SkillData!CH25))</f>
        <v>2</v>
      </c>
      <c r="D27" s="23" t="s">
        <v>219</v>
      </c>
      <c r="E27" s="109">
        <f>IF(OR(COUNTIF(OFFSET(SkillData!A25,0,0,1,40),"1")&gt;0,D27="✓"),HitDice+3,IF(COUNTIF(OFFSET(SkillData!A25,0,0,1,40),"0.5")&gt;0,(HitDice+3)/2,""))</f>
        <v>5</v>
      </c>
      <c r="F27" s="245">
        <f t="array" ref="F27">SUMPRODUCT(H27:AU27,SkillData!A25:AN25)</f>
        <v>0</v>
      </c>
      <c r="G27" s="4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</row>
    <row r="28">
      <c r="A28" s="6" t="s">
        <v>304</v>
      </c>
      <c r="B28" s="234" t="s">
        <v>218</v>
      </c>
      <c r="C28" s="236">
        <f>IF(OR(E28="", AND(SkillData!CE26="FALSE",F28=0)),"",FLOOR(SkillData!CH26))</f>
        <v>2</v>
      </c>
      <c r="D28" s="23" t="s">
        <v>219</v>
      </c>
      <c r="E28" s="109">
        <f>IF(OR(COUNTIF(OFFSET(SkillData!A26,0,0,1,40),"1")&gt;0,D28="✓"),HitDice+3,IF(COUNTIF(OFFSET(SkillData!A26,0,0,1,40),"0.5")&gt;0,(HitDice+3)/2,""))</f>
        <v>5</v>
      </c>
      <c r="F28" s="245">
        <f t="array" ref="F28">SUMPRODUCT(H28:AU28,SkillData!A26:AN26)</f>
        <v>0</v>
      </c>
      <c r="G28" s="4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</row>
    <row r="29">
      <c r="A29" s="6" t="s">
        <v>307</v>
      </c>
      <c r="B29" s="234" t="s">
        <v>218</v>
      </c>
      <c r="C29" s="236">
        <f>IF(OR(E29="", AND(SkillData!CE27="FALSE",F29=0)),"",FLOOR(SkillData!CH27))</f>
        <v>2</v>
      </c>
      <c r="D29" s="23" t="s">
        <v>219</v>
      </c>
      <c r="E29" s="109">
        <f>IF(OR(COUNTIF(OFFSET(SkillData!A27,0,0,1,40),"1")&gt;0,D29="✓"),HitDice+3,IF(COUNTIF(OFFSET(SkillData!A27,0,0,1,40),"0.5")&gt;0,(HitDice+3)/2,""))</f>
        <v>5</v>
      </c>
      <c r="F29" s="245">
        <f t="array" ref="F29">SUMPRODUCT(H29:AU29,SkillData!A27:AN27)</f>
        <v>0</v>
      </c>
      <c r="G29" s="44"/>
      <c r="H29" s="24"/>
      <c r="I29" s="24"/>
      <c r="J29" s="24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</row>
    <row r="30">
      <c r="A30" s="6" t="s">
        <v>308</v>
      </c>
      <c r="B30" s="234" t="s">
        <v>218</v>
      </c>
      <c r="C30" s="236" t="str">
        <f>IF(OR(E30="", AND(SkillData!CE28="FALSE",F30=0)),"",FLOOR(SkillData!CH28))</f>
        <v/>
      </c>
      <c r="D30" s="23" t="s">
        <v>219</v>
      </c>
      <c r="E30" s="109" t="str">
        <f>IF(OR(COUNTIF(OFFSET(SkillData!A28,0,0,1,40),"1")&gt;0,D30="✓"),HitDice+3,IF(COUNTIF(OFFSET(SkillData!A28,0,0,1,40),"0.5")&gt;0,(HitDice+3)/2,""))</f>
        <v/>
      </c>
      <c r="F30" s="245">
        <f t="array" ref="F30">SUMPRODUCT(H30:AU30,SkillData!A28:AN28)</f>
        <v>0</v>
      </c>
      <c r="G30" s="50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</row>
    <row r="31">
      <c r="A31" s="6" t="s">
        <v>310</v>
      </c>
      <c r="B31" s="234" t="s">
        <v>218</v>
      </c>
      <c r="C31" s="236">
        <f>IF(OR(E31="", AND(SkillData!CE29="FALSE",F31=0)),"",FLOOR(SkillData!CH29))</f>
        <v>2</v>
      </c>
      <c r="D31" s="23" t="s">
        <v>219</v>
      </c>
      <c r="E31" s="109">
        <f>IF(OR(COUNTIF(OFFSET(SkillData!A29,0,0,1,40),"1")&gt;0,D31="✓"),HitDice+3,IF(COUNTIF(OFFSET(SkillData!A29,0,0,1,40),"0.5")&gt;0,(HitDice+3)/2,""))</f>
        <v>5</v>
      </c>
      <c r="F31" s="245">
        <f t="array" ref="F31">SUMPRODUCT(H31:AU31,SkillData!A29:AN29)</f>
        <v>0</v>
      </c>
      <c r="G31" s="44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</row>
    <row r="32">
      <c r="A32" s="6" t="s">
        <v>311</v>
      </c>
      <c r="B32" s="234" t="s">
        <v>218</v>
      </c>
      <c r="C32" s="236">
        <f>IF(OR(E32="", AND(SkillData!CE30="FALSE",F32=0)),"",FLOOR(SkillData!CH30))</f>
        <v>2</v>
      </c>
      <c r="D32" s="23" t="s">
        <v>219</v>
      </c>
      <c r="E32" s="109">
        <f>IF(OR(COUNTIF(OFFSET(SkillData!A30,0,0,1,40),"1")&gt;0,D32="✓"),HitDice+3,IF(COUNTIF(OFFSET(SkillData!A30,0,0,1,40),"0.5")&gt;0,(HitDice+3)/2,""))</f>
        <v>5</v>
      </c>
      <c r="F32" s="245">
        <f t="array" ref="F32">SUMPRODUCT(H32:AU32,SkillData!A30:AN30)</f>
        <v>0</v>
      </c>
      <c r="G32" s="44"/>
      <c r="H32" s="24"/>
      <c r="I32" s="24"/>
      <c r="J32" s="24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</row>
    <row r="33">
      <c r="A33" s="331" t="str">
        <f>HYPERLINK("http://www.dandwiki.com/wiki/SRD:Psionic_Overview","Knowledge (psionics)")</f>
        <v>Knowledge (psionics)</v>
      </c>
      <c r="B33" s="234" t="s">
        <v>218</v>
      </c>
      <c r="C33" s="236">
        <f>IF(OR(E33="", AND(SkillData!CE31="FALSE",F33=0)),"",FLOOR(SkillData!CH31))</f>
        <v>2</v>
      </c>
      <c r="D33" s="87" t="s">
        <v>219</v>
      </c>
      <c r="E33" s="109">
        <f>IF(OR(COUNTIF(OFFSET(SkillData!A31,0,0,1,40),"1")&gt;0,D33="✓"),HitDice+3,IF(COUNTIF(OFFSET(SkillData!A31,0,0,1,40),"0.5")&gt;0,(HitDice+3)/2,""))</f>
        <v>5</v>
      </c>
      <c r="F33" s="245">
        <f t="array" ref="F33">SUMPRODUCT(H33:AU33,SkillData!A31:AN31)</f>
        <v>0</v>
      </c>
      <c r="G33" s="4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</row>
    <row r="34">
      <c r="A34" s="6" t="s">
        <v>314</v>
      </c>
      <c r="B34" s="234" t="s">
        <v>218</v>
      </c>
      <c r="C34" s="236" t="str">
        <f>IF(OR(E34="", AND(SkillData!CE32="FALSE",F34=0)),"",FLOOR(SkillData!CH32))</f>
        <v/>
      </c>
      <c r="D34" s="87" t="s">
        <v>219</v>
      </c>
      <c r="E34" s="109" t="str">
        <f>IF(OR(COUNTIF(OFFSET(SkillData!A32,0,0,1,40),"1")&gt;0,D34="✓"),HitDice+3,IF(COUNTIF(OFFSET(SkillData!A32,0,0,1,40),"0.5")&gt;0,(HitDice+3)/2,""))</f>
        <v/>
      </c>
      <c r="F34" s="245">
        <f t="array" ref="F34">SUMPRODUCT(H34:AU34,SkillData!A32:AN32)</f>
        <v>0</v>
      </c>
      <c r="G34" s="50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</row>
    <row r="35">
      <c r="A35" s="6" t="s">
        <v>316</v>
      </c>
      <c r="B35" s="234" t="s">
        <v>218</v>
      </c>
      <c r="C35" s="236">
        <f>IF(OR(E35="", AND(SkillData!CE33="FALSE",F35=0)),"",FLOOR(SkillData!CH33))</f>
        <v>2</v>
      </c>
      <c r="D35" s="23" t="s">
        <v>219</v>
      </c>
      <c r="E35" s="109">
        <f>IF(OR(COUNTIF(OFFSET(SkillData!A33,0,0,1,40),"1")&gt;0,D35="✓"),HitDice+3,IF(COUNTIF(OFFSET(SkillData!A33,0,0,1,40),"0.5")&gt;0,(HitDice+3)/2,""))</f>
        <v>5</v>
      </c>
      <c r="F35" s="245">
        <f t="array" ref="F35">SUMPRODUCT(H35:AU35,SkillData!A33:AN33)</f>
        <v>0</v>
      </c>
      <c r="G35" s="44"/>
      <c r="H35" s="23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</row>
    <row r="36">
      <c r="A36" s="6" t="s">
        <v>317</v>
      </c>
      <c r="B36" s="234" t="s">
        <v>218</v>
      </c>
      <c r="C36" s="236">
        <f>IF(OR(E36="", AND(SkillData!CE34="FALSE",F36=0)),"",FLOOR(SkillData!CH34))</f>
        <v>2</v>
      </c>
      <c r="D36" s="23" t="s">
        <v>219</v>
      </c>
      <c r="E36" s="109">
        <f>IF(OR(COUNTIF(OFFSET(SkillData!A34,0,0,1,40),"1")&gt;0,D36="✓"),HitDice+3,IF(COUNTIF(OFFSET(SkillData!A34,0,0,1,40),"0.5")&gt;0,(HitDice+3)/2,""))</f>
        <v>5</v>
      </c>
      <c r="F36" s="245">
        <f t="array" ref="F36">SUMPRODUCT(H36:AU36,SkillData!A34:AN34)</f>
        <v>0</v>
      </c>
      <c r="G36" s="44"/>
      <c r="H36" s="24"/>
      <c r="I36" s="24"/>
      <c r="J36" s="24"/>
      <c r="K36" s="23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</row>
    <row r="37">
      <c r="A37" s="6" t="s">
        <v>290</v>
      </c>
      <c r="B37" s="234" t="s">
        <v>222</v>
      </c>
      <c r="C37" s="236">
        <f>IF(OR(E37="", AND(SkillData!CE35="FALSE",F37=0)),"",FLOOR(SkillData!CH35))</f>
        <v>2</v>
      </c>
      <c r="D37" s="87" t="s">
        <v>219</v>
      </c>
      <c r="E37" s="109">
        <f>IF(OR(COUNTIF(OFFSET(SkillData!A35,0,0,1,40),"1")&gt;0,D37="✓"),HitDice+3,IF(COUNTIF(OFFSET(SkillData!A35,0,0,1,40),"0.5")&gt;0,(HitDice+3)/2,""))</f>
        <v>2.5</v>
      </c>
      <c r="F37" s="245">
        <f t="array" ref="F37">SUMPRODUCT(H37:AU37,SkillData!A35:AN35)</f>
        <v>0</v>
      </c>
      <c r="G37" s="50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</row>
    <row r="38">
      <c r="A38" s="6" t="s">
        <v>319</v>
      </c>
      <c r="B38" s="234" t="s">
        <v>218</v>
      </c>
      <c r="C38" s="236" t="str">
        <f>IF(OR(E38="", AND(SkillData!CE36="FALSE",F38=0)),"",FLOOR(SkillData!CH36))</f>
        <v/>
      </c>
      <c r="D38" s="87" t="s">
        <v>219</v>
      </c>
      <c r="E38" s="109" t="str">
        <f>IF(OR(COUNTIF(OFFSET(SkillData!A36,0,0,1,40),"1")&gt;0,D38="✓"),HitDice+3,IF(COUNTIF(OFFSET(SkillData!A36,0,0,1,40),"0.5")&gt;0,(HitDice+3)/2,""))</f>
        <v/>
      </c>
      <c r="F38" s="245">
        <f t="array" ref="F38">SUMPRODUCT(H38:AU38,SkillData!A36:AN36)</f>
        <v>0</v>
      </c>
      <c r="G38" s="50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</row>
    <row r="39">
      <c r="A39" s="6" t="s">
        <v>291</v>
      </c>
      <c r="B39" s="234" t="s">
        <v>225</v>
      </c>
      <c r="C39" s="236">
        <f>IF(OR(E39="", AND(SkillData!CE37="FALSE",F39=0)),"",FLOOR(SkillData!CH37))</f>
        <v>1</v>
      </c>
      <c r="D39" s="87" t="s">
        <v>219</v>
      </c>
      <c r="E39" s="109">
        <f>IF(OR(COUNTIF(OFFSET(SkillData!A37,0,0,1,40),"1")&gt;0,D39="✓"),HitDice+3,IF(COUNTIF(OFFSET(SkillData!A37,0,0,1,40),"0.5")&gt;0,(HitDice+3)/2,""))</f>
        <v>2.5</v>
      </c>
      <c r="F39" s="245">
        <f t="array" ref="F39">SUMPRODUCT(H39:AU39,SkillData!A37:AN37)</f>
        <v>0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</row>
    <row r="40">
      <c r="A40" s="6" t="s">
        <v>335</v>
      </c>
      <c r="B40" s="234" t="s">
        <v>225</v>
      </c>
      <c r="C40" s="236">
        <f>IF(OR(E40="", AND(SkillData!CE38="FALSE",F40=0)),"",FLOOR(SkillData!CH38))</f>
        <v>1</v>
      </c>
      <c r="D40" s="23" t="s">
        <v>219</v>
      </c>
      <c r="E40" s="109">
        <f>IF(OR(COUNTIF(OFFSET(SkillData!A38,0,0,1,40),"1")&gt;0,D40="✓"),HitDice+3,IF(COUNTIF(OFFSET(SkillData!A38,0,0,1,40),"0.5")&gt;0,(HitDice+3)/2,""))</f>
        <v>2.5</v>
      </c>
      <c r="F40" s="245">
        <f t="array" ref="F40">SUMPRODUCT(H40:AU40,SkillData!A38:AN38)</f>
        <v>0</v>
      </c>
      <c r="G40" s="50"/>
      <c r="H40" s="23"/>
      <c r="I40" s="23"/>
      <c r="J40" s="23"/>
      <c r="K40" s="24"/>
      <c r="L40" s="2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</row>
    <row r="41">
      <c r="A41" s="6" t="s">
        <v>293</v>
      </c>
      <c r="B41" s="234" t="s">
        <v>229</v>
      </c>
      <c r="C41" s="236">
        <f>IF(OR(E41="", AND(SkillData!CE39="FALSE",F41=0)),"",FLOOR(SkillData!CH39))</f>
        <v>2</v>
      </c>
      <c r="D41" s="87" t="s">
        <v>219</v>
      </c>
      <c r="E41" s="109">
        <f>IF(OR(COUNTIF(OFFSET(SkillData!A39,0,0,1,40),"1")&gt;0,D41="✓"),HitDice+3,IF(COUNTIF(OFFSET(SkillData!A39,0,0,1,40),"0.5")&gt;0,(HitDice+3)/2,""))</f>
        <v>2.5</v>
      </c>
      <c r="F41" s="245">
        <f t="array" ref="F41">SUMPRODUCT(H41:AU41,SkillData!A39:AN39)</f>
        <v>0</v>
      </c>
      <c r="G41" s="50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</row>
    <row r="42">
      <c r="A42" s="6" t="s">
        <v>350</v>
      </c>
      <c r="B42" s="234" t="s">
        <v>222</v>
      </c>
      <c r="C42" s="236">
        <f>IF(OR(E42="", AND(SkillData!CE40="FALSE",F42=0)),"",FLOOR(SkillData!CH40))</f>
        <v>2</v>
      </c>
      <c r="D42" s="87" t="s">
        <v>219</v>
      </c>
      <c r="E42" s="109">
        <f>IF(OR(COUNTIF(OFFSET(SkillData!A40,0,0,1,40),"1")&gt;0,D42="✓"),HitDice+3,IF(COUNTIF(OFFSET(SkillData!A40,0,0,1,40),"0.5")&gt;0,(HitDice+3)/2,""))</f>
        <v>5</v>
      </c>
      <c r="F42" s="245">
        <f t="array" ref="F42">SUMPRODUCT(H42:AU42,SkillData!A40:AN40)</f>
        <v>0</v>
      </c>
      <c r="G42" s="50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</row>
    <row r="43">
      <c r="A43" s="6" t="s">
        <v>357</v>
      </c>
      <c r="B43" s="234" t="s">
        <v>218</v>
      </c>
      <c r="C43" s="236" t="str">
        <f>IF(OR(E43="", AND(SkillData!CE41="FALSE",F43=0)),"",FLOOR(SkillData!CH41))</f>
        <v/>
      </c>
      <c r="D43" s="87" t="s">
        <v>219</v>
      </c>
      <c r="E43" s="109" t="str">
        <f>IF(OR(COUNTIF(OFFSET(SkillData!A41,0,0,1,40),"1")&gt;0,D43="✓"),HitDice+3,IF(COUNTIF(OFFSET(SkillData!A41,0,0,1,40),"0.5")&gt;0,(HitDice+3)/2,""))</f>
        <v/>
      </c>
      <c r="F43" s="245">
        <f t="array" ref="F43">SUMPRODUCT(H43:AU43,SkillData!A41:AN41)</f>
        <v>0</v>
      </c>
      <c r="G43" s="50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</row>
    <row r="44">
      <c r="A44" s="6" t="s">
        <v>295</v>
      </c>
      <c r="B44" s="234" t="s">
        <v>225</v>
      </c>
      <c r="C44" s="236">
        <f>IF(OR(E44="", AND(SkillData!CE42="FALSE",F44=0)),"",FLOOR(SkillData!CH42))</f>
        <v>1</v>
      </c>
      <c r="D44" s="87" t="s">
        <v>219</v>
      </c>
      <c r="E44" s="109">
        <f>IF(OR(COUNTIF(OFFSET(SkillData!A42,0,0,1,40),"1")&gt;0,D44="✓"),HitDice+3,IF(COUNTIF(OFFSET(SkillData!A42,0,0,1,40),"0.5")&gt;0,(HitDice+3)/2,""))</f>
        <v>5</v>
      </c>
      <c r="F44" s="245">
        <f t="array" ref="F44">SUMPRODUCT(H44:AU44,SkillData!A42:AN42)</f>
        <v>0</v>
      </c>
      <c r="G44" s="50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</row>
    <row r="45">
      <c r="A45" s="6" t="s">
        <v>296</v>
      </c>
      <c r="B45" s="234" t="s">
        <v>218</v>
      </c>
      <c r="C45" s="236">
        <f>IF(OR(E45="", AND(SkillData!CE43="FALSE",F45=0)),"",FLOOR(SkillData!CH43))</f>
        <v>2</v>
      </c>
      <c r="D45" s="87" t="s">
        <v>219</v>
      </c>
      <c r="E45" s="109">
        <f>IF(OR(COUNTIF(OFFSET(SkillData!A43,0,0,1,40),"1")&gt;0,D45="✓"),HitDice+3,IF(COUNTIF(OFFSET(SkillData!A43,0,0,1,40),"0.5")&gt;0,(HitDice+3)/2,""))</f>
        <v>2.5</v>
      </c>
      <c r="F45" s="245">
        <f t="array" ref="F45">SUMPRODUCT(H45:AU45,SkillData!A43:AN43)</f>
        <v>0</v>
      </c>
      <c r="G45" s="50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</row>
    <row r="46">
      <c r="A46" s="6" t="s">
        <v>298</v>
      </c>
      <c r="B46" s="234" t="s">
        <v>222</v>
      </c>
      <c r="C46" s="236">
        <f>IF(OR(E46="", AND(SkillData!CE44="FALSE",F46=0)),"",FLOOR(SkillData!CH44))</f>
        <v>2</v>
      </c>
      <c r="D46" s="23" t="s">
        <v>219</v>
      </c>
      <c r="E46" s="109">
        <f>IF(OR(COUNTIF(OFFSET(SkillData!A44,0,0,1,40),"1")&gt;0,D46="✓"),HitDice+3,IF(COUNTIF(OFFSET(SkillData!A44,0,0,1,40),"0.5")&gt;0,(HitDice+3)/2,""))</f>
        <v>2.5</v>
      </c>
      <c r="F46" s="245">
        <f t="array" ref="F46">SUMPRODUCT(H46:AU46,SkillData!A44:AN44)</f>
        <v>0</v>
      </c>
      <c r="G46" s="50"/>
      <c r="H46" s="23"/>
      <c r="I46" s="23"/>
      <c r="J46" s="23"/>
      <c r="K46" s="24"/>
      <c r="L46" s="23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</row>
    <row r="47">
      <c r="A47" s="6" t="s">
        <v>373</v>
      </c>
      <c r="B47" s="359"/>
      <c r="C47" s="236">
        <f>IF(OR(E47="", AND(SkillData!CE45="FALSE",F47=0)),"",FLOOR(SkillData!CH45))</f>
        <v>0</v>
      </c>
      <c r="D47" s="87" t="s">
        <v>219</v>
      </c>
      <c r="E47" s="109">
        <f>IF(OR(COUNTIF(OFFSET(SkillData!A45,0,0,1,40),"1")&gt;0,D47="✓"),HitDice+3,IF(COUNTIF(OFFSET(SkillData!A45,0,0,1,40),"0.5")&gt;0,(HitDice+3)/2,""))</f>
        <v>2.5</v>
      </c>
      <c r="F47" s="245">
        <f t="array" ref="F47">SUMPRODUCT(H47:AU47,SkillData!A45:AN45)</f>
        <v>0</v>
      </c>
      <c r="G47" s="50"/>
      <c r="H47" s="23"/>
      <c r="I47" s="23"/>
      <c r="J47" s="24"/>
      <c r="K47" s="24"/>
      <c r="L47" s="23"/>
      <c r="M47" s="23"/>
      <c r="N47" s="23"/>
      <c r="O47" s="24"/>
      <c r="P47" s="23"/>
      <c r="Q47" s="23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</row>
    <row r="48">
      <c r="A48" s="6" t="s">
        <v>379</v>
      </c>
      <c r="B48" s="234" t="s">
        <v>225</v>
      </c>
      <c r="C48" s="236">
        <f>IF(OR(E48="", AND(SkillData!CE46="FALSE",F48=0)),"",FLOOR(SkillData!CH46))</f>
        <v>1</v>
      </c>
      <c r="D48" s="87" t="s">
        <v>219</v>
      </c>
      <c r="E48" s="109">
        <f>IF(OR(COUNTIF(OFFSET(SkillData!A46,0,0,1,40),"1")&gt;0,D48="✓"),HitDice+3,IF(COUNTIF(OFFSET(SkillData!A46,0,0,1,40),"0.5")&gt;0,(HitDice+3)/2,""))</f>
        <v>2.5</v>
      </c>
      <c r="F48" s="245">
        <f t="array" ref="F48">SUMPRODUCT(H48:AU48,SkillData!A46:AN46)</f>
        <v>0</v>
      </c>
      <c r="G48" s="50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</row>
    <row r="49">
      <c r="A49" s="6" t="s">
        <v>301</v>
      </c>
      <c r="B49" s="234" t="s">
        <v>218</v>
      </c>
      <c r="C49" s="236">
        <f>IF(OR(E49="", AND(SkillData!CE47="FALSE",F49=0)),"",FLOOR(SkillData!CH47))</f>
        <v>2</v>
      </c>
      <c r="D49" s="87" t="s">
        <v>219</v>
      </c>
      <c r="E49" s="109">
        <f>IF(OR(COUNTIF(OFFSET(SkillData!A47,0,0,1,40),"1")&gt;0,D49="✓"),HitDice+3,IF(COUNTIF(OFFSET(SkillData!A47,0,0,1,40),"0.5")&gt;0,(HitDice+3)/2,""))</f>
        <v>5</v>
      </c>
      <c r="F49" s="245">
        <f t="array" ref="F49">SUMPRODUCT(H49:AU49,SkillData!A47:AN47)</f>
        <v>0</v>
      </c>
      <c r="G49" s="50"/>
      <c r="H49" s="23"/>
      <c r="I49" s="24"/>
      <c r="J49" s="23"/>
      <c r="K49" s="23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</row>
    <row r="50">
      <c r="A50" s="6" t="s">
        <v>385</v>
      </c>
      <c r="B50" s="234" t="s">
        <v>218</v>
      </c>
      <c r="C50" s="236">
        <f>IF(OR(E50="", AND(SkillData!CE48="FALSE",F50=0)),"",FLOOR(SkillData!CH48))</f>
        <v>2</v>
      </c>
      <c r="D50" s="87" t="s">
        <v>219</v>
      </c>
      <c r="E50" s="109">
        <f>IF(OR(COUNTIF(OFFSET(SkillData!A48,0,0,1,40),"1")&gt;0,D50="✓"),HitDice+3,IF(COUNTIF(OFFSET(SkillData!A48,0,0,1,40),"0.5")&gt;0,(HitDice+3)/2,""))</f>
        <v>5</v>
      </c>
      <c r="F50" s="245">
        <f t="array" ref="F50">SUMPRODUCT(H50:AU50,SkillData!A48:AN48)</f>
        <v>0</v>
      </c>
      <c r="G50" s="50"/>
      <c r="H50" s="23"/>
      <c r="I50" s="23"/>
      <c r="J50" s="23"/>
      <c r="K50" s="23"/>
      <c r="L50" s="23"/>
      <c r="M50" s="23"/>
      <c r="N50" s="23"/>
      <c r="O50" s="23"/>
      <c r="P50" s="23"/>
      <c r="Q50" s="24"/>
      <c r="R50" s="23"/>
      <c r="S50" s="23"/>
      <c r="T50" s="23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</row>
    <row r="51">
      <c r="A51" s="6" t="s">
        <v>302</v>
      </c>
      <c r="B51" s="234" t="s">
        <v>222</v>
      </c>
      <c r="C51" s="236">
        <f>IF(OR(E51="", AND(SkillData!CE49="FALSE",F51=0)),"",FLOOR(SkillData!CH49))</f>
        <v>2</v>
      </c>
      <c r="D51" s="87" t="s">
        <v>219</v>
      </c>
      <c r="E51" s="109">
        <f>IF(OR(COUNTIF(OFFSET(SkillData!A49,0,0,1,40),"1")&gt;0,D51="✓"),HitDice+3,IF(COUNTIF(OFFSET(SkillData!A49,0,0,1,40),"0.5")&gt;0,(HitDice+3)/2,""))</f>
        <v>2.5</v>
      </c>
      <c r="F51" s="245">
        <f t="array" ref="F51">SUMPRODUCT(H51:AU51,SkillData!A49:AN49)</f>
        <v>0</v>
      </c>
      <c r="G51" s="50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</row>
    <row r="52">
      <c r="A52" s="6" t="s">
        <v>303</v>
      </c>
      <c r="B52" s="234" t="s">
        <v>222</v>
      </c>
      <c r="C52" s="236">
        <f>IF(OR(E52="", AND(SkillData!CE50="FALSE",F52=0)),"",FLOOR(SkillData!CH50))</f>
        <v>2</v>
      </c>
      <c r="D52" s="87" t="s">
        <v>219</v>
      </c>
      <c r="E52" s="109">
        <f>IF(OR(COUNTIF(OFFSET(SkillData!A50,0,0,1,40),"1")&gt;0,D52="✓"),HitDice+3,IF(COUNTIF(OFFSET(SkillData!A50,0,0,1,40),"0.5")&gt;0,(HitDice+3)/2,""))</f>
        <v>2.5</v>
      </c>
      <c r="F52" s="245">
        <f t="array" ref="F52">SUMPRODUCT(H52:AU52,SkillData!A50:AN50)</f>
        <v>0</v>
      </c>
      <c r="G52" s="50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</row>
    <row r="53">
      <c r="A53" s="6" t="s">
        <v>150</v>
      </c>
      <c r="B53" s="234" t="s">
        <v>232</v>
      </c>
      <c r="C53" s="236">
        <f>IF(OR(E53="", AND(SkillData!CE51="FALSE",F53=0)),"",FLOOR(SkillData!CH51))</f>
        <v>3</v>
      </c>
      <c r="D53" s="87" t="s">
        <v>219</v>
      </c>
      <c r="E53" s="109">
        <f>IF(OR(COUNTIF(OFFSET(SkillData!A51,0,0,1,40),"1")&gt;0,D53="✓"),HitDice+3,IF(COUNTIF(OFFSET(SkillData!A51,0,0,1,40),"0.5")&gt;0,(HitDice+3)/2,""))</f>
        <v>5</v>
      </c>
      <c r="F53" s="245">
        <f t="array" ref="F53">SUMPRODUCT(H53:AU53,SkillData!A51:AN51)</f>
        <v>0</v>
      </c>
      <c r="G53" s="50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</row>
    <row r="54">
      <c r="A54" s="6" t="s">
        <v>305</v>
      </c>
      <c r="B54" s="234" t="s">
        <v>225</v>
      </c>
      <c r="C54" s="236">
        <f>IF(OR(E54="", AND(SkillData!CE52="FALSE",F54=0)),"",FLOOR(SkillData!CH52))</f>
        <v>1</v>
      </c>
      <c r="D54" s="87" t="s">
        <v>219</v>
      </c>
      <c r="E54" s="109">
        <f>IF(OR(COUNTIF(OFFSET(SkillData!A52,0,0,1,40),"1")&gt;0,D54="✓"),HitDice+3,IF(COUNTIF(OFFSET(SkillData!A52,0,0,1,40),"0.5")&gt;0,(HitDice+3)/2,""))</f>
        <v>2.5</v>
      </c>
      <c r="F54" s="245">
        <f t="array" ref="F54">SUMPRODUCT(H54:AU54,SkillData!A52:AN52)</f>
        <v>0</v>
      </c>
      <c r="G54" s="50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</row>
    <row r="55">
      <c r="A55" s="6" t="s">
        <v>396</v>
      </c>
      <c r="B55" s="234" t="s">
        <v>229</v>
      </c>
      <c r="C55" s="236">
        <f>IF(OR(E55="", AND(SkillData!CE53="FALSE",F55=0)),"",FLOOR(SkillData!CH53))</f>
        <v>2</v>
      </c>
      <c r="D55" s="87" t="s">
        <v>219</v>
      </c>
      <c r="E55" s="109">
        <f>IF(OR(COUNTIF(OFFSET(SkillData!A53,0,0,1,40),"1")&gt;0,D55="✓"),HitDice+3,IF(COUNTIF(OFFSET(SkillData!A53,0,0,1,40),"0.5")&gt;0,(HitDice+3)/2,""))</f>
        <v>2.5</v>
      </c>
      <c r="F55" s="245">
        <f t="array" ref="F55">SUMPRODUCT(H55:AU55,SkillData!A53:AN53)</f>
        <v>0</v>
      </c>
      <c r="G55" s="50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</row>
    <row r="56">
      <c r="A56" s="6" t="s">
        <v>397</v>
      </c>
      <c r="B56" s="234" t="s">
        <v>229</v>
      </c>
      <c r="C56" s="236" t="str">
        <f>IF(OR(E56="", AND(SkillData!CE54="FALSE",F56=0)),"",FLOOR(SkillData!CH54))</f>
        <v/>
      </c>
      <c r="D56" s="87" t="s">
        <v>219</v>
      </c>
      <c r="E56" s="109" t="str">
        <f>IF(OR(COUNTIF(OFFSET(SkillData!A54,0,0,1,40),"1")&gt;0,D56="✓"),HitDice+3,IF(COUNTIF(OFFSET(SkillData!A54,0,0,1,40),"0.5")&gt;0,(HitDice+3)/2,""))</f>
        <v/>
      </c>
      <c r="F56" s="245">
        <f t="array" ref="F56">SUMPRODUCT(H56:AU56,SkillData!A54:AN54)</f>
        <v>0</v>
      </c>
      <c r="G56" s="50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</row>
    <row r="57">
      <c r="A57" s="370" t="s">
        <v>306</v>
      </c>
      <c r="B57" s="371" t="s">
        <v>225</v>
      </c>
      <c r="C57" s="372">
        <f>IF(OR(E57="", AND(SkillData!CE55="FALSE",F57=0)),"",FLOOR(SkillData!CH55))</f>
        <v>1</v>
      </c>
      <c r="D57" s="373" t="s">
        <v>219</v>
      </c>
      <c r="E57" s="109">
        <f>IF(OR(COUNTIF(OFFSET(SkillData!A55,0,0,1,40),"1")&gt;0,D57="✓"),HitDice+3,IF(COUNTIF(OFFSET(SkillData!A55,0,0,1,40),"0.5")&gt;0,(HitDice+3)/2,""))</f>
        <v>2.5</v>
      </c>
      <c r="F57" s="245">
        <f t="array" ref="F57">SUMPRODUCT(H57:AU57,SkillData!A55:AN55)</f>
        <v>0</v>
      </c>
      <c r="G57" s="375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</row>
    <row r="58" hidden="1">
      <c r="A58" s="376"/>
      <c r="B58" s="378"/>
      <c r="C58" s="379"/>
      <c r="D58" s="87" t="s">
        <v>219</v>
      </c>
      <c r="E58" s="109">
        <f>IF(OR(COUNTIF(OFFSET(SkillData!A56,0,0,1,40),"1")&gt;0,D58="✓"),HitDice+3,IF(COUNTIF(OFFSET(SkillData!A56,0,0,1,40),"0.5")&gt;0,(HitDice+3)/2,""))</f>
        <v>2.5</v>
      </c>
      <c r="F58" s="245">
        <f t="array" ref="F58">SUMPRODUCT(H58:AU58,SkillData!A56:AN56)</f>
        <v>0</v>
      </c>
      <c r="G58" s="24"/>
      <c r="H58" s="23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</row>
    <row r="59" hidden="1">
      <c r="A59" s="381"/>
      <c r="B59" s="109"/>
      <c r="C59" s="379"/>
      <c r="D59" s="87" t="s">
        <v>219</v>
      </c>
      <c r="E59" s="109">
        <f>IF(OR(COUNTIF(OFFSET(SkillData!A57,0,0,1,40),"1")&gt;0,D59="✓"),HitDice+3,IF(COUNTIF(OFFSET(SkillData!A57,0,0,1,40),"0.5")&gt;0,(HitDice+3)/2,""))</f>
        <v>2.5</v>
      </c>
      <c r="F59" s="245">
        <f t="array" ref="F59">SUMPRODUCT(H59:AU59,SkillData!A57:AN57)</f>
        <v>0</v>
      </c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</row>
    <row r="60" hidden="1">
      <c r="A60" s="381"/>
      <c r="B60" s="109"/>
      <c r="C60" s="379"/>
      <c r="D60" s="382" t="s">
        <v>219</v>
      </c>
      <c r="E60" s="109">
        <f>IF(OR(COUNTIF(OFFSET(SkillData!A58,0,0,1,40),"1")&gt;0,D60="✓"),HitDice+3,IF(COUNTIF(OFFSET(SkillData!A58,0,0,1,40),"0.5")&gt;0,(HitDice+3)/2,""))</f>
        <v>2.5</v>
      </c>
      <c r="F60" s="245">
        <f t="array" ref="F60">SUMPRODUCT(H60:AU60,SkillData!A58:AN58)</f>
        <v>0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</row>
    <row r="61" hidden="1">
      <c r="A61" s="381"/>
      <c r="B61" s="109"/>
      <c r="C61" s="379"/>
      <c r="D61" s="87" t="s">
        <v>219</v>
      </c>
      <c r="E61" s="109">
        <f>IF(OR(COUNTIF(OFFSET(SkillData!A59,0,0,1,40),"1")&gt;0,D61="✓"),HitDice+3,IF(COUNTIF(OFFSET(SkillData!A59,0,0,1,40),"0.5")&gt;0,(HitDice+3)/2,""))</f>
        <v>2.5</v>
      </c>
      <c r="F61" s="245">
        <f t="array" ref="F61">SUMPRODUCT(H61:AU61,SkillData!A59:AN59)</f>
        <v>0</v>
      </c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</row>
    <row r="62" hidden="1">
      <c r="A62" s="381"/>
      <c r="B62" s="378"/>
      <c r="C62" s="379"/>
      <c r="D62" s="87" t="s">
        <v>219</v>
      </c>
      <c r="E62" s="109">
        <f>IF(OR(COUNTIF(OFFSET(SkillData!A60,0,0,1,40),"1")&gt;0,D62="✓"),HitDice+3,IF(COUNTIF(OFFSET(SkillData!A60,0,0,1,40),"0.5")&gt;0,(HitDice+3)/2,""))</f>
        <v>2.5</v>
      </c>
      <c r="F62" s="245">
        <f t="array" ref="F62">SUMPRODUCT(H62:AU62,SkillData!A60:AN60)</f>
        <v>0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</row>
    <row r="63" hidden="1">
      <c r="A63" s="381"/>
      <c r="B63" s="109"/>
      <c r="C63" s="379"/>
      <c r="D63" s="373" t="s">
        <v>219</v>
      </c>
      <c r="E63" s="109">
        <f>IF(OR(COUNTIF(OFFSET(SkillData!A61,0,0,1,40),"1")&gt;0,D63="✓"),HitDice+3,IF(COUNTIF(OFFSET(SkillData!A61,0,0,1,40),"0.5")&gt;0,(HitDice+3)/2,""))</f>
        <v>2.5</v>
      </c>
      <c r="F63" s="245">
        <f t="array" ref="F63">SUMPRODUCT(H63:AU63,SkillData!A61:AN61)</f>
        <v>0</v>
      </c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</row>
    <row r="64" hidden="1">
      <c r="A64" s="381"/>
      <c r="B64" s="109"/>
      <c r="C64" s="379"/>
      <c r="D64" s="87" t="s">
        <v>219</v>
      </c>
      <c r="E64" s="109">
        <f>IF(OR(COUNTIF(OFFSET(SkillData!A62,0,0,1,40),"1")&gt;0,D64="✓"),HitDice+3,IF(COUNTIF(OFFSET(SkillData!A62,0,0,1,40),"0.5")&gt;0,(HitDice+3)/2,""))</f>
        <v>2.5</v>
      </c>
      <c r="F64" s="245">
        <f t="array" ref="F64">SUMPRODUCT(H64:AU64,SkillData!A62:AN62)</f>
        <v>0</v>
      </c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</row>
    <row r="65" hidden="1">
      <c r="A65" s="381"/>
      <c r="B65" s="109"/>
      <c r="C65" s="379"/>
      <c r="D65" s="87" t="s">
        <v>219</v>
      </c>
      <c r="E65" s="109">
        <f>IF(OR(COUNTIF(OFFSET(SkillData!A63,0,0,1,40),"1")&gt;0,D65="✓"),HitDice+3,IF(COUNTIF(OFFSET(SkillData!A63,0,0,1,40),"0.5")&gt;0,(HitDice+3)/2,""))</f>
        <v>2.5</v>
      </c>
      <c r="F65" s="245">
        <f t="array" ref="F65">SUMPRODUCT(H65:AU65,SkillData!A63:AN63)</f>
        <v>0</v>
      </c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</row>
    <row r="66" hidden="1">
      <c r="A66" s="381"/>
      <c r="B66" s="109"/>
      <c r="C66" s="379"/>
      <c r="D66" s="373" t="s">
        <v>219</v>
      </c>
      <c r="E66" s="109">
        <f>IF(OR(COUNTIF(OFFSET(SkillData!A64,0,0,1,40),"1")&gt;0,D66="✓"),HitDice+3,IF(COUNTIF(OFFSET(SkillData!A64,0,0,1,40),"0.5")&gt;0,(HitDice+3)/2,""))</f>
        <v>2.5</v>
      </c>
      <c r="F66" s="245">
        <f t="array" ref="F66">SUMPRODUCT(H66:AU66,SkillData!A64:AN64)</f>
        <v>0</v>
      </c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</row>
    <row r="67" hidden="1">
      <c r="A67" s="381"/>
      <c r="B67" s="109"/>
      <c r="C67" s="379"/>
      <c r="D67" s="87" t="s">
        <v>219</v>
      </c>
      <c r="E67" s="109">
        <f>IF(OR(COUNTIF(OFFSET(SkillData!A65,0,0,1,40),"1")&gt;0,D67="✓"),HitDice+3,IF(COUNTIF(OFFSET(SkillData!A65,0,0,1,40),"0.5")&gt;0,(HitDice+3)/2,""))</f>
        <v>2.5</v>
      </c>
      <c r="F67" s="245">
        <f t="array" ref="F67">SUMPRODUCT(H67:AU67,SkillData!A65:AN65)</f>
        <v>0</v>
      </c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</row>
  </sheetData>
  <autoFilter ref="$A$2:$AU$67">
    <filterColumn colId="0">
      <filters>
        <filter val="Intimidate"/>
        <filter val="Perform"/>
        <filter val="Knowledge (monster lore)"/>
        <filter val="Spot"/>
        <filter val="Use Psionic Device"/>
        <filter val="Sense Motive"/>
        <filter val="Knowledge (psionics)"/>
        <filter val="Swim"/>
        <filter val="Decipher Script"/>
        <filter val="Tumble"/>
        <filter val="Search"/>
        <filter val="Forgery"/>
        <filter val="Bluff"/>
        <filter val="Escape Artist"/>
        <filter val="Knowledge (religion)"/>
        <filter val="Knowledge (local)"/>
        <filter val="Knowledge (planes)"/>
        <filter val="Psicraft"/>
        <filter val="Control Shape"/>
        <filter val="Heal"/>
        <filter val="Knowledge (geography)"/>
        <filter val="Skill Tricks"/>
        <filter val="Survival"/>
        <filter val="Handle Animal"/>
        <filter val="Knowledge (arch &amp; eng)"/>
        <filter val="Profession"/>
        <filter val="Spellcraft"/>
        <filter val="Balance"/>
        <filter val="Knowledge (arcana)"/>
        <filter val="Ride"/>
        <filter val="Hide"/>
        <filter val="Speak Language"/>
        <filter val="Disguise"/>
        <filter val="Use Magic Device"/>
        <filter val="Sleight of Hand"/>
        <filter val="Disable Device"/>
        <filter val="Listen"/>
        <filter val="Move Silently"/>
        <filter val="Martial Lore"/>
        <filter val="Open Lock"/>
        <filter val="Knowledge (nobility)"/>
        <filter val="Knowledge (dungeoneering)"/>
        <filter val="Use Rope"/>
        <filter val="Knowledge (nature)"/>
        <filter val="Gather Information"/>
        <filter val="Knowledge (history)"/>
        <filter val="Craft"/>
        <filter val="Diplomacy"/>
        <filter val="Concentration"/>
        <filter val="Autohypnosis"/>
        <filter val="Jump"/>
        <filter val="Appraise"/>
        <filter val="Climb"/>
        <filter val="Hypnosis"/>
        <filter val="Knowledge (ravenloft)"/>
      </filters>
    </filterColumn>
  </autoFilter>
  <conditionalFormatting sqref="F3:F67">
    <cfRule type="expression" dxfId="14" priority="1">
      <formula>E3&lt;F3</formula>
    </cfRule>
  </conditionalFormatting>
  <conditionalFormatting sqref="H2:AU2">
    <cfRule type="cellIs" dxfId="17" priority="2" operator="greaterThan">
      <formula>-1</formula>
    </cfRule>
  </conditionalFormatting>
  <conditionalFormatting sqref="H2:AU2">
    <cfRule type="cellIs" dxfId="14" priority="3" operator="lessThan">
      <formula>0</formula>
    </cfRule>
  </conditionalFormatting>
  <conditionalFormatting sqref="H3:AU67">
    <cfRule type="expression" dxfId="18" priority="4">
      <formula>AND($D3="✓",COLUMN()-8&lt;indirect("CalcData!HitDice"))</formula>
    </cfRule>
  </conditionalFormatting>
  <conditionalFormatting sqref="H3:AU67">
    <cfRule type="expression" dxfId="19" priority="5">
      <formula>AND($D3="✓",COLUMN()-8&lt;(40-COUNTBLANK(indirect("Classes!B2:B41"))))</formula>
    </cfRule>
  </conditionalFormatting>
  <conditionalFormatting sqref="H3:AU67">
    <cfRule type="expression" dxfId="18" priority="6">
      <formula>AND(OFFSET(indirect("SkillData!A1"),ROW()-3,COLUMN()-8,1,1)=1,COLUMN()-8&lt;indirect("CalcData!HitDice"))</formula>
    </cfRule>
  </conditionalFormatting>
  <conditionalFormatting sqref="H3:AU67">
    <cfRule type="expression" dxfId="19" priority="7">
      <formula>OFFSET(indirect("SkillData!A1"),ROW()-3,COLUMN()-8,1,1)=1</formula>
    </cfRule>
  </conditionalFormatting>
  <conditionalFormatting sqref="H3:AU67">
    <cfRule type="expression" dxfId="20" priority="8">
      <formula>AND(OFFSET(indirect("SkillData!A1"),ROW()-3,COLUMN()-8,1,1)=0.5,COLUMN()-8&lt;indirect("CalcData!HitDice"))</formula>
    </cfRule>
  </conditionalFormatting>
  <conditionalFormatting sqref="H3:AU67">
    <cfRule type="expression" dxfId="21" priority="9">
      <formula>OFFSET(indirect("SkillData!A1"),ROW()-3,COLUMN()-8,1,1)=0.5</formula>
    </cfRule>
  </conditionalFormatting>
  <conditionalFormatting sqref="H3:AU67">
    <cfRule type="expression" dxfId="22" priority="10">
      <formula>1=1</formula>
    </cfRule>
  </conditionalFormatting>
  <dataValidations>
    <dataValidation type="list" allowBlank="1" showErrorMessage="1" sqref="B58:B67">
      <formula1>CalcData!$A$18:$A$23</formula1>
    </dataValidation>
    <dataValidation type="list" allowBlank="1" showErrorMessage="1" sqref="D3:D67">
      <formula1>CalcData!$D$14:$D$15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D9EEB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3.14"/>
    <col customWidth="1" min="2" max="2" width="28.43"/>
    <col customWidth="1" min="3" max="3" width="12.14"/>
    <col customWidth="1" min="4" max="4" width="7.71"/>
    <col customWidth="1" min="5" max="5" width="3.71"/>
    <col customWidth="1" min="6" max="6" width="8.86"/>
    <col customWidth="1" min="7" max="7" width="10.0"/>
    <col customWidth="1" min="8" max="8" width="10.57"/>
    <col customWidth="1" min="9" max="9" width="8.0"/>
    <col customWidth="1" min="10" max="10" width="17.43"/>
    <col customWidth="1" min="11" max="11" width="8.14"/>
    <col customWidth="1" min="12" max="12" width="8.57"/>
    <col customWidth="1" min="13" max="13" width="9.86"/>
  </cols>
  <sheetData>
    <row r="1">
      <c r="A1" s="15"/>
      <c r="B1" s="110" t="s">
        <v>193</v>
      </c>
      <c r="C1" s="110" t="s">
        <v>194</v>
      </c>
      <c r="D1" s="200" t="s">
        <v>195</v>
      </c>
      <c r="E1" s="110" t="s">
        <v>198</v>
      </c>
      <c r="F1" s="202" t="s">
        <v>199</v>
      </c>
      <c r="G1" s="2"/>
      <c r="H1" s="2"/>
      <c r="I1" s="2"/>
      <c r="J1" s="203" t="s">
        <v>201</v>
      </c>
      <c r="K1" s="2"/>
      <c r="L1" s="2"/>
      <c r="M1" s="2"/>
    </row>
    <row r="2">
      <c r="A2" s="204">
        <v>1.0</v>
      </c>
      <c r="B2" s="23" t="s">
        <v>203</v>
      </c>
      <c r="C2" s="128">
        <f>IF(B2="","",(VLOOKUP(B2,ClassData!Classes,4, false)+Abilities!Y5+BonusSkillPoints)*4)</f>
        <v>16</v>
      </c>
      <c r="D2" s="209" t="str">
        <f>IF(B2&lt;&gt;"","d"&amp;VLOOKUP(B2,ClassData!Classes,3, false),"")</f>
        <v>d10</v>
      </c>
      <c r="E2" s="128">
        <f>IF(B2&lt;&gt;"",VLOOKUP(B2,ClassData!Classes,3, false),"")</f>
        <v>10</v>
      </c>
      <c r="F2" s="212">
        <v>1.0</v>
      </c>
      <c r="G2" s="214"/>
      <c r="H2" s="214"/>
      <c r="I2" s="214"/>
      <c r="J2" s="215"/>
      <c r="K2" s="214"/>
      <c r="L2" s="214"/>
      <c r="M2" s="214"/>
    </row>
    <row r="3">
      <c r="A3" s="204">
        <v>2.0</v>
      </c>
      <c r="B3" s="218" t="s">
        <v>209</v>
      </c>
      <c r="C3" s="128">
        <f>IF(B3="","",(VLOOKUP(B3,ClassData!Classes,4, false)+Abilities!Y6+BonusSkillPoints)*4)</f>
        <v>32</v>
      </c>
      <c r="D3" s="209" t="str">
        <f>IF(B3&lt;&gt;"","d"&amp;VLOOKUP(B3,ClassData!Classes,3, false),"")</f>
        <v>d6</v>
      </c>
      <c r="E3" s="222">
        <f>IF(B3&lt;&gt;"",VLOOKUP(B3,ClassData!Classes,3, false),"")</f>
        <v>6</v>
      </c>
      <c r="F3" s="212"/>
      <c r="G3" s="212"/>
      <c r="H3" s="212"/>
      <c r="I3" s="212"/>
      <c r="J3" s="224" t="s">
        <v>211</v>
      </c>
      <c r="K3" s="212"/>
      <c r="L3" s="212"/>
      <c r="M3" s="212"/>
    </row>
    <row r="4">
      <c r="A4" s="204">
        <v>3.0</v>
      </c>
      <c r="B4" s="218"/>
      <c r="C4" s="128" t="str">
        <f>IF(B4&lt;&gt;"",(VLOOKUP(B4,ClassData!Classes,4, false)+Abilities!Y7+BonusSkillPoints)*4,"")</f>
        <v/>
      </c>
      <c r="D4" s="209" t="str">
        <f>IF(B4&lt;&gt;"","d"&amp;VLOOKUP(B4,ClassData!Classes,3, false),"")</f>
        <v/>
      </c>
      <c r="E4" s="222" t="str">
        <f>IF(B4&lt;&gt;"",VLOOKUP(B4,ClassData!Classes,3, false),"")</f>
        <v/>
      </c>
      <c r="F4" s="212"/>
      <c r="G4" s="212"/>
      <c r="H4" s="212"/>
      <c r="I4" s="212"/>
      <c r="J4" s="215">
        <f>J2+F42*Con</f>
        <v>2</v>
      </c>
      <c r="K4" s="212"/>
      <c r="L4" s="212"/>
      <c r="M4" s="212"/>
    </row>
    <row r="5">
      <c r="A5" s="204">
        <v>4.0</v>
      </c>
      <c r="B5" s="218"/>
      <c r="C5" s="128" t="str">
        <f>IF(B5&lt;&gt;"",(VLOOKUP(B5,ClassData!Classes,4, false)+Abilities!Y8+BonusSkillPoints)*4,"")</f>
        <v/>
      </c>
      <c r="D5" s="209" t="str">
        <f>IF(B5&lt;&gt;"","d"&amp;VLOOKUP(B5,ClassData!Classes,3, false),"")</f>
        <v/>
      </c>
      <c r="E5" s="222" t="str">
        <f>IF(B5&lt;&gt;"",VLOOKUP(B5,ClassData!Classes,3, false),"")</f>
        <v/>
      </c>
      <c r="F5" s="212"/>
      <c r="G5" s="212"/>
      <c r="H5" s="212"/>
      <c r="I5" s="212"/>
      <c r="J5" s="215"/>
      <c r="K5" s="212"/>
      <c r="L5" s="212"/>
      <c r="M5" s="212"/>
    </row>
    <row r="6">
      <c r="A6" s="204">
        <v>5.0</v>
      </c>
      <c r="B6" s="218"/>
      <c r="C6" s="128" t="str">
        <f>IF(B6&lt;&gt;"",(VLOOKUP(B6,ClassData!Classes,4, false)+Abilities!Y9+BonusSkillPoints)*4,"")</f>
        <v/>
      </c>
      <c r="D6" s="209" t="str">
        <f>IF(B6&lt;&gt;"","d"&amp;VLOOKUP(B6,ClassData!Classes,3, false),"")</f>
        <v/>
      </c>
      <c r="E6" s="222" t="str">
        <f>IF(B6&lt;&gt;"",VLOOKUP(B6,ClassData!Classes,3, false),"")</f>
        <v/>
      </c>
      <c r="F6" s="212"/>
      <c r="G6" s="212"/>
      <c r="H6" s="212"/>
      <c r="I6" s="212"/>
      <c r="J6" s="215"/>
      <c r="K6" s="212"/>
      <c r="L6" s="212"/>
      <c r="M6" s="212"/>
    </row>
    <row r="7">
      <c r="A7" s="204">
        <v>6.0</v>
      </c>
      <c r="B7" s="218"/>
      <c r="C7" s="128" t="str">
        <f>IF(B7&lt;&gt;"",(VLOOKUP(B7,ClassData!Classes,4, false)+Abilities!Y10+BonusSkillPoints)*4,"")</f>
        <v/>
      </c>
      <c r="D7" s="209" t="str">
        <f>IF(B7&lt;&gt;"","d"&amp;VLOOKUP(B7,ClassData!Classes,3, false),"")</f>
        <v/>
      </c>
      <c r="E7" s="222" t="str">
        <f>IF(B7&lt;&gt;"",VLOOKUP(B7,ClassData!Classes,3, false),"")</f>
        <v/>
      </c>
      <c r="F7" s="212"/>
      <c r="G7" s="212"/>
      <c r="H7" s="212"/>
      <c r="I7" s="212"/>
      <c r="J7" s="215"/>
      <c r="K7" s="212"/>
      <c r="L7" s="212"/>
      <c r="M7" s="212"/>
    </row>
    <row r="8">
      <c r="A8" s="204">
        <v>7.0</v>
      </c>
      <c r="B8" s="218"/>
      <c r="C8" s="128" t="str">
        <f>IF(B8&lt;&gt;"",(VLOOKUP(B8,ClassData!Classes,4, false)+Abilities!Y11+BonusSkillPoints)*4,"")</f>
        <v/>
      </c>
      <c r="D8" s="209" t="str">
        <f>IF(B8&lt;&gt;"","d"&amp;VLOOKUP(B8,ClassData!Classes,3, false),"")</f>
        <v/>
      </c>
      <c r="E8" s="222" t="str">
        <f>IF(B8&lt;&gt;"",VLOOKUP(B8,ClassData!Classes,3, false),"")</f>
        <v/>
      </c>
      <c r="F8" s="212"/>
      <c r="G8" s="212"/>
      <c r="H8" s="212"/>
      <c r="I8" s="212"/>
      <c r="J8" s="215"/>
      <c r="K8" s="212"/>
      <c r="L8" s="212"/>
      <c r="M8" s="212"/>
    </row>
    <row r="9">
      <c r="A9" s="204">
        <v>8.0</v>
      </c>
      <c r="B9" s="218"/>
      <c r="C9" s="128" t="str">
        <f>IF(B9&lt;&gt;"",(VLOOKUP(B9,ClassData!Classes,4, false)+Abilities!Y12+BonusSkillPoints)*4,"")</f>
        <v/>
      </c>
      <c r="D9" s="209" t="str">
        <f>IF(B9&lt;&gt;"","d"&amp;VLOOKUP(B9,ClassData!Classes,3, false),"")</f>
        <v/>
      </c>
      <c r="E9" s="222" t="str">
        <f>IF(B9&lt;&gt;"",VLOOKUP(B9,ClassData!Classes,3, false),"")</f>
        <v/>
      </c>
      <c r="F9" s="214"/>
      <c r="G9" s="214"/>
      <c r="H9" s="214"/>
      <c r="I9" s="214"/>
      <c r="J9" s="240"/>
      <c r="K9" s="214"/>
      <c r="L9" s="214"/>
      <c r="M9" s="214"/>
    </row>
    <row r="10">
      <c r="A10" s="204">
        <v>9.0</v>
      </c>
      <c r="B10" s="218"/>
      <c r="C10" s="128" t="str">
        <f>IF(B10&lt;&gt;"",(VLOOKUP(B10,ClassData!Classes,4, false)+Abilities!Y13+BonusSkillPoints)*4,"")</f>
        <v/>
      </c>
      <c r="D10" s="209" t="str">
        <f>IF(B10&lt;&gt;"","d"&amp;VLOOKUP(B10,ClassData!Classes,3, false),"")</f>
        <v/>
      </c>
      <c r="E10" s="222" t="str">
        <f>IF(B10&lt;&gt;"",VLOOKUP(B10,ClassData!Classes,3, false),"")</f>
        <v/>
      </c>
      <c r="F10" s="214"/>
      <c r="G10" s="214"/>
      <c r="H10" s="214"/>
      <c r="I10" s="214"/>
      <c r="J10" s="240"/>
      <c r="K10" s="214"/>
      <c r="L10" s="214"/>
      <c r="M10" s="214"/>
    </row>
    <row r="11">
      <c r="A11" s="204">
        <v>10.0</v>
      </c>
      <c r="B11" s="218"/>
      <c r="C11" s="128" t="str">
        <f>IF(B11&lt;&gt;"",(VLOOKUP(B11,ClassData!Classes,4, false)+Abilities!Y14+BonusSkillPoints)*4,"")</f>
        <v/>
      </c>
      <c r="D11" s="209" t="str">
        <f>IF(B11&lt;&gt;"","d"&amp;VLOOKUP(B11,ClassData!Classes,3, false),"")</f>
        <v/>
      </c>
      <c r="E11" s="222" t="str">
        <f>IF(B11&lt;&gt;"",VLOOKUP(B11,ClassData!Classes,3, false),"")</f>
        <v/>
      </c>
      <c r="F11" s="214"/>
      <c r="G11" s="214"/>
      <c r="H11" s="214"/>
      <c r="I11" s="214"/>
      <c r="J11" s="240"/>
      <c r="K11" s="214"/>
      <c r="L11" s="214"/>
      <c r="M11" s="214"/>
    </row>
    <row r="12">
      <c r="A12" s="204">
        <v>11.0</v>
      </c>
      <c r="B12" s="218"/>
      <c r="C12" s="128" t="str">
        <f>IF(B12&lt;&gt;"",(VLOOKUP(B12,ClassData!Classes,4, false)+Abilities!Y15+BonusSkillPoints)*4,"")</f>
        <v/>
      </c>
      <c r="D12" s="209" t="str">
        <f>IF(B12&lt;&gt;"","d"&amp;VLOOKUP(B12,ClassData!Classes,3, false),"")</f>
        <v/>
      </c>
      <c r="E12" s="222" t="str">
        <f>IF(B12&lt;&gt;"",VLOOKUP(B12,ClassData!Classes,3, false),"")</f>
        <v/>
      </c>
      <c r="F12" s="214"/>
      <c r="G12" s="214"/>
      <c r="H12" s="214"/>
      <c r="I12" s="214"/>
      <c r="J12" s="240"/>
      <c r="K12" s="214"/>
      <c r="L12" s="214"/>
      <c r="M12" s="214"/>
    </row>
    <row r="13">
      <c r="A13" s="204">
        <v>12.0</v>
      </c>
      <c r="B13" s="218"/>
      <c r="C13" s="128" t="str">
        <f>IF(B13&lt;&gt;"",(VLOOKUP(B13,ClassData!Classes,4, false)+Abilities!Y16+BonusSkillPoints)*4,"")</f>
        <v/>
      </c>
      <c r="D13" s="209" t="str">
        <f>IF(B13&lt;&gt;"","d"&amp;VLOOKUP(B13,ClassData!Classes,3, false),"")</f>
        <v/>
      </c>
      <c r="E13" s="222" t="str">
        <f>IF(B13&lt;&gt;"",VLOOKUP(B13,ClassData!Classes,3, false),"")</f>
        <v/>
      </c>
      <c r="F13" s="214"/>
      <c r="G13" s="214"/>
      <c r="H13" s="214"/>
      <c r="I13" s="214"/>
      <c r="J13" s="240"/>
      <c r="K13" s="214"/>
      <c r="L13" s="214"/>
      <c r="M13" s="214"/>
    </row>
    <row r="14">
      <c r="A14" s="204">
        <v>13.0</v>
      </c>
      <c r="B14" s="218"/>
      <c r="C14" s="128" t="str">
        <f>IF(B14&lt;&gt;"",(VLOOKUP(B14,ClassData!Classes,4, false)+Abilities!Y17+BonusSkillPoints)*4,"")</f>
        <v/>
      </c>
      <c r="D14" s="209" t="str">
        <f>IF(B14&lt;&gt;"","d"&amp;VLOOKUP(B14,ClassData!Classes,3, false),"")</f>
        <v/>
      </c>
      <c r="E14" s="222" t="str">
        <f>IF(B14&lt;&gt;"",VLOOKUP(B14,ClassData!Classes,3, false),"")</f>
        <v/>
      </c>
      <c r="F14" s="214"/>
      <c r="G14" s="214"/>
      <c r="H14" s="214"/>
      <c r="I14" s="214"/>
      <c r="J14" s="240"/>
      <c r="K14" s="214"/>
      <c r="L14" s="214"/>
      <c r="M14" s="214"/>
    </row>
    <row r="15">
      <c r="A15" s="204">
        <v>14.0</v>
      </c>
      <c r="B15" s="218"/>
      <c r="C15" s="128" t="str">
        <f>IF(B15&lt;&gt;"",(VLOOKUP(B15,ClassData!Classes,4, false)+Abilities!Y18+BonusSkillPoints)*4,"")</f>
        <v/>
      </c>
      <c r="D15" s="209" t="str">
        <f>IF(B15&lt;&gt;"","d"&amp;VLOOKUP(B15,ClassData!Classes,3, false),"")</f>
        <v/>
      </c>
      <c r="E15" s="222" t="str">
        <f>IF(B15&lt;&gt;"",VLOOKUP(B15,ClassData!Classes,3, false),"")</f>
        <v/>
      </c>
      <c r="F15" s="214"/>
      <c r="G15" s="214"/>
      <c r="H15" s="214"/>
      <c r="I15" s="214"/>
      <c r="J15" s="240"/>
      <c r="K15" s="214"/>
      <c r="L15" s="214"/>
      <c r="M15" s="214"/>
    </row>
    <row r="16">
      <c r="A16" s="204">
        <v>15.0</v>
      </c>
      <c r="B16" s="218"/>
      <c r="C16" s="128" t="str">
        <f>IF(B16&lt;&gt;"",(VLOOKUP(B16,ClassData!Classes,4, false)+Abilities!Y19+BonusSkillPoints)*4,"")</f>
        <v/>
      </c>
      <c r="D16" s="209" t="str">
        <f>IF(B16&lt;&gt;"","d"&amp;VLOOKUP(B16,ClassData!Classes,3, false),"")</f>
        <v/>
      </c>
      <c r="E16" s="222" t="str">
        <f>IF(B16&lt;&gt;"",VLOOKUP(B16,ClassData!Classes,3, false),"")</f>
        <v/>
      </c>
      <c r="F16" s="214"/>
      <c r="G16" s="214"/>
      <c r="H16" s="214"/>
      <c r="I16" s="214"/>
      <c r="J16" s="240"/>
      <c r="K16" s="214"/>
      <c r="L16" s="214"/>
      <c r="M16" s="214"/>
    </row>
    <row r="17">
      <c r="A17" s="204">
        <v>16.0</v>
      </c>
      <c r="B17" s="218"/>
      <c r="C17" s="128" t="str">
        <f>IF(B17&lt;&gt;"",(VLOOKUP(B17,ClassData!Classes,4, false)+Abilities!Y20+BonusSkillPoints)*4,"")</f>
        <v/>
      </c>
      <c r="D17" s="209" t="str">
        <f>IF(B17&lt;&gt;"","d"&amp;VLOOKUP(B17,ClassData!Classes,3, false),"")</f>
        <v/>
      </c>
      <c r="E17" s="222" t="str">
        <f>IF(B17&lt;&gt;"",VLOOKUP(B17,ClassData!Classes,3, false),"")</f>
        <v/>
      </c>
      <c r="F17" s="214"/>
      <c r="G17" s="214"/>
      <c r="H17" s="214"/>
      <c r="I17" s="214"/>
      <c r="J17" s="240"/>
      <c r="K17" s="214"/>
      <c r="L17" s="214"/>
      <c r="M17" s="214"/>
    </row>
    <row r="18">
      <c r="A18" s="204">
        <v>17.0</v>
      </c>
      <c r="B18" s="218"/>
      <c r="C18" s="128" t="str">
        <f>IF(B18&lt;&gt;"",(VLOOKUP(B18,ClassData!Classes,4, false)+Abilities!Y21+BonusSkillPoints)*4,"")</f>
        <v/>
      </c>
      <c r="D18" s="209" t="str">
        <f>IF(B18&lt;&gt;"","d"&amp;VLOOKUP(B18,ClassData!Classes,3, false),"")</f>
        <v/>
      </c>
      <c r="E18" s="222" t="str">
        <f>IF(B18&lt;&gt;"",VLOOKUP(B18,ClassData!Classes,3, false),"")</f>
        <v/>
      </c>
      <c r="F18" s="214"/>
      <c r="G18" s="214"/>
      <c r="H18" s="214"/>
      <c r="I18" s="214"/>
      <c r="J18" s="240"/>
      <c r="K18" s="214"/>
      <c r="L18" s="214"/>
      <c r="M18" s="214"/>
    </row>
    <row r="19">
      <c r="A19" s="204">
        <v>18.0</v>
      </c>
      <c r="B19" s="218"/>
      <c r="C19" s="128" t="str">
        <f>IF(B19&lt;&gt;"",(VLOOKUP(B19,ClassData!Classes,4, false)+Abilities!Y22+BonusSkillPoints)*4,"")</f>
        <v/>
      </c>
      <c r="D19" s="209" t="str">
        <f>IF(B19&lt;&gt;"","d"&amp;VLOOKUP(B19,ClassData!Classes,3, false),"")</f>
        <v/>
      </c>
      <c r="E19" s="222" t="str">
        <f>IF(B19&lt;&gt;"",VLOOKUP(B19,ClassData!Classes,3, false),"")</f>
        <v/>
      </c>
      <c r="F19" s="214"/>
      <c r="G19" s="214"/>
      <c r="H19" s="214"/>
      <c r="I19" s="214"/>
      <c r="J19" s="240"/>
      <c r="K19" s="214"/>
      <c r="L19" s="214"/>
      <c r="M19" s="214"/>
    </row>
    <row r="20">
      <c r="A20" s="204">
        <v>19.0</v>
      </c>
      <c r="B20" s="218"/>
      <c r="C20" s="128" t="str">
        <f>IF(B20&lt;&gt;"",(VLOOKUP(B20,ClassData!Classes,4, false)+Abilities!Y23+BonusSkillPoints)*4,"")</f>
        <v/>
      </c>
      <c r="D20" s="209" t="str">
        <f>IF(B20&lt;&gt;"","d"&amp;VLOOKUP(B20,ClassData!Classes,3, false),"")</f>
        <v/>
      </c>
      <c r="E20" s="222" t="str">
        <f>IF(B20&lt;&gt;"",VLOOKUP(B20,ClassData!Classes,3, false),"")</f>
        <v/>
      </c>
      <c r="F20" s="214"/>
      <c r="G20" s="214"/>
      <c r="H20" s="214"/>
      <c r="I20" s="214"/>
      <c r="J20" s="240"/>
      <c r="K20" s="214"/>
      <c r="L20" s="214"/>
      <c r="M20" s="214"/>
    </row>
    <row r="21">
      <c r="A21" s="204">
        <v>20.0</v>
      </c>
      <c r="B21" s="218"/>
      <c r="C21" s="128" t="str">
        <f>IF(B21&lt;&gt;"",(VLOOKUP(B21,ClassData!Classes,4, false)+Abilities!Y24+BonusSkillPoints)*4,"")</f>
        <v/>
      </c>
      <c r="D21" s="209" t="str">
        <f>IF(B21&lt;&gt;"","d"&amp;VLOOKUP(B21,ClassData!Classes,3, false),"")</f>
        <v/>
      </c>
      <c r="E21" s="222" t="str">
        <f>IF(B21&lt;&gt;"",VLOOKUP(B21,ClassData!Classes,3, false),"")</f>
        <v/>
      </c>
      <c r="F21" s="214"/>
      <c r="G21" s="214"/>
      <c r="H21" s="214"/>
      <c r="I21" s="214"/>
      <c r="J21" s="240"/>
      <c r="K21" s="214"/>
      <c r="L21" s="214"/>
      <c r="M21" s="214"/>
    </row>
    <row r="22">
      <c r="A22" s="204">
        <v>21.0</v>
      </c>
      <c r="B22" s="218"/>
      <c r="C22" s="128" t="str">
        <f>IF(B22&lt;&gt;"",(VLOOKUP(B22,ClassData!Classes,4, false)+Abilities!Y25+BonusSkillPoints)*4,"")</f>
        <v/>
      </c>
      <c r="D22" s="209" t="str">
        <f>IF(B22&lt;&gt;"","d"&amp;VLOOKUP(B22,ClassData!Classes,3, false),"")</f>
        <v/>
      </c>
      <c r="E22" s="222" t="str">
        <f>IF(B22&lt;&gt;"",VLOOKUP(B22,ClassData!Classes,3, false),"")</f>
        <v/>
      </c>
      <c r="F22" s="214"/>
      <c r="G22" s="214"/>
      <c r="H22" s="214"/>
      <c r="I22" s="214"/>
      <c r="J22" s="240"/>
      <c r="K22" s="214"/>
      <c r="L22" s="214"/>
      <c r="M22" s="214"/>
    </row>
    <row r="23">
      <c r="A23" s="204">
        <v>22.0</v>
      </c>
      <c r="B23" s="24"/>
      <c r="C23" s="128" t="str">
        <f>IF(B23&lt;&gt;"",(VLOOKUP(B23,ClassData!Classes,4, false)+Abilities!Y26+BonusSkillPoints)*4,"")</f>
        <v/>
      </c>
      <c r="D23" s="209" t="str">
        <f>IF(B23&lt;&gt;"","d"&amp;VLOOKUP(B23,ClassData!Classes,3, false),"")</f>
        <v/>
      </c>
      <c r="E23" s="222" t="str">
        <f>IF(B23&lt;&gt;"",VLOOKUP(B23,ClassData!Classes,3, false),"")</f>
        <v/>
      </c>
      <c r="F23" s="214"/>
      <c r="G23" s="214"/>
      <c r="H23" s="214"/>
      <c r="I23" s="214"/>
      <c r="J23" s="240"/>
      <c r="K23" s="214"/>
      <c r="L23" s="214"/>
      <c r="M23" s="214"/>
    </row>
    <row r="24">
      <c r="A24" s="204">
        <v>23.0</v>
      </c>
      <c r="B24" s="24"/>
      <c r="C24" s="128" t="str">
        <f>IF(B24&lt;&gt;"",(VLOOKUP(B24,ClassData!Classes,4, false)+Abilities!Y27+BonusSkillPoints)*4,"")</f>
        <v/>
      </c>
      <c r="D24" s="209" t="str">
        <f>IF(B24&lt;&gt;"","d"&amp;VLOOKUP(B24,ClassData!Classes,3, false),"")</f>
        <v/>
      </c>
      <c r="E24" s="222" t="str">
        <f>IF(B24&lt;&gt;"",VLOOKUP(B24,ClassData!Classes,3, false),"")</f>
        <v/>
      </c>
      <c r="F24" s="214"/>
      <c r="G24" s="214"/>
      <c r="H24" s="214"/>
      <c r="I24" s="214"/>
      <c r="J24" s="240"/>
      <c r="K24" s="214"/>
      <c r="L24" s="214"/>
      <c r="M24" s="214"/>
    </row>
    <row r="25">
      <c r="A25" s="204">
        <v>24.0</v>
      </c>
      <c r="B25" s="24"/>
      <c r="C25" s="128" t="str">
        <f>IF(B25&lt;&gt;"",(VLOOKUP(B25,ClassData!Classes,4, false)+Abilities!Y28+BonusSkillPoints)*4,"")</f>
        <v/>
      </c>
      <c r="D25" s="209" t="str">
        <f>IF(B25&lt;&gt;"","d"&amp;VLOOKUP(B25,ClassData!Classes,3, false),"")</f>
        <v/>
      </c>
      <c r="E25" s="222" t="str">
        <f>IF(B25&lt;&gt;"",VLOOKUP(B25,ClassData!Classes,3, false),"")</f>
        <v/>
      </c>
      <c r="F25" s="214"/>
      <c r="G25" s="214"/>
      <c r="H25" s="214"/>
      <c r="I25" s="214"/>
      <c r="J25" s="240"/>
      <c r="K25" s="214"/>
      <c r="L25" s="214"/>
      <c r="M25" s="214"/>
    </row>
    <row r="26">
      <c r="A26" s="204">
        <v>25.0</v>
      </c>
      <c r="B26" s="24"/>
      <c r="C26" s="128" t="str">
        <f>IF(B26&lt;&gt;"",(VLOOKUP(B26,ClassData!Classes,4, false)+Abilities!Y29+BonusSkillPoints)*4,"")</f>
        <v/>
      </c>
      <c r="D26" s="209" t="str">
        <f>IF(B26&lt;&gt;"","d"&amp;VLOOKUP(B26,ClassData!Classes,3, false),"")</f>
        <v/>
      </c>
      <c r="E26" s="222" t="str">
        <f>IF(B26&lt;&gt;"",VLOOKUP(B26,ClassData!Classes,3, false),"")</f>
        <v/>
      </c>
      <c r="F26" s="214"/>
      <c r="G26" s="214"/>
      <c r="H26" s="214"/>
      <c r="I26" s="214"/>
      <c r="J26" s="240"/>
      <c r="K26" s="214"/>
      <c r="L26" s="214"/>
      <c r="M26" s="214"/>
    </row>
    <row r="27">
      <c r="A27" s="204">
        <v>26.0</v>
      </c>
      <c r="B27" s="24"/>
      <c r="C27" s="128" t="str">
        <f>IF(B27&lt;&gt;"",(VLOOKUP(B27,ClassData!Classes,4, false)+Abilities!Y30+BonusSkillPoints)*4,"")</f>
        <v/>
      </c>
      <c r="D27" s="209" t="str">
        <f>IF(B27&lt;&gt;"","d"&amp;VLOOKUP(B27,ClassData!Classes,3, false),"")</f>
        <v/>
      </c>
      <c r="E27" s="222" t="str">
        <f>IF(B27&lt;&gt;"",VLOOKUP(B27,ClassData!Classes,3, false),"")</f>
        <v/>
      </c>
      <c r="F27" s="214"/>
      <c r="G27" s="214"/>
      <c r="H27" s="214"/>
      <c r="I27" s="214"/>
      <c r="J27" s="240"/>
      <c r="K27" s="214"/>
      <c r="L27" s="214"/>
      <c r="M27" s="214"/>
    </row>
    <row r="28">
      <c r="A28" s="204">
        <v>27.0</v>
      </c>
      <c r="B28" s="24"/>
      <c r="C28" s="128" t="str">
        <f>IF(B28&lt;&gt;"",(VLOOKUP(B28,ClassData!Classes,4, false)+Abilities!Y31+BonusSkillPoints)*4,"")</f>
        <v/>
      </c>
      <c r="D28" s="209" t="str">
        <f>IF(B28&lt;&gt;"","d"&amp;VLOOKUP(B28,ClassData!Classes,3, false),"")</f>
        <v/>
      </c>
      <c r="E28" s="222" t="str">
        <f>IF(B28&lt;&gt;"",VLOOKUP(B28,ClassData!Classes,3, false),"")</f>
        <v/>
      </c>
      <c r="F28" s="214"/>
      <c r="G28" s="214"/>
      <c r="H28" s="214"/>
      <c r="I28" s="214"/>
      <c r="J28" s="240"/>
      <c r="K28" s="214"/>
      <c r="L28" s="214"/>
      <c r="M28" s="214"/>
    </row>
    <row r="29">
      <c r="A29" s="204">
        <v>28.0</v>
      </c>
      <c r="B29" s="24"/>
      <c r="C29" s="128" t="str">
        <f>IF(B29&lt;&gt;"",(VLOOKUP(B29,ClassData!Classes,4, false)+Abilities!Y32+BonusSkillPoints)*4,"")</f>
        <v/>
      </c>
      <c r="D29" s="209" t="str">
        <f>IF(B29&lt;&gt;"","d"&amp;VLOOKUP(B29,ClassData!Classes,3, false),"")</f>
        <v/>
      </c>
      <c r="E29" s="222" t="str">
        <f>IF(B29&lt;&gt;"",VLOOKUP(B29,ClassData!Classes,3, false),"")</f>
        <v/>
      </c>
      <c r="F29" s="214"/>
      <c r="G29" s="214"/>
      <c r="H29" s="214"/>
      <c r="I29" s="214"/>
      <c r="J29" s="240"/>
      <c r="K29" s="214"/>
      <c r="L29" s="214"/>
      <c r="M29" s="214"/>
    </row>
    <row r="30">
      <c r="A30" s="204">
        <v>29.0</v>
      </c>
      <c r="B30" s="24"/>
      <c r="C30" s="128" t="str">
        <f>IF(B30&lt;&gt;"",(VLOOKUP(B30,ClassData!Classes,4, false)+Abilities!Y33+BonusSkillPoints)*4,"")</f>
        <v/>
      </c>
      <c r="D30" s="209" t="str">
        <f>IF(B30&lt;&gt;"","d"&amp;VLOOKUP(B30,ClassData!Classes,3, false),"")</f>
        <v/>
      </c>
      <c r="E30" s="222" t="str">
        <f>IF(B30&lt;&gt;"",VLOOKUP(B30,ClassData!Classes,3, false),"")</f>
        <v/>
      </c>
      <c r="F30" s="214"/>
      <c r="G30" s="214"/>
      <c r="H30" s="214"/>
      <c r="I30" s="214"/>
      <c r="J30" s="240"/>
      <c r="K30" s="214"/>
      <c r="L30" s="214"/>
      <c r="M30" s="214"/>
    </row>
    <row r="31">
      <c r="A31" s="204">
        <v>30.0</v>
      </c>
      <c r="B31" s="24"/>
      <c r="C31" s="128" t="str">
        <f>IF(B31&lt;&gt;"",(VLOOKUP(B31,ClassData!Classes,4, false)+Abilities!Y34+BonusSkillPoints)*4,"")</f>
        <v/>
      </c>
      <c r="D31" s="209" t="str">
        <f>IF(B31&lt;&gt;"","d"&amp;VLOOKUP(B31,ClassData!Classes,3, false),"")</f>
        <v/>
      </c>
      <c r="E31" s="222" t="str">
        <f>IF(B31&lt;&gt;"",VLOOKUP(B31,ClassData!Classes,3, false),"")</f>
        <v/>
      </c>
      <c r="F31" s="214"/>
      <c r="G31" s="214"/>
      <c r="H31" s="214"/>
      <c r="I31" s="214"/>
      <c r="J31" s="240"/>
      <c r="K31" s="214"/>
      <c r="L31" s="214"/>
      <c r="M31" s="214"/>
    </row>
    <row r="32">
      <c r="A32" s="204">
        <v>31.0</v>
      </c>
      <c r="B32" s="24"/>
      <c r="C32" s="128" t="str">
        <f>IF(B32&lt;&gt;"",(VLOOKUP(B32,ClassData!Classes,4, false)+Abilities!Y35+BonusSkillPoints)*4,"")</f>
        <v/>
      </c>
      <c r="D32" s="209" t="str">
        <f>IF(B32&lt;&gt;"","d"&amp;VLOOKUP(B32,ClassData!Classes,3, false),"")</f>
        <v/>
      </c>
      <c r="E32" s="222" t="str">
        <f>IF(B32&lt;&gt;"",VLOOKUP(B32,ClassData!Classes,3, false),"")</f>
        <v/>
      </c>
      <c r="F32" s="214"/>
      <c r="G32" s="214"/>
      <c r="H32" s="214"/>
      <c r="I32" s="214"/>
      <c r="J32" s="240"/>
      <c r="K32" s="214"/>
      <c r="L32" s="214"/>
      <c r="M32" s="214"/>
    </row>
    <row r="33">
      <c r="A33" s="204">
        <v>32.0</v>
      </c>
      <c r="B33" s="24"/>
      <c r="C33" s="128" t="str">
        <f>IF(B33&lt;&gt;"",(VLOOKUP(B33,ClassData!Classes,4, false)+Abilities!Y36+BonusSkillPoints)*4,"")</f>
        <v/>
      </c>
      <c r="D33" s="209" t="str">
        <f>IF(B33&lt;&gt;"","d"&amp;VLOOKUP(B33,ClassData!Classes,3, false),"")</f>
        <v/>
      </c>
      <c r="E33" s="222" t="str">
        <f>IF(B33&lt;&gt;"",VLOOKUP(B33,ClassData!Classes,3, false),"")</f>
        <v/>
      </c>
      <c r="F33" s="214"/>
      <c r="G33" s="214"/>
      <c r="H33" s="214"/>
      <c r="I33" s="214"/>
      <c r="J33" s="240"/>
      <c r="K33" s="214"/>
      <c r="L33" s="214"/>
      <c r="M33" s="214"/>
    </row>
    <row r="34">
      <c r="A34" s="204">
        <v>33.0</v>
      </c>
      <c r="B34" s="24"/>
      <c r="C34" s="128" t="str">
        <f>IF(B34&lt;&gt;"",(VLOOKUP(B34,ClassData!Classes,4, false)+Abilities!Y37+BonusSkillPoints)*4,"")</f>
        <v/>
      </c>
      <c r="D34" s="209" t="str">
        <f>IF(B34&lt;&gt;"","d"&amp;VLOOKUP(B34,ClassData!Classes,3, false),"")</f>
        <v/>
      </c>
      <c r="E34" s="222" t="str">
        <f>IF(B34&lt;&gt;"",VLOOKUP(B34,ClassData!Classes,3, false),"")</f>
        <v/>
      </c>
      <c r="F34" s="214"/>
      <c r="G34" s="214"/>
      <c r="H34" s="214"/>
      <c r="I34" s="214"/>
      <c r="J34" s="240"/>
      <c r="K34" s="214"/>
      <c r="L34" s="214"/>
      <c r="M34" s="214"/>
    </row>
    <row r="35">
      <c r="A35" s="204">
        <v>34.0</v>
      </c>
      <c r="B35" s="24"/>
      <c r="C35" s="128" t="str">
        <f>IF(B35&lt;&gt;"",(VLOOKUP(B35,ClassData!Classes,4, false)+Abilities!Y38+BonusSkillPoints)*4,"")</f>
        <v/>
      </c>
      <c r="D35" s="209" t="str">
        <f>IF(B35&lt;&gt;"","d"&amp;VLOOKUP(B35,ClassData!Classes,3, false),"")</f>
        <v/>
      </c>
      <c r="E35" s="222" t="str">
        <f>IF(B35&lt;&gt;"",VLOOKUP(B35,ClassData!Classes,3, false),"")</f>
        <v/>
      </c>
      <c r="F35" s="214"/>
      <c r="G35" s="214"/>
      <c r="H35" s="214"/>
      <c r="I35" s="214"/>
      <c r="J35" s="240"/>
      <c r="K35" s="214"/>
      <c r="L35" s="214"/>
      <c r="M35" s="214"/>
    </row>
    <row r="36">
      <c r="A36" s="204">
        <v>35.0</v>
      </c>
      <c r="B36" s="24"/>
      <c r="C36" s="128" t="str">
        <f>IF(B36&lt;&gt;"",(VLOOKUP(B36,ClassData!Classes,4, false)+Abilities!Y39+BonusSkillPoints)*4,"")</f>
        <v/>
      </c>
      <c r="D36" s="209" t="str">
        <f>IF(B36&lt;&gt;"","d"&amp;VLOOKUP(B36,ClassData!Classes,3, false),"")</f>
        <v/>
      </c>
      <c r="E36" s="222" t="str">
        <f>IF(B36&lt;&gt;"",VLOOKUP(B36,ClassData!Classes,3, false),"")</f>
        <v/>
      </c>
      <c r="F36" s="214"/>
      <c r="G36" s="214"/>
      <c r="H36" s="214"/>
      <c r="I36" s="214"/>
      <c r="J36" s="240"/>
      <c r="K36" s="214"/>
      <c r="L36" s="214"/>
      <c r="M36" s="214"/>
    </row>
    <row r="37">
      <c r="A37" s="204">
        <v>36.0</v>
      </c>
      <c r="B37" s="24"/>
      <c r="C37" s="128" t="str">
        <f>IF(B37&lt;&gt;"",(VLOOKUP(B37,ClassData!Classes,4, false)+Abilities!Y40+BonusSkillPoints)*4,"")</f>
        <v/>
      </c>
      <c r="D37" s="209" t="str">
        <f>IF(B37&lt;&gt;"","d"&amp;VLOOKUP(B37,ClassData!Classes,3, false),"")</f>
        <v/>
      </c>
      <c r="E37" s="222" t="str">
        <f>IF(B37&lt;&gt;"",VLOOKUP(B37,ClassData!Classes,3, false),"")</f>
        <v/>
      </c>
      <c r="F37" s="214"/>
      <c r="G37" s="214"/>
      <c r="H37" s="214"/>
      <c r="I37" s="214"/>
      <c r="J37" s="240"/>
      <c r="K37" s="214"/>
      <c r="L37" s="214"/>
      <c r="M37" s="214"/>
    </row>
    <row r="38">
      <c r="A38" s="204">
        <v>37.0</v>
      </c>
      <c r="B38" s="24"/>
      <c r="C38" s="128" t="str">
        <f>IF(B38&lt;&gt;"",(VLOOKUP(B38,ClassData!Classes,4, false)+Abilities!Y41+BonusSkillPoints)*4,"")</f>
        <v/>
      </c>
      <c r="D38" s="209" t="str">
        <f>IF(B38&lt;&gt;"","d"&amp;VLOOKUP(B38,ClassData!Classes,3, false),"")</f>
        <v/>
      </c>
      <c r="E38" s="222" t="str">
        <f>IF(B38&lt;&gt;"",VLOOKUP(B38,ClassData!Classes,3, false),"")</f>
        <v/>
      </c>
      <c r="F38" s="214"/>
      <c r="G38" s="214"/>
      <c r="H38" s="214"/>
      <c r="I38" s="214"/>
      <c r="J38" s="240"/>
      <c r="K38" s="214"/>
      <c r="L38" s="214"/>
      <c r="M38" s="214"/>
    </row>
    <row r="39">
      <c r="A39" s="204">
        <v>38.0</v>
      </c>
      <c r="B39" s="24"/>
      <c r="C39" s="128" t="str">
        <f>IF(B39&lt;&gt;"",(VLOOKUP(B39,ClassData!Classes,4, false)+Abilities!Y42+BonusSkillPoints)*4,"")</f>
        <v/>
      </c>
      <c r="D39" s="209" t="str">
        <f>IF(B39&lt;&gt;"","d"&amp;VLOOKUP(B39,ClassData!Classes,3, false),"")</f>
        <v/>
      </c>
      <c r="E39" s="222" t="str">
        <f>IF(B39&lt;&gt;"",VLOOKUP(B39,ClassData!Classes,3, false),"")</f>
        <v/>
      </c>
      <c r="F39" s="214"/>
      <c r="G39" s="214"/>
      <c r="H39" s="214"/>
      <c r="I39" s="214"/>
      <c r="J39" s="240"/>
      <c r="K39" s="214"/>
      <c r="L39" s="214"/>
      <c r="M39" s="214"/>
    </row>
    <row r="40">
      <c r="A40" s="204">
        <v>39.0</v>
      </c>
      <c r="B40" s="24"/>
      <c r="C40" s="128" t="str">
        <f>IF(B40&lt;&gt;"",(VLOOKUP(B40,ClassData!Classes,4, false)+Abilities!Y43+BonusSkillPoints)*4,"")</f>
        <v/>
      </c>
      <c r="D40" s="209" t="str">
        <f>IF(B40&lt;&gt;"","d"&amp;VLOOKUP(B40,ClassData!Classes,3, false),"")</f>
        <v/>
      </c>
      <c r="E40" s="222" t="str">
        <f>IF(B40&lt;&gt;"",VLOOKUP(B40,ClassData!Classes,3, false),"")</f>
        <v/>
      </c>
      <c r="F40" s="214"/>
      <c r="G40" s="214"/>
      <c r="H40" s="214"/>
      <c r="I40" s="214"/>
      <c r="J40" s="240"/>
      <c r="K40" s="214"/>
      <c r="L40" s="214"/>
      <c r="M40" s="214"/>
    </row>
    <row r="41">
      <c r="A41" s="204">
        <v>40.0</v>
      </c>
      <c r="B41" s="23"/>
      <c r="C41" s="128" t="str">
        <f>IF(B41&lt;&gt;"",(VLOOKUP(B41,ClassData!Classes,4, false)+Abilities!Y44+BonusSkillPoints)*4,"")</f>
        <v/>
      </c>
      <c r="D41" s="209" t="str">
        <f>IF(B41&lt;&gt;"","d"&amp;VLOOKUP(B41,ClassData!Classes,3, false),"")</f>
        <v/>
      </c>
      <c r="E41" s="222" t="str">
        <f>IF(B41&lt;&gt;"",VLOOKUP(B41,ClassData!Classes,3, false),"")</f>
        <v/>
      </c>
      <c r="F41" s="214"/>
      <c r="G41" s="214"/>
      <c r="H41" s="214"/>
      <c r="I41" s="214"/>
      <c r="J41" s="240"/>
      <c r="K41" s="214"/>
      <c r="L41" s="214"/>
      <c r="M41" s="214"/>
    </row>
    <row r="42">
      <c r="A42" s="35"/>
      <c r="B42" s="296" t="s">
        <v>67</v>
      </c>
      <c r="C42" s="15"/>
      <c r="D42" s="297"/>
      <c r="E42" s="15"/>
      <c r="F42" s="299">
        <f>sum(Classes!F2:F41)</f>
        <v>1</v>
      </c>
      <c r="G42" s="15"/>
      <c r="H42" s="15"/>
      <c r="I42" s="15"/>
      <c r="J42" s="301"/>
      <c r="K42" s="15"/>
      <c r="L42" s="15"/>
      <c r="M42" s="15"/>
    </row>
  </sheetData>
  <dataValidations>
    <dataValidation type="list" allowBlank="1" showErrorMessage="1" sqref="B2:B41">
      <formula1>ClassData!$A$2:$A$113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57"/>
    <col customWidth="1" min="2" max="2" width="19.71"/>
    <col customWidth="1" min="3" max="3" width="15.71"/>
    <col customWidth="1" min="4" max="4" width="12.71"/>
    <col customWidth="1" min="6" max="6" width="18.14"/>
    <col customWidth="1" min="23" max="97" width="3.14"/>
  </cols>
  <sheetData>
    <row r="1">
      <c r="A1" s="87" t="s">
        <v>14</v>
      </c>
      <c r="B1" s="87" t="s">
        <v>254</v>
      </c>
      <c r="C1" s="87" t="s">
        <v>255</v>
      </c>
      <c r="D1" s="87" t="s">
        <v>256</v>
      </c>
      <c r="F1" s="296" t="s">
        <v>257</v>
      </c>
      <c r="H1" s="189" t="s">
        <v>193</v>
      </c>
      <c r="I1" s="309"/>
      <c r="J1" s="311" t="s">
        <v>258</v>
      </c>
      <c r="K1" s="311" t="s">
        <v>259</v>
      </c>
      <c r="L1" s="311" t="s">
        <v>260</v>
      </c>
      <c r="M1" s="311" t="s">
        <v>192</v>
      </c>
      <c r="N1" s="313" t="s">
        <v>200</v>
      </c>
      <c r="P1" s="96" t="s">
        <v>261</v>
      </c>
      <c r="Q1" s="22"/>
      <c r="S1" s="314" t="s">
        <v>185</v>
      </c>
    </row>
    <row r="2">
      <c r="A2" s="87" t="s">
        <v>262</v>
      </c>
      <c r="B2" s="87">
        <v>8.0</v>
      </c>
      <c r="C2" s="87">
        <v>-16.0</v>
      </c>
      <c r="D2" s="87">
        <v>16.0</v>
      </c>
      <c r="F2">
        <f>IF(Race="Human",1,0)</f>
        <v>0</v>
      </c>
      <c r="H2" s="291" t="str">
        <f>IFERROR(__xludf.DUMMYFUNCTION("UNIQUE(Classes!B2:B41)"),"Fighter")</f>
        <v>Fighter</v>
      </c>
      <c r="I2" s="22"/>
      <c r="J2" s="24">
        <f t="array" ref="J2">CountIf(Classes!$B$2:$B$41,$H2)</f>
        <v>1</v>
      </c>
      <c r="K2" s="24">
        <f>IF(OR(H2="",$J2=0),"",VLOOKUP(VLOOKUP(H2,ClassData!$A$2:$G100,2,false),BABTable,2,false)*$J2)</f>
        <v>1</v>
      </c>
      <c r="L2" s="24">
        <f>IF(OR(H2="",$J2=0),"",VLOOKUP(VLOOKUP($H2,ClassData!$A$2:$G100,5,false),SavesTable,3,false)*$J2+IF(VLOOKUP($H2,ClassData!$A$2:$G100,5,false)="Good",2,0))</f>
        <v>2.5</v>
      </c>
      <c r="M2" s="24">
        <f>IF(OR(H2="",$J2=0),"",VLOOKUP(VLOOKUP($H2,ClassData!$A$2:$G100,6,false),SavesTable,3,false)*$J2+IF(VLOOKUP($H2,ClassData!$A$2:$G100,6,false)="Good",2,0))</f>
        <v>0.3333333333</v>
      </c>
      <c r="N2" s="24">
        <f>IF(OR(H2="",$J2=0),"",VLOOKUP(VLOOKUP($H2,ClassData!$A$2:$G100,7,false),SavesTable,3,false)*$J2+IF(VLOOKUP($H2,ClassData!$A$2:$G100,7,false)="Good",2,0))</f>
        <v>0.3333333333</v>
      </c>
      <c r="P2" s="23">
        <v>1.0</v>
      </c>
      <c r="Q2" s="23">
        <v>10.0</v>
      </c>
      <c r="S2" s="23">
        <v>8.0</v>
      </c>
      <c r="T2" s="23">
        <v>0.0</v>
      </c>
    </row>
    <row r="3">
      <c r="A3" s="87" t="s">
        <v>265</v>
      </c>
      <c r="B3" s="87">
        <v>4.0</v>
      </c>
      <c r="C3" s="87">
        <v>-12.0</v>
      </c>
      <c r="D3" s="87">
        <v>12.0</v>
      </c>
      <c r="H3" s="317" t="s">
        <v>209</v>
      </c>
      <c r="I3" s="22"/>
      <c r="J3" s="24">
        <f t="array" ref="J3">CountIf(Classes!$B$2:$B$41,$H3)</f>
        <v>1</v>
      </c>
      <c r="K3" s="24">
        <f>IF(OR(H3="",$J3=0),"",VLOOKUP(VLOOKUP(H3,ClassData!$A$2:$G100,2,false),BABTable,2,false)*$J3)</f>
        <v>0.5</v>
      </c>
      <c r="L3" s="24">
        <f>IF(OR(H3="",$J3=0),"",VLOOKUP(VLOOKUP($H3,ClassData!$A$2:$G100,5,false),SavesTable,3,false)*$J3+IF(VLOOKUP($H3,ClassData!$A$2:$G100,5,false)="Good",2,0))</f>
        <v>2.5</v>
      </c>
      <c r="M3" s="24">
        <f>IF(OR(H3="",$J3=0),"",VLOOKUP(VLOOKUP($H3,ClassData!$A$2:$G100,6,false),SavesTable,3,false)*$J3+IF(VLOOKUP($H3,ClassData!$A$2:$G100,6,false)="Good",2,0))</f>
        <v>0.3333333333</v>
      </c>
      <c r="N3" s="24">
        <f>IF(OR(H3="",$J3=0),"",VLOOKUP(VLOOKUP($H3,ClassData!$A$2:$G100,7,false),SavesTable,3,false)*$J3+IF(VLOOKUP($H3,ClassData!$A$2:$G100,7,false)="Good",2,0))</f>
        <v>2.5</v>
      </c>
      <c r="P3" s="23">
        <v>2.0</v>
      </c>
      <c r="Q3" s="23">
        <v>20.0</v>
      </c>
      <c r="S3" s="23">
        <v>9.0</v>
      </c>
      <c r="T3" s="23">
        <v>1.0</v>
      </c>
    </row>
    <row r="4">
      <c r="A4" s="87" t="s">
        <v>270</v>
      </c>
      <c r="B4" s="87">
        <v>2.0</v>
      </c>
      <c r="C4" s="87">
        <v>-8.0</v>
      </c>
      <c r="D4" s="87">
        <v>8.0</v>
      </c>
      <c r="F4" s="5" t="s">
        <v>214</v>
      </c>
      <c r="H4" s="317"/>
      <c r="I4" s="22"/>
      <c r="J4" s="24">
        <f t="array" ref="J4">CountIf(Classes!$B$2:$B$41,$H4)</f>
        <v>0</v>
      </c>
      <c r="K4" s="24" t="str">
        <f>IF(OR(H4="",$J4=0),"",VLOOKUP(VLOOKUP(H4,ClassData!$A$2:$G100,2,false),BABTable,2,false)*$J4)</f>
        <v/>
      </c>
      <c r="L4" s="24" t="str">
        <f>IF(OR(H4="",$J4=0),"",VLOOKUP(VLOOKUP($H4,ClassData!$A$2:$G100,5,false),SavesTable,3,false)*$J4+IF(VLOOKUP($H4,ClassData!$A$2:$G100,5,false)="Good",2,0))</f>
        <v/>
      </c>
      <c r="M4" s="24" t="str">
        <f>IF(OR(H4="",$J4=0),"",VLOOKUP(VLOOKUP($H4,ClassData!$A$2:$G100,6,false),SavesTable,3,false)*$J4+IF(VLOOKUP($H4,ClassData!$A$2:$G100,6,false)="Good",2,0))</f>
        <v/>
      </c>
      <c r="N4" s="24" t="str">
        <f>IF(OR(H4="",$J4=0),"",VLOOKUP(VLOOKUP($H4,ClassData!$A$2:$G100,7,false),SavesTable,3,false)*$J4+IF(VLOOKUP($H4,ClassData!$A$2:$G100,7,false)="Good",2,0))</f>
        <v/>
      </c>
      <c r="P4" s="23">
        <v>3.0</v>
      </c>
      <c r="Q4" s="23">
        <v>30.0</v>
      </c>
      <c r="S4" s="23">
        <v>10.0</v>
      </c>
      <c r="T4" s="23">
        <v>2.0</v>
      </c>
    </row>
    <row r="5">
      <c r="A5" s="87" t="s">
        <v>271</v>
      </c>
      <c r="B5" s="87">
        <v>1.0</v>
      </c>
      <c r="C5" s="87">
        <v>-4.0</v>
      </c>
      <c r="D5" s="87">
        <v>4.0</v>
      </c>
      <c r="F5">
        <f>Character!P21+Character!P26</f>
        <v>0</v>
      </c>
      <c r="H5" s="317"/>
      <c r="I5" s="22"/>
      <c r="J5" s="24">
        <f t="array" ref="J5">CountIf(Classes!$B$2:$B$41,$H5)</f>
        <v>0</v>
      </c>
      <c r="K5" s="24" t="str">
        <f>IF(OR(H5="",$J5=0),"",VLOOKUP(VLOOKUP(H5,ClassData!$A$2:$G100,2,false),BABTable,2,false)*$J5)</f>
        <v/>
      </c>
      <c r="L5" s="24" t="str">
        <f>IF(OR(H5="",$J5=0),"",VLOOKUP(VLOOKUP($H5,ClassData!$A$2:$G100,5,false),SavesTable,3,false)*$J5+IF(VLOOKUP($H5,ClassData!$A$2:$G100,5,false)="Good",2,0))</f>
        <v/>
      </c>
      <c r="M5" s="24" t="str">
        <f>IF(OR(H5="",$J5=0),"",VLOOKUP(VLOOKUP($H5,ClassData!$A$2:$G100,6,false),SavesTable,3,false)*$J5+IF(VLOOKUP($H5,ClassData!$A$2:$G100,6,false)="Good",2,0))</f>
        <v/>
      </c>
      <c r="N5" s="24" t="str">
        <f>IF(OR(H5="",$J5=0),"",VLOOKUP(VLOOKUP($H5,ClassData!$A$2:$G100,7,false),SavesTable,3,false)*$J5+IF(VLOOKUP($H5,ClassData!$A$2:$G100,7,false)="Good",2,0))</f>
        <v/>
      </c>
      <c r="P5" s="23">
        <v>4.0</v>
      </c>
      <c r="Q5" s="23">
        <v>40.0</v>
      </c>
      <c r="S5" s="23">
        <v>11.0</v>
      </c>
      <c r="T5" s="23">
        <v>3.0</v>
      </c>
    </row>
    <row r="6">
      <c r="A6" s="87" t="s">
        <v>6</v>
      </c>
      <c r="B6" s="87">
        <v>0.0</v>
      </c>
      <c r="C6" s="87">
        <v>0.0</v>
      </c>
      <c r="D6" s="87">
        <v>0.0</v>
      </c>
      <c r="H6" s="317"/>
      <c r="I6" s="22"/>
      <c r="J6" s="24">
        <f t="array" ref="J6">CountIf(Classes!$B$2:$B$41,$H6)</f>
        <v>0</v>
      </c>
      <c r="K6" s="24" t="str">
        <f>IF(OR(H6="",$J6=0),"",VLOOKUP(VLOOKUP(H6,ClassData!$A$2:$G100,2,false),BABTable,2,false)*$J6)</f>
        <v/>
      </c>
      <c r="L6" s="24" t="str">
        <f>IF(OR(H6="",$J6=0),"",VLOOKUP(VLOOKUP($H6,ClassData!$A$2:$G100,5,false),SavesTable,3,false)*$J6+IF(VLOOKUP($H6,ClassData!$A$2:$G100,5,false)="Good",2,0))</f>
        <v/>
      </c>
      <c r="M6" s="24" t="str">
        <f>IF(OR(H6="",$J6=0),"",VLOOKUP(VLOOKUP($H6,ClassData!$A$2:$G100,6,false),SavesTable,3,false)*$J6+IF(VLOOKUP($H6,ClassData!$A$2:$G100,6,false)="Good",2,0))</f>
        <v/>
      </c>
      <c r="N6" s="24" t="str">
        <f>IF(OR(H6="",$J6=0),"",VLOOKUP(VLOOKUP($H6,ClassData!$A$2:$G100,7,false),SavesTable,3,false)*$J6+IF(VLOOKUP($H6,ClassData!$A$2:$G100,7,false)="Good",2,0))</f>
        <v/>
      </c>
      <c r="P6" s="23">
        <v>5.0</v>
      </c>
      <c r="Q6" s="23">
        <v>50.0</v>
      </c>
      <c r="S6" s="23">
        <v>12.0</v>
      </c>
      <c r="T6" s="23">
        <v>4.0</v>
      </c>
    </row>
    <row r="7">
      <c r="A7" s="87" t="s">
        <v>275</v>
      </c>
      <c r="B7" s="87">
        <v>-1.0</v>
      </c>
      <c r="C7" s="87">
        <v>4.0</v>
      </c>
      <c r="D7" s="87">
        <v>-4.0</v>
      </c>
      <c r="H7" s="317"/>
      <c r="I7" s="22"/>
      <c r="J7" s="24">
        <f t="array" ref="J7">CountIf(Classes!$B$2:$B$41,$H7)</f>
        <v>0</v>
      </c>
      <c r="K7" s="24" t="str">
        <f>IF(OR(H7="",$J7=0),"",VLOOKUP(VLOOKUP(H7,ClassData!$A$2:$G100,2,false),BABTable,2,false)*$J7)</f>
        <v/>
      </c>
      <c r="L7" s="24" t="str">
        <f>IF(OR(H7="",$J7=0),"",VLOOKUP(VLOOKUP($H7,ClassData!$A$2:$G100,5,false),SavesTable,3,false)*$J7+IF(VLOOKUP($H7,ClassData!$A$2:$G100,5,false)="Good",2,0))</f>
        <v/>
      </c>
      <c r="M7" s="24" t="str">
        <f>IF(OR(H7="",$J7=0),"",VLOOKUP(VLOOKUP($H7,ClassData!$A$2:$G100,6,false),SavesTable,3,false)*$J7+IF(VLOOKUP($H7,ClassData!$A$2:$G100,6,false)="Good",2,0))</f>
        <v/>
      </c>
      <c r="N7" s="24" t="str">
        <f>IF(OR(H7="",$J7=0),"",VLOOKUP(VLOOKUP($H7,ClassData!$A$2:$G100,7,false),SavesTable,3,false)*$J7+IF(VLOOKUP($H7,ClassData!$A$2:$G100,7,false)="Good",2,0))</f>
        <v/>
      </c>
      <c r="P7" s="23">
        <v>6.0</v>
      </c>
      <c r="Q7" s="23">
        <v>60.0</v>
      </c>
      <c r="S7" s="23">
        <v>13.0</v>
      </c>
      <c r="T7" s="23">
        <v>5.0</v>
      </c>
    </row>
    <row r="8">
      <c r="A8" s="87" t="s">
        <v>278</v>
      </c>
      <c r="B8" s="87">
        <v>-2.0</v>
      </c>
      <c r="C8" s="87">
        <v>8.0</v>
      </c>
      <c r="D8" s="87">
        <v>-8.0</v>
      </c>
      <c r="H8" s="317"/>
      <c r="I8" s="22"/>
      <c r="J8" s="24">
        <f t="array" ref="J8">CountIf(Classes!$B$2:$B$41,$H8)</f>
        <v>0</v>
      </c>
      <c r="K8" s="24" t="str">
        <f>IF(OR(H8="",$J8=0),"",VLOOKUP(VLOOKUP(H8,ClassData!$A$2:$G100,2,false),BABTable,2,false)*$J8)</f>
        <v/>
      </c>
      <c r="L8" s="24" t="str">
        <f>IF(OR(H8="",$J8=0),"",VLOOKUP(VLOOKUP($H8,ClassData!$A$2:$G100,5,false),SavesTable,3,false)*$J8+IF(VLOOKUP($H8,ClassData!$A$2:$G100,5,false)="Good",2,0))</f>
        <v/>
      </c>
      <c r="M8" s="24" t="str">
        <f>IF(OR(H8="",$J8=0),"",VLOOKUP(VLOOKUP($H8,ClassData!$A$2:$G100,6,false),SavesTable,3,false)*$J8+IF(VLOOKUP($H8,ClassData!$A$2:$G100,6,false)="Good",2,0))</f>
        <v/>
      </c>
      <c r="N8" s="24" t="str">
        <f>IF(OR(H8="",$J8=0),"",VLOOKUP(VLOOKUP($H8,ClassData!$A$2:$G100,7,false),SavesTable,3,false)*$J8+IF(VLOOKUP($H8,ClassData!$A$2:$G100,7,false)="Good",2,0))</f>
        <v/>
      </c>
      <c r="P8" s="23">
        <v>7.0</v>
      </c>
      <c r="Q8" s="23">
        <v>70.0</v>
      </c>
      <c r="S8" s="23">
        <v>14.0</v>
      </c>
      <c r="T8" s="23">
        <v>6.0</v>
      </c>
    </row>
    <row r="9">
      <c r="A9" s="87" t="s">
        <v>280</v>
      </c>
      <c r="B9" s="87">
        <v>-4.0</v>
      </c>
      <c r="C9" s="87">
        <v>12.0</v>
      </c>
      <c r="D9" s="87">
        <v>-12.0</v>
      </c>
      <c r="H9" s="317"/>
      <c r="I9" s="22"/>
      <c r="J9" s="24">
        <f t="array" ref="J9">CountIf(Classes!$B$2:$B$41,$H9)</f>
        <v>0</v>
      </c>
      <c r="K9" s="24" t="str">
        <f>IF(OR(H9="",$J9=0),"",VLOOKUP(VLOOKUP(H9,ClassData!$A$2:$G100,2,false),BABTable,2,false)*$J9)</f>
        <v/>
      </c>
      <c r="L9" s="24" t="str">
        <f>IF(OR(H9="",$J9=0),"",VLOOKUP(VLOOKUP($H9,ClassData!$A$2:$G100,5,false),SavesTable,3,false)*$J9+IF(VLOOKUP($H9,ClassData!$A$2:$G100,5,false)="Good",2,0))</f>
        <v/>
      </c>
      <c r="M9" s="24" t="str">
        <f>IF(OR(H9="",$J9=0),"",VLOOKUP(VLOOKUP($H9,ClassData!$A$2:$G100,6,false),SavesTable,3,false)*$J9+IF(VLOOKUP($H9,ClassData!$A$2:$G100,6,false)="Good",2,0))</f>
        <v/>
      </c>
      <c r="N9" s="24" t="str">
        <f>IF(OR(H9="",$J9=0),"",VLOOKUP(VLOOKUP($H9,ClassData!$A$2:$G100,7,false),SavesTable,3,false)*$J9+IF(VLOOKUP($H9,ClassData!$A$2:$G100,7,false)="Good",2,0))</f>
        <v/>
      </c>
      <c r="P9" s="23">
        <v>8.0</v>
      </c>
      <c r="Q9" s="23">
        <v>80.0</v>
      </c>
      <c r="S9" s="23">
        <v>15.0</v>
      </c>
      <c r="T9" s="23">
        <v>8.0</v>
      </c>
    </row>
    <row r="10">
      <c r="A10" s="87" t="s">
        <v>282</v>
      </c>
      <c r="B10" s="87">
        <v>-8.0</v>
      </c>
      <c r="C10" s="87">
        <v>16.0</v>
      </c>
      <c r="D10" s="87">
        <v>-16.0</v>
      </c>
      <c r="H10" s="317"/>
      <c r="I10" s="22"/>
      <c r="J10" s="24">
        <f t="array" ref="J10">CountIf(Classes!$B$2:$B$41,$H10)</f>
        <v>0</v>
      </c>
      <c r="K10" s="24" t="str">
        <f>IF(OR(H10="",$J10=0),"",VLOOKUP(VLOOKUP(H10,ClassData!$A$2:$G100,2,false),BABTable,2,false)*$J10)</f>
        <v/>
      </c>
      <c r="L10" s="24" t="str">
        <f>IF(OR(H10="",$J10=0),"",VLOOKUP(VLOOKUP($H10,ClassData!$A$2:$G100,5,false),SavesTable,3,false)*$J10+IF(VLOOKUP($H10,ClassData!$A$2:$G100,5,false)="Good",2,0))</f>
        <v/>
      </c>
      <c r="M10" s="24" t="str">
        <f>IF(OR(H10="",$J10=0),"",VLOOKUP(VLOOKUP($H10,ClassData!$A$2:$G100,6,false),SavesTable,3,false)*$J10+IF(VLOOKUP($H10,ClassData!$A$2:$G100,6,false)="Good",2,0))</f>
        <v/>
      </c>
      <c r="N10" s="24" t="str">
        <f>IF(OR(H10="",$J10=0),"",VLOOKUP(VLOOKUP($H10,ClassData!$A$2:$G100,7,false),SavesTable,3,false)*$J10+IF(VLOOKUP($H10,ClassData!$A$2:$G100,7,false)="Good",2,0))</f>
        <v/>
      </c>
      <c r="P10" s="23">
        <v>9.0</v>
      </c>
      <c r="Q10" s="23">
        <v>90.0</v>
      </c>
      <c r="S10" s="23">
        <v>16.0</v>
      </c>
      <c r="T10" s="23">
        <v>10.0</v>
      </c>
    </row>
    <row r="11">
      <c r="H11" s="317"/>
      <c r="I11" s="22"/>
      <c r="J11" s="24">
        <f t="array" ref="J11">CountIf(Classes!$B$2:$B$41,$H11)</f>
        <v>0</v>
      </c>
      <c r="K11" s="24" t="str">
        <f>IF(OR(H11="",$J11=0),"",VLOOKUP(VLOOKUP(H11,ClassData!$A$2:$G100,2,false),BABTable,2,false)*$J11)</f>
        <v/>
      </c>
      <c r="L11" s="24" t="str">
        <f>IF(OR(H11="",$J11=0),"",VLOOKUP(VLOOKUP($H11,ClassData!$A$2:$G100,5,false),SavesTable,3,false)*$J11+IF(VLOOKUP($H11,ClassData!$A$2:$G100,5,false)="Good",2,0))</f>
        <v/>
      </c>
      <c r="M11" s="24" t="str">
        <f>IF(OR(H11="",$J11=0),"",VLOOKUP(VLOOKUP($H11,ClassData!$A$2:$G100,6,false),SavesTable,3,false)*$J11+IF(VLOOKUP($H11,ClassData!$A$2:$G100,6,false)="Good",2,0))</f>
        <v/>
      </c>
      <c r="N11" s="24" t="str">
        <f>IF(OR(H11="",$J11=0),"",VLOOKUP(VLOOKUP($H11,ClassData!$A$2:$G100,7,false),SavesTable,3,false)*$J11+IF(VLOOKUP($H11,ClassData!$A$2:$G100,7,false)="Good",2,0))</f>
        <v/>
      </c>
      <c r="P11" s="23">
        <v>10.0</v>
      </c>
      <c r="Q11" s="23">
        <v>100.0</v>
      </c>
      <c r="S11" s="23">
        <v>17.0</v>
      </c>
      <c r="T11" s="23">
        <v>13.0</v>
      </c>
    </row>
    <row r="12">
      <c r="A12" s="87" t="s">
        <v>285</v>
      </c>
      <c r="B12" s="87" t="s">
        <v>286</v>
      </c>
      <c r="C12" s="87" t="s">
        <v>21</v>
      </c>
      <c r="D12" s="136" t="s">
        <v>287</v>
      </c>
      <c r="H12" s="317"/>
      <c r="I12" s="22"/>
      <c r="J12" s="24">
        <f t="array" ref="J12">CountIf(Classes!$B$2:$B$41,$H12)</f>
        <v>0</v>
      </c>
      <c r="K12" s="24" t="str">
        <f>IF(OR(H12="",$J12=0),"",VLOOKUP(VLOOKUP(H12,ClassData!$A$2:$G100,2,false),BABTable,2,false)*$J12)</f>
        <v/>
      </c>
      <c r="L12" s="24" t="str">
        <f>IF(OR(H12="",$J12=0),"",VLOOKUP(VLOOKUP($H12,ClassData!$A$2:$G100,5,false),SavesTable,3,false)*$J12+IF(VLOOKUP($H12,ClassData!$A$2:$G100,5,false)="Good",2,0))</f>
        <v/>
      </c>
      <c r="M12" s="24" t="str">
        <f>IF(OR(H12="",$J12=0),"",VLOOKUP(VLOOKUP($H12,ClassData!$A$2:$G100,6,false),SavesTable,3,false)*$J12+IF(VLOOKUP($H12,ClassData!$A$2:$G100,6,false)="Good",2,0))</f>
        <v/>
      </c>
      <c r="N12" s="24" t="str">
        <f>IF(OR(H12="",$J12=0),"",VLOOKUP(VLOOKUP($H12,ClassData!$A$2:$G100,7,false),SavesTable,3,false)*$J12+IF(VLOOKUP($H12,ClassData!$A$2:$G100,7,false)="Good",2,0))</f>
        <v/>
      </c>
      <c r="P12" s="23">
        <v>11.0</v>
      </c>
      <c r="Q12" s="23">
        <v>115.0</v>
      </c>
      <c r="S12" s="23">
        <v>18.0</v>
      </c>
      <c r="T12" s="23">
        <v>16.0</v>
      </c>
    </row>
    <row r="13">
      <c r="A13" s="87" t="s">
        <v>289</v>
      </c>
      <c r="B13" s="87">
        <v>0.5</v>
      </c>
      <c r="C13" s="24">
        <f>1/3</f>
        <v>0.3333333333</v>
      </c>
      <c r="E13" s="5">
        <v>0.5</v>
      </c>
      <c r="H13" s="317"/>
      <c r="I13" s="22"/>
      <c r="J13" s="24">
        <f t="array" ref="J13">CountIf(Classes!$B$2:$B$41,$H13)</f>
        <v>0</v>
      </c>
      <c r="K13" s="24" t="str">
        <f>IF(OR(H13="",$J13=0),"",VLOOKUP(VLOOKUP(H13,ClassData!$A$2:$G100,2,false),BABTable,2,false)*$J13)</f>
        <v/>
      </c>
      <c r="L13" s="24" t="str">
        <f>IF(OR(H13="",$J13=0),"",VLOOKUP(VLOOKUP($H13,ClassData!$A$2:$G100,5,false),SavesTable,3,false)*$J13+IF(VLOOKUP($H13,ClassData!$A$2:$G100,5,false)="Good",2,0))</f>
        <v/>
      </c>
      <c r="M13" s="24" t="str">
        <f>IF(OR(H13="",$J13=0),"",VLOOKUP(VLOOKUP($H13,ClassData!$A$2:$G100,6,false),SavesTable,3,false)*$J13+IF(VLOOKUP($H13,ClassData!$A$2:$G100,6,false)="Good",2,0))</f>
        <v/>
      </c>
      <c r="N13" s="24" t="str">
        <f>IF(OR(H13="",$J13=0),"",VLOOKUP(VLOOKUP($H13,ClassData!$A$2:$G100,7,false),SavesTable,3,false)*$J13+IF(VLOOKUP($H13,ClassData!$A$2:$G100,7,false)="Good",2,0))</f>
        <v/>
      </c>
      <c r="P13" s="23">
        <v>12.0</v>
      </c>
      <c r="Q13" s="23">
        <v>130.0</v>
      </c>
    </row>
    <row r="14">
      <c r="A14" s="87" t="s">
        <v>294</v>
      </c>
      <c r="B14" s="87">
        <v>0.75</v>
      </c>
      <c r="C14" s="87">
        <v>0.5</v>
      </c>
      <c r="D14" s="136" t="s">
        <v>219</v>
      </c>
      <c r="E14" s="5">
        <v>0.0</v>
      </c>
      <c r="H14" s="317"/>
      <c r="I14" s="22"/>
      <c r="J14" s="24">
        <f t="array" ref="J14">CountIf(Classes!$B$2:$B$41,$H14)</f>
        <v>0</v>
      </c>
      <c r="K14" s="24" t="str">
        <f>IF(OR(H14="",$J14=0),"",VLOOKUP(VLOOKUP(H14,ClassData!$A$2:$G100,2,false),BABTable,2,false)*$J14)</f>
        <v/>
      </c>
      <c r="L14" s="24" t="str">
        <f>IF(OR(H14="",$J14=0),"",VLOOKUP(VLOOKUP($H14,ClassData!$A$2:$G100,5,false),SavesTable,3,false)*$J14+IF(VLOOKUP($H14,ClassData!$A$2:$G100,5,false)="Good",2,0))</f>
        <v/>
      </c>
      <c r="M14" s="24" t="str">
        <f>IF(OR(H14="",$J14=0),"",VLOOKUP(VLOOKUP($H14,ClassData!$A$2:$G100,6,false),SavesTable,3,false)*$J14+IF(VLOOKUP($H14,ClassData!$A$2:$G100,6,false)="Good",2,0))</f>
        <v/>
      </c>
      <c r="N14" s="24" t="str">
        <f>IF(OR(H14="",$J14=0),"",VLOOKUP(VLOOKUP($H14,ClassData!$A$2:$G100,7,false),SavesTable,3,false)*$J14+IF(VLOOKUP($H14,ClassData!$A$2:$G100,7,false)="Good",2,0))</f>
        <v/>
      </c>
      <c r="P14" s="23">
        <v>13.0</v>
      </c>
      <c r="Q14" s="23">
        <v>150.0</v>
      </c>
    </row>
    <row r="15">
      <c r="A15" s="87" t="s">
        <v>299</v>
      </c>
      <c r="B15" s="87">
        <v>1.0</v>
      </c>
      <c r="D15" s="136" t="s">
        <v>300</v>
      </c>
      <c r="E15" s="5">
        <v>1.0</v>
      </c>
      <c r="H15" s="317"/>
      <c r="I15" s="22"/>
      <c r="J15" s="24">
        <f t="array" ref="J15">CountIf(Classes!$B$2:$B$41,$H15)</f>
        <v>0</v>
      </c>
      <c r="K15" s="24" t="str">
        <f>IF(OR(H15="",$J15=0),"",VLOOKUP(VLOOKUP(H15,ClassData!$A$2:$G100,2,false),BABTable,2,false)*$J15)</f>
        <v/>
      </c>
      <c r="L15" s="24" t="str">
        <f>IF(OR(H15="",$J15=0),"",VLOOKUP(VLOOKUP($H15,ClassData!$A$2:$G100,5,false),SavesTable,3,false)*$J15+IF(VLOOKUP($H15,ClassData!$A$2:$G100,5,false)="Good",2,0))</f>
        <v/>
      </c>
      <c r="M15" s="24" t="str">
        <f>IF(OR(H15="",$J15=0),"",VLOOKUP(VLOOKUP($H15,ClassData!$A$2:$G100,6,false),SavesTable,3,false)*$J15+IF(VLOOKUP($H15,ClassData!$A$2:$G100,6,false)="Good",2,0))</f>
        <v/>
      </c>
      <c r="N15" s="24" t="str">
        <f>IF(OR(H15="",$J15=0),"",VLOOKUP(VLOOKUP($H15,ClassData!$A$2:$G100,7,false),SavesTable,3,false)*$J15+IF(VLOOKUP($H15,ClassData!$A$2:$G100,7,false)="Good",2,0))</f>
        <v/>
      </c>
      <c r="P15" s="23">
        <v>14.0</v>
      </c>
      <c r="Q15" s="23">
        <v>175.0</v>
      </c>
    </row>
    <row r="16">
      <c r="H16" s="317"/>
      <c r="I16" s="22"/>
      <c r="J16" s="24">
        <f t="array" ref="J16">CountIf(Classes!$B$2:$B$41,$H16)</f>
        <v>0</v>
      </c>
      <c r="K16" s="24" t="str">
        <f>IF(OR(H16="",$J16=0),"",VLOOKUP(VLOOKUP(H16,ClassData!$A$2:$G100,2,false),BABTable,2,false)*$J16)</f>
        <v/>
      </c>
      <c r="L16" s="24" t="str">
        <f>IF(OR(H16="",$J16=0),"",VLOOKUP(VLOOKUP($H16,ClassData!$A$2:$G100,5,false),SavesTable,3,false)*$J16+IF(VLOOKUP($H16,ClassData!$A$2:$G100,5,false)="Good",2,0))</f>
        <v/>
      </c>
      <c r="M16" s="24" t="str">
        <f>IF(OR(H16="",$J16=0),"",VLOOKUP(VLOOKUP($H16,ClassData!$A$2:$G100,6,false),SavesTable,3,false)*$J16+IF(VLOOKUP($H16,ClassData!$A$2:$G100,6,false)="Good",2,0))</f>
        <v/>
      </c>
      <c r="N16" s="24" t="str">
        <f>IF(OR(H16="",$J16=0),"",VLOOKUP(VLOOKUP($H16,ClassData!$A$2:$G100,7,false),SavesTable,3,false)*$J16+IF(VLOOKUP($H16,ClassData!$A$2:$G100,7,false)="Good",2,0))</f>
        <v/>
      </c>
      <c r="P16" s="23">
        <v>15.0</v>
      </c>
      <c r="Q16" s="23">
        <v>200.0</v>
      </c>
    </row>
    <row r="17">
      <c r="H17" s="317"/>
      <c r="I17" s="22"/>
      <c r="J17" s="24">
        <f t="array" ref="J17">CountIf(Classes!$B$2:$B$41,$H17)</f>
        <v>0</v>
      </c>
      <c r="K17" s="24" t="str">
        <f>IF(OR(H17="",$J17=0),"",VLOOKUP(VLOOKUP(H17,ClassData!$A$2:$G100,2,false),BABTable,2,false)*$J17)</f>
        <v/>
      </c>
      <c r="L17" s="24" t="str">
        <f>IF(OR(H17="",$J17=0),"",VLOOKUP(VLOOKUP($H17,ClassData!$A$2:$G100,5,false),SavesTable,3,false)*$J17+IF(VLOOKUP($H17,ClassData!$A$2:$G100,5,false)="Good",2,0))</f>
        <v/>
      </c>
      <c r="M17" s="24" t="str">
        <f>IF(OR(H17="",$J17=0),"",VLOOKUP(VLOOKUP($H17,ClassData!$A$2:$G100,6,false),SavesTable,3,false)*$J17+IF(VLOOKUP($H17,ClassData!$A$2:$G100,6,false)="Good",2,0))</f>
        <v/>
      </c>
      <c r="N17" s="24" t="str">
        <f>IF(OR(H17="",$J17=0),"",VLOOKUP(VLOOKUP($H17,ClassData!$A$2:$G100,7,false),SavesTable,3,false)*$J17+IF(VLOOKUP($H17,ClassData!$A$2:$G100,7,false)="Good",2,0))</f>
        <v/>
      </c>
      <c r="P17" s="23">
        <v>16.0</v>
      </c>
      <c r="Q17" s="23">
        <v>230.0</v>
      </c>
    </row>
    <row r="18">
      <c r="A18" s="23" t="s">
        <v>232</v>
      </c>
      <c r="B18" s="87" t="s">
        <v>135</v>
      </c>
      <c r="C18" s="87" t="s">
        <v>309</v>
      </c>
      <c r="D18" s="87">
        <v>0.0</v>
      </c>
      <c r="E18" s="24">
        <f>SUM(Character!E7:H7)</f>
        <v>16</v>
      </c>
      <c r="F18" s="24">
        <f t="shared" ref="F18:F23" si="1">INT((E18-10)/2)</f>
        <v>3</v>
      </c>
      <c r="H18" s="317"/>
      <c r="I18" s="22"/>
      <c r="J18" s="24">
        <f t="array" ref="J18">CountIf(Classes!$B$2:$B$41,$H18)</f>
        <v>0</v>
      </c>
      <c r="K18" s="24" t="str">
        <f>IF(OR(H18="",$J18=0),"",VLOOKUP(VLOOKUP(H18,ClassData!$A$2:$G100,2,false),BABTable,2,false)*$J18)</f>
        <v/>
      </c>
      <c r="L18" s="24" t="str">
        <f>IF(OR(H18="",$J18=0),"",VLOOKUP(VLOOKUP($H18,ClassData!$A$2:$G100,5,false),SavesTable,3,false)*$J18+IF(VLOOKUP($H18,ClassData!$A$2:$G100,5,false)="Good",2,0))</f>
        <v/>
      </c>
      <c r="M18" s="24" t="str">
        <f>IF(OR(H18="",$J18=0),"",VLOOKUP(VLOOKUP($H18,ClassData!$A$2:$G100,6,false),SavesTable,3,false)*$J18+IF(VLOOKUP($H18,ClassData!$A$2:$G100,6,false)="Good",2,0))</f>
        <v/>
      </c>
      <c r="N18" s="24" t="str">
        <f>IF(OR(H18="",$J18=0),"",VLOOKUP(VLOOKUP($H18,ClassData!$A$2:$G100,7,false),SavesTable,3,false)*$J18+IF(VLOOKUP($H18,ClassData!$A$2:$G100,7,false)="Good",2,0))</f>
        <v/>
      </c>
      <c r="P18" s="23">
        <v>17.0</v>
      </c>
      <c r="Q18" s="23">
        <v>260.0</v>
      </c>
    </row>
    <row r="19">
      <c r="A19" s="23" t="s">
        <v>225</v>
      </c>
      <c r="B19" s="87" t="s">
        <v>145</v>
      </c>
      <c r="C19" s="87" t="s">
        <v>206</v>
      </c>
      <c r="D19" s="87">
        <v>1.0</v>
      </c>
      <c r="E19" s="24">
        <f>SUM(Character!E8:H8)</f>
        <v>12</v>
      </c>
      <c r="F19" s="24">
        <f t="shared" si="1"/>
        <v>1</v>
      </c>
      <c r="H19" s="317"/>
      <c r="I19" s="22"/>
      <c r="J19" s="24">
        <f t="array" ref="J19">CountIf(Classes!$B$2:$B$41,$H19)</f>
        <v>0</v>
      </c>
      <c r="K19" s="24" t="str">
        <f>IF(OR(H19="",$J19=0),"",VLOOKUP(VLOOKUP(H19,ClassData!$A$2:$G100,2,false),BABTable,2,false)*$J19)</f>
        <v/>
      </c>
      <c r="L19" s="24" t="str">
        <f>IF(OR(H19="",$J19=0),"",VLOOKUP(VLOOKUP($H19,ClassData!$A$2:$G100,5,false),SavesTable,3,false)*$J19+IF(VLOOKUP($H19,ClassData!$A$2:$G100,5,false)="Good",2,0))</f>
        <v/>
      </c>
      <c r="M19" s="24" t="str">
        <f>IF(OR(H19="",$J19=0),"",VLOOKUP(VLOOKUP($H19,ClassData!$A$2:$G100,6,false),SavesTable,3,false)*$J19+IF(VLOOKUP($H19,ClassData!$A$2:$G100,6,false)="Good",2,0))</f>
        <v/>
      </c>
      <c r="N19" s="24" t="str">
        <f>IF(OR(H19="",$J19=0),"",VLOOKUP(VLOOKUP($H19,ClassData!$A$2:$G100,7,false),SavesTable,3,false)*$J19+IF(VLOOKUP($H19,ClassData!$A$2:$G100,7,false)="Good",2,0))</f>
        <v/>
      </c>
      <c r="P19" s="23">
        <v>18.0</v>
      </c>
      <c r="Q19" s="23">
        <v>300.0</v>
      </c>
    </row>
    <row r="20">
      <c r="A20" s="23" t="s">
        <v>238</v>
      </c>
      <c r="B20" s="87" t="s">
        <v>146</v>
      </c>
      <c r="C20" s="87" t="s">
        <v>312</v>
      </c>
      <c r="D20" s="87">
        <v>2.0</v>
      </c>
      <c r="E20" s="24">
        <f>SUM(Character!E9:H9)</f>
        <v>14</v>
      </c>
      <c r="F20" s="24">
        <f t="shared" si="1"/>
        <v>2</v>
      </c>
      <c r="H20" s="317"/>
      <c r="I20" s="22"/>
      <c r="J20" s="24">
        <f t="array" ref="J20">CountIf(Classes!$B$2:$B$41,$H20)</f>
        <v>0</v>
      </c>
      <c r="K20" s="24" t="str">
        <f>IF(OR(H20="",$J20=0),"",VLOOKUP(VLOOKUP(H20,ClassData!$A$2:$G100,2,false),BABTable,2,false)*$J20)</f>
        <v/>
      </c>
      <c r="L20" s="24" t="str">
        <f>IF(OR(H20="",$J20=0),"",VLOOKUP(VLOOKUP($H20,ClassData!$A$2:$G100,5,false),SavesTable,3,false)*$J20+IF(VLOOKUP($H20,ClassData!$A$2:$G100,5,false)="Good",2,0))</f>
        <v/>
      </c>
      <c r="M20" s="24" t="str">
        <f>IF(OR(H20="",$J20=0),"",VLOOKUP(VLOOKUP($H20,ClassData!$A$2:$G100,6,false),SavesTable,3,false)*$J20+IF(VLOOKUP($H20,ClassData!$A$2:$G100,6,false)="Good",2,0))</f>
        <v/>
      </c>
      <c r="N20" s="24" t="str">
        <f>IF(OR(H20="",$J20=0),"",VLOOKUP(VLOOKUP($H20,ClassData!$A$2:$G100,7,false),SavesTable,3,false)*$J20+IF(VLOOKUP($H20,ClassData!$A$2:$G100,7,false)="Good",2,0))</f>
        <v/>
      </c>
      <c r="P20" s="23">
        <v>19.0</v>
      </c>
      <c r="Q20" s="23">
        <v>350.0</v>
      </c>
    </row>
    <row r="21">
      <c r="A21" s="23" t="s">
        <v>218</v>
      </c>
      <c r="B21" s="87" t="s">
        <v>151</v>
      </c>
      <c r="C21" s="87" t="s">
        <v>313</v>
      </c>
      <c r="D21" s="87">
        <v>3.0</v>
      </c>
      <c r="E21" s="24">
        <f>SUM(Character!E10:H10)</f>
        <v>14</v>
      </c>
      <c r="F21" s="24">
        <f t="shared" si="1"/>
        <v>2</v>
      </c>
      <c r="H21" s="317"/>
      <c r="I21" s="22"/>
      <c r="J21" s="24">
        <f t="array" ref="J21">CountIf(Classes!$B$2:$B$41,$H21)</f>
        <v>0</v>
      </c>
      <c r="K21" s="24" t="str">
        <f>IF(OR(H21="",$J21=0),"",VLOOKUP(VLOOKUP(H21,ClassData!$A$2:$G100,2,false),BABTable,2,false)*$J21)</f>
        <v/>
      </c>
      <c r="L21" s="24" t="str">
        <f>IF(OR(H21="",$J21=0),"",VLOOKUP(VLOOKUP($H21,ClassData!$A$2:$G100,5,false),SavesTable,3,false)*$J21+IF(VLOOKUP($H21,ClassData!$A$2:$G100,5,false)="Good",2,0))</f>
        <v/>
      </c>
      <c r="M21" s="24" t="str">
        <f>IF(OR(H21="",$J21=0),"",VLOOKUP(VLOOKUP($H21,ClassData!$A$2:$G100,6,false),SavesTable,3,false)*$J21+IF(VLOOKUP($H21,ClassData!$A$2:$G100,6,false)="Good",2,0))</f>
        <v/>
      </c>
      <c r="N21" s="24" t="str">
        <f>IF(OR(H21="",$J21=0),"",VLOOKUP(VLOOKUP($H21,ClassData!$A$2:$G100,7,false),SavesTable,3,false)*$J21+IF(VLOOKUP($H21,ClassData!$A$2:$G100,7,false)="Good",2,0))</f>
        <v/>
      </c>
      <c r="P21" s="23">
        <v>20.0</v>
      </c>
      <c r="Q21" s="23">
        <v>400.0</v>
      </c>
    </row>
    <row r="22">
      <c r="A22" s="23" t="s">
        <v>222</v>
      </c>
      <c r="B22" s="87" t="s">
        <v>154</v>
      </c>
      <c r="C22" s="87" t="s">
        <v>315</v>
      </c>
      <c r="D22" s="87">
        <v>4.0</v>
      </c>
      <c r="E22" s="24">
        <f>SUM(Character!E11:H11)</f>
        <v>14</v>
      </c>
      <c r="F22" s="24">
        <f t="shared" si="1"/>
        <v>2</v>
      </c>
      <c r="H22" s="317"/>
      <c r="I22" s="22"/>
      <c r="J22" s="24">
        <f t="array" ref="J22">CountIf(Classes!$B$2:$B$41,$H22)</f>
        <v>0</v>
      </c>
      <c r="K22" s="24" t="str">
        <f>IF(OR(H22="",$J22=0),"",VLOOKUP(VLOOKUP(H22,ClassData!$A$2:$G100,2,false),BABTable,2,false)*$J22)</f>
        <v/>
      </c>
      <c r="L22" s="24" t="str">
        <f>IF(OR(H22="",$J22=0),"",VLOOKUP(VLOOKUP($H22,ClassData!$A$2:$G100,5,false),SavesTable,3,false)*$J22+IF(VLOOKUP($H22,ClassData!$A$2:$G100,5,false)="Good",2,0))</f>
        <v/>
      </c>
      <c r="M22" s="24" t="str">
        <f>IF(OR(H22="",$J22=0),"",VLOOKUP(VLOOKUP($H22,ClassData!$A$2:$G100,6,false),SavesTable,3,false)*$J22+IF(VLOOKUP($H22,ClassData!$A$2:$G100,6,false)="Good",2,0))</f>
        <v/>
      </c>
      <c r="N22" s="24" t="str">
        <f>IF(OR(H22="",$J22=0),"",VLOOKUP(VLOOKUP($H22,ClassData!$A$2:$G100,7,false),SavesTable,3,false)*$J22+IF(VLOOKUP($H22,ClassData!$A$2:$G100,7,false)="Good",2,0))</f>
        <v/>
      </c>
      <c r="P22" s="23">
        <v>21.0</v>
      </c>
      <c r="Q22" s="23">
        <v>460.0</v>
      </c>
    </row>
    <row r="23">
      <c r="A23" s="23" t="s">
        <v>229</v>
      </c>
      <c r="B23" s="87" t="s">
        <v>156</v>
      </c>
      <c r="C23" s="87" t="s">
        <v>318</v>
      </c>
      <c r="D23" s="87">
        <v>5.0</v>
      </c>
      <c r="E23" s="24">
        <f>SUM(Character!E12:H12)</f>
        <v>14</v>
      </c>
      <c r="F23" s="24">
        <f t="shared" si="1"/>
        <v>2</v>
      </c>
      <c r="H23" s="317"/>
      <c r="I23" s="22"/>
      <c r="J23" s="24">
        <f t="array" ref="J23">CountIf(Classes!$B$2:$B$41,$H23)</f>
        <v>0</v>
      </c>
      <c r="K23" s="24" t="str">
        <f>IF(OR(H23="",$J23=0),"",VLOOKUP(VLOOKUP(H23,ClassData!$A$2:$G100,2,false),BABTable,2,false)*$J23)</f>
        <v/>
      </c>
      <c r="L23" s="24" t="str">
        <f>IF(OR(H23="",$J23=0),"",VLOOKUP(VLOOKUP($H23,ClassData!$A$2:$G100,5,false),SavesTable,3,false)*$J23+IF(VLOOKUP($H23,ClassData!$A$2:$G100,5,false)="Good",2,0))</f>
        <v/>
      </c>
      <c r="M23" s="24" t="str">
        <f>IF(OR(H23="",$J23=0),"",VLOOKUP(VLOOKUP($H23,ClassData!$A$2:$G100,6,false),SavesTable,3,false)*$J23+IF(VLOOKUP($H23,ClassData!$A$2:$G100,6,false)="Good",2,0))</f>
        <v/>
      </c>
      <c r="N23" s="24" t="str">
        <f>IF(OR(H23="",$J23=0),"",VLOOKUP(VLOOKUP($H23,ClassData!$A$2:$G100,7,false),SavesTable,3,false)*$J23+IF(VLOOKUP($H23,ClassData!$A$2:$G100,7,false)="Good",2,0))</f>
        <v/>
      </c>
      <c r="P23" s="23">
        <v>22.0</v>
      </c>
      <c r="Q23" s="23">
        <v>520.0</v>
      </c>
    </row>
    <row r="24">
      <c r="H24" s="317"/>
      <c r="I24" s="22"/>
      <c r="J24" s="24">
        <f t="array" ref="J24">CountIf(Classes!$B$2:$B$41,$H24)</f>
        <v>0</v>
      </c>
      <c r="K24" s="24" t="str">
        <f>IF(OR(H24="",$J24=0),"",VLOOKUP(VLOOKUP(H24,ClassData!$A$2:$G100,2,false),BABTable,2,false)*$J24)</f>
        <v/>
      </c>
      <c r="L24" s="24" t="str">
        <f>IF(OR(H24="",$J24=0),"",VLOOKUP(VLOOKUP($H24,ClassData!$A$2:$G100,5,false),SavesTable,3,false)*$J24+IF(VLOOKUP($H24,ClassData!$A$2:$G100,5,false)="Good",2,0))</f>
        <v/>
      </c>
      <c r="M24" s="24" t="str">
        <f>IF(OR(H24="",$J24=0),"",VLOOKUP(VLOOKUP($H24,ClassData!$A$2:$G100,6,false),SavesTable,3,false)*$J24+IF(VLOOKUP($H24,ClassData!$A$2:$G100,6,false)="Good",2,0))</f>
        <v/>
      </c>
      <c r="N24" s="24" t="str">
        <f>IF(OR(H24="",$J24=0),"",VLOOKUP(VLOOKUP($H24,ClassData!$A$2:$G100,7,false),SavesTable,3,false)*$J24+IF(VLOOKUP($H24,ClassData!$A$2:$G100,7,false)="Good",2,0))</f>
        <v/>
      </c>
      <c r="P24" s="23">
        <v>23.0</v>
      </c>
      <c r="Q24" s="23">
        <v>600.0</v>
      </c>
    </row>
    <row r="25">
      <c r="A25" s="296" t="s">
        <v>320</v>
      </c>
      <c r="H25" s="189" t="s">
        <v>321</v>
      </c>
      <c r="I25" s="309"/>
      <c r="K25" s="299">
        <f t="shared" ref="K25:N25" si="2">FLOOR(SUM(K2:K24))</f>
        <v>1</v>
      </c>
      <c r="L25" s="299">
        <f t="shared" si="2"/>
        <v>5</v>
      </c>
      <c r="M25" s="299">
        <f t="shared" si="2"/>
        <v>0</v>
      </c>
      <c r="N25" s="334">
        <f t="shared" si="2"/>
        <v>2</v>
      </c>
      <c r="P25" s="23">
        <v>24.0</v>
      </c>
      <c r="Q25" s="23">
        <v>700.0</v>
      </c>
    </row>
    <row r="26">
      <c r="A26" s="23">
        <v>10.0</v>
      </c>
      <c r="B26" s="23">
        <v>1.0</v>
      </c>
      <c r="C26" s="23">
        <v>0.1</v>
      </c>
      <c r="D26" s="23">
        <v>0.01</v>
      </c>
      <c r="P26" s="23">
        <v>25.0</v>
      </c>
      <c r="Q26" s="23">
        <v>800.0</v>
      </c>
    </row>
    <row r="27">
      <c r="P27" s="23">
        <v>26.0</v>
      </c>
      <c r="Q27" s="23">
        <v>920.0</v>
      </c>
    </row>
    <row r="28">
      <c r="P28" s="23">
        <v>27.0</v>
      </c>
      <c r="Q28" s="23">
        <v>1040.0</v>
      </c>
    </row>
    <row r="29">
      <c r="P29" s="23">
        <v>28.0</v>
      </c>
      <c r="Q29" s="23">
        <v>1200.0</v>
      </c>
    </row>
    <row r="30">
      <c r="P30" s="23">
        <v>29.0</v>
      </c>
      <c r="Q30" s="23">
        <v>1400.0</v>
      </c>
    </row>
    <row r="32">
      <c r="A32" s="296" t="s">
        <v>73</v>
      </c>
    </row>
    <row r="33">
      <c r="A33" s="335" t="str">
        <f>IFERROR(__xludf.DUMMYFUNCTION("IF(Race="""","""",FILTER(Races,RaceData!$A2:$A100=Race))"),"Dragonborn")</f>
        <v>Dragonborn</v>
      </c>
      <c r="B33" s="24" t="s">
        <v>322</v>
      </c>
      <c r="C33" s="24" t="s">
        <v>323</v>
      </c>
      <c r="D33" s="24" t="s">
        <v>6</v>
      </c>
      <c r="E33" s="24">
        <v>30.0</v>
      </c>
      <c r="F33" s="24"/>
      <c r="G33" s="24"/>
      <c r="H33" s="24"/>
      <c r="I33" s="24">
        <v>4.0</v>
      </c>
      <c r="J33" s="24">
        <v>-2.0</v>
      </c>
      <c r="K33" s="24"/>
      <c r="L33" s="24"/>
      <c r="M33" s="24"/>
      <c r="N33" s="24"/>
      <c r="O33" s="24" t="s">
        <v>324</v>
      </c>
      <c r="P33" s="24" t="s">
        <v>325</v>
      </c>
      <c r="Q33" s="24" t="s">
        <v>326</v>
      </c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</row>
    <row r="35">
      <c r="A35" s="296" t="s">
        <v>327</v>
      </c>
    </row>
    <row r="36">
      <c r="A36" s="337"/>
      <c r="B36" s="337"/>
      <c r="C36" s="337"/>
      <c r="D36" s="337"/>
      <c r="E36" s="337"/>
      <c r="F36" s="337"/>
      <c r="G36" s="337"/>
      <c r="H36" s="337"/>
      <c r="I36" s="337"/>
      <c r="J36" s="337"/>
      <c r="K36" s="337"/>
      <c r="L36" s="337"/>
      <c r="M36" s="337"/>
      <c r="N36" s="337"/>
      <c r="O36" s="337"/>
      <c r="P36" s="24" t="str">
        <f>IFERROR(__xludf.DUMMYFUNCTION("IF(Classes!B2="""","""",FILTER(ClassData!Classes,ClassData!$A$2:$A100=Classes!B2))"),"Fighter")</f>
        <v>Fighter</v>
      </c>
      <c r="Q36" s="24" t="s">
        <v>299</v>
      </c>
      <c r="R36" s="24">
        <v>10.0</v>
      </c>
      <c r="S36" s="24">
        <v>2.0</v>
      </c>
      <c r="T36" s="24" t="s">
        <v>294</v>
      </c>
      <c r="U36" s="24" t="s">
        <v>289</v>
      </c>
      <c r="V36" s="24" t="s">
        <v>289</v>
      </c>
      <c r="W36" s="24"/>
      <c r="X36" s="24" t="s">
        <v>219</v>
      </c>
      <c r="Y36" s="24"/>
      <c r="Z36" s="24"/>
      <c r="AA36" s="24" t="s">
        <v>300</v>
      </c>
      <c r="AB36" s="24" t="s">
        <v>219</v>
      </c>
      <c r="AC36" s="24"/>
      <c r="AD36" s="24" t="s">
        <v>300</v>
      </c>
      <c r="AE36" s="24"/>
      <c r="AF36" s="24"/>
      <c r="AG36" s="24"/>
      <c r="AH36" s="24"/>
      <c r="AI36" s="24"/>
      <c r="AJ36" s="24"/>
      <c r="AK36" s="24"/>
      <c r="AL36" s="24" t="s">
        <v>300</v>
      </c>
      <c r="AM36" s="24"/>
      <c r="AN36" s="24"/>
      <c r="AO36" s="24" t="s">
        <v>219</v>
      </c>
      <c r="AP36" s="24" t="s">
        <v>300</v>
      </c>
      <c r="AQ36" s="24" t="s">
        <v>300</v>
      </c>
      <c r="AR36" s="24"/>
      <c r="AS36" s="24"/>
      <c r="AT36" s="24"/>
      <c r="AU36" s="24"/>
      <c r="AV36" s="24"/>
      <c r="AW36" s="24"/>
      <c r="AX36" s="24" t="s">
        <v>219</v>
      </c>
      <c r="AY36" s="24"/>
      <c r="AZ36" s="24"/>
      <c r="BA36" s="24"/>
      <c r="BB36" s="24" t="s">
        <v>219</v>
      </c>
      <c r="BC36" s="24"/>
      <c r="BD36" s="24"/>
      <c r="BE36" s="24"/>
      <c r="BF36" s="24" t="s">
        <v>219</v>
      </c>
      <c r="BG36" s="24"/>
      <c r="BH36" s="24"/>
      <c r="BI36" s="24"/>
      <c r="BJ36" s="24"/>
      <c r="BK36" s="24" t="s">
        <v>219</v>
      </c>
      <c r="BL36" s="24" t="s">
        <v>300</v>
      </c>
      <c r="BM36" s="24"/>
      <c r="BN36" s="24"/>
      <c r="BO36" s="24"/>
      <c r="BP36" s="24"/>
      <c r="BQ36" s="24"/>
      <c r="BR36" s="24"/>
      <c r="BS36" s="24"/>
      <c r="BT36" s="24"/>
      <c r="BU36" s="24" t="s">
        <v>300</v>
      </c>
      <c r="BV36" s="24"/>
      <c r="BW36" s="24"/>
      <c r="BX36" s="24" t="s">
        <v>219</v>
      </c>
      <c r="BY36" s="24"/>
    </row>
    <row r="37">
      <c r="A37" s="337"/>
      <c r="B37" s="337"/>
      <c r="C37" s="337"/>
      <c r="D37" s="337"/>
      <c r="E37" s="337"/>
      <c r="F37" s="337"/>
      <c r="G37" s="337"/>
      <c r="H37" s="337"/>
      <c r="I37" s="337"/>
      <c r="J37" s="337"/>
      <c r="K37" s="337"/>
      <c r="L37" s="337"/>
      <c r="M37" s="337"/>
      <c r="N37" s="337"/>
      <c r="O37" s="337"/>
      <c r="P37" s="24" t="str">
        <f>IFERROR(__xludf.DUMMYFUNCTION("IF(Classes!B3="""","""",FILTER(ClassData!Classes,ClassData!$A$2:$A100=Classes!B3))"),"Cloistered Cleric")</f>
        <v>Cloistered Cleric</v>
      </c>
      <c r="Q37" s="24" t="s">
        <v>289</v>
      </c>
      <c r="R37" s="24">
        <v>6.0</v>
      </c>
      <c r="S37" s="24">
        <v>6.0</v>
      </c>
      <c r="T37" s="24" t="s">
        <v>294</v>
      </c>
      <c r="U37" s="24" t="s">
        <v>289</v>
      </c>
      <c r="V37" s="24" t="s">
        <v>294</v>
      </c>
      <c r="W37" s="24"/>
      <c r="X37" s="24" t="s">
        <v>219</v>
      </c>
      <c r="Y37" s="24"/>
      <c r="Z37" s="24"/>
      <c r="AA37" s="24"/>
      <c r="AB37" s="24" t="s">
        <v>219</v>
      </c>
      <c r="AC37" s="24" t="s">
        <v>300</v>
      </c>
      <c r="AD37" s="24" t="s">
        <v>300</v>
      </c>
      <c r="AE37" s="24" t="s">
        <v>300</v>
      </c>
      <c r="AF37" s="24" t="s">
        <v>300</v>
      </c>
      <c r="AG37" s="24"/>
      <c r="AH37" s="24"/>
      <c r="AI37" s="24"/>
      <c r="AJ37" s="24"/>
      <c r="AK37" s="24"/>
      <c r="AL37" s="24"/>
      <c r="AM37" s="24" t="s">
        <v>300</v>
      </c>
      <c r="AN37" s="24"/>
      <c r="AO37" s="24" t="s">
        <v>219</v>
      </c>
      <c r="AP37" s="24"/>
      <c r="AQ37" s="24"/>
      <c r="AR37" s="24" t="s">
        <v>300</v>
      </c>
      <c r="AS37" s="24" t="s">
        <v>300</v>
      </c>
      <c r="AT37" s="24" t="s">
        <v>300</v>
      </c>
      <c r="AU37" s="24" t="s">
        <v>300</v>
      </c>
      <c r="AV37" s="24" t="s">
        <v>300</v>
      </c>
      <c r="AW37" s="24" t="s">
        <v>300</v>
      </c>
      <c r="AX37" s="24" t="s">
        <v>219</v>
      </c>
      <c r="AY37" s="24" t="s">
        <v>300</v>
      </c>
      <c r="AZ37" s="24" t="s">
        <v>300</v>
      </c>
      <c r="BA37" s="24" t="s">
        <v>300</v>
      </c>
      <c r="BB37" s="24" t="s">
        <v>219</v>
      </c>
      <c r="BC37" s="24" t="s">
        <v>300</v>
      </c>
      <c r="BD37" s="24" t="s">
        <v>300</v>
      </c>
      <c r="BE37" s="24"/>
      <c r="BF37" s="24" t="s">
        <v>219</v>
      </c>
      <c r="BG37" s="24"/>
      <c r="BH37" s="24"/>
      <c r="BI37" s="24"/>
      <c r="BJ37" s="24" t="s">
        <v>300</v>
      </c>
      <c r="BK37" s="24" t="s">
        <v>219</v>
      </c>
      <c r="BL37" s="24"/>
      <c r="BM37" s="24"/>
      <c r="BN37" s="24"/>
      <c r="BO37" s="24"/>
      <c r="BP37" s="24"/>
      <c r="BQ37" s="24" t="s">
        <v>300</v>
      </c>
      <c r="BR37" s="24" t="s">
        <v>300</v>
      </c>
      <c r="BS37" s="24"/>
      <c r="BT37" s="24"/>
      <c r="BU37" s="24"/>
      <c r="BV37" s="24"/>
      <c r="BW37" s="24"/>
      <c r="BX37" s="24" t="s">
        <v>219</v>
      </c>
      <c r="BY37" s="24"/>
    </row>
    <row r="38">
      <c r="A38" s="337"/>
      <c r="B38" s="337"/>
      <c r="C38" s="337"/>
      <c r="D38" s="337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37"/>
      <c r="P38" s="24" t="str">
        <f>IFERROR(__xludf.DUMMYFUNCTION("IF(Classes!B4="""","""",FILTER(ClassData!Classes,ClassData!$A$2:$A100=Classes!B4))"),"")</f>
        <v/>
      </c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</row>
    <row r="39">
      <c r="A39" s="337"/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24" t="str">
        <f>IFERROR(__xludf.DUMMYFUNCTION("IF(Classes!B5="""","""",FILTER(ClassData!Classes,ClassData!$A$2:$A100=Classes!B5))"),"")</f>
        <v/>
      </c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</row>
    <row r="40">
      <c r="A40" s="337"/>
      <c r="B40" s="337"/>
      <c r="C40" s="337"/>
      <c r="D40" s="337"/>
      <c r="E40" s="337"/>
      <c r="F40" s="337"/>
      <c r="G40" s="337"/>
      <c r="H40" s="337"/>
      <c r="I40" s="337"/>
      <c r="J40" s="337"/>
      <c r="K40" s="337"/>
      <c r="L40" s="337"/>
      <c r="M40" s="337"/>
      <c r="N40" s="337"/>
      <c r="O40" s="337"/>
      <c r="P40" s="24" t="str">
        <f>IFERROR(__xludf.DUMMYFUNCTION("IF(Classes!B6="""","""",FILTER(ClassData!Classes,ClassData!$A$2:$A100=Classes!B6))"),"")</f>
        <v/>
      </c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</row>
    <row r="41">
      <c r="A41" s="337"/>
      <c r="B41" s="337"/>
      <c r="C41" s="337"/>
      <c r="D41" s="337"/>
      <c r="E41" s="337"/>
      <c r="F41" s="337"/>
      <c r="G41" s="337"/>
      <c r="H41" s="337"/>
      <c r="I41" s="337"/>
      <c r="J41" s="337"/>
      <c r="K41" s="337"/>
      <c r="L41" s="337"/>
      <c r="M41" s="337"/>
      <c r="N41" s="337"/>
      <c r="O41" s="337"/>
      <c r="P41" s="24" t="str">
        <f>IFERROR(__xludf.DUMMYFUNCTION("IF(Classes!B7="""","""",FILTER(ClassData!Classes,ClassData!$A$2:$A100=Classes!B7))"),"")</f>
        <v/>
      </c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</row>
    <row r="42">
      <c r="A42" s="337"/>
      <c r="B42" s="337"/>
      <c r="C42" s="337"/>
      <c r="D42" s="337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24" t="str">
        <f>IFERROR(__xludf.DUMMYFUNCTION("IF(Classes!B8="""","""",FILTER(ClassData!Classes,ClassData!$A$2:$A100=Classes!B8))"),"")</f>
        <v/>
      </c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</row>
    <row r="43">
      <c r="A43" s="337"/>
      <c r="B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24" t="str">
        <f>IFERROR(__xludf.DUMMYFUNCTION("IF(Classes!B9="""","""",FILTER(ClassData!Classes,ClassData!$A$2:$A100=Classes!B9))"),"")</f>
        <v/>
      </c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</row>
    <row r="44">
      <c r="A44" s="337"/>
      <c r="B44" s="337"/>
      <c r="C44" s="337"/>
      <c r="D44" s="337"/>
      <c r="E44" s="337"/>
      <c r="F44" s="337"/>
      <c r="G44" s="337"/>
      <c r="H44" s="337"/>
      <c r="I44" s="337"/>
      <c r="J44" s="337"/>
      <c r="K44" s="337"/>
      <c r="L44" s="337"/>
      <c r="M44" s="337"/>
      <c r="N44" s="337"/>
      <c r="O44" s="337"/>
      <c r="P44" s="24" t="str">
        <f>IFERROR(__xludf.DUMMYFUNCTION("IF(Classes!B10="""","""",FILTER(ClassData!Classes,ClassData!$A$2:$A100=Classes!B10))"),"")</f>
        <v/>
      </c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</row>
    <row r="45">
      <c r="A45" s="337"/>
      <c r="B45" s="337"/>
      <c r="C45" s="337"/>
      <c r="D45" s="337"/>
      <c r="E45" s="337"/>
      <c r="F45" s="337"/>
      <c r="G45" s="337"/>
      <c r="H45" s="337"/>
      <c r="I45" s="337"/>
      <c r="J45" s="337"/>
      <c r="K45" s="337"/>
      <c r="L45" s="337"/>
      <c r="M45" s="337"/>
      <c r="N45" s="337"/>
      <c r="O45" s="337"/>
      <c r="P45" s="24" t="str">
        <f>IFERROR(__xludf.DUMMYFUNCTION("IF(Classes!B11="""","""",FILTER(ClassData!Classes,ClassData!$A$2:$A100=Classes!B11))"),"")</f>
        <v/>
      </c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</row>
    <row r="46">
      <c r="A46" s="337"/>
      <c r="B46" s="337"/>
      <c r="C46" s="337"/>
      <c r="D46" s="337"/>
      <c r="E46" s="337"/>
      <c r="F46" s="337"/>
      <c r="G46" s="337"/>
      <c r="H46" s="337"/>
      <c r="I46" s="337"/>
      <c r="J46" s="337"/>
      <c r="K46" s="337"/>
      <c r="L46" s="337"/>
      <c r="M46" s="337"/>
      <c r="N46" s="337"/>
      <c r="O46" s="337"/>
      <c r="P46" s="24" t="str">
        <f>IFERROR(__xludf.DUMMYFUNCTION("IF(Classes!B12="""","""",FILTER(ClassData!Classes,ClassData!$A$2:$A100=Classes!B12))"),"")</f>
        <v/>
      </c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</row>
    <row r="47">
      <c r="A47" s="337"/>
      <c r="B47" s="337"/>
      <c r="C47" s="337"/>
      <c r="D47" s="337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24" t="str">
        <f>IFERROR(__xludf.DUMMYFUNCTION("IF(Classes!B13="""","""",FILTER(ClassData!Classes,ClassData!$A$2:$A100=Classes!B13))"),"")</f>
        <v/>
      </c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</row>
    <row r="48">
      <c r="A48" s="337"/>
      <c r="B48" s="337"/>
      <c r="C48" s="337"/>
      <c r="D48" s="337"/>
      <c r="E48" s="337"/>
      <c r="F48" s="337"/>
      <c r="G48" s="337"/>
      <c r="H48" s="337"/>
      <c r="I48" s="337"/>
      <c r="J48" s="337"/>
      <c r="K48" s="337"/>
      <c r="L48" s="337"/>
      <c r="M48" s="337"/>
      <c r="N48" s="337"/>
      <c r="O48" s="337"/>
      <c r="P48" s="24" t="str">
        <f>IFERROR(__xludf.DUMMYFUNCTION("IF(Classes!B14="""","""",FILTER(ClassData!Classes,ClassData!$A$2:$A100=Classes!B14))"),"")</f>
        <v/>
      </c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</row>
    <row r="49">
      <c r="A49" s="337"/>
      <c r="B49" s="337"/>
      <c r="C49" s="337"/>
      <c r="D49" s="337"/>
      <c r="E49" s="337"/>
      <c r="F49" s="337"/>
      <c r="G49" s="337"/>
      <c r="H49" s="337"/>
      <c r="I49" s="337"/>
      <c r="J49" s="337"/>
      <c r="K49" s="337"/>
      <c r="L49" s="337"/>
      <c r="M49" s="337"/>
      <c r="N49" s="337"/>
      <c r="O49" s="337"/>
      <c r="P49" s="24" t="str">
        <f>IFERROR(__xludf.DUMMYFUNCTION("IF(Classes!B15="""","""",FILTER(ClassData!Classes,ClassData!$A$2:$A100=Classes!B15))"),"")</f>
        <v/>
      </c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</row>
    <row r="50">
      <c r="A50" s="337"/>
      <c r="B50" s="337"/>
      <c r="C50" s="337"/>
      <c r="D50" s="337"/>
      <c r="E50" s="337"/>
      <c r="F50" s="337"/>
      <c r="G50" s="337"/>
      <c r="H50" s="337"/>
      <c r="I50" s="337"/>
      <c r="J50" s="337"/>
      <c r="K50" s="337"/>
      <c r="L50" s="337"/>
      <c r="M50" s="337"/>
      <c r="N50" s="337"/>
      <c r="O50" s="337"/>
      <c r="P50" s="24" t="str">
        <f>IFERROR(__xludf.DUMMYFUNCTION("IF(Classes!B16="""","""",FILTER(ClassData!Classes,ClassData!$A$2:$A100=Classes!B16))"),"")</f>
        <v/>
      </c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</row>
    <row r="51">
      <c r="A51" s="337"/>
      <c r="B51" s="337"/>
      <c r="C51" s="337"/>
      <c r="D51" s="337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24" t="str">
        <f>IFERROR(__xludf.DUMMYFUNCTION("IF(Classes!B17="""","""",FILTER(ClassData!Classes,ClassData!$A$2:$A100=Classes!B17))"),"")</f>
        <v/>
      </c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</row>
    <row r="52">
      <c r="A52" s="337"/>
      <c r="B52" s="337"/>
      <c r="C52" s="337"/>
      <c r="D52" s="337"/>
      <c r="E52" s="337"/>
      <c r="F52" s="337"/>
      <c r="G52" s="337"/>
      <c r="H52" s="337"/>
      <c r="I52" s="337"/>
      <c r="J52" s="337"/>
      <c r="K52" s="337"/>
      <c r="L52" s="337"/>
      <c r="M52" s="337"/>
      <c r="N52" s="337"/>
      <c r="O52" s="337"/>
      <c r="P52" s="24" t="str">
        <f>IFERROR(__xludf.DUMMYFUNCTION("IF(Classes!B18="""","""",FILTER(ClassData!Classes,ClassData!$A$2:$A100=Classes!B18))"),"")</f>
        <v/>
      </c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</row>
    <row r="53">
      <c r="A53" s="337"/>
      <c r="B53" s="337"/>
      <c r="C53" s="337"/>
      <c r="D53" s="337"/>
      <c r="E53" s="337"/>
      <c r="F53" s="337"/>
      <c r="G53" s="337"/>
      <c r="H53" s="337"/>
      <c r="I53" s="337"/>
      <c r="J53" s="337"/>
      <c r="K53" s="337"/>
      <c r="L53" s="337"/>
      <c r="M53" s="337"/>
      <c r="N53" s="337"/>
      <c r="O53" s="337"/>
      <c r="P53" s="24" t="str">
        <f>IFERROR(__xludf.DUMMYFUNCTION("IF(Classes!B19="""","""",FILTER(ClassData!Classes,ClassData!$A$2:$A100=Classes!B19))"),"")</f>
        <v/>
      </c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</row>
    <row r="54">
      <c r="A54" s="337"/>
      <c r="B54" s="337"/>
      <c r="C54" s="337"/>
      <c r="D54" s="337"/>
      <c r="E54" s="337"/>
      <c r="F54" s="337"/>
      <c r="G54" s="337"/>
      <c r="H54" s="337"/>
      <c r="I54" s="337"/>
      <c r="J54" s="337"/>
      <c r="K54" s="337"/>
      <c r="L54" s="337"/>
      <c r="M54" s="337"/>
      <c r="N54" s="337"/>
      <c r="O54" s="337"/>
      <c r="P54" s="24" t="str">
        <f>IFERROR(__xludf.DUMMYFUNCTION("IF(Classes!B20="""","""",FILTER(ClassData!Classes,ClassData!$A$2:$A100=Classes!B20))"),"")</f>
        <v/>
      </c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</row>
    <row r="55">
      <c r="A55" s="337"/>
      <c r="B55" s="337"/>
      <c r="C55" s="337"/>
      <c r="D55" s="337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24" t="str">
        <f>IFERROR(__xludf.DUMMYFUNCTION("IF(Classes!B21="""","""",FILTER(ClassData!Classes,ClassData!$A$2:$A100=Classes!B21))"),"")</f>
        <v/>
      </c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</row>
    <row r="56">
      <c r="A56" s="337"/>
      <c r="B56" s="337"/>
      <c r="C56" s="337"/>
      <c r="D56" s="337"/>
      <c r="E56" s="337"/>
      <c r="F56" s="337"/>
      <c r="G56" s="337"/>
      <c r="H56" s="337"/>
      <c r="I56" s="337"/>
      <c r="J56" s="337"/>
      <c r="K56" s="337"/>
      <c r="L56" s="337"/>
      <c r="M56" s="337"/>
      <c r="N56" s="337"/>
      <c r="O56" s="337"/>
      <c r="P56" s="24" t="str">
        <f>IFERROR(__xludf.DUMMYFUNCTION("IF(Classes!B22="""","""",FILTER(ClassData!Classes,ClassData!$A$2:$A100=Classes!B22))"),"")</f>
        <v/>
      </c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</row>
    <row r="57">
      <c r="A57" s="337"/>
      <c r="B57" s="337"/>
      <c r="C57" s="337"/>
      <c r="D57" s="337"/>
      <c r="E57" s="337"/>
      <c r="F57" s="337"/>
      <c r="G57" s="337"/>
      <c r="H57" s="337"/>
      <c r="I57" s="337"/>
      <c r="J57" s="337"/>
      <c r="K57" s="337"/>
      <c r="L57" s="337"/>
      <c r="M57" s="337"/>
      <c r="N57" s="337"/>
      <c r="O57" s="337"/>
      <c r="P57" s="24" t="str">
        <f>IFERROR(__xludf.DUMMYFUNCTION("IF(Classes!B23="""","""",FILTER(ClassData!Classes,ClassData!$A$2:$A100=Classes!B23))"),"")</f>
        <v/>
      </c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</row>
    <row r="58">
      <c r="A58" s="337"/>
      <c r="B58" s="337"/>
      <c r="C58" s="337"/>
      <c r="D58" s="337"/>
      <c r="E58" s="337"/>
      <c r="F58" s="337"/>
      <c r="G58" s="337"/>
      <c r="H58" s="337"/>
      <c r="I58" s="337"/>
      <c r="J58" s="337"/>
      <c r="K58" s="337"/>
      <c r="L58" s="337"/>
      <c r="M58" s="337"/>
      <c r="N58" s="337"/>
      <c r="O58" s="337"/>
      <c r="P58" s="24" t="str">
        <f>IFERROR(__xludf.DUMMYFUNCTION("IF(Classes!B24="""","""",FILTER(ClassData!Classes,ClassData!$A$2:$A100=Classes!B24))"),"")</f>
        <v/>
      </c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</row>
    <row r="59">
      <c r="A59" s="337"/>
      <c r="B59" s="337"/>
      <c r="C59" s="337"/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  <c r="P59" s="24" t="str">
        <f>IFERROR(__xludf.DUMMYFUNCTION("IF(Classes!B25="""","""",FILTER(ClassData!Classes,ClassData!$A$2:$A100=Classes!B25))"),"")</f>
        <v/>
      </c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</row>
    <row r="60">
      <c r="A60" s="337"/>
      <c r="B60" s="337"/>
      <c r="C60" s="337"/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  <c r="P60" s="24" t="str">
        <f>IFERROR(__xludf.DUMMYFUNCTION("IF(Classes!B26="""","""",FILTER(ClassData!Classes,ClassData!$A$2:$A100=Classes!B26))"),"")</f>
        <v/>
      </c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</row>
    <row r="61">
      <c r="A61" s="337"/>
      <c r="B61" s="337"/>
      <c r="C61" s="337"/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  <c r="P61" s="24" t="str">
        <f>IFERROR(__xludf.DUMMYFUNCTION("IF(Classes!B27="""","""",FILTER(ClassData!Classes,ClassData!$A$2:$A100=Classes!B27))"),"")</f>
        <v/>
      </c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</row>
    <row r="62">
      <c r="A62" s="337"/>
      <c r="B62" s="337"/>
      <c r="C62" s="337"/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  <c r="P62" s="24" t="str">
        <f>IFERROR(__xludf.DUMMYFUNCTION("IF(Classes!B28="""","""",FILTER(ClassData!Classes,ClassData!$A$2:$A100=Classes!B28))"),"")</f>
        <v/>
      </c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</row>
    <row r="63">
      <c r="A63" s="337"/>
      <c r="B63" s="337"/>
      <c r="C63" s="337"/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24" t="str">
        <f>IFERROR(__xludf.DUMMYFUNCTION("IF(Classes!B29="""","""",FILTER(ClassData!Classes,ClassData!$A$2:$A100=Classes!B29))"),"")</f>
        <v/>
      </c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</row>
    <row r="64">
      <c r="A64" s="337"/>
      <c r="B64" s="337"/>
      <c r="C64" s="337"/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  <c r="P64" s="24" t="str">
        <f>IFERROR(__xludf.DUMMYFUNCTION("IF(Classes!B30="""","""",FILTER(ClassData!Classes,ClassData!$A$2:$A100=Classes!B30))"),"")</f>
        <v/>
      </c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</row>
    <row r="65">
      <c r="A65" s="337"/>
      <c r="B65" s="337"/>
      <c r="C65" s="337"/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  <c r="P65" s="24" t="str">
        <f>IFERROR(__xludf.DUMMYFUNCTION("IF(Classes!B31="""","""",FILTER(ClassData!Classes,ClassData!$A$2:$A100=Classes!B31))"),"")</f>
        <v/>
      </c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</row>
    <row r="66">
      <c r="A66" s="337"/>
      <c r="B66" s="337"/>
      <c r="C66" s="337"/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  <c r="P66" s="24" t="str">
        <f>IFERROR(__xludf.DUMMYFUNCTION("IF(Classes!B32="""","""",FILTER(ClassData!Classes,ClassData!$A$2:$A100=Classes!B32))"),"")</f>
        <v/>
      </c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</row>
    <row r="67">
      <c r="A67" s="337"/>
      <c r="B67" s="337"/>
      <c r="C67" s="337"/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  <c r="P67" s="24" t="str">
        <f>IFERROR(__xludf.DUMMYFUNCTION("IF(Classes!B33="""","""",FILTER(ClassData!Classes,ClassData!$A$2:$A100=Classes!B33))"),"")</f>
        <v/>
      </c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</row>
    <row r="68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24" t="str">
        <f>IFERROR(__xludf.DUMMYFUNCTION("IF(Classes!B34="""","""",FILTER(ClassData!Classes,ClassData!$A$2:$A100=Classes!B34))"),"")</f>
        <v/>
      </c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</row>
    <row r="69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  <c r="P69" s="24" t="str">
        <f>IFERROR(__xludf.DUMMYFUNCTION("IF(Classes!B35="""","""",FILTER(ClassData!Classes,ClassData!$A$2:$A100=Classes!B35))"),"")</f>
        <v/>
      </c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</row>
    <row r="70">
      <c r="A70" s="337"/>
      <c r="B70" s="337"/>
      <c r="C70" s="337"/>
      <c r="D70" s="337"/>
      <c r="E70" s="337"/>
      <c r="F70" s="337"/>
      <c r="G70" s="337"/>
      <c r="H70" s="337"/>
      <c r="I70" s="337"/>
      <c r="J70" s="337"/>
      <c r="K70" s="337"/>
      <c r="L70" s="337"/>
      <c r="M70" s="337"/>
      <c r="N70" s="337"/>
      <c r="O70" s="337"/>
      <c r="P70" s="24" t="str">
        <f>IFERROR(__xludf.DUMMYFUNCTION("IF(Classes!B36="""","""",FILTER(ClassData!Classes,ClassData!$A$2:$A100=Classes!B36))"),"")</f>
        <v/>
      </c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</row>
    <row r="71">
      <c r="A71" s="337"/>
      <c r="B71" s="337"/>
      <c r="C71" s="337"/>
      <c r="D71" s="337"/>
      <c r="E71" s="337"/>
      <c r="F71" s="337"/>
      <c r="G71" s="337"/>
      <c r="H71" s="337"/>
      <c r="I71" s="337"/>
      <c r="J71" s="337"/>
      <c r="K71" s="337"/>
      <c r="L71" s="337"/>
      <c r="M71" s="337"/>
      <c r="N71" s="337"/>
      <c r="O71" s="337"/>
      <c r="P71" s="24" t="str">
        <f>IFERROR(__xludf.DUMMYFUNCTION("IF(Classes!B37="""","""",FILTER(ClassData!Classes,ClassData!$A$2:$A100=Classes!B37))"),"")</f>
        <v/>
      </c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</row>
    <row r="72">
      <c r="A72" s="337"/>
      <c r="B72" s="337"/>
      <c r="C72" s="337"/>
      <c r="D72" s="337"/>
      <c r="E72" s="337"/>
      <c r="F72" s="337"/>
      <c r="G72" s="337"/>
      <c r="H72" s="337"/>
      <c r="I72" s="337"/>
      <c r="J72" s="337"/>
      <c r="K72" s="337"/>
      <c r="L72" s="337"/>
      <c r="M72" s="337"/>
      <c r="N72" s="337"/>
      <c r="O72" s="337"/>
      <c r="P72" s="24" t="str">
        <f>IFERROR(__xludf.DUMMYFUNCTION("IF(Classes!B38="""","""",FILTER(ClassData!Classes,ClassData!$A$2:$A100=Classes!B38))"),"")</f>
        <v/>
      </c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</row>
    <row r="73">
      <c r="A73" s="337"/>
      <c r="B73" s="337"/>
      <c r="C73" s="337"/>
      <c r="D73" s="337"/>
      <c r="E73" s="337"/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24" t="str">
        <f>IFERROR(__xludf.DUMMYFUNCTION("IF(Classes!B39="""","""",FILTER(ClassData!Classes,ClassData!$A$2:$A100=Classes!B39))"),"")</f>
        <v/>
      </c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</row>
    <row r="74">
      <c r="A74" s="337"/>
      <c r="B74" s="337"/>
      <c r="C74" s="337"/>
      <c r="D74" s="337"/>
      <c r="E74" s="337"/>
      <c r="F74" s="337"/>
      <c r="G74" s="337"/>
      <c r="H74" s="337"/>
      <c r="I74" s="337"/>
      <c r="J74" s="337"/>
      <c r="K74" s="337"/>
      <c r="L74" s="337"/>
      <c r="M74" s="337"/>
      <c r="N74" s="337"/>
      <c r="O74" s="337"/>
      <c r="P74" s="24" t="str">
        <f>IFERROR(__xludf.DUMMYFUNCTION("IF(Classes!B40="""","""",FILTER(ClassData!Classes,ClassData!$A$2:$A100=Classes!B40))"),"")</f>
        <v/>
      </c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</row>
    <row r="75">
      <c r="A75" s="337"/>
      <c r="B75" s="337"/>
      <c r="C75" s="337"/>
      <c r="D75" s="337"/>
      <c r="E75" s="337"/>
      <c r="F75" s="337"/>
      <c r="G75" s="337"/>
      <c r="H75" s="337"/>
      <c r="I75" s="337"/>
      <c r="J75" s="337"/>
      <c r="K75" s="337"/>
      <c r="L75" s="337"/>
      <c r="M75" s="337"/>
      <c r="N75" s="337"/>
      <c r="O75" s="337"/>
      <c r="P75" s="24" t="str">
        <f>IFERROR(__xludf.DUMMYFUNCTION("IF(Classes!B41="""","""",FILTER(ClassData!Classes,ClassData!$A$2:$A100=Classes!B41))"),"")</f>
        <v/>
      </c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</row>
  </sheetData>
  <mergeCells count="28">
    <mergeCell ref="H3:I3"/>
    <mergeCell ref="H4:I4"/>
    <mergeCell ref="H5:I5"/>
    <mergeCell ref="H1:I1"/>
    <mergeCell ref="P1:Q1"/>
    <mergeCell ref="S1:T1"/>
    <mergeCell ref="H2:I2"/>
    <mergeCell ref="H22:I22"/>
    <mergeCell ref="H21:I21"/>
    <mergeCell ref="H23:I23"/>
    <mergeCell ref="H25:I25"/>
    <mergeCell ref="H24:I24"/>
    <mergeCell ref="A25:D25"/>
    <mergeCell ref="H20:I20"/>
    <mergeCell ref="H17:I17"/>
    <mergeCell ref="H18:I18"/>
    <mergeCell ref="H19:I19"/>
    <mergeCell ref="H16:I16"/>
    <mergeCell ref="H13:I13"/>
    <mergeCell ref="H14:I14"/>
    <mergeCell ref="H15:I15"/>
    <mergeCell ref="H12:I12"/>
    <mergeCell ref="H8:I8"/>
    <mergeCell ref="H7:I7"/>
    <mergeCell ref="H6:I6"/>
    <mergeCell ref="H11:I11"/>
    <mergeCell ref="H10:I10"/>
    <mergeCell ref="H9:I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74E13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19.71"/>
    <col customWidth="1" min="5" max="5" width="11.0"/>
    <col customWidth="1" min="6" max="6" width="9.43"/>
    <col customWidth="1" min="7" max="7" width="11.57"/>
    <col customWidth="1" min="8" max="8" width="11.43"/>
    <col customWidth="1" min="9" max="9" width="4.71"/>
    <col customWidth="1" min="10" max="10" width="4.86"/>
    <col customWidth="1" min="11" max="11" width="5.14"/>
    <col customWidth="1" min="12" max="12" width="4.0"/>
    <col customWidth="1" min="13" max="13" width="4.57"/>
    <col customWidth="1" min="14" max="14" width="4.86"/>
    <col customWidth="1" min="15" max="15" width="20.86"/>
    <col customWidth="1" min="17" max="17" width="16.43"/>
    <col customWidth="1" min="18" max="18" width="3.14"/>
    <col customWidth="1" min="19" max="19" width="9.43"/>
    <col customWidth="1" min="20" max="22" width="7.43"/>
    <col customWidth="1" min="23" max="87" width="3.14"/>
    <col customWidth="1" min="88" max="88" width="14.14"/>
    <col customWidth="1" min="89" max="89" width="13.86"/>
  </cols>
  <sheetData>
    <row r="1">
      <c r="A1" s="336" t="s">
        <v>9</v>
      </c>
      <c r="B1" s="338" t="s">
        <v>12</v>
      </c>
      <c r="C1" s="338" t="s">
        <v>328</v>
      </c>
      <c r="D1" s="338" t="s">
        <v>14</v>
      </c>
      <c r="E1" s="338" t="s">
        <v>329</v>
      </c>
      <c r="F1" s="338" t="s">
        <v>330</v>
      </c>
      <c r="G1" s="338" t="s">
        <v>331</v>
      </c>
      <c r="H1" s="338" t="s">
        <v>332</v>
      </c>
      <c r="I1" s="338" t="s">
        <v>232</v>
      </c>
      <c r="J1" s="338" t="s">
        <v>225</v>
      </c>
      <c r="K1" s="338" t="s">
        <v>238</v>
      </c>
      <c r="L1" s="338" t="s">
        <v>218</v>
      </c>
      <c r="M1" s="338" t="s">
        <v>222</v>
      </c>
      <c r="N1" s="338" t="s">
        <v>229</v>
      </c>
      <c r="O1" s="338" t="s">
        <v>333</v>
      </c>
      <c r="P1" s="338" t="s">
        <v>334</v>
      </c>
      <c r="Q1" s="338" t="s">
        <v>269</v>
      </c>
      <c r="R1" s="338" t="s">
        <v>336</v>
      </c>
      <c r="S1" s="338" t="s">
        <v>337</v>
      </c>
      <c r="T1" s="338" t="s">
        <v>260</v>
      </c>
      <c r="U1" s="338" t="s">
        <v>192</v>
      </c>
      <c r="V1" s="338" t="s">
        <v>200</v>
      </c>
      <c r="W1" s="339" t="s">
        <v>338</v>
      </c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22"/>
      <c r="BZ1" s="340"/>
      <c r="CI1" s="341"/>
      <c r="CJ1" s="314" t="s">
        <v>339</v>
      </c>
      <c r="CK1" s="314"/>
    </row>
    <row r="2">
      <c r="A2" s="20"/>
      <c r="B2" s="342"/>
      <c r="C2" s="342"/>
      <c r="D2" s="342"/>
      <c r="E2" s="342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42"/>
      <c r="R2" s="342"/>
      <c r="S2" s="31"/>
      <c r="T2" s="342"/>
      <c r="U2" s="342"/>
      <c r="V2" s="34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31"/>
      <c r="BZ2" s="343"/>
      <c r="CI2" s="341"/>
    </row>
    <row r="3">
      <c r="A3" s="23" t="s">
        <v>340</v>
      </c>
      <c r="B3" s="23" t="s">
        <v>322</v>
      </c>
      <c r="C3" s="23"/>
      <c r="D3" s="23" t="s">
        <v>6</v>
      </c>
      <c r="E3" s="23">
        <v>30.0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3" t="s">
        <v>341</v>
      </c>
      <c r="R3" s="23"/>
      <c r="S3" s="24"/>
      <c r="T3" s="23"/>
      <c r="U3" s="23"/>
      <c r="V3" s="23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317"/>
      <c r="BZ3" s="343"/>
      <c r="CI3" s="341"/>
    </row>
    <row r="4">
      <c r="A4" s="23" t="s">
        <v>342</v>
      </c>
      <c r="B4" s="23" t="s">
        <v>322</v>
      </c>
      <c r="C4" s="23"/>
      <c r="D4" s="23" t="s">
        <v>6</v>
      </c>
      <c r="E4" s="23" t="s">
        <v>343</v>
      </c>
      <c r="F4" s="24"/>
      <c r="G4" s="24"/>
      <c r="H4" s="24"/>
      <c r="I4" s="24"/>
      <c r="J4" s="24"/>
      <c r="K4" s="23">
        <v>2.0</v>
      </c>
      <c r="L4" s="24"/>
      <c r="M4" s="24"/>
      <c r="N4" s="23">
        <v>-2.0</v>
      </c>
      <c r="O4" s="23" t="s">
        <v>344</v>
      </c>
      <c r="P4" s="24"/>
      <c r="Q4" s="23" t="s">
        <v>345</v>
      </c>
      <c r="R4" s="23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317"/>
      <c r="BZ4" s="343"/>
      <c r="CI4" s="341"/>
    </row>
    <row r="5">
      <c r="A5" s="23" t="s">
        <v>346</v>
      </c>
      <c r="B5" s="23" t="s">
        <v>322</v>
      </c>
      <c r="C5" s="23"/>
      <c r="D5" s="23" t="s">
        <v>6</v>
      </c>
      <c r="E5" s="23">
        <v>30.0</v>
      </c>
      <c r="F5" s="24"/>
      <c r="G5" s="24"/>
      <c r="H5" s="24"/>
      <c r="I5" s="24"/>
      <c r="J5" s="23">
        <v>2.0</v>
      </c>
      <c r="K5" s="23">
        <v>-2.0</v>
      </c>
      <c r="L5" s="24"/>
      <c r="M5" s="24"/>
      <c r="N5" s="24"/>
      <c r="O5" s="23" t="s">
        <v>347</v>
      </c>
      <c r="P5" s="23" t="s">
        <v>149</v>
      </c>
      <c r="Q5" s="23" t="s">
        <v>348</v>
      </c>
      <c r="R5" s="23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317"/>
      <c r="BZ5" s="343"/>
      <c r="CI5" s="341"/>
    </row>
    <row r="6">
      <c r="A6" s="23" t="s">
        <v>349</v>
      </c>
      <c r="B6" s="23" t="s">
        <v>322</v>
      </c>
      <c r="C6" s="24"/>
      <c r="D6" s="23" t="s">
        <v>271</v>
      </c>
      <c r="E6" s="23">
        <v>20.0</v>
      </c>
      <c r="F6" s="24"/>
      <c r="G6" s="24"/>
      <c r="H6" s="24"/>
      <c r="I6" s="23">
        <v>-2.0</v>
      </c>
      <c r="J6" s="24"/>
      <c r="K6" s="23">
        <v>2.0</v>
      </c>
      <c r="L6" s="24"/>
      <c r="M6" s="24"/>
      <c r="N6" s="24"/>
      <c r="O6" s="23" t="s">
        <v>347</v>
      </c>
      <c r="P6" s="24"/>
      <c r="Q6" s="23" t="s">
        <v>351</v>
      </c>
      <c r="R6" s="23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317"/>
      <c r="BZ6" s="343"/>
      <c r="CI6" s="341"/>
    </row>
    <row r="7">
      <c r="A7" s="23" t="s">
        <v>352</v>
      </c>
      <c r="B7" s="23" t="s">
        <v>322</v>
      </c>
      <c r="C7" s="24"/>
      <c r="D7" s="23" t="s">
        <v>6</v>
      </c>
      <c r="E7" s="23">
        <v>30.0</v>
      </c>
      <c r="F7" s="24"/>
      <c r="G7" s="24"/>
      <c r="H7" s="24"/>
      <c r="I7" s="24"/>
      <c r="J7" s="24"/>
      <c r="K7" s="24"/>
      <c r="L7" s="24"/>
      <c r="M7" s="24"/>
      <c r="N7" s="24"/>
      <c r="O7" s="23" t="s">
        <v>347</v>
      </c>
      <c r="P7" s="23" t="s">
        <v>149</v>
      </c>
      <c r="Q7" s="23" t="s">
        <v>348</v>
      </c>
      <c r="R7" s="23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317"/>
      <c r="BZ7" s="343"/>
      <c r="CI7" s="341"/>
    </row>
    <row r="8">
      <c r="A8" s="23" t="s">
        <v>353</v>
      </c>
      <c r="B8" s="23" t="s">
        <v>322</v>
      </c>
      <c r="C8" s="24"/>
      <c r="D8" s="23" t="s">
        <v>6</v>
      </c>
      <c r="E8" s="23">
        <v>30.0</v>
      </c>
      <c r="F8" s="24"/>
      <c r="G8" s="24"/>
      <c r="H8" s="24"/>
      <c r="I8" s="23">
        <v>2.0</v>
      </c>
      <c r="J8" s="24"/>
      <c r="K8" s="24"/>
      <c r="L8" s="23">
        <v>-2.0</v>
      </c>
      <c r="M8" s="24"/>
      <c r="N8" s="23">
        <v>-2.0</v>
      </c>
      <c r="O8" s="23" t="s">
        <v>344</v>
      </c>
      <c r="P8" s="24"/>
      <c r="Q8" s="23" t="s">
        <v>354</v>
      </c>
      <c r="R8" s="23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317"/>
      <c r="BZ8" s="343"/>
      <c r="CI8" s="341"/>
    </row>
    <row r="9">
      <c r="A9" s="23" t="s">
        <v>355</v>
      </c>
      <c r="B9" s="23" t="s">
        <v>322</v>
      </c>
      <c r="C9" s="24"/>
      <c r="D9" s="23" t="s">
        <v>271</v>
      </c>
      <c r="E9" s="23">
        <v>20.0</v>
      </c>
      <c r="F9" s="24"/>
      <c r="G9" s="24"/>
      <c r="H9" s="24"/>
      <c r="I9" s="23">
        <v>-2.0</v>
      </c>
      <c r="J9" s="23">
        <v>2.0</v>
      </c>
      <c r="K9" s="24"/>
      <c r="L9" s="24"/>
      <c r="M9" s="24"/>
      <c r="N9" s="24"/>
      <c r="O9" s="24"/>
      <c r="P9" s="24"/>
      <c r="Q9" s="23" t="s">
        <v>356</v>
      </c>
      <c r="R9" s="23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317"/>
      <c r="BZ9" s="343"/>
      <c r="CI9" s="341"/>
    </row>
    <row r="10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317"/>
      <c r="BZ10" s="343"/>
      <c r="CI10" s="341"/>
    </row>
    <row r="1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3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317"/>
      <c r="BZ11" s="343"/>
      <c r="CI11" s="341"/>
    </row>
    <row r="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317"/>
      <c r="BZ12" s="343"/>
      <c r="CI12" s="341"/>
    </row>
    <row r="13">
      <c r="A13" s="23" t="s">
        <v>358</v>
      </c>
      <c r="B13" s="23" t="s">
        <v>322</v>
      </c>
      <c r="C13" s="23" t="s">
        <v>358</v>
      </c>
      <c r="D13" s="23" t="s">
        <v>6</v>
      </c>
      <c r="E13" s="23">
        <v>40.0</v>
      </c>
      <c r="F13" s="24"/>
      <c r="G13" s="24"/>
      <c r="H13" s="24"/>
      <c r="I13" s="24"/>
      <c r="J13" s="23">
        <v>4.0</v>
      </c>
      <c r="K13" s="24"/>
      <c r="L13" s="24"/>
      <c r="M13" s="24"/>
      <c r="N13" s="23">
        <v>2.0</v>
      </c>
      <c r="O13" s="23" t="s">
        <v>347</v>
      </c>
      <c r="P13" s="24"/>
      <c r="Q13" s="23" t="s">
        <v>359</v>
      </c>
      <c r="R13" s="23">
        <v>1.0</v>
      </c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317"/>
      <c r="BZ13" s="343"/>
      <c r="CI13" s="341"/>
    </row>
    <row r="14">
      <c r="A14" s="23" t="s">
        <v>360</v>
      </c>
      <c r="B14" s="23" t="s">
        <v>361</v>
      </c>
      <c r="C14" s="24"/>
      <c r="D14" s="23" t="s">
        <v>271</v>
      </c>
      <c r="E14" s="23">
        <v>20.0</v>
      </c>
      <c r="F14" s="24"/>
      <c r="G14" s="24"/>
      <c r="H14" s="24"/>
      <c r="I14" s="23">
        <v>2.0</v>
      </c>
      <c r="J14" s="23">
        <v>6.0</v>
      </c>
      <c r="K14" s="23">
        <v>4.0</v>
      </c>
      <c r="L14" s="24"/>
      <c r="M14" s="23">
        <v>6.0</v>
      </c>
      <c r="N14" s="23">
        <v>4.0</v>
      </c>
      <c r="O14" s="23" t="s">
        <v>362</v>
      </c>
      <c r="P14" s="24"/>
      <c r="Q14" s="23" t="s">
        <v>363</v>
      </c>
      <c r="R14" s="23">
        <v>1.0</v>
      </c>
      <c r="S14" s="23">
        <v>3.0</v>
      </c>
      <c r="T14" s="23" t="s">
        <v>289</v>
      </c>
      <c r="U14" s="23" t="s">
        <v>294</v>
      </c>
      <c r="V14" s="23" t="s">
        <v>294</v>
      </c>
      <c r="W14" s="24"/>
      <c r="X14" s="218" t="s">
        <v>219</v>
      </c>
      <c r="Y14" s="24"/>
      <c r="Z14" s="87" t="s">
        <v>300</v>
      </c>
      <c r="AA14" s="24"/>
      <c r="AB14" s="218" t="s">
        <v>219</v>
      </c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87" t="s">
        <v>300</v>
      </c>
      <c r="AO14" s="218" t="s">
        <v>219</v>
      </c>
      <c r="AP14" s="24"/>
      <c r="AQ14" s="24"/>
      <c r="AR14" s="24"/>
      <c r="AS14" s="24"/>
      <c r="AT14" s="24"/>
      <c r="AU14" s="24"/>
      <c r="AV14" s="24"/>
      <c r="AW14" s="24"/>
      <c r="AX14" s="218" t="s">
        <v>219</v>
      </c>
      <c r="AY14" s="24"/>
      <c r="AZ14" s="24"/>
      <c r="BA14" s="218" t="s">
        <v>219</v>
      </c>
      <c r="BB14" s="218" t="s">
        <v>219</v>
      </c>
      <c r="BC14" s="24"/>
      <c r="BD14" s="24"/>
      <c r="BE14" s="87" t="s">
        <v>300</v>
      </c>
      <c r="BF14" s="218" t="s">
        <v>219</v>
      </c>
      <c r="BG14" s="87" t="s">
        <v>300</v>
      </c>
      <c r="BH14" s="24"/>
      <c r="BI14" s="24"/>
      <c r="BJ14" s="24"/>
      <c r="BK14" s="218" t="s">
        <v>219</v>
      </c>
      <c r="BL14" s="24"/>
      <c r="BM14" s="24"/>
      <c r="BN14" s="24"/>
      <c r="BO14" s="24"/>
      <c r="BP14" s="24"/>
      <c r="BQ14" s="24"/>
      <c r="BR14" s="24"/>
      <c r="BS14" s="87" t="s">
        <v>300</v>
      </c>
      <c r="BT14" s="24"/>
      <c r="BU14" s="24"/>
      <c r="BV14" s="24"/>
      <c r="BW14" s="24"/>
      <c r="BX14" s="218" t="s">
        <v>219</v>
      </c>
      <c r="BY14" s="317"/>
      <c r="BZ14" s="343"/>
      <c r="CI14" s="341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317"/>
      <c r="BZ15" s="343"/>
      <c r="CI15" s="341"/>
    </row>
    <row r="16">
      <c r="A16" s="344" t="s">
        <v>364</v>
      </c>
      <c r="B16" s="345" t="s">
        <v>322</v>
      </c>
      <c r="C16" s="345" t="s">
        <v>365</v>
      </c>
      <c r="D16" s="345" t="s">
        <v>6</v>
      </c>
      <c r="E16" s="346">
        <v>30.0</v>
      </c>
      <c r="F16" s="345"/>
      <c r="G16" s="345"/>
      <c r="H16" s="345"/>
      <c r="I16" s="345"/>
      <c r="J16" s="346">
        <v>2.0</v>
      </c>
      <c r="K16" s="345"/>
      <c r="L16" s="346">
        <v>-2.0</v>
      </c>
      <c r="M16" s="345"/>
      <c r="N16" s="346">
        <v>-2.0</v>
      </c>
      <c r="O16" s="345" t="s">
        <v>347</v>
      </c>
      <c r="P16" s="345"/>
      <c r="Q16" s="345" t="s">
        <v>341</v>
      </c>
      <c r="R16" s="345"/>
      <c r="S16" s="345"/>
      <c r="T16" s="345"/>
      <c r="U16" s="345"/>
      <c r="V16" s="345"/>
      <c r="W16" s="345"/>
      <c r="X16" s="345"/>
      <c r="Y16" s="345"/>
      <c r="Z16" s="345"/>
      <c r="AA16" s="345"/>
      <c r="AB16" s="345"/>
      <c r="AC16" s="345"/>
      <c r="AD16" s="345"/>
      <c r="AE16" s="345"/>
      <c r="AF16" s="345"/>
      <c r="AG16" s="345"/>
      <c r="AH16" s="345"/>
      <c r="AI16" s="345"/>
      <c r="AJ16" s="345"/>
      <c r="AK16" s="345"/>
      <c r="AL16" s="345"/>
      <c r="AM16" s="345"/>
      <c r="AN16" s="345"/>
      <c r="AO16" s="345"/>
      <c r="AP16" s="345"/>
      <c r="AQ16" s="345"/>
      <c r="AR16" s="345"/>
      <c r="AS16" s="345"/>
      <c r="AT16" s="345"/>
      <c r="AU16" s="345"/>
      <c r="AV16" s="345"/>
      <c r="AW16" s="345"/>
      <c r="AX16" s="345"/>
      <c r="AY16" s="345"/>
      <c r="AZ16" s="345"/>
      <c r="BA16" s="345"/>
      <c r="BB16" s="345"/>
      <c r="BC16" s="345"/>
      <c r="BD16" s="345"/>
      <c r="BE16" s="345"/>
      <c r="BF16" s="345"/>
      <c r="BG16" s="345"/>
      <c r="BH16" s="345"/>
      <c r="BI16" s="345"/>
      <c r="BJ16" s="345"/>
      <c r="BK16" s="345"/>
      <c r="BL16" s="345"/>
      <c r="BM16" s="345"/>
      <c r="BN16" s="345"/>
      <c r="BO16" s="345"/>
      <c r="BP16" s="345"/>
      <c r="BQ16" s="345"/>
      <c r="BR16" s="345"/>
      <c r="BS16" s="345"/>
      <c r="BT16" s="345"/>
      <c r="BU16" s="345"/>
      <c r="BV16" s="345"/>
      <c r="BW16" s="345"/>
      <c r="BX16" s="345"/>
      <c r="BY16" s="347"/>
      <c r="BZ16" s="348"/>
      <c r="CA16" s="349"/>
      <c r="CB16" s="349"/>
      <c r="CC16" s="349"/>
      <c r="CD16" s="349"/>
      <c r="CE16" s="349"/>
      <c r="CF16" s="349"/>
      <c r="CG16" s="349"/>
      <c r="CH16" s="349"/>
      <c r="CI16" s="350"/>
      <c r="CJ16" s="349"/>
      <c r="CK16" s="349"/>
    </row>
    <row r="17">
      <c r="A17" s="351" t="s">
        <v>366</v>
      </c>
      <c r="B17" s="352" t="s">
        <v>322</v>
      </c>
      <c r="C17" s="352" t="s">
        <v>365</v>
      </c>
      <c r="D17" s="352" t="s">
        <v>6</v>
      </c>
      <c r="E17" s="353">
        <v>30.0</v>
      </c>
      <c r="F17" s="352"/>
      <c r="G17" s="352"/>
      <c r="H17" s="352"/>
      <c r="I17" s="352"/>
      <c r="J17" s="352"/>
      <c r="K17" s="353">
        <v>2.0</v>
      </c>
      <c r="L17" s="353">
        <v>-2.0</v>
      </c>
      <c r="M17" s="352"/>
      <c r="N17" s="353">
        <v>-2.0</v>
      </c>
      <c r="O17" s="352" t="s">
        <v>347</v>
      </c>
      <c r="P17" s="352"/>
      <c r="Q17" s="352" t="s">
        <v>341</v>
      </c>
      <c r="R17" s="352"/>
      <c r="S17" s="352"/>
      <c r="T17" s="352"/>
      <c r="U17" s="352"/>
      <c r="V17" s="352"/>
      <c r="W17" s="352"/>
      <c r="X17" s="352"/>
      <c r="Y17" s="352"/>
      <c r="Z17" s="352"/>
      <c r="AA17" s="352"/>
      <c r="AB17" s="352"/>
      <c r="AC17" s="352"/>
      <c r="AD17" s="352"/>
      <c r="AE17" s="352"/>
      <c r="AF17" s="352"/>
      <c r="AG17" s="352"/>
      <c r="AH17" s="352"/>
      <c r="AI17" s="352"/>
      <c r="AJ17" s="352"/>
      <c r="AK17" s="352"/>
      <c r="AL17" s="352"/>
      <c r="AM17" s="352"/>
      <c r="AN17" s="352"/>
      <c r="AO17" s="352"/>
      <c r="AP17" s="352"/>
      <c r="AQ17" s="352"/>
      <c r="AR17" s="352"/>
      <c r="AS17" s="352"/>
      <c r="AT17" s="352"/>
      <c r="AU17" s="352"/>
      <c r="AV17" s="352"/>
      <c r="AW17" s="352"/>
      <c r="AX17" s="352"/>
      <c r="AY17" s="352"/>
      <c r="AZ17" s="352"/>
      <c r="BA17" s="352"/>
      <c r="BB17" s="352"/>
      <c r="BC17" s="352"/>
      <c r="BD17" s="352"/>
      <c r="BE17" s="352"/>
      <c r="BF17" s="352"/>
      <c r="BG17" s="352"/>
      <c r="BH17" s="352"/>
      <c r="BI17" s="352"/>
      <c r="BJ17" s="352"/>
      <c r="BK17" s="352"/>
      <c r="BL17" s="352"/>
      <c r="BM17" s="352"/>
      <c r="BN17" s="352"/>
      <c r="BO17" s="352"/>
      <c r="BP17" s="352"/>
      <c r="BQ17" s="352"/>
      <c r="BR17" s="352"/>
      <c r="BS17" s="352"/>
      <c r="BT17" s="352"/>
      <c r="BU17" s="352"/>
      <c r="BV17" s="352"/>
      <c r="BW17" s="352"/>
      <c r="BX17" s="352"/>
      <c r="BY17" s="354"/>
      <c r="BZ17" s="348"/>
      <c r="CA17" s="349"/>
      <c r="CB17" s="349"/>
      <c r="CC17" s="349"/>
      <c r="CD17" s="349"/>
      <c r="CE17" s="349"/>
      <c r="CF17" s="349"/>
      <c r="CG17" s="349"/>
      <c r="CH17" s="349"/>
      <c r="CI17" s="350"/>
      <c r="CJ17" s="349"/>
      <c r="CK17" s="349"/>
    </row>
    <row r="18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317"/>
      <c r="BZ18" s="343"/>
      <c r="CI18" s="341"/>
    </row>
    <row r="19">
      <c r="A19" s="23" t="s">
        <v>367</v>
      </c>
      <c r="B19" s="23" t="s">
        <v>368</v>
      </c>
      <c r="C19" s="23" t="s">
        <v>369</v>
      </c>
      <c r="D19" s="23" t="s">
        <v>6</v>
      </c>
      <c r="E19" s="23">
        <v>30.0</v>
      </c>
      <c r="F19" s="24"/>
      <c r="G19" s="24"/>
      <c r="H19" s="24"/>
      <c r="I19" s="24"/>
      <c r="J19" s="24"/>
      <c r="K19" s="23">
        <v>2.0</v>
      </c>
      <c r="L19" s="24"/>
      <c r="M19" s="23">
        <v>-2.0</v>
      </c>
      <c r="N19" s="23">
        <v>-2.0</v>
      </c>
      <c r="O19" s="24"/>
      <c r="P19" s="24"/>
      <c r="Q19" s="23" t="s">
        <v>341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317"/>
      <c r="BZ19" s="343"/>
      <c r="CI19" s="341"/>
    </row>
    <row r="20">
      <c r="A20" s="24" t="s">
        <v>370</v>
      </c>
      <c r="B20" s="24" t="s">
        <v>371</v>
      </c>
      <c r="C20" s="24"/>
      <c r="D20" s="24" t="s">
        <v>6</v>
      </c>
      <c r="E20" s="24">
        <v>30.0</v>
      </c>
      <c r="F20" s="24" t="s">
        <v>372</v>
      </c>
      <c r="G20" s="24"/>
      <c r="H20" s="24"/>
      <c r="I20" s="24"/>
      <c r="J20" s="24">
        <v>2.0</v>
      </c>
      <c r="K20" s="24">
        <v>-2.0</v>
      </c>
      <c r="L20" s="24">
        <v>2.0</v>
      </c>
      <c r="M20" s="24"/>
      <c r="N20" s="24"/>
      <c r="P20" s="23"/>
      <c r="Q20" s="23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317"/>
      <c r="BZ20" s="343"/>
      <c r="CI20" s="341"/>
    </row>
    <row r="21">
      <c r="A21" s="355" t="str">
        <f>HYPERLINK("http://www.dandwiki.com/wiki/Dragonborn_(3.5e_Race)","Dragonborn")</f>
        <v>Dragonborn</v>
      </c>
      <c r="B21" s="23" t="s">
        <v>322</v>
      </c>
      <c r="C21" s="356" t="s">
        <v>323</v>
      </c>
      <c r="D21" s="23" t="s">
        <v>6</v>
      </c>
      <c r="E21" s="23">
        <v>30.0</v>
      </c>
      <c r="F21" s="24"/>
      <c r="G21" s="24"/>
      <c r="H21" s="24"/>
      <c r="I21" s="23">
        <v>4.0</v>
      </c>
      <c r="J21" s="23">
        <v>-2.0</v>
      </c>
      <c r="K21" s="24"/>
      <c r="L21" s="24"/>
      <c r="M21" s="24"/>
      <c r="N21" s="24"/>
      <c r="O21" s="357" t="s">
        <v>324</v>
      </c>
      <c r="P21" s="23" t="s">
        <v>325</v>
      </c>
      <c r="Q21" s="23" t="s">
        <v>326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317"/>
      <c r="BZ21" s="343"/>
      <c r="CI21" s="341"/>
      <c r="CJ21" s="5">
        <v>2.0</v>
      </c>
    </row>
    <row r="22">
      <c r="A22" s="23"/>
      <c r="B22" s="23"/>
      <c r="C22" s="130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317"/>
      <c r="BZ22" s="343"/>
      <c r="CI22" s="341"/>
    </row>
    <row r="2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317"/>
      <c r="BZ23" s="343"/>
      <c r="CI23" s="341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317"/>
      <c r="BZ24" s="343"/>
      <c r="CI24" s="341"/>
    </row>
    <row r="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317"/>
      <c r="BZ25" s="343"/>
      <c r="CI25" s="341"/>
    </row>
    <row r="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317"/>
      <c r="BZ26" s="343"/>
      <c r="CI26" s="341"/>
    </row>
    <row r="27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317"/>
      <c r="BZ27" s="343"/>
      <c r="CI27" s="341"/>
    </row>
    <row r="28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317"/>
      <c r="BZ28" s="343"/>
      <c r="CI28" s="341"/>
    </row>
    <row r="2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317"/>
      <c r="BZ29" s="343"/>
      <c r="CI29" s="341"/>
    </row>
    <row r="3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317"/>
      <c r="BZ30" s="343"/>
      <c r="CI30" s="341"/>
    </row>
    <row r="3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317"/>
      <c r="BZ31" s="343"/>
      <c r="CI31" s="341"/>
    </row>
    <row r="3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317"/>
      <c r="BZ32" s="343"/>
      <c r="CI32" s="341"/>
    </row>
    <row r="3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317"/>
      <c r="BZ33" s="343"/>
      <c r="CI33" s="341"/>
    </row>
    <row r="3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317"/>
      <c r="BZ34" s="343"/>
      <c r="CI34" s="341"/>
    </row>
    <row r="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317"/>
      <c r="BZ35" s="343"/>
      <c r="CI35" s="341"/>
    </row>
    <row r="3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317"/>
      <c r="BZ36" s="343"/>
      <c r="CI36" s="341"/>
    </row>
    <row r="37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317"/>
      <c r="BZ37" s="343"/>
      <c r="CI37" s="341"/>
    </row>
    <row r="38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317"/>
      <c r="BZ38" s="343"/>
      <c r="CI38" s="341"/>
    </row>
    <row r="3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317"/>
      <c r="BZ39" s="343"/>
      <c r="CI39" s="341"/>
    </row>
    <row r="4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317"/>
      <c r="BZ40" s="343"/>
      <c r="CI40" s="341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317"/>
      <c r="BZ41" s="343"/>
      <c r="CI41" s="341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317"/>
      <c r="BZ42" s="343"/>
      <c r="CI42" s="341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317"/>
      <c r="BZ43" s="343"/>
      <c r="CI43" s="341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317"/>
      <c r="BZ44" s="343"/>
      <c r="CI44" s="341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317"/>
      <c r="BZ45" s="343"/>
      <c r="CI45" s="341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317"/>
      <c r="BZ46" s="343"/>
      <c r="CI46" s="341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317"/>
      <c r="BZ47" s="343"/>
      <c r="CI47" s="341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317"/>
      <c r="BZ48" s="343"/>
      <c r="CI48" s="341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317"/>
      <c r="BZ49" s="343"/>
      <c r="CI49" s="341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317"/>
      <c r="BZ50" s="343"/>
      <c r="CI50" s="341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317"/>
      <c r="BZ51" s="343"/>
      <c r="CI51" s="341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317"/>
      <c r="BZ52" s="343"/>
      <c r="CI52" s="341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317"/>
      <c r="BZ53" s="343"/>
      <c r="CI53" s="341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317"/>
      <c r="BZ54" s="343"/>
      <c r="CI54" s="341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317"/>
      <c r="BZ55" s="343"/>
      <c r="CI55" s="341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317"/>
      <c r="BZ56" s="343"/>
      <c r="CI56" s="341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317"/>
      <c r="BZ57" s="343"/>
      <c r="CI57" s="341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317"/>
      <c r="BZ58" s="343"/>
      <c r="CI58" s="341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317"/>
      <c r="BZ59" s="343"/>
      <c r="CI59" s="341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317"/>
      <c r="BZ60" s="343"/>
      <c r="CI60" s="341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317"/>
      <c r="BZ61" s="343"/>
      <c r="CI61" s="341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317"/>
      <c r="BZ62" s="343"/>
      <c r="CI62" s="341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317"/>
      <c r="BZ63" s="343"/>
      <c r="CI63" s="341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317"/>
      <c r="BZ64" s="343"/>
      <c r="CI64" s="341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317"/>
      <c r="BZ65" s="343"/>
      <c r="CI65" s="341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317"/>
      <c r="BZ66" s="343"/>
      <c r="CI66" s="341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317"/>
      <c r="BZ67" s="343"/>
      <c r="CI67" s="341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317"/>
      <c r="BZ68" s="343"/>
      <c r="CI68" s="341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317"/>
      <c r="BZ69" s="343"/>
      <c r="CI69" s="341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317"/>
      <c r="BZ70" s="343"/>
      <c r="CI70" s="341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317"/>
      <c r="BZ71" s="343"/>
      <c r="CI71" s="341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317"/>
      <c r="BZ72" s="343"/>
      <c r="CI72" s="341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317"/>
      <c r="BZ73" s="343"/>
      <c r="CI73" s="341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317"/>
      <c r="BZ74" s="343"/>
      <c r="CI74" s="341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317"/>
      <c r="BZ75" s="343"/>
      <c r="CI75" s="341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317"/>
      <c r="BZ76" s="343"/>
      <c r="CI76" s="341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317"/>
      <c r="BZ77" s="343"/>
      <c r="CI77" s="341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317"/>
      <c r="BZ78" s="343"/>
      <c r="CI78" s="341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317"/>
      <c r="BZ79" s="343"/>
      <c r="CI79" s="341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317"/>
      <c r="BZ80" s="343"/>
      <c r="CI80" s="341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317"/>
      <c r="BZ81" s="343"/>
      <c r="CI81" s="341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317"/>
      <c r="BZ82" s="343"/>
      <c r="CI82" s="341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317"/>
      <c r="BZ83" s="343"/>
      <c r="CI83" s="341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317"/>
      <c r="BZ84" s="343"/>
      <c r="CI84" s="341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317"/>
      <c r="BZ85" s="343"/>
      <c r="CI85" s="341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317"/>
      <c r="BZ86" s="343"/>
      <c r="CI86" s="341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317"/>
      <c r="BZ87" s="343"/>
      <c r="CI87" s="341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317"/>
      <c r="BZ88" s="343"/>
      <c r="CI88" s="341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317"/>
      <c r="BZ89" s="343"/>
      <c r="CI89" s="341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317"/>
      <c r="BZ90" s="343"/>
      <c r="CI90" s="341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317"/>
      <c r="BZ91" s="343"/>
      <c r="CI91" s="341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317"/>
      <c r="BZ92" s="343"/>
      <c r="CI92" s="341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317"/>
      <c r="BZ93" s="343"/>
      <c r="CI93" s="341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317"/>
      <c r="BZ94" s="343"/>
      <c r="CI94" s="341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317"/>
      <c r="BZ95" s="343"/>
      <c r="CI95" s="341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317"/>
      <c r="BZ96" s="343"/>
      <c r="CI96" s="341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317"/>
      <c r="BZ97" s="343"/>
      <c r="CI97" s="341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317"/>
      <c r="BZ98" s="343"/>
      <c r="CI98" s="341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317"/>
      <c r="BZ99" s="343"/>
      <c r="CI99" s="341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317"/>
      <c r="BZ100" s="343"/>
      <c r="CI100" s="341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317"/>
      <c r="BZ101" s="343"/>
      <c r="CI101" s="341"/>
    </row>
  </sheetData>
  <mergeCells count="2">
    <mergeCell ref="W1:BY1"/>
    <mergeCell ref="BZ1:CI1"/>
  </mergeCells>
  <dataValidations>
    <dataValidation type="list" allowBlank="1" showErrorMessage="1" sqref="T2:V101">
      <formula1>CalcData!$A$13:$A$14</formula1>
    </dataValidation>
    <dataValidation type="list" allowBlank="1" showErrorMessage="1" sqref="D2:D101">
      <formula1>CalcData!$A$2:$A$10</formula1>
    </dataValidation>
  </dataValidation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57"/>
    <col customWidth="1" min="2" max="2" width="11.57"/>
    <col customWidth="1" min="3" max="3" width="7.0"/>
    <col customWidth="1" min="4" max="4" width="11.43"/>
    <col customWidth="1" min="5" max="5" width="9.71"/>
    <col customWidth="1" min="6" max="6" width="11.86"/>
    <col customWidth="1" min="7" max="7" width="8.86"/>
    <col customWidth="1" min="8" max="72" width="3.14"/>
  </cols>
  <sheetData>
    <row r="1">
      <c r="A1" s="358" t="s">
        <v>193</v>
      </c>
      <c r="B1" s="358" t="s">
        <v>286</v>
      </c>
      <c r="C1" s="358" t="s">
        <v>195</v>
      </c>
      <c r="D1" s="358" t="s">
        <v>194</v>
      </c>
      <c r="E1" s="358" t="s">
        <v>374</v>
      </c>
      <c r="F1" s="358" t="s">
        <v>375</v>
      </c>
      <c r="G1" s="358" t="s">
        <v>376</v>
      </c>
      <c r="H1" s="360" t="s">
        <v>267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361" t="s">
        <v>377</v>
      </c>
      <c r="BL1" s="31"/>
      <c r="BM1" s="31"/>
      <c r="BN1" s="31"/>
      <c r="BO1" s="31"/>
      <c r="BP1" s="31"/>
      <c r="BQ1" s="31"/>
      <c r="BR1" s="31"/>
      <c r="BS1" s="31"/>
      <c r="BT1" s="22"/>
    </row>
    <row r="2">
      <c r="A2" s="362" t="s">
        <v>378</v>
      </c>
      <c r="B2" s="362" t="s">
        <v>294</v>
      </c>
      <c r="C2" s="362">
        <v>8.0</v>
      </c>
      <c r="D2" s="362">
        <v>2.0</v>
      </c>
      <c r="E2" s="28" t="str">
        <f t="array" ref="E2:G2">RacialSaves</f>
        <v/>
      </c>
      <c r="F2" s="28"/>
      <c r="G2" s="28"/>
      <c r="H2" s="28" t="str">
        <f t="array" ref="H2:BJ2">RacialSkills</f>
        <v/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363"/>
      <c r="BL2" s="28"/>
      <c r="BM2" s="28"/>
      <c r="BN2" s="28"/>
      <c r="BO2" s="28"/>
      <c r="BP2" s="28"/>
      <c r="BQ2" s="28"/>
      <c r="BR2" s="28"/>
      <c r="BS2" s="28"/>
      <c r="BT2" s="28"/>
    </row>
    <row r="3">
      <c r="A3" s="5" t="s">
        <v>380</v>
      </c>
      <c r="B3" s="5" t="s">
        <v>294</v>
      </c>
      <c r="C3" s="5">
        <v>8.0</v>
      </c>
      <c r="D3" s="5">
        <v>2.0</v>
      </c>
      <c r="E3" t="str">
        <f t="array" ref="E3:G3">RacialSaves</f>
        <v/>
      </c>
      <c r="H3" t="str">
        <f t="array" ref="H3:BJ3">RacialSkills</f>
        <v/>
      </c>
      <c r="BK3" s="343"/>
    </row>
    <row r="4">
      <c r="A4" s="5" t="s">
        <v>381</v>
      </c>
      <c r="B4" s="5" t="s">
        <v>294</v>
      </c>
      <c r="C4" s="5">
        <v>10.0</v>
      </c>
      <c r="D4" s="5">
        <v>2.0</v>
      </c>
      <c r="E4" t="str">
        <f t="array" ref="E4:G4">RacialSaves</f>
        <v/>
      </c>
      <c r="H4" t="str">
        <f t="array" ref="H4:BJ4">RacialSkills</f>
        <v/>
      </c>
      <c r="BK4" s="343"/>
    </row>
    <row r="5">
      <c r="A5" s="5" t="s">
        <v>382</v>
      </c>
      <c r="B5" s="5" t="s">
        <v>299</v>
      </c>
      <c r="C5" s="5">
        <v>12.0</v>
      </c>
      <c r="D5" s="5">
        <v>6.0</v>
      </c>
      <c r="E5" t="str">
        <f t="array" ref="E5:G5">RacialSaves</f>
        <v/>
      </c>
      <c r="H5" t="str">
        <f t="array" ref="H5:BJ5">RacialSkills</f>
        <v/>
      </c>
      <c r="BK5" s="343"/>
    </row>
    <row r="6">
      <c r="A6" s="5" t="s">
        <v>383</v>
      </c>
      <c r="B6" s="5" t="s">
        <v>294</v>
      </c>
      <c r="C6" s="5">
        <v>8.0</v>
      </c>
      <c r="D6" s="5">
        <v>2.0</v>
      </c>
      <c r="E6" t="str">
        <f t="array" ref="E6:G6">RacialSaves</f>
        <v/>
      </c>
      <c r="H6" t="str">
        <f t="array" ref="H6:BJ6">RacialSkills</f>
        <v/>
      </c>
      <c r="BK6" s="343"/>
    </row>
    <row r="7">
      <c r="A7" s="5" t="s">
        <v>384</v>
      </c>
      <c r="B7" s="5" t="s">
        <v>289</v>
      </c>
      <c r="C7" s="5">
        <v>6.0</v>
      </c>
      <c r="D7" s="5">
        <v>6.0</v>
      </c>
      <c r="E7" t="str">
        <f t="array" ref="E7:G7">RacialSaves</f>
        <v/>
      </c>
      <c r="H7" t="str">
        <f t="array" ref="H7:BJ7">RacialSkills</f>
        <v/>
      </c>
      <c r="BK7" s="343"/>
    </row>
    <row r="8">
      <c r="A8" s="5" t="s">
        <v>386</v>
      </c>
      <c r="B8" s="5" t="s">
        <v>294</v>
      </c>
      <c r="C8" s="5">
        <v>8.0</v>
      </c>
      <c r="D8" s="5">
        <v>2.0</v>
      </c>
      <c r="E8" t="str">
        <f t="array" ref="E8:G8">RacialSaves</f>
        <v/>
      </c>
      <c r="H8" t="str">
        <f t="array" ref="H8:BJ8">RacialSkills</f>
        <v/>
      </c>
      <c r="BK8" s="343"/>
    </row>
    <row r="9">
      <c r="A9" s="5" t="s">
        <v>387</v>
      </c>
      <c r="B9" s="5" t="s">
        <v>294</v>
      </c>
      <c r="C9" s="5">
        <v>8.0</v>
      </c>
      <c r="D9" s="5">
        <v>2.0</v>
      </c>
      <c r="E9" t="str">
        <f t="array" ref="E9:G9">RacialSaves</f>
        <v/>
      </c>
      <c r="H9" t="str">
        <f t="array" ref="H9:BJ9">RacialSkills</f>
        <v/>
      </c>
      <c r="BK9" s="343"/>
    </row>
    <row r="10">
      <c r="A10" s="5" t="s">
        <v>388</v>
      </c>
      <c r="B10" s="5" t="s">
        <v>299</v>
      </c>
      <c r="C10" s="5">
        <v>10.0</v>
      </c>
      <c r="D10" s="5">
        <v>2.0</v>
      </c>
      <c r="E10" t="str">
        <f t="array" ref="E10:G10">RacialSaves</f>
        <v/>
      </c>
      <c r="H10" t="str">
        <f t="array" ref="H10:BJ10">RacialSkills</f>
        <v/>
      </c>
      <c r="BK10" s="343"/>
    </row>
    <row r="11">
      <c r="A11" s="5" t="s">
        <v>389</v>
      </c>
      <c r="B11" s="5" t="s">
        <v>299</v>
      </c>
      <c r="C11" s="5">
        <v>8.0</v>
      </c>
      <c r="D11" s="5">
        <v>2.0</v>
      </c>
      <c r="E11" t="str">
        <f t="array" ref="E11:G11">RacialSaves</f>
        <v/>
      </c>
      <c r="H11" t="str">
        <f t="array" ref="H11:BJ11">RacialSkills</f>
        <v/>
      </c>
      <c r="I11" s="364"/>
      <c r="K11" s="136"/>
      <c r="M11" s="364"/>
      <c r="Y11" s="136"/>
      <c r="Z11" s="364"/>
      <c r="AI11" s="364"/>
      <c r="AL11" s="364"/>
      <c r="AM11" s="364"/>
      <c r="AP11" s="136"/>
      <c r="AQ11" s="364"/>
      <c r="AR11" s="136"/>
      <c r="AV11" s="364"/>
      <c r="BD11" s="136"/>
      <c r="BI11" s="364"/>
      <c r="BK11" s="343"/>
    </row>
    <row r="12">
      <c r="A12" s="5" t="s">
        <v>390</v>
      </c>
      <c r="B12" s="5" t="s">
        <v>294</v>
      </c>
      <c r="C12" s="5">
        <v>10.0</v>
      </c>
      <c r="D12" s="5">
        <v>2.0</v>
      </c>
      <c r="E12" t="str">
        <f t="array" ref="E12:G12">RacialSaves</f>
        <v/>
      </c>
      <c r="H12" t="str">
        <f t="array" ref="H12:BJ12">RacialSkills</f>
        <v/>
      </c>
      <c r="BK12" s="343"/>
    </row>
    <row r="13">
      <c r="A13" s="5" t="s">
        <v>391</v>
      </c>
      <c r="B13" s="5" t="s">
        <v>299</v>
      </c>
      <c r="C13" s="5">
        <v>8.0</v>
      </c>
      <c r="D13" s="5">
        <v>8.0</v>
      </c>
      <c r="E13" t="str">
        <f t="array" ref="E13:G13">RacialSaves</f>
        <v/>
      </c>
      <c r="H13" t="str">
        <f t="array" ref="H13:BJ13">RacialSkills</f>
        <v/>
      </c>
      <c r="BK13" s="343"/>
    </row>
    <row r="14">
      <c r="A14" s="5" t="s">
        <v>392</v>
      </c>
      <c r="B14" s="5" t="s">
        <v>294</v>
      </c>
      <c r="C14" s="5">
        <v>8.0</v>
      </c>
      <c r="D14" s="5">
        <v>2.0</v>
      </c>
      <c r="E14" t="str">
        <f t="array" ref="E14:G14">RacialSaves</f>
        <v/>
      </c>
      <c r="H14" t="str">
        <f t="array" ref="H14:BJ14">RacialSkills</f>
        <v/>
      </c>
      <c r="BK14" s="343"/>
    </row>
    <row r="15">
      <c r="A15" s="5" t="s">
        <v>393</v>
      </c>
      <c r="B15" s="5" t="s">
        <v>289</v>
      </c>
      <c r="C15" s="5">
        <v>12.0</v>
      </c>
      <c r="D15" s="5">
        <v>4.0</v>
      </c>
      <c r="E15" t="str">
        <f t="array" ref="E15:G15">RacialSaves</f>
        <v/>
      </c>
      <c r="H15" t="str">
        <f t="array" ref="H15:BJ15">RacialSkills</f>
        <v/>
      </c>
      <c r="BK15" s="343"/>
    </row>
    <row r="16">
      <c r="A16" s="49" t="s">
        <v>394</v>
      </c>
      <c r="B16" s="49" t="s">
        <v>294</v>
      </c>
      <c r="C16" s="49">
        <v>8.0</v>
      </c>
      <c r="D16" s="49">
        <v>2.0</v>
      </c>
      <c r="E16" s="45" t="str">
        <f t="array" ref="E16:G16">RacialSaves</f>
        <v/>
      </c>
      <c r="F16" s="45"/>
      <c r="G16" s="45"/>
      <c r="H16" s="45" t="str">
        <f t="array" ref="H16:BJ16">RacialSkills</f>
        <v/>
      </c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365"/>
      <c r="BL16" s="45"/>
      <c r="BM16" s="45"/>
      <c r="BN16" s="45"/>
      <c r="BO16" s="45"/>
      <c r="BP16" s="45"/>
      <c r="BQ16" s="45"/>
      <c r="BR16" s="45"/>
      <c r="BS16" s="45"/>
      <c r="BT16" s="45"/>
    </row>
    <row r="17">
      <c r="A17" s="366" t="s">
        <v>395</v>
      </c>
      <c r="B17" s="362" t="s">
        <v>299</v>
      </c>
      <c r="C17" s="362">
        <f>IF('Generic Warrior'!B2="Combat Training",12,10)</f>
        <v>10</v>
      </c>
      <c r="D17" s="362">
        <v>4.0</v>
      </c>
      <c r="E17" s="362" t="str">
        <f>IF('Generic Warrior'!$D$1="Fortitude","Good","Poor")</f>
        <v>Good</v>
      </c>
      <c r="F17" s="362" t="str">
        <f>IF('Generic Warrior'!$D$1="Reflex","Good","Poor")</f>
        <v>Poor</v>
      </c>
      <c r="G17" s="362" t="str">
        <f>IF('Generic Warrior'!$D$1="Will","Good","Poor")</f>
        <v>Poor</v>
      </c>
      <c r="H17" s="28" t="str">
        <f t="array" ref="H17:BT17">IF(COUNTIF('Generic Warrior'!B24:B30,TRANSPOSE(Skills!$A$3:$A$67))&gt;0,"✓",H47:BT47)</f>
        <v/>
      </c>
      <c r="I17" s="367"/>
      <c r="J17" s="368"/>
      <c r="K17" s="368"/>
      <c r="L17" s="368"/>
      <c r="M17" s="367"/>
      <c r="N17" s="28"/>
      <c r="O17" s="368" t="s">
        <v>300</v>
      </c>
      <c r="P17" s="28"/>
      <c r="Q17" s="28"/>
      <c r="R17" s="368"/>
      <c r="S17" s="28"/>
      <c r="T17" s="368"/>
      <c r="U17" s="28"/>
      <c r="V17" s="368"/>
      <c r="W17" s="28"/>
      <c r="X17" s="28"/>
      <c r="Y17" s="368"/>
      <c r="Z17" s="367"/>
      <c r="AA17" s="28"/>
      <c r="AB17" s="368"/>
      <c r="AC17" s="368"/>
      <c r="AD17" s="368"/>
      <c r="AE17" s="368"/>
      <c r="AF17" s="368"/>
      <c r="AG17" s="368"/>
      <c r="AH17" s="368"/>
      <c r="AI17" s="367"/>
      <c r="AJ17" s="368"/>
      <c r="AK17" s="368"/>
      <c r="AL17" s="367"/>
      <c r="AM17" s="367"/>
      <c r="AN17" s="368"/>
      <c r="AO17" s="368"/>
      <c r="AP17" s="368"/>
      <c r="AQ17" s="367"/>
      <c r="AR17" s="368"/>
      <c r="AS17" s="368"/>
      <c r="AT17" s="28"/>
      <c r="AU17" s="28"/>
      <c r="AV17" s="367"/>
      <c r="AW17" s="28"/>
      <c r="AX17" s="368"/>
      <c r="AY17" s="28"/>
      <c r="AZ17" s="368"/>
      <c r="BA17" s="368"/>
      <c r="BB17" s="28"/>
      <c r="BC17" s="368"/>
      <c r="BD17" s="368"/>
      <c r="BE17" s="28"/>
      <c r="BF17" s="28"/>
      <c r="BG17" s="368"/>
      <c r="BH17" s="28"/>
      <c r="BI17" s="367"/>
      <c r="BJ17" s="28"/>
      <c r="BK17" s="363"/>
      <c r="BL17" s="28"/>
      <c r="BM17" s="28"/>
      <c r="BN17" s="28"/>
      <c r="BO17" s="28"/>
      <c r="BP17" s="28"/>
      <c r="BQ17" s="28"/>
      <c r="BR17" s="28"/>
      <c r="BS17" s="28"/>
      <c r="BT17" s="160"/>
    </row>
    <row r="18">
      <c r="A18" s="369" t="s">
        <v>398</v>
      </c>
      <c r="B18" s="5" t="str">
        <f>IF('Generic Expert'!B2="Combat Training","Full","Good")</f>
        <v>Good</v>
      </c>
      <c r="C18" s="5">
        <f>IF('Generic Expert'!B2="Combat Training",8,6)</f>
        <v>6</v>
      </c>
      <c r="D18" s="5">
        <v>8.0</v>
      </c>
      <c r="E18" s="5" t="str">
        <f>IF(OR('Generic Expert'!$D$1="Fortitude",'Generic Expert'!$E$1="Fortitude"),"Good","Poor")</f>
        <v>Poor</v>
      </c>
      <c r="F18" s="5" t="str">
        <f>IF(OR('Generic Expert'!$D$1="Reflex",'Generic Expert'!$E$1="Reflex"),"Good","Poor")</f>
        <v>Good</v>
      </c>
      <c r="G18" s="5" t="str">
        <f>IF(OR('Generic Expert'!$D$1="Will",'Generic Expert'!$E$1="Will"),"Good","Poor")</f>
        <v>Good</v>
      </c>
      <c r="H18" t="str">
        <f t="array" ref="H18:BT18">IF(COUNTIF('Generic Expert'!B24:B37,TRANSPOSE(Skills!$A$3:$A$67))&gt;0,"✓",H47:BT47)</f>
        <v/>
      </c>
      <c r="I18" s="364"/>
      <c r="J18" s="136"/>
      <c r="L18" s="136"/>
      <c r="M18" s="364"/>
      <c r="O18" s="136" t="s">
        <v>300</v>
      </c>
      <c r="R18" s="136"/>
      <c r="T18" s="136"/>
      <c r="Y18" s="136"/>
      <c r="Z18" s="364"/>
      <c r="AB18" s="136"/>
      <c r="AC18" s="136"/>
      <c r="AD18" s="136"/>
      <c r="AE18" s="136"/>
      <c r="AF18" s="136"/>
      <c r="AG18" s="136"/>
      <c r="AH18" s="136"/>
      <c r="AI18" s="364"/>
      <c r="AJ18" s="136"/>
      <c r="AK18" s="136"/>
      <c r="AL18" s="364"/>
      <c r="AM18" s="364"/>
      <c r="AN18" s="136"/>
      <c r="AO18" s="136"/>
      <c r="AP18" s="136"/>
      <c r="AQ18" s="364"/>
      <c r="AR18" s="136"/>
      <c r="AS18" s="136"/>
      <c r="AU18" s="136" t="s">
        <v>300</v>
      </c>
      <c r="AV18" s="364"/>
      <c r="AX18" s="136"/>
      <c r="AZ18" s="136"/>
      <c r="BA18" s="136"/>
      <c r="BC18" s="136"/>
      <c r="BD18" s="136"/>
      <c r="BG18" s="136"/>
      <c r="BI18" s="364"/>
      <c r="BK18" s="343"/>
      <c r="BT18" s="92"/>
    </row>
    <row r="19">
      <c r="A19" s="374" t="s">
        <v>399</v>
      </c>
      <c r="B19" s="45" t="str">
        <f>IF('Generic SpellCaster'!B2="Combat Training","Good","Poor")</f>
        <v>Poor</v>
      </c>
      <c r="C19" s="45">
        <f>IF('Generic SpellCaster'!B2="Combat Training",6,4)</f>
        <v>4</v>
      </c>
      <c r="D19" s="49">
        <v>2.0</v>
      </c>
      <c r="E19" s="49" t="str">
        <f>IF('Generic SpellCaster'!$D$1="Fortitude","Good","Poor")</f>
        <v>Poor</v>
      </c>
      <c r="F19" s="49" t="str">
        <f>IF('Generic SpellCaster'!$D$1="Reflex","Good","Poor")</f>
        <v>Poor</v>
      </c>
      <c r="G19" s="49" t="str">
        <f>IF('Generic SpellCaster'!$D$1="Will","Good","Poor")</f>
        <v>Good</v>
      </c>
      <c r="H19" s="45" t="str">
        <f t="array" ref="H19:BT19">IF(COUNTIF(#REF!,TRANSPOSE(Skills!$A$3:$A$67))&gt;0,"✓",H48:BT48)</f>
        <v/>
      </c>
      <c r="I19" s="377" t="s">
        <v>219</v>
      </c>
      <c r="J19" s="45" t="s">
        <v>300</v>
      </c>
      <c r="K19" s="45"/>
      <c r="L19" s="45" t="s">
        <v>300</v>
      </c>
      <c r="M19" s="377" t="s">
        <v>219</v>
      </c>
      <c r="N19" s="45" t="s">
        <v>300</v>
      </c>
      <c r="O19" s="380" t="s">
        <v>300</v>
      </c>
      <c r="P19" s="45"/>
      <c r="Q19" s="45"/>
      <c r="R19" s="45"/>
      <c r="S19" s="45" t="s">
        <v>300</v>
      </c>
      <c r="T19" s="45" t="s">
        <v>300</v>
      </c>
      <c r="U19" s="45"/>
      <c r="V19" s="45"/>
      <c r="W19" s="45"/>
      <c r="X19" s="45"/>
      <c r="Y19" s="45"/>
      <c r="Z19" s="377" t="s">
        <v>219</v>
      </c>
      <c r="AA19" s="45"/>
      <c r="AB19" s="45" t="s">
        <v>300</v>
      </c>
      <c r="AC19" s="380"/>
      <c r="AD19" s="380"/>
      <c r="AE19" s="380"/>
      <c r="AF19" s="380"/>
      <c r="AG19" s="380"/>
      <c r="AH19" s="380"/>
      <c r="AI19" s="377" t="s">
        <v>219</v>
      </c>
      <c r="AJ19" s="380"/>
      <c r="AK19" s="380"/>
      <c r="AL19" s="377"/>
      <c r="AM19" s="377" t="s">
        <v>219</v>
      </c>
      <c r="AN19" s="380"/>
      <c r="AO19" s="380"/>
      <c r="AP19" s="380"/>
      <c r="AQ19" s="377" t="s">
        <v>219</v>
      </c>
      <c r="AR19" s="380"/>
      <c r="AS19" s="45"/>
      <c r="AT19" s="45"/>
      <c r="AU19" s="380"/>
      <c r="AV19" s="377" t="s">
        <v>219</v>
      </c>
      <c r="AW19" s="45"/>
      <c r="AX19" s="45"/>
      <c r="AY19" s="45"/>
      <c r="AZ19" s="45"/>
      <c r="BA19" s="45"/>
      <c r="BB19" s="45"/>
      <c r="BC19" s="45"/>
      <c r="BD19" s="45"/>
      <c r="BE19" s="45"/>
      <c r="BF19" s="45" t="s">
        <v>300</v>
      </c>
      <c r="BG19" s="45"/>
      <c r="BH19" s="45"/>
      <c r="BI19" s="377" t="s">
        <v>219</v>
      </c>
      <c r="BJ19" s="45"/>
      <c r="BK19" s="365"/>
      <c r="BL19" s="45"/>
      <c r="BM19" s="45"/>
      <c r="BN19" s="45"/>
      <c r="BO19" s="45"/>
      <c r="BP19" s="45"/>
      <c r="BQ19" s="45"/>
      <c r="BR19" s="45"/>
      <c r="BS19" s="45"/>
      <c r="BT19" s="162"/>
    </row>
    <row r="20">
      <c r="A20" s="5"/>
      <c r="D20" s="5"/>
      <c r="E20" s="5"/>
      <c r="F20" s="5"/>
      <c r="G20" s="5"/>
      <c r="I20" s="364"/>
      <c r="M20" s="364"/>
      <c r="O20" s="136"/>
      <c r="Z20" s="364"/>
      <c r="AC20" s="136"/>
      <c r="AD20" s="136"/>
      <c r="AE20" s="136"/>
      <c r="AF20" s="136"/>
      <c r="AG20" s="136"/>
      <c r="AH20" s="136"/>
      <c r="AI20" s="364"/>
      <c r="AJ20" s="136"/>
      <c r="AK20" s="136"/>
      <c r="AL20" s="364"/>
      <c r="AM20" s="364"/>
      <c r="AN20" s="136"/>
      <c r="AO20" s="136"/>
      <c r="AP20" s="136"/>
      <c r="AQ20" s="364"/>
      <c r="AR20" s="136"/>
      <c r="AU20" s="136"/>
      <c r="AV20" s="364"/>
      <c r="BI20" s="364"/>
      <c r="BK20" s="343"/>
    </row>
    <row r="21">
      <c r="A21" s="5"/>
      <c r="D21" s="5"/>
      <c r="E21" s="5"/>
      <c r="F21" s="5"/>
      <c r="G21" s="5"/>
      <c r="I21" s="364"/>
      <c r="M21" s="364"/>
      <c r="O21" s="136"/>
      <c r="Z21" s="364"/>
      <c r="AC21" s="136"/>
      <c r="AD21" s="136"/>
      <c r="AE21" s="136"/>
      <c r="AF21" s="136"/>
      <c r="AG21" s="136"/>
      <c r="AH21" s="136"/>
      <c r="AI21" s="364"/>
      <c r="AJ21" s="136"/>
      <c r="AK21" s="136"/>
      <c r="AL21" s="364"/>
      <c r="AM21" s="364"/>
      <c r="AN21" s="136"/>
      <c r="AO21" s="136"/>
      <c r="AP21" s="136"/>
      <c r="AQ21" s="364"/>
      <c r="AR21" s="136"/>
      <c r="AU21" s="136"/>
      <c r="AV21" s="364"/>
      <c r="BI21" s="364"/>
      <c r="BK21" s="343"/>
    </row>
    <row r="22">
      <c r="A22" s="5"/>
      <c r="D22" s="5"/>
      <c r="E22" s="5"/>
      <c r="F22" s="5"/>
      <c r="G22" s="5"/>
      <c r="I22" s="364"/>
      <c r="M22" s="364"/>
      <c r="O22" s="136"/>
      <c r="Z22" s="364"/>
      <c r="AC22" s="136"/>
      <c r="AD22" s="136"/>
      <c r="AE22" s="136"/>
      <c r="AF22" s="136"/>
      <c r="AG22" s="136"/>
      <c r="AH22" s="136"/>
      <c r="AI22" s="364"/>
      <c r="AJ22" s="136"/>
      <c r="AK22" s="136"/>
      <c r="AL22" s="364"/>
      <c r="AM22" s="364"/>
      <c r="AN22" s="136"/>
      <c r="AO22" s="136"/>
      <c r="AP22" s="136"/>
      <c r="AQ22" s="364"/>
      <c r="AR22" s="136"/>
      <c r="AU22" s="136"/>
      <c r="AV22" s="364"/>
      <c r="BI22" s="364"/>
      <c r="BK22" s="343"/>
    </row>
    <row r="23">
      <c r="A23" s="5"/>
      <c r="D23" s="5"/>
      <c r="E23" s="5"/>
      <c r="F23" s="5"/>
      <c r="G23" s="5"/>
      <c r="I23" s="364"/>
      <c r="M23" s="364"/>
      <c r="O23" s="136"/>
      <c r="Z23" s="364"/>
      <c r="AC23" s="136"/>
      <c r="AD23" s="136"/>
      <c r="AE23" s="136"/>
      <c r="AF23" s="136"/>
      <c r="AG23" s="136"/>
      <c r="AH23" s="136"/>
      <c r="AI23" s="364"/>
      <c r="AJ23" s="136"/>
      <c r="AK23" s="136"/>
      <c r="AL23" s="364"/>
      <c r="AM23" s="364"/>
      <c r="AN23" s="136"/>
      <c r="AO23" s="136"/>
      <c r="AP23" s="136"/>
      <c r="AQ23" s="364"/>
      <c r="AR23" s="136"/>
      <c r="AU23" s="136"/>
      <c r="AV23" s="364"/>
      <c r="BI23" s="364"/>
      <c r="BK23" s="343"/>
    </row>
    <row r="24">
      <c r="A24" s="5"/>
      <c r="D24" s="5"/>
      <c r="E24" s="5"/>
      <c r="F24" s="5"/>
      <c r="G24" s="5"/>
      <c r="I24" s="364"/>
      <c r="M24" s="364"/>
      <c r="O24" s="136"/>
      <c r="Z24" s="364"/>
      <c r="AC24" s="136"/>
      <c r="AD24" s="136"/>
      <c r="AE24" s="136"/>
      <c r="AF24" s="136"/>
      <c r="AG24" s="136"/>
      <c r="AH24" s="136"/>
      <c r="AI24" s="364"/>
      <c r="AJ24" s="136"/>
      <c r="AK24" s="136"/>
      <c r="AL24" s="364"/>
      <c r="AM24" s="364"/>
      <c r="AN24" s="136"/>
      <c r="AO24" s="136"/>
      <c r="AP24" s="136"/>
      <c r="AQ24" s="364"/>
      <c r="AR24" s="136"/>
      <c r="AU24" s="136"/>
      <c r="AV24" s="364"/>
      <c r="BI24" s="364"/>
      <c r="BK24" s="343"/>
    </row>
    <row r="25">
      <c r="A25" s="368" t="str">
        <f>IFERROR(__xludf.DUMMYFUNCTION("IMPORTRANGE(""18kC9h_Rcxb2V2aPxnimdrBEZlJtQCRHJRCl72z3pJT4"",""Classes!A2:BT"")"),"Barbarian")</f>
        <v>Barbarian</v>
      </c>
      <c r="B25" s="368" t="s">
        <v>299</v>
      </c>
      <c r="C25" s="368">
        <v>12.0</v>
      </c>
      <c r="D25" s="368">
        <v>4.0</v>
      </c>
      <c r="E25" s="368" t="s">
        <v>294</v>
      </c>
      <c r="F25" s="368" t="s">
        <v>289</v>
      </c>
      <c r="G25" s="368" t="s">
        <v>289</v>
      </c>
      <c r="H25" s="28"/>
      <c r="I25" s="364" t="s">
        <v>219</v>
      </c>
      <c r="J25" s="28"/>
      <c r="K25" s="28"/>
      <c r="L25" s="364" t="s">
        <v>300</v>
      </c>
      <c r="M25" s="364" t="s">
        <v>219</v>
      </c>
      <c r="N25" s="28"/>
      <c r="O25" s="364" t="s">
        <v>300</v>
      </c>
      <c r="P25" s="28"/>
      <c r="Q25" s="28"/>
      <c r="R25" s="28"/>
      <c r="S25" s="28"/>
      <c r="T25" s="28"/>
      <c r="U25" s="28"/>
      <c r="V25" s="28"/>
      <c r="W25" s="364" t="s">
        <v>300</v>
      </c>
      <c r="X25" s="28"/>
      <c r="Y25" s="28"/>
      <c r="Z25" s="364" t="s">
        <v>219</v>
      </c>
      <c r="AA25" s="364" t="s">
        <v>300</v>
      </c>
      <c r="AB25" s="364" t="s">
        <v>300</v>
      </c>
      <c r="AC25" s="28"/>
      <c r="AD25" s="28"/>
      <c r="AE25" s="28"/>
      <c r="AF25" s="28"/>
      <c r="AG25" s="28"/>
      <c r="AH25" s="28"/>
      <c r="AI25" s="364" t="s">
        <v>219</v>
      </c>
      <c r="AJ25" s="28"/>
      <c r="AK25" s="28"/>
      <c r="AL25" s="364"/>
      <c r="AM25" s="364" t="s">
        <v>219</v>
      </c>
      <c r="AN25" s="28"/>
      <c r="AO25" s="28"/>
      <c r="AP25" s="364" t="s">
        <v>300</v>
      </c>
      <c r="AQ25" s="364" t="s">
        <v>219</v>
      </c>
      <c r="AR25" s="28"/>
      <c r="AS25" s="28"/>
      <c r="AT25" s="28"/>
      <c r="AU25" s="28"/>
      <c r="AV25" s="364" t="s">
        <v>219</v>
      </c>
      <c r="AW25" s="364" t="s">
        <v>300</v>
      </c>
      <c r="AX25" s="28"/>
      <c r="AY25" s="28"/>
      <c r="AZ25" s="28"/>
      <c r="BA25" s="28"/>
      <c r="BB25" s="28"/>
      <c r="BC25" s="28"/>
      <c r="BD25" s="28"/>
      <c r="BE25" s="364" t="s">
        <v>300</v>
      </c>
      <c r="BF25" s="364" t="s">
        <v>300</v>
      </c>
      <c r="BG25" s="28"/>
      <c r="BH25" s="28"/>
      <c r="BI25" s="364" t="s">
        <v>219</v>
      </c>
      <c r="BJ25" s="28"/>
      <c r="BK25" s="363"/>
      <c r="BL25" s="28"/>
      <c r="BM25" s="28"/>
    </row>
    <row r="26">
      <c r="A26" s="136" t="s">
        <v>400</v>
      </c>
      <c r="B26" s="136" t="s">
        <v>294</v>
      </c>
      <c r="C26" s="136">
        <v>6.0</v>
      </c>
      <c r="D26" s="136">
        <v>6.0</v>
      </c>
      <c r="E26" s="136" t="s">
        <v>289</v>
      </c>
      <c r="F26" s="136" t="s">
        <v>294</v>
      </c>
      <c r="G26" s="136" t="s">
        <v>294</v>
      </c>
      <c r="H26" s="364" t="s">
        <v>300</v>
      </c>
      <c r="I26" s="364" t="s">
        <v>219</v>
      </c>
      <c r="J26" s="364" t="s">
        <v>300</v>
      </c>
      <c r="K26" s="364" t="s">
        <v>300</v>
      </c>
      <c r="L26" s="364" t="s">
        <v>300</v>
      </c>
      <c r="M26" s="364" t="s">
        <v>219</v>
      </c>
      <c r="N26" s="364" t="s">
        <v>300</v>
      </c>
      <c r="O26" s="364" t="s">
        <v>300</v>
      </c>
      <c r="P26" s="364" t="s">
        <v>300</v>
      </c>
      <c r="Q26" s="364" t="s">
        <v>300</v>
      </c>
      <c r="S26" s="364" t="s">
        <v>300</v>
      </c>
      <c r="T26" s="364" t="s">
        <v>300</v>
      </c>
      <c r="V26" s="364" t="s">
        <v>300</v>
      </c>
      <c r="Y26" s="364" t="s">
        <v>300</v>
      </c>
      <c r="Z26" s="364" t="s">
        <v>219</v>
      </c>
      <c r="AB26" s="364" t="s">
        <v>300</v>
      </c>
      <c r="AC26" s="364" t="s">
        <v>300</v>
      </c>
      <c r="AD26" s="364" t="s">
        <v>300</v>
      </c>
      <c r="AE26" s="364" t="s">
        <v>300</v>
      </c>
      <c r="AF26" s="364" t="s">
        <v>300</v>
      </c>
      <c r="AG26" s="364" t="s">
        <v>300</v>
      </c>
      <c r="AH26" s="364" t="s">
        <v>300</v>
      </c>
      <c r="AI26" s="364" t="s">
        <v>219</v>
      </c>
      <c r="AJ26" s="364" t="s">
        <v>300</v>
      </c>
      <c r="AK26" s="364" t="s">
        <v>300</v>
      </c>
      <c r="AL26" s="364" t="s">
        <v>300</v>
      </c>
      <c r="AM26" s="364" t="s">
        <v>219</v>
      </c>
      <c r="AN26" s="364" t="s">
        <v>300</v>
      </c>
      <c r="AO26" s="364" t="s">
        <v>300</v>
      </c>
      <c r="AP26" s="364" t="s">
        <v>300</v>
      </c>
      <c r="AQ26" s="364" t="s">
        <v>219</v>
      </c>
      <c r="AR26" s="364" t="s">
        <v>300</v>
      </c>
      <c r="AT26" s="364" t="s">
        <v>300</v>
      </c>
      <c r="AU26" s="364" t="s">
        <v>300</v>
      </c>
      <c r="AV26" s="364" t="s">
        <v>219</v>
      </c>
      <c r="AY26" s="364" t="s">
        <v>300</v>
      </c>
      <c r="BA26" s="364" t="s">
        <v>300</v>
      </c>
      <c r="BB26" s="364" t="s">
        <v>300</v>
      </c>
      <c r="BC26" s="364" t="s">
        <v>300</v>
      </c>
      <c r="BF26" s="364" t="s">
        <v>300</v>
      </c>
      <c r="BG26" s="364" t="s">
        <v>300</v>
      </c>
      <c r="BH26" s="364" t="s">
        <v>300</v>
      </c>
      <c r="BI26" s="364" t="s">
        <v>219</v>
      </c>
      <c r="BK26" s="343"/>
    </row>
    <row r="27">
      <c r="A27" s="136" t="s">
        <v>401</v>
      </c>
      <c r="B27" s="136" t="s">
        <v>294</v>
      </c>
      <c r="C27" s="136">
        <v>8.0</v>
      </c>
      <c r="D27" s="136">
        <v>2.0</v>
      </c>
      <c r="E27" s="136" t="s">
        <v>294</v>
      </c>
      <c r="F27" s="136" t="s">
        <v>289</v>
      </c>
      <c r="G27" s="136" t="s">
        <v>294</v>
      </c>
      <c r="I27" s="364" t="s">
        <v>219</v>
      </c>
      <c r="M27" s="364" t="s">
        <v>219</v>
      </c>
      <c r="N27" s="364" t="s">
        <v>300</v>
      </c>
      <c r="O27" s="364" t="s">
        <v>300</v>
      </c>
      <c r="Q27" s="364" t="s">
        <v>300</v>
      </c>
      <c r="X27" s="364" t="s">
        <v>300</v>
      </c>
      <c r="Z27" s="364" t="s">
        <v>219</v>
      </c>
      <c r="AC27" s="364" t="s">
        <v>300</v>
      </c>
      <c r="AG27" s="364" t="s">
        <v>300</v>
      </c>
      <c r="AI27" s="364" t="s">
        <v>219</v>
      </c>
      <c r="AL27" s="364"/>
      <c r="AM27" s="364" t="s">
        <v>219</v>
      </c>
      <c r="AN27" s="364" t="s">
        <v>300</v>
      </c>
      <c r="AO27" s="364" t="s">
        <v>300</v>
      </c>
      <c r="AQ27" s="364" t="s">
        <v>219</v>
      </c>
      <c r="AU27" s="364" t="s">
        <v>300</v>
      </c>
      <c r="AV27" s="364" t="s">
        <v>219</v>
      </c>
      <c r="BC27" s="364" t="s">
        <v>300</v>
      </c>
      <c r="BI27" s="364" t="s">
        <v>219</v>
      </c>
      <c r="BK27" s="343"/>
    </row>
    <row r="28">
      <c r="A28" s="136" t="s">
        <v>402</v>
      </c>
      <c r="B28" s="136" t="s">
        <v>294</v>
      </c>
      <c r="C28" s="136">
        <v>8.0</v>
      </c>
      <c r="D28" s="136">
        <v>4.0</v>
      </c>
      <c r="E28" s="136" t="s">
        <v>294</v>
      </c>
      <c r="F28" s="136" t="s">
        <v>289</v>
      </c>
      <c r="G28" s="136" t="s">
        <v>294</v>
      </c>
      <c r="I28" s="364" t="s">
        <v>219</v>
      </c>
      <c r="M28" s="364" t="s">
        <v>219</v>
      </c>
      <c r="N28" s="364" t="s">
        <v>300</v>
      </c>
      <c r="O28" s="364" t="s">
        <v>300</v>
      </c>
      <c r="Q28" s="364" t="s">
        <v>300</v>
      </c>
      <c r="W28" s="364" t="s">
        <v>300</v>
      </c>
      <c r="X28" s="364" t="s">
        <v>300</v>
      </c>
      <c r="Z28" s="364" t="s">
        <v>219</v>
      </c>
      <c r="AI28" s="364" t="s">
        <v>219</v>
      </c>
      <c r="AJ28" s="364" t="s">
        <v>300</v>
      </c>
      <c r="AL28" s="364"/>
      <c r="AM28" s="364" t="s">
        <v>219</v>
      </c>
      <c r="AP28" s="364" t="s">
        <v>300</v>
      </c>
      <c r="AQ28" s="364" t="s">
        <v>219</v>
      </c>
      <c r="AU28" s="364" t="s">
        <v>300</v>
      </c>
      <c r="AV28" s="364" t="s">
        <v>219</v>
      </c>
      <c r="AW28" s="364" t="s">
        <v>300</v>
      </c>
      <c r="BC28" s="364" t="s">
        <v>300</v>
      </c>
      <c r="BD28" s="364" t="s">
        <v>300</v>
      </c>
      <c r="BE28" s="364" t="s">
        <v>300</v>
      </c>
      <c r="BF28" s="364" t="s">
        <v>300</v>
      </c>
      <c r="BI28" s="364" t="s">
        <v>219</v>
      </c>
      <c r="BK28" s="343"/>
    </row>
    <row r="29">
      <c r="A29" s="136" t="s">
        <v>203</v>
      </c>
      <c r="B29" s="136" t="s">
        <v>299</v>
      </c>
      <c r="C29" s="136">
        <v>10.0</v>
      </c>
      <c r="D29" s="136">
        <v>2.0</v>
      </c>
      <c r="E29" s="136" t="s">
        <v>294</v>
      </c>
      <c r="F29" s="136" t="s">
        <v>289</v>
      </c>
      <c r="G29" s="136" t="s">
        <v>289</v>
      </c>
      <c r="I29" s="364" t="s">
        <v>219</v>
      </c>
      <c r="L29" s="364" t="s">
        <v>300</v>
      </c>
      <c r="M29" s="364" t="s">
        <v>219</v>
      </c>
      <c r="O29" s="364" t="s">
        <v>300</v>
      </c>
      <c r="W29" s="364" t="s">
        <v>300</v>
      </c>
      <c r="Z29" s="364" t="s">
        <v>219</v>
      </c>
      <c r="AA29" s="364" t="s">
        <v>300</v>
      </c>
      <c r="AB29" s="364" t="s">
        <v>300</v>
      </c>
      <c r="AI29" s="364" t="s">
        <v>219</v>
      </c>
      <c r="AL29" s="364"/>
      <c r="AM29" s="364" t="s">
        <v>219</v>
      </c>
      <c r="AQ29" s="364" t="s">
        <v>219</v>
      </c>
      <c r="AV29" s="364" t="s">
        <v>219</v>
      </c>
      <c r="AW29" s="364" t="s">
        <v>300</v>
      </c>
      <c r="BF29" s="364" t="s">
        <v>300</v>
      </c>
      <c r="BI29" s="364" t="s">
        <v>219</v>
      </c>
      <c r="BK29" s="343"/>
    </row>
    <row r="30">
      <c r="A30" s="136" t="s">
        <v>403</v>
      </c>
      <c r="B30" s="136" t="s">
        <v>294</v>
      </c>
      <c r="C30" s="136">
        <v>8.0</v>
      </c>
      <c r="D30" s="136">
        <v>4.0</v>
      </c>
      <c r="E30" s="136" t="s">
        <v>294</v>
      </c>
      <c r="F30" s="136" t="s">
        <v>294</v>
      </c>
      <c r="G30" s="136" t="s">
        <v>294</v>
      </c>
      <c r="I30" s="364" t="s">
        <v>219</v>
      </c>
      <c r="J30" s="364" t="s">
        <v>300</v>
      </c>
      <c r="L30" s="364" t="s">
        <v>300</v>
      </c>
      <c r="M30" s="364" t="s">
        <v>219</v>
      </c>
      <c r="N30" s="364" t="s">
        <v>300</v>
      </c>
      <c r="O30" s="364" t="s">
        <v>300</v>
      </c>
      <c r="Q30" s="364" t="s">
        <v>300</v>
      </c>
      <c r="T30" s="364" t="s">
        <v>300</v>
      </c>
      <c r="Y30" s="364" t="s">
        <v>300</v>
      </c>
      <c r="Z30" s="364" t="s">
        <v>219</v>
      </c>
      <c r="AA30" s="364" t="s">
        <v>300</v>
      </c>
      <c r="AC30" s="364" t="s">
        <v>300</v>
      </c>
      <c r="AI30" s="364" t="s">
        <v>219</v>
      </c>
      <c r="AL30" s="364"/>
      <c r="AM30" s="364" t="s">
        <v>219</v>
      </c>
      <c r="AN30" s="364" t="s">
        <v>300</v>
      </c>
      <c r="AP30" s="364" t="s">
        <v>300</v>
      </c>
      <c r="AQ30" s="364" t="s">
        <v>219</v>
      </c>
      <c r="AR30" s="364" t="s">
        <v>300</v>
      </c>
      <c r="AT30" s="364" t="s">
        <v>300</v>
      </c>
      <c r="AU30" s="364" t="s">
        <v>300</v>
      </c>
      <c r="AV30" s="364" t="s">
        <v>219</v>
      </c>
      <c r="AY30" s="364" t="s">
        <v>300</v>
      </c>
      <c r="BD30" s="364" t="s">
        <v>300</v>
      </c>
      <c r="BE30" s="364"/>
      <c r="BF30" s="364" t="s">
        <v>300</v>
      </c>
      <c r="BG30" s="364" t="s">
        <v>300</v>
      </c>
      <c r="BI30" s="364" t="s">
        <v>219</v>
      </c>
      <c r="BK30" s="343"/>
    </row>
    <row r="31">
      <c r="A31" s="136" t="s">
        <v>404</v>
      </c>
      <c r="B31" s="136" t="s">
        <v>299</v>
      </c>
      <c r="C31" s="136">
        <v>10.0</v>
      </c>
      <c r="D31" s="136">
        <v>2.0</v>
      </c>
      <c r="E31" s="136" t="s">
        <v>294</v>
      </c>
      <c r="F31" s="136" t="s">
        <v>289</v>
      </c>
      <c r="G31" s="136" t="s">
        <v>289</v>
      </c>
      <c r="I31" s="364" t="s">
        <v>219</v>
      </c>
      <c r="M31" s="364" t="s">
        <v>219</v>
      </c>
      <c r="N31" s="364" t="s">
        <v>300</v>
      </c>
      <c r="O31" s="364" t="s">
        <v>300</v>
      </c>
      <c r="Q31" s="364" t="s">
        <v>300</v>
      </c>
      <c r="W31" s="364" t="s">
        <v>300</v>
      </c>
      <c r="X31" s="364" t="s">
        <v>300</v>
      </c>
      <c r="Z31" s="364" t="s">
        <v>219</v>
      </c>
      <c r="AI31" s="364" t="s">
        <v>219</v>
      </c>
      <c r="AK31" s="364" t="s">
        <v>300</v>
      </c>
      <c r="AL31" s="364"/>
      <c r="AM31" s="364" t="s">
        <v>219</v>
      </c>
      <c r="AN31" s="364" t="s">
        <v>300</v>
      </c>
      <c r="AQ31" s="364" t="s">
        <v>219</v>
      </c>
      <c r="AU31" s="364" t="s">
        <v>300</v>
      </c>
      <c r="AV31" s="364" t="s">
        <v>219</v>
      </c>
      <c r="AW31" s="364" t="s">
        <v>300</v>
      </c>
      <c r="AY31" s="364" t="s">
        <v>300</v>
      </c>
      <c r="BI31" s="364" t="s">
        <v>219</v>
      </c>
      <c r="BK31" s="343"/>
    </row>
    <row r="32">
      <c r="A32" s="136" t="s">
        <v>405</v>
      </c>
      <c r="B32" s="136" t="s">
        <v>299</v>
      </c>
      <c r="C32" s="136">
        <v>8.0</v>
      </c>
      <c r="D32" s="136">
        <v>6.0</v>
      </c>
      <c r="E32" s="136" t="s">
        <v>294</v>
      </c>
      <c r="F32" s="136" t="s">
        <v>294</v>
      </c>
      <c r="G32" s="136" t="s">
        <v>289</v>
      </c>
      <c r="I32" s="364" t="s">
        <v>219</v>
      </c>
      <c r="L32" s="364" t="s">
        <v>300</v>
      </c>
      <c r="M32" s="364" t="s">
        <v>219</v>
      </c>
      <c r="N32" s="364" t="s">
        <v>300</v>
      </c>
      <c r="O32" s="364" t="s">
        <v>300</v>
      </c>
      <c r="W32" s="364" t="s">
        <v>300</v>
      </c>
      <c r="X32" s="364" t="s">
        <v>300</v>
      </c>
      <c r="Y32" s="364" t="s">
        <v>300</v>
      </c>
      <c r="Z32" s="364" t="s">
        <v>219</v>
      </c>
      <c r="AB32" s="364" t="s">
        <v>300</v>
      </c>
      <c r="AE32" s="364" t="s">
        <v>300</v>
      </c>
      <c r="AF32" s="364" t="s">
        <v>300</v>
      </c>
      <c r="AI32" s="364" t="s">
        <v>219</v>
      </c>
      <c r="AJ32" s="364" t="s">
        <v>300</v>
      </c>
      <c r="AL32" s="364"/>
      <c r="AM32" s="364" t="s">
        <v>219</v>
      </c>
      <c r="AP32" s="364" t="s">
        <v>300</v>
      </c>
      <c r="AQ32" s="364" t="s">
        <v>219</v>
      </c>
      <c r="AR32" s="364" t="s">
        <v>300</v>
      </c>
      <c r="AU32" s="364" t="s">
        <v>300</v>
      </c>
      <c r="AV32" s="364" t="s">
        <v>219</v>
      </c>
      <c r="AW32" s="364" t="s">
        <v>300</v>
      </c>
      <c r="AX32" s="364" t="s">
        <v>300</v>
      </c>
      <c r="BD32" s="364" t="s">
        <v>300</v>
      </c>
      <c r="BE32" s="364" t="s">
        <v>300</v>
      </c>
      <c r="BF32" s="364" t="s">
        <v>300</v>
      </c>
      <c r="BI32" s="364" t="s">
        <v>219</v>
      </c>
      <c r="BJ32" s="364" t="s">
        <v>300</v>
      </c>
      <c r="BK32" s="343"/>
    </row>
    <row r="33">
      <c r="A33" s="136" t="s">
        <v>406</v>
      </c>
      <c r="B33" s="136" t="s">
        <v>294</v>
      </c>
      <c r="C33" s="136">
        <v>6.0</v>
      </c>
      <c r="D33" s="136">
        <v>8.0</v>
      </c>
      <c r="E33" s="136" t="s">
        <v>289</v>
      </c>
      <c r="F33" s="136" t="s">
        <v>294</v>
      </c>
      <c r="G33" s="136" t="s">
        <v>289</v>
      </c>
      <c r="H33" s="364" t="s">
        <v>300</v>
      </c>
      <c r="I33" s="364" t="s">
        <v>219</v>
      </c>
      <c r="J33" s="364" t="s">
        <v>300</v>
      </c>
      <c r="K33" s="364" t="s">
        <v>300</v>
      </c>
      <c r="L33" s="364" t="s">
        <v>300</v>
      </c>
      <c r="M33" s="364" t="s">
        <v>219</v>
      </c>
      <c r="O33" s="364" t="s">
        <v>300</v>
      </c>
      <c r="P33" s="364" t="s">
        <v>300</v>
      </c>
      <c r="Q33" s="364" t="s">
        <v>300</v>
      </c>
      <c r="R33" s="364" t="s">
        <v>300</v>
      </c>
      <c r="S33" s="364" t="s">
        <v>300</v>
      </c>
      <c r="T33" s="364" t="s">
        <v>300</v>
      </c>
      <c r="U33" s="364" t="s">
        <v>300</v>
      </c>
      <c r="V33" s="364" t="s">
        <v>300</v>
      </c>
      <c r="Y33" s="364" t="s">
        <v>300</v>
      </c>
      <c r="Z33" s="364" t="s">
        <v>219</v>
      </c>
      <c r="AA33" s="364" t="s">
        <v>300</v>
      </c>
      <c r="AB33" s="364" t="s">
        <v>300</v>
      </c>
      <c r="AH33" s="364" t="s">
        <v>300</v>
      </c>
      <c r="AI33" s="364" t="s">
        <v>219</v>
      </c>
      <c r="AL33" s="364"/>
      <c r="AM33" s="364" t="s">
        <v>219</v>
      </c>
      <c r="AP33" s="364" t="s">
        <v>300</v>
      </c>
      <c r="AQ33" s="364" t="s">
        <v>219</v>
      </c>
      <c r="AR33" s="364" t="s">
        <v>300</v>
      </c>
      <c r="AS33" s="364" t="s">
        <v>300</v>
      </c>
      <c r="AT33" s="364" t="s">
        <v>300</v>
      </c>
      <c r="AU33" s="364" t="s">
        <v>300</v>
      </c>
      <c r="AV33" s="364" t="s">
        <v>219</v>
      </c>
      <c r="AX33" s="364" t="s">
        <v>300</v>
      </c>
      <c r="AY33" s="364" t="s">
        <v>300</v>
      </c>
      <c r="AZ33" s="364"/>
      <c r="BA33" s="364" t="s">
        <v>300</v>
      </c>
      <c r="BD33" s="364" t="s">
        <v>300</v>
      </c>
      <c r="BF33" s="364" t="s">
        <v>300</v>
      </c>
      <c r="BG33" s="364" t="s">
        <v>300</v>
      </c>
      <c r="BH33" s="364" t="s">
        <v>300</v>
      </c>
      <c r="BI33" s="364" t="s">
        <v>219</v>
      </c>
      <c r="BJ33" s="364" t="s">
        <v>300</v>
      </c>
      <c r="BK33" s="343"/>
    </row>
    <row r="34">
      <c r="A34" s="136" t="s">
        <v>407</v>
      </c>
      <c r="B34" s="136" t="s">
        <v>289</v>
      </c>
      <c r="C34" s="136">
        <v>4.0</v>
      </c>
      <c r="D34" s="136">
        <v>2.0</v>
      </c>
      <c r="E34" s="136" t="s">
        <v>289</v>
      </c>
      <c r="F34" s="136" t="s">
        <v>289</v>
      </c>
      <c r="G34" s="136" t="s">
        <v>294</v>
      </c>
      <c r="I34" s="364" t="s">
        <v>219</v>
      </c>
      <c r="K34" s="364" t="s">
        <v>300</v>
      </c>
      <c r="M34" s="364" t="s">
        <v>219</v>
      </c>
      <c r="N34" s="364" t="s">
        <v>300</v>
      </c>
      <c r="O34" s="364" t="s">
        <v>300</v>
      </c>
      <c r="Z34" s="364" t="s">
        <v>219</v>
      </c>
      <c r="AC34" s="364" t="s">
        <v>300</v>
      </c>
      <c r="AI34" s="364" t="s">
        <v>219</v>
      </c>
      <c r="AL34" s="364"/>
      <c r="AM34" s="364" t="s">
        <v>219</v>
      </c>
      <c r="AQ34" s="364" t="s">
        <v>219</v>
      </c>
      <c r="AU34" s="364" t="s">
        <v>300</v>
      </c>
      <c r="AV34" s="364" t="s">
        <v>219</v>
      </c>
      <c r="BC34" s="364" t="s">
        <v>300</v>
      </c>
      <c r="BI34" s="364" t="s">
        <v>219</v>
      </c>
      <c r="BK34" s="343"/>
    </row>
    <row r="35">
      <c r="A35" s="380" t="s">
        <v>408</v>
      </c>
      <c r="B35" s="380" t="s">
        <v>289</v>
      </c>
      <c r="C35" s="380">
        <v>4.0</v>
      </c>
      <c r="D35" s="380">
        <v>2.0</v>
      </c>
      <c r="E35" s="380" t="s">
        <v>289</v>
      </c>
      <c r="F35" s="380" t="s">
        <v>289</v>
      </c>
      <c r="G35" s="380" t="s">
        <v>294</v>
      </c>
      <c r="I35" s="364" t="s">
        <v>219</v>
      </c>
      <c r="M35" s="364" t="s">
        <v>219</v>
      </c>
      <c r="N35" s="364" t="s">
        <v>300</v>
      </c>
      <c r="O35" s="364" t="s">
        <v>300</v>
      </c>
      <c r="P35" s="364" t="s">
        <v>300</v>
      </c>
      <c r="Z35" s="364" t="s">
        <v>219</v>
      </c>
      <c r="AC35" s="364" t="s">
        <v>300</v>
      </c>
      <c r="AD35" s="364" t="s">
        <v>300</v>
      </c>
      <c r="AE35" s="364" t="s">
        <v>300</v>
      </c>
      <c r="AF35" s="364" t="s">
        <v>300</v>
      </c>
      <c r="AG35" s="364" t="s">
        <v>300</v>
      </c>
      <c r="AH35" s="364" t="s">
        <v>300</v>
      </c>
      <c r="AI35" s="364" t="s">
        <v>219</v>
      </c>
      <c r="AJ35" s="364" t="s">
        <v>300</v>
      </c>
      <c r="AK35" s="364" t="s">
        <v>300</v>
      </c>
      <c r="AL35" s="364"/>
      <c r="AM35" s="364" t="s">
        <v>219</v>
      </c>
      <c r="AN35" s="364" t="s">
        <v>300</v>
      </c>
      <c r="AO35" s="364" t="s">
        <v>300</v>
      </c>
      <c r="AQ35" s="364" t="s">
        <v>219</v>
      </c>
      <c r="AU35" s="364" t="s">
        <v>300</v>
      </c>
      <c r="AV35" s="364" t="s">
        <v>219</v>
      </c>
      <c r="BC35" s="364" t="s">
        <v>300</v>
      </c>
      <c r="BI35" s="364" t="s">
        <v>219</v>
      </c>
      <c r="BK35" s="343"/>
    </row>
    <row r="36">
      <c r="A36" s="368" t="s">
        <v>409</v>
      </c>
      <c r="B36" s="368" t="s">
        <v>289</v>
      </c>
      <c r="C36" s="368">
        <v>6.0</v>
      </c>
      <c r="D36" s="368">
        <v>6.0</v>
      </c>
      <c r="E36" s="368" t="s">
        <v>289</v>
      </c>
      <c r="F36" s="368" t="s">
        <v>289</v>
      </c>
      <c r="G36" s="368" t="s">
        <v>294</v>
      </c>
      <c r="H36" s="364" t="s">
        <v>300</v>
      </c>
      <c r="I36" s="364" t="s">
        <v>219</v>
      </c>
      <c r="J36" s="364" t="s">
        <v>300</v>
      </c>
      <c r="K36" s="364" t="s">
        <v>300</v>
      </c>
      <c r="L36" s="364" t="s">
        <v>300</v>
      </c>
      <c r="M36" s="364" t="s">
        <v>219</v>
      </c>
      <c r="N36" s="364" t="s">
        <v>300</v>
      </c>
      <c r="P36" s="364" t="s">
        <v>300</v>
      </c>
      <c r="Q36" s="364" t="s">
        <v>300</v>
      </c>
      <c r="R36" s="364" t="s">
        <v>300</v>
      </c>
      <c r="S36" s="364" t="s">
        <v>300</v>
      </c>
      <c r="T36" s="364" t="s">
        <v>300</v>
      </c>
      <c r="U36" s="364" t="s">
        <v>300</v>
      </c>
      <c r="V36" s="364" t="s">
        <v>300</v>
      </c>
      <c r="Y36" s="364" t="s">
        <v>300</v>
      </c>
      <c r="Z36" s="364" t="s">
        <v>219</v>
      </c>
      <c r="AB36" s="364" t="s">
        <v>300</v>
      </c>
      <c r="AC36" s="364" t="s">
        <v>300</v>
      </c>
      <c r="AH36" s="364" t="s">
        <v>300</v>
      </c>
      <c r="AI36" s="364" t="s">
        <v>219</v>
      </c>
      <c r="AL36" s="364"/>
      <c r="AM36" s="364" t="s">
        <v>219</v>
      </c>
      <c r="AP36" s="364" t="s">
        <v>300</v>
      </c>
      <c r="AQ36" s="364" t="s">
        <v>219</v>
      </c>
      <c r="AR36" s="364" t="s">
        <v>300</v>
      </c>
      <c r="AS36" s="364" t="s">
        <v>300</v>
      </c>
      <c r="AU36" s="364" t="s">
        <v>300</v>
      </c>
      <c r="AV36" s="364" t="s">
        <v>219</v>
      </c>
      <c r="AX36" s="364" t="s">
        <v>300</v>
      </c>
      <c r="AY36" s="364" t="s">
        <v>300</v>
      </c>
      <c r="BA36" s="364" t="s">
        <v>300</v>
      </c>
      <c r="BB36" s="364" t="s">
        <v>300</v>
      </c>
      <c r="BC36" s="364" t="s">
        <v>300</v>
      </c>
      <c r="BD36" s="364" t="s">
        <v>300</v>
      </c>
      <c r="BF36" s="364" t="s">
        <v>300</v>
      </c>
      <c r="BG36" s="364" t="s">
        <v>300</v>
      </c>
      <c r="BH36" s="364" t="s">
        <v>300</v>
      </c>
      <c r="BI36" s="364" t="s">
        <v>219</v>
      </c>
      <c r="BK36" s="343"/>
    </row>
    <row r="37">
      <c r="A37" s="136" t="s">
        <v>410</v>
      </c>
      <c r="B37" s="136" t="s">
        <v>294</v>
      </c>
      <c r="C37" s="136">
        <v>10.0</v>
      </c>
      <c r="D37" s="136">
        <v>2.0</v>
      </c>
      <c r="E37" s="136" t="s">
        <v>294</v>
      </c>
      <c r="F37" s="136" t="s">
        <v>289</v>
      </c>
      <c r="G37" s="136" t="s">
        <v>294</v>
      </c>
      <c r="I37" s="364" t="s">
        <v>219</v>
      </c>
      <c r="L37" s="364" t="s">
        <v>300</v>
      </c>
      <c r="M37" s="364" t="s">
        <v>219</v>
      </c>
      <c r="O37" s="364" t="s">
        <v>300</v>
      </c>
      <c r="Z37" s="364" t="s">
        <v>219</v>
      </c>
      <c r="AA37" s="364" t="s">
        <v>300</v>
      </c>
      <c r="AC37" s="364" t="s">
        <v>300</v>
      </c>
      <c r="AI37" s="364" t="s">
        <v>219</v>
      </c>
      <c r="AJ37" s="364" t="s">
        <v>300</v>
      </c>
      <c r="AL37" s="364"/>
      <c r="AM37" s="364" t="s">
        <v>219</v>
      </c>
      <c r="AQ37" s="364" t="s">
        <v>219</v>
      </c>
      <c r="AV37" s="364" t="s">
        <v>219</v>
      </c>
      <c r="AW37" s="364" t="s">
        <v>300</v>
      </c>
      <c r="BI37" s="364" t="s">
        <v>219</v>
      </c>
      <c r="BK37" s="343"/>
    </row>
    <row r="38">
      <c r="A38" s="136" t="s">
        <v>411</v>
      </c>
      <c r="B38" s="136" t="s">
        <v>294</v>
      </c>
      <c r="C38" s="136">
        <v>8.0</v>
      </c>
      <c r="D38" s="136">
        <v>2.0</v>
      </c>
      <c r="E38" s="136" t="s">
        <v>294</v>
      </c>
      <c r="F38" s="136" t="s">
        <v>289</v>
      </c>
      <c r="G38" s="136" t="s">
        <v>294</v>
      </c>
      <c r="I38" s="364" t="s">
        <v>219</v>
      </c>
      <c r="L38" s="364" t="s">
        <v>300</v>
      </c>
      <c r="M38" s="364" t="s">
        <v>219</v>
      </c>
      <c r="N38" s="364" t="s">
        <v>300</v>
      </c>
      <c r="P38" s="364" t="s">
        <v>300</v>
      </c>
      <c r="Z38" s="364" t="s">
        <v>219</v>
      </c>
      <c r="AB38" s="364" t="s">
        <v>300</v>
      </c>
      <c r="AC38" s="364" t="s">
        <v>300</v>
      </c>
      <c r="AD38" s="364" t="s">
        <v>300</v>
      </c>
      <c r="AE38" s="364" t="s">
        <v>300</v>
      </c>
      <c r="AF38" s="364" t="s">
        <v>300</v>
      </c>
      <c r="AG38" s="364" t="s">
        <v>300</v>
      </c>
      <c r="AH38" s="364" t="s">
        <v>300</v>
      </c>
      <c r="AI38" s="364" t="s">
        <v>219</v>
      </c>
      <c r="AJ38" s="364" t="s">
        <v>300</v>
      </c>
      <c r="AK38" s="364" t="s">
        <v>300</v>
      </c>
      <c r="AL38" s="364" t="s">
        <v>300</v>
      </c>
      <c r="AM38" s="364" t="s">
        <v>219</v>
      </c>
      <c r="AN38" s="364" t="s">
        <v>300</v>
      </c>
      <c r="AO38" s="364" t="s">
        <v>300</v>
      </c>
      <c r="AQ38" s="364" t="s">
        <v>219</v>
      </c>
      <c r="AV38" s="364" t="s">
        <v>219</v>
      </c>
      <c r="AW38" s="364" t="s">
        <v>300</v>
      </c>
      <c r="AY38" s="364" t="s">
        <v>300</v>
      </c>
      <c r="BC38" s="364" t="s">
        <v>300</v>
      </c>
      <c r="BF38" s="364" t="s">
        <v>300</v>
      </c>
      <c r="BI38" s="364" t="s">
        <v>219</v>
      </c>
      <c r="BK38" s="343"/>
    </row>
    <row r="39">
      <c r="A39" s="380" t="s">
        <v>412</v>
      </c>
      <c r="B39" s="380" t="s">
        <v>299</v>
      </c>
      <c r="C39" s="380">
        <v>12.0</v>
      </c>
      <c r="D39" s="380">
        <v>2.0</v>
      </c>
      <c r="E39" s="380" t="s">
        <v>289</v>
      </c>
      <c r="F39" s="380" t="s">
        <v>289</v>
      </c>
      <c r="G39" s="380" t="s">
        <v>294</v>
      </c>
      <c r="I39" s="364" t="s">
        <v>219</v>
      </c>
      <c r="L39" s="364" t="s">
        <v>300</v>
      </c>
      <c r="M39" s="364" t="s">
        <v>219</v>
      </c>
      <c r="W39" s="364" t="s">
        <v>300</v>
      </c>
      <c r="Z39" s="364" t="s">
        <v>219</v>
      </c>
      <c r="AA39" s="364" t="s">
        <v>300</v>
      </c>
      <c r="AB39" s="364" t="s">
        <v>300</v>
      </c>
      <c r="AI39" s="364" t="s">
        <v>219</v>
      </c>
      <c r="AK39" s="364" t="s">
        <v>300</v>
      </c>
      <c r="AL39" s="364"/>
      <c r="AM39" s="364" t="s">
        <v>219</v>
      </c>
      <c r="AQ39" s="364" t="s">
        <v>219</v>
      </c>
      <c r="AV39" s="364" t="s">
        <v>219</v>
      </c>
      <c r="AW39" s="364" t="s">
        <v>300</v>
      </c>
      <c r="BF39" s="364" t="s">
        <v>300</v>
      </c>
      <c r="BI39" s="364" t="s">
        <v>219</v>
      </c>
      <c r="BK39" s="343"/>
    </row>
    <row r="40">
      <c r="A40" s="28"/>
      <c r="B40" s="28"/>
      <c r="C40" s="28"/>
      <c r="D40" s="28"/>
      <c r="E40" s="28"/>
      <c r="F40" s="28"/>
      <c r="G40" s="28"/>
      <c r="BK40" s="343"/>
    </row>
    <row r="41">
      <c r="A41" s="136" t="s">
        <v>413</v>
      </c>
      <c r="B41" s="136" t="s">
        <v>294</v>
      </c>
      <c r="C41" s="136">
        <v>8.0</v>
      </c>
      <c r="D41" s="136">
        <v>8.0</v>
      </c>
      <c r="E41" s="136" t="s">
        <v>289</v>
      </c>
      <c r="F41" s="136" t="s">
        <v>294</v>
      </c>
      <c r="G41" s="136" t="s">
        <v>289</v>
      </c>
      <c r="I41" s="364" t="s">
        <v>219</v>
      </c>
      <c r="J41" s="136" t="s">
        <v>300</v>
      </c>
      <c r="L41" s="136" t="s">
        <v>300</v>
      </c>
      <c r="M41" s="364" t="s">
        <v>219</v>
      </c>
      <c r="O41" s="136" t="s">
        <v>300</v>
      </c>
      <c r="R41" s="136" t="s">
        <v>300</v>
      </c>
      <c r="T41" s="136" t="s">
        <v>300</v>
      </c>
      <c r="Y41" s="136" t="s">
        <v>300</v>
      </c>
      <c r="Z41" s="364" t="s">
        <v>219</v>
      </c>
      <c r="AB41" s="136" t="s">
        <v>300</v>
      </c>
      <c r="AE41" s="136" t="s">
        <v>300</v>
      </c>
      <c r="AF41" s="136" t="s">
        <v>300</v>
      </c>
      <c r="AI41" s="364" t="s">
        <v>219</v>
      </c>
      <c r="AJ41" s="136" t="s">
        <v>300</v>
      </c>
      <c r="AL41" s="364"/>
      <c r="AM41" s="364" t="s">
        <v>219</v>
      </c>
      <c r="AP41" s="136" t="s">
        <v>300</v>
      </c>
      <c r="AQ41" s="364" t="s">
        <v>219</v>
      </c>
      <c r="AR41" s="136" t="s">
        <v>300</v>
      </c>
      <c r="AS41" s="136" t="s">
        <v>300</v>
      </c>
      <c r="AV41" s="364" t="s">
        <v>219</v>
      </c>
      <c r="AW41" s="136" t="s">
        <v>300</v>
      </c>
      <c r="AX41" s="136" t="s">
        <v>300</v>
      </c>
      <c r="AY41" s="136" t="s">
        <v>300</v>
      </c>
      <c r="BB41" s="136" t="s">
        <v>300</v>
      </c>
      <c r="BD41" s="136" t="s">
        <v>300</v>
      </c>
      <c r="BE41" s="136" t="s">
        <v>300</v>
      </c>
      <c r="BF41" s="136" t="s">
        <v>300</v>
      </c>
      <c r="BG41" s="136" t="s">
        <v>300</v>
      </c>
      <c r="BI41" s="364" t="s">
        <v>219</v>
      </c>
      <c r="BJ41" s="136" t="s">
        <v>300</v>
      </c>
      <c r="BK41" s="343"/>
    </row>
    <row r="42">
      <c r="A42" s="136" t="s">
        <v>414</v>
      </c>
      <c r="B42" s="5" t="s">
        <v>299</v>
      </c>
      <c r="C42" s="5">
        <v>10.0</v>
      </c>
      <c r="D42" s="5">
        <v>2.0</v>
      </c>
      <c r="E42" s="5" t="s">
        <v>289</v>
      </c>
      <c r="F42" s="5" t="s">
        <v>289</v>
      </c>
      <c r="G42" s="5" t="s">
        <v>294</v>
      </c>
      <c r="I42" s="364" t="s">
        <v>219</v>
      </c>
      <c r="L42" s="364" t="s">
        <v>300</v>
      </c>
      <c r="M42" s="364" t="s">
        <v>219</v>
      </c>
      <c r="N42" s="364" t="s">
        <v>300</v>
      </c>
      <c r="O42" s="364" t="s">
        <v>300</v>
      </c>
      <c r="W42" s="364" t="s">
        <v>300</v>
      </c>
      <c r="Z42" s="364" t="s">
        <v>219</v>
      </c>
      <c r="AA42" s="364" t="s">
        <v>300</v>
      </c>
      <c r="AB42" s="364" t="s">
        <v>300</v>
      </c>
      <c r="AC42" s="364" t="s">
        <v>300</v>
      </c>
      <c r="AI42" s="364" t="s">
        <v>219</v>
      </c>
      <c r="AL42" s="364"/>
      <c r="AM42" s="364" t="s">
        <v>219</v>
      </c>
      <c r="AQ42" s="364" t="s">
        <v>219</v>
      </c>
      <c r="AV42" s="364" t="s">
        <v>219</v>
      </c>
      <c r="AW42" s="364" t="s">
        <v>300</v>
      </c>
      <c r="BC42" s="364" t="s">
        <v>300</v>
      </c>
      <c r="BF42" s="364" t="s">
        <v>300</v>
      </c>
      <c r="BI42" s="364" t="s">
        <v>219</v>
      </c>
      <c r="BK42" s="343"/>
    </row>
    <row r="43">
      <c r="A43" s="5" t="s">
        <v>415</v>
      </c>
      <c r="B43" s="5" t="s">
        <v>299</v>
      </c>
      <c r="C43" s="5">
        <v>12.0</v>
      </c>
      <c r="D43" s="5">
        <v>2.0</v>
      </c>
      <c r="E43" s="5" t="s">
        <v>294</v>
      </c>
      <c r="F43" s="5" t="s">
        <v>289</v>
      </c>
      <c r="G43" s="5" t="s">
        <v>289</v>
      </c>
      <c r="I43" s="364" t="s">
        <v>219</v>
      </c>
      <c r="L43" s="136" t="s">
        <v>300</v>
      </c>
      <c r="M43" s="364" t="s">
        <v>219</v>
      </c>
      <c r="Z43" s="364" t="s">
        <v>219</v>
      </c>
      <c r="AA43" s="136" t="s">
        <v>300</v>
      </c>
      <c r="AB43" s="136" t="s">
        <v>300</v>
      </c>
      <c r="AI43" s="364" t="s">
        <v>219</v>
      </c>
      <c r="AL43" s="364"/>
      <c r="AM43" s="364" t="s">
        <v>219</v>
      </c>
      <c r="AQ43" s="364" t="s">
        <v>219</v>
      </c>
      <c r="AV43" s="364" t="s">
        <v>219</v>
      </c>
      <c r="AW43" s="136" t="s">
        <v>300</v>
      </c>
      <c r="BF43" s="136" t="s">
        <v>300</v>
      </c>
      <c r="BI43" s="364" t="s">
        <v>219</v>
      </c>
      <c r="BK43" s="343"/>
    </row>
    <row r="44">
      <c r="A44" s="5"/>
      <c r="B44" s="5"/>
      <c r="C44" s="5"/>
      <c r="D44" s="5"/>
      <c r="E44" s="5"/>
      <c r="F44" s="5"/>
      <c r="G44" s="5"/>
      <c r="H44" s="136"/>
      <c r="I44" s="364"/>
      <c r="J44" s="136"/>
      <c r="K44" s="136"/>
      <c r="L44" s="136"/>
      <c r="M44" s="364"/>
      <c r="O44" s="136"/>
      <c r="P44" s="136"/>
      <c r="Q44" s="136"/>
      <c r="R44" s="136"/>
      <c r="S44" s="136"/>
      <c r="T44" s="136"/>
      <c r="U44" s="136"/>
      <c r="V44" s="136"/>
      <c r="Y44" s="136"/>
      <c r="Z44" s="364"/>
      <c r="AA44" s="136"/>
      <c r="AB44" s="136"/>
      <c r="AC44" s="136"/>
      <c r="AH44" s="136"/>
      <c r="AI44" s="364"/>
      <c r="AL44" s="364"/>
      <c r="AM44" s="364"/>
      <c r="AP44" s="136"/>
      <c r="AQ44" s="364"/>
      <c r="AR44" s="136"/>
      <c r="AS44" s="136"/>
      <c r="AU44" s="136"/>
      <c r="AV44" s="364"/>
      <c r="AX44" s="136"/>
      <c r="AY44" s="136"/>
      <c r="BA44" s="136"/>
      <c r="BD44" s="136"/>
      <c r="BE44" s="136"/>
      <c r="BF44" s="136"/>
      <c r="BG44" s="136"/>
      <c r="BI44" s="364"/>
      <c r="BJ44" s="136"/>
      <c r="BK44" s="343"/>
    </row>
    <row r="45">
      <c r="A45" s="5" t="s">
        <v>416</v>
      </c>
      <c r="B45" s="5" t="s">
        <v>294</v>
      </c>
      <c r="C45" s="5">
        <v>8.0</v>
      </c>
      <c r="D45" s="5">
        <v>6.0</v>
      </c>
      <c r="E45" s="5" t="s">
        <v>289</v>
      </c>
      <c r="F45" s="5" t="s">
        <v>294</v>
      </c>
      <c r="G45" s="5" t="s">
        <v>294</v>
      </c>
      <c r="H45" s="136" t="s">
        <v>300</v>
      </c>
      <c r="I45" s="364" t="s">
        <v>219</v>
      </c>
      <c r="J45" s="136" t="s">
        <v>300</v>
      </c>
      <c r="K45" s="136" t="s">
        <v>300</v>
      </c>
      <c r="L45" s="136" t="s">
        <v>300</v>
      </c>
      <c r="M45" s="364" t="s">
        <v>219</v>
      </c>
      <c r="O45" s="136" t="s">
        <v>300</v>
      </c>
      <c r="P45" s="136" t="s">
        <v>300</v>
      </c>
      <c r="Q45" s="136" t="s">
        <v>300</v>
      </c>
      <c r="R45" s="136" t="s">
        <v>300</v>
      </c>
      <c r="S45" s="136" t="s">
        <v>300</v>
      </c>
      <c r="T45" s="136" t="s">
        <v>300</v>
      </c>
      <c r="U45" s="136" t="s">
        <v>300</v>
      </c>
      <c r="V45" s="136" t="s">
        <v>300</v>
      </c>
      <c r="Y45" s="136" t="s">
        <v>300</v>
      </c>
      <c r="Z45" s="364" t="s">
        <v>219</v>
      </c>
      <c r="AA45" s="136" t="s">
        <v>300</v>
      </c>
      <c r="AB45" s="136" t="s">
        <v>300</v>
      </c>
      <c r="AC45" s="136" t="s">
        <v>300</v>
      </c>
      <c r="AH45" s="136" t="s">
        <v>300</v>
      </c>
      <c r="AI45" s="364" t="s">
        <v>219</v>
      </c>
      <c r="AL45" s="364"/>
      <c r="AM45" s="364" t="s">
        <v>219</v>
      </c>
      <c r="AP45" s="136" t="s">
        <v>300</v>
      </c>
      <c r="AQ45" s="364" t="s">
        <v>219</v>
      </c>
      <c r="AR45" s="136" t="s">
        <v>300</v>
      </c>
      <c r="AS45" s="136" t="s">
        <v>300</v>
      </c>
      <c r="AU45" s="136" t="s">
        <v>300</v>
      </c>
      <c r="AV45" s="364" t="s">
        <v>219</v>
      </c>
      <c r="AX45" s="136" t="s">
        <v>300</v>
      </c>
      <c r="AY45" s="136" t="s">
        <v>300</v>
      </c>
      <c r="BA45" s="136" t="s">
        <v>300</v>
      </c>
      <c r="BD45" s="136" t="s">
        <v>300</v>
      </c>
      <c r="BE45" s="136" t="s">
        <v>300</v>
      </c>
      <c r="BF45" s="136" t="s">
        <v>300</v>
      </c>
      <c r="BG45" s="136" t="s">
        <v>300</v>
      </c>
      <c r="BI45" s="364" t="s">
        <v>219</v>
      </c>
      <c r="BJ45" s="136" t="s">
        <v>300</v>
      </c>
      <c r="BK45" s="343"/>
    </row>
    <row r="46">
      <c r="BK46" s="343"/>
    </row>
    <row r="47">
      <c r="A47" s="5"/>
      <c r="B47" s="5"/>
      <c r="C47" s="5"/>
      <c r="D47" s="5"/>
      <c r="E47" s="5"/>
      <c r="F47" s="5"/>
      <c r="G47" s="5"/>
      <c r="I47" s="364"/>
      <c r="J47" s="136"/>
      <c r="K47" s="136"/>
      <c r="L47" s="136"/>
      <c r="M47" s="364"/>
      <c r="O47" s="136"/>
      <c r="R47" s="136"/>
      <c r="T47" s="136"/>
      <c r="V47" s="136"/>
      <c r="Y47" s="136"/>
      <c r="Z47" s="364"/>
      <c r="AB47" s="136"/>
      <c r="AC47" s="136"/>
      <c r="AD47" s="136"/>
      <c r="AE47" s="136"/>
      <c r="AF47" s="136"/>
      <c r="AG47" s="136"/>
      <c r="AH47" s="136"/>
      <c r="AI47" s="364"/>
      <c r="AJ47" s="136"/>
      <c r="AK47" s="136"/>
      <c r="AL47" s="364"/>
      <c r="AM47" s="364"/>
      <c r="AN47" s="136"/>
      <c r="AO47" s="136"/>
      <c r="AP47" s="136"/>
      <c r="AQ47" s="364"/>
      <c r="AR47" s="136"/>
      <c r="AS47" s="136"/>
      <c r="AV47" s="364"/>
      <c r="AX47" s="136"/>
      <c r="AZ47" s="136"/>
      <c r="BA47" s="136"/>
      <c r="BC47" s="136"/>
      <c r="BD47" s="136"/>
      <c r="BG47" s="136"/>
      <c r="BI47" s="364"/>
      <c r="BK47" s="343"/>
    </row>
    <row r="48">
      <c r="A48" s="49" t="s">
        <v>417</v>
      </c>
      <c r="B48" s="45" t="s">
        <v>294</v>
      </c>
      <c r="C48" s="45">
        <v>8.0</v>
      </c>
      <c r="D48" s="49">
        <v>2.0</v>
      </c>
      <c r="E48" s="49" t="s">
        <v>294</v>
      </c>
      <c r="F48" s="49" t="s">
        <v>289</v>
      </c>
      <c r="G48" s="49" t="s">
        <v>289</v>
      </c>
      <c r="I48" s="364" t="s">
        <v>219</v>
      </c>
      <c r="J48" t="s">
        <v>300</v>
      </c>
      <c r="L48" t="s">
        <v>300</v>
      </c>
      <c r="M48" s="364" t="s">
        <v>219</v>
      </c>
      <c r="N48" t="s">
        <v>300</v>
      </c>
      <c r="O48" s="136" t="s">
        <v>300</v>
      </c>
      <c r="S48" t="s">
        <v>300</v>
      </c>
      <c r="T48" t="s">
        <v>300</v>
      </c>
      <c r="Z48" s="364" t="s">
        <v>219</v>
      </c>
      <c r="AB48" t="s">
        <v>300</v>
      </c>
      <c r="AC48" s="136"/>
      <c r="AD48" s="136"/>
      <c r="AE48" s="136"/>
      <c r="AF48" s="136"/>
      <c r="AG48" s="136"/>
      <c r="AH48" s="136"/>
      <c r="AI48" s="364" t="s">
        <v>219</v>
      </c>
      <c r="AJ48" s="136"/>
      <c r="AK48" s="136"/>
      <c r="AL48" s="364"/>
      <c r="AM48" s="364" t="s">
        <v>219</v>
      </c>
      <c r="AN48" s="136"/>
      <c r="AO48" s="136"/>
      <c r="AP48" s="136"/>
      <c r="AQ48" s="364" t="s">
        <v>219</v>
      </c>
      <c r="AR48" s="136"/>
      <c r="AU48" s="136"/>
      <c r="AV48" s="364" t="s">
        <v>219</v>
      </c>
      <c r="BF48" t="s">
        <v>300</v>
      </c>
      <c r="BI48" s="364" t="s">
        <v>219</v>
      </c>
      <c r="BK48" s="343"/>
    </row>
    <row r="49">
      <c r="A49" t="s">
        <v>418</v>
      </c>
      <c r="B49" t="s">
        <v>294</v>
      </c>
      <c r="C49">
        <v>8.0</v>
      </c>
      <c r="D49">
        <v>2.0</v>
      </c>
      <c r="E49" t="s">
        <v>294</v>
      </c>
      <c r="F49" t="s">
        <v>294</v>
      </c>
      <c r="G49" t="s">
        <v>289</v>
      </c>
      <c r="I49" t="s">
        <v>219</v>
      </c>
      <c r="J49" t="s">
        <v>300</v>
      </c>
      <c r="L49" t="s">
        <v>300</v>
      </c>
      <c r="M49" t="s">
        <v>219</v>
      </c>
      <c r="W49" t="s">
        <v>300</v>
      </c>
      <c r="Y49" t="s">
        <v>300</v>
      </c>
      <c r="Z49" t="s">
        <v>219</v>
      </c>
      <c r="AA49" t="s">
        <v>300</v>
      </c>
      <c r="AB49" t="s">
        <v>300</v>
      </c>
      <c r="AI49" t="s">
        <v>219</v>
      </c>
      <c r="AJ49" t="s">
        <v>300</v>
      </c>
      <c r="AM49" t="s">
        <v>219</v>
      </c>
      <c r="AQ49" t="s">
        <v>219</v>
      </c>
      <c r="AR49" t="s">
        <v>300</v>
      </c>
      <c r="AV49" t="s">
        <v>219</v>
      </c>
      <c r="BD49" t="s">
        <v>300</v>
      </c>
      <c r="BE49" t="s">
        <v>300</v>
      </c>
      <c r="BF49" t="s">
        <v>300</v>
      </c>
      <c r="BI49" t="s">
        <v>219</v>
      </c>
      <c r="BK49" s="343"/>
    </row>
    <row r="50">
      <c r="A50" s="349" t="s">
        <v>419</v>
      </c>
      <c r="B50" s="349" t="s">
        <v>299</v>
      </c>
      <c r="C50" s="383">
        <v>10.0</v>
      </c>
      <c r="D50" s="383">
        <v>4.0</v>
      </c>
      <c r="E50" s="349" t="s">
        <v>294</v>
      </c>
      <c r="F50" s="349" t="s">
        <v>289</v>
      </c>
      <c r="G50" s="349" t="s">
        <v>294</v>
      </c>
      <c r="H50" s="349"/>
      <c r="I50" s="384" t="s">
        <v>219</v>
      </c>
      <c r="J50" s="349"/>
      <c r="K50" s="349"/>
      <c r="L50" s="349" t="s">
        <v>300</v>
      </c>
      <c r="M50" s="384" t="s">
        <v>219</v>
      </c>
      <c r="N50" s="349"/>
      <c r="O50" s="349" t="s">
        <v>300</v>
      </c>
      <c r="P50" s="349"/>
      <c r="Q50" s="349"/>
      <c r="R50" s="349"/>
      <c r="S50" s="349"/>
      <c r="T50" s="349"/>
      <c r="U50" s="349"/>
      <c r="V50" s="349"/>
      <c r="W50" s="349" t="s">
        <v>300</v>
      </c>
      <c r="X50" s="349"/>
      <c r="Y50" s="349"/>
      <c r="Z50" s="384" t="s">
        <v>219</v>
      </c>
      <c r="AA50" s="349" t="s">
        <v>300</v>
      </c>
      <c r="AB50" s="349" t="s">
        <v>300</v>
      </c>
      <c r="AC50" s="349"/>
      <c r="AD50" s="349"/>
      <c r="AE50" s="349"/>
      <c r="AF50" s="349"/>
      <c r="AG50" s="349"/>
      <c r="AH50" s="349"/>
      <c r="AI50" s="384" t="s">
        <v>219</v>
      </c>
      <c r="AJ50" s="349"/>
      <c r="AK50" s="349"/>
      <c r="AL50" s="349"/>
      <c r="AM50" s="384" t="s">
        <v>219</v>
      </c>
      <c r="AN50" s="349"/>
      <c r="AO50" s="349"/>
      <c r="AP50" s="349"/>
      <c r="AQ50" s="384" t="s">
        <v>219</v>
      </c>
      <c r="AR50" s="349"/>
      <c r="AS50" s="349"/>
      <c r="AT50" s="349"/>
      <c r="AU50" s="349"/>
      <c r="AV50" s="384" t="s">
        <v>219</v>
      </c>
      <c r="AW50" s="349" t="s">
        <v>300</v>
      </c>
      <c r="AX50" s="349"/>
      <c r="AY50" s="349"/>
      <c r="AZ50" s="349"/>
      <c r="BA50" s="349"/>
      <c r="BB50" s="349"/>
      <c r="BC50" s="349" t="s">
        <v>300</v>
      </c>
      <c r="BD50" s="349"/>
      <c r="BE50" s="349"/>
      <c r="BF50" s="349" t="s">
        <v>300</v>
      </c>
      <c r="BG50" s="349"/>
      <c r="BH50" s="349" t="s">
        <v>300</v>
      </c>
      <c r="BI50" s="384" t="s">
        <v>219</v>
      </c>
      <c r="BJ50" s="349"/>
      <c r="BK50" s="348"/>
      <c r="BL50" s="349"/>
      <c r="BM50" s="349"/>
      <c r="BN50" s="349"/>
      <c r="BO50" s="349"/>
      <c r="BP50" s="349"/>
      <c r="BQ50" s="349"/>
      <c r="BR50" s="349"/>
      <c r="BS50" s="349"/>
      <c r="BT50" s="349"/>
    </row>
    <row r="51">
      <c r="A51" s="349" t="s">
        <v>420</v>
      </c>
      <c r="B51" s="349" t="s">
        <v>294</v>
      </c>
      <c r="C51" s="383">
        <v>6.0</v>
      </c>
      <c r="D51" s="383">
        <v>4.0</v>
      </c>
      <c r="E51" s="349" t="s">
        <v>294</v>
      </c>
      <c r="F51" s="349" t="s">
        <v>289</v>
      </c>
      <c r="G51" s="349" t="s">
        <v>294</v>
      </c>
      <c r="H51" s="385" t="s">
        <v>300</v>
      </c>
      <c r="I51" s="384" t="s">
        <v>219</v>
      </c>
      <c r="J51" s="349"/>
      <c r="K51" s="385"/>
      <c r="L51" s="349"/>
      <c r="M51" s="384" t="s">
        <v>219</v>
      </c>
      <c r="N51" s="385" t="s">
        <v>300</v>
      </c>
      <c r="O51" s="385" t="s">
        <v>300</v>
      </c>
      <c r="P51" s="385"/>
      <c r="Q51" s="385"/>
      <c r="R51" s="385" t="s">
        <v>300</v>
      </c>
      <c r="S51" s="385"/>
      <c r="T51" s="385"/>
      <c r="U51" s="385"/>
      <c r="V51" s="385"/>
      <c r="W51" s="349"/>
      <c r="X51" s="385"/>
      <c r="Y51" s="349"/>
      <c r="Z51" s="384" t="s">
        <v>219</v>
      </c>
      <c r="AA51" s="349"/>
      <c r="AB51" s="349"/>
      <c r="AC51" s="385" t="s">
        <v>300</v>
      </c>
      <c r="AD51" s="385" t="s">
        <v>300</v>
      </c>
      <c r="AE51" s="385"/>
      <c r="AF51" s="385"/>
      <c r="AG51" s="385"/>
      <c r="AH51" s="385"/>
      <c r="AI51" s="384" t="s">
        <v>219</v>
      </c>
      <c r="AJ51" s="349"/>
      <c r="AK51" s="385"/>
      <c r="AL51" s="385"/>
      <c r="AM51" s="384" t="s">
        <v>219</v>
      </c>
      <c r="AN51" s="385"/>
      <c r="AO51" s="385" t="s">
        <v>300</v>
      </c>
      <c r="AP51" s="385"/>
      <c r="AQ51" s="384" t="s">
        <v>219</v>
      </c>
      <c r="AR51" s="349"/>
      <c r="AS51" s="385" t="s">
        <v>300</v>
      </c>
      <c r="AT51" s="385"/>
      <c r="AU51" s="385" t="s">
        <v>300</v>
      </c>
      <c r="AV51" s="384" t="s">
        <v>219</v>
      </c>
      <c r="AW51" s="385"/>
      <c r="AX51" s="385" t="s">
        <v>300</v>
      </c>
      <c r="AY51" s="385"/>
      <c r="AZ51" s="385"/>
      <c r="BA51" s="385"/>
      <c r="BB51" s="385"/>
      <c r="BC51" s="385" t="s">
        <v>300</v>
      </c>
      <c r="BD51" s="349"/>
      <c r="BE51" s="349"/>
      <c r="BF51" s="349"/>
      <c r="BG51" s="385"/>
      <c r="BH51" s="385" t="s">
        <v>300</v>
      </c>
      <c r="BI51" s="384" t="s">
        <v>219</v>
      </c>
      <c r="BJ51" s="385"/>
      <c r="BK51" s="386"/>
      <c r="BL51" s="385"/>
      <c r="BM51" s="385"/>
      <c r="BN51" s="385"/>
      <c r="BO51" s="385"/>
      <c r="BP51" s="385"/>
      <c r="BQ51" s="385"/>
      <c r="BR51" s="385"/>
      <c r="BS51" s="385"/>
      <c r="BT51" s="385"/>
    </row>
    <row r="52">
      <c r="A52" s="5" t="s">
        <v>421</v>
      </c>
      <c r="B52" s="5" t="s">
        <v>294</v>
      </c>
      <c r="C52" s="5">
        <v>6.0</v>
      </c>
      <c r="D52" s="5">
        <v>4.0</v>
      </c>
      <c r="E52" s="5" t="s">
        <v>289</v>
      </c>
      <c r="F52" s="5" t="s">
        <v>289</v>
      </c>
      <c r="G52" s="5" t="s">
        <v>294</v>
      </c>
      <c r="H52" t="s">
        <v>300</v>
      </c>
      <c r="I52" s="384" t="s">
        <v>219</v>
      </c>
      <c r="L52" s="349"/>
      <c r="M52" s="384" t="s">
        <v>219</v>
      </c>
      <c r="N52" t="s">
        <v>300</v>
      </c>
      <c r="O52" s="349" t="s">
        <v>300</v>
      </c>
      <c r="R52" t="s">
        <v>300</v>
      </c>
      <c r="W52" s="349"/>
      <c r="Z52" s="384" t="s">
        <v>219</v>
      </c>
      <c r="AA52" s="349"/>
      <c r="AB52" s="349"/>
      <c r="AC52" t="s">
        <v>300</v>
      </c>
      <c r="AD52" t="s">
        <v>300</v>
      </c>
      <c r="AI52" s="384" t="s">
        <v>219</v>
      </c>
      <c r="AM52" s="384" t="s">
        <v>219</v>
      </c>
      <c r="AO52" t="s">
        <v>300</v>
      </c>
      <c r="AQ52" s="384" t="s">
        <v>219</v>
      </c>
      <c r="AS52" t="s">
        <v>300</v>
      </c>
      <c r="AU52" t="s">
        <v>300</v>
      </c>
      <c r="AV52" s="384" t="s">
        <v>219</v>
      </c>
      <c r="AW52" s="349"/>
      <c r="AX52" t="s">
        <v>300</v>
      </c>
      <c r="BC52" s="349" t="s">
        <v>300</v>
      </c>
      <c r="BF52" s="349"/>
      <c r="BH52" s="349" t="s">
        <v>300</v>
      </c>
      <c r="BI52" s="384" t="s">
        <v>219</v>
      </c>
      <c r="BK52" s="343"/>
    </row>
    <row r="53">
      <c r="A53" s="5" t="s">
        <v>422</v>
      </c>
      <c r="B53" s="5" t="s">
        <v>294</v>
      </c>
      <c r="C53" s="5">
        <v>8.0</v>
      </c>
      <c r="D53" s="5">
        <v>4.0</v>
      </c>
      <c r="E53" s="5" t="s">
        <v>289</v>
      </c>
      <c r="F53" s="5" t="s">
        <v>289</v>
      </c>
      <c r="G53" s="5" t="s">
        <v>294</v>
      </c>
      <c r="H53" s="349"/>
      <c r="I53" s="384" t="s">
        <v>219</v>
      </c>
      <c r="J53" t="s">
        <v>300</v>
      </c>
      <c r="K53" t="s">
        <v>300</v>
      </c>
      <c r="L53" t="s">
        <v>300</v>
      </c>
      <c r="M53" s="384" t="s">
        <v>219</v>
      </c>
      <c r="N53" s="349"/>
      <c r="O53" s="349" t="s">
        <v>300</v>
      </c>
      <c r="Q53" t="s">
        <v>300</v>
      </c>
      <c r="R53" s="349"/>
      <c r="V53" t="s">
        <v>300</v>
      </c>
      <c r="X53" t="s">
        <v>300</v>
      </c>
      <c r="Z53" s="384" t="s">
        <v>219</v>
      </c>
      <c r="AB53" t="s">
        <v>300</v>
      </c>
      <c r="AC53" s="349"/>
      <c r="AD53" s="349"/>
      <c r="AI53" s="384" t="s">
        <v>219</v>
      </c>
      <c r="AM53" s="384" t="s">
        <v>219</v>
      </c>
      <c r="AO53" s="349"/>
      <c r="AP53" t="s">
        <v>300</v>
      </c>
      <c r="AQ53" s="384" t="s">
        <v>219</v>
      </c>
      <c r="AS53" s="349"/>
      <c r="AU53" s="349" t="s">
        <v>300</v>
      </c>
      <c r="AV53" s="384" t="s">
        <v>219</v>
      </c>
      <c r="AX53" s="349" t="s">
        <v>300</v>
      </c>
      <c r="AY53" t="s">
        <v>300</v>
      </c>
      <c r="BC53" s="349"/>
      <c r="BD53" t="s">
        <v>300</v>
      </c>
      <c r="BE53" t="s">
        <v>300</v>
      </c>
      <c r="BF53" t="s">
        <v>300</v>
      </c>
      <c r="BH53" s="349"/>
      <c r="BI53" s="384" t="s">
        <v>219</v>
      </c>
      <c r="BK53" s="343"/>
    </row>
    <row r="54">
      <c r="A54" s="5" t="s">
        <v>423</v>
      </c>
      <c r="B54" s="5" t="s">
        <v>294</v>
      </c>
      <c r="C54" s="5">
        <v>12.0</v>
      </c>
      <c r="D54" s="5">
        <v>2.0</v>
      </c>
      <c r="E54" s="5" t="s">
        <v>294</v>
      </c>
      <c r="F54" s="5" t="s">
        <v>289</v>
      </c>
      <c r="G54" s="5" t="s">
        <v>289</v>
      </c>
      <c r="H54" s="349"/>
      <c r="I54" s="384" t="s">
        <v>219</v>
      </c>
      <c r="L54" t="s">
        <v>300</v>
      </c>
      <c r="M54" s="384" t="s">
        <v>219</v>
      </c>
      <c r="N54" s="349"/>
      <c r="O54" s="349" t="s">
        <v>300</v>
      </c>
      <c r="R54" s="349"/>
      <c r="Z54" s="384" t="s">
        <v>219</v>
      </c>
      <c r="AA54" t="s">
        <v>300</v>
      </c>
      <c r="AB54" t="s">
        <v>300</v>
      </c>
      <c r="AC54" s="349"/>
      <c r="AD54" s="349"/>
      <c r="AI54" s="384" t="s">
        <v>219</v>
      </c>
      <c r="AM54" s="384" t="s">
        <v>219</v>
      </c>
      <c r="AO54" s="349"/>
      <c r="AQ54" s="384" t="s">
        <v>219</v>
      </c>
      <c r="AS54" s="349"/>
      <c r="AU54" s="349"/>
      <c r="AV54" s="384" t="s">
        <v>219</v>
      </c>
      <c r="AX54" s="349"/>
      <c r="BC54" s="349"/>
      <c r="BE54" t="s">
        <v>300</v>
      </c>
      <c r="BF54" t="s">
        <v>300</v>
      </c>
      <c r="BH54" s="349"/>
      <c r="BI54" s="384" t="s">
        <v>219</v>
      </c>
      <c r="BK54" s="343"/>
    </row>
    <row r="55">
      <c r="A55" s="5" t="s">
        <v>424</v>
      </c>
      <c r="B55" s="5" t="s">
        <v>294</v>
      </c>
      <c r="C55" s="5">
        <v>6.0</v>
      </c>
      <c r="D55" s="5">
        <v>6.0</v>
      </c>
      <c r="E55" s="5" t="s">
        <v>289</v>
      </c>
      <c r="F55" s="5" t="s">
        <v>294</v>
      </c>
      <c r="G55" s="5" t="s">
        <v>289</v>
      </c>
      <c r="I55" s="384" t="s">
        <v>219</v>
      </c>
      <c r="J55" s="349" t="s">
        <v>300</v>
      </c>
      <c r="K55" s="349" t="s">
        <v>300</v>
      </c>
      <c r="L55" s="349" t="s">
        <v>300</v>
      </c>
      <c r="M55" s="384" t="s">
        <v>219</v>
      </c>
      <c r="N55" t="s">
        <v>300</v>
      </c>
      <c r="O55" s="349" t="s">
        <v>300</v>
      </c>
      <c r="Q55" s="349"/>
      <c r="R55" t="s">
        <v>300</v>
      </c>
      <c r="S55" t="s">
        <v>300</v>
      </c>
      <c r="U55" t="s">
        <v>300</v>
      </c>
      <c r="V55" s="349"/>
      <c r="X55" s="349"/>
      <c r="Y55" t="s">
        <v>300</v>
      </c>
      <c r="Z55" s="384" t="s">
        <v>219</v>
      </c>
      <c r="AB55" s="349" t="s">
        <v>300</v>
      </c>
      <c r="AI55" s="384" t="s">
        <v>219</v>
      </c>
      <c r="AM55" s="384" t="s">
        <v>219</v>
      </c>
      <c r="AP55" s="349" t="s">
        <v>300</v>
      </c>
      <c r="AQ55" s="384" t="s">
        <v>219</v>
      </c>
      <c r="AR55" t="s">
        <v>300</v>
      </c>
      <c r="AS55" t="s">
        <v>300</v>
      </c>
      <c r="AU55" s="349"/>
      <c r="AV55" s="384" t="s">
        <v>219</v>
      </c>
      <c r="AX55" s="349" t="s">
        <v>300</v>
      </c>
      <c r="AY55" s="349" t="s">
        <v>300</v>
      </c>
      <c r="BA55" t="s">
        <v>300</v>
      </c>
      <c r="BD55" s="349" t="s">
        <v>300</v>
      </c>
      <c r="BE55" s="349"/>
      <c r="BF55" s="349" t="s">
        <v>300</v>
      </c>
      <c r="BG55" t="s">
        <v>300</v>
      </c>
      <c r="BI55" s="384" t="s">
        <v>219</v>
      </c>
      <c r="BK55" s="343"/>
    </row>
    <row r="56">
      <c r="A56" s="5" t="s">
        <v>425</v>
      </c>
      <c r="B56" s="5" t="s">
        <v>294</v>
      </c>
      <c r="C56" s="5">
        <v>10.0</v>
      </c>
      <c r="D56" s="5">
        <v>4.0</v>
      </c>
      <c r="E56" s="5" t="s">
        <v>289</v>
      </c>
      <c r="F56" s="5" t="s">
        <v>289</v>
      </c>
      <c r="G56" s="5" t="s">
        <v>294</v>
      </c>
      <c r="I56" s="384" t="s">
        <v>219</v>
      </c>
      <c r="J56" t="s">
        <v>300</v>
      </c>
      <c r="L56" s="349" t="s">
        <v>300</v>
      </c>
      <c r="M56" s="384" t="s">
        <v>219</v>
      </c>
      <c r="N56" t="s">
        <v>300</v>
      </c>
      <c r="O56" s="349" t="s">
        <v>300</v>
      </c>
      <c r="Q56" t="s">
        <v>300</v>
      </c>
      <c r="Z56" s="384" t="s">
        <v>219</v>
      </c>
      <c r="AA56" s="349" t="s">
        <v>300</v>
      </c>
      <c r="AB56" s="349" t="s">
        <v>300</v>
      </c>
      <c r="AH56" t="s">
        <v>300</v>
      </c>
      <c r="AI56" s="384" t="s">
        <v>219</v>
      </c>
      <c r="AK56" t="s">
        <v>300</v>
      </c>
      <c r="AM56" s="384" t="s">
        <v>219</v>
      </c>
      <c r="AQ56" s="384" t="s">
        <v>219</v>
      </c>
      <c r="AV56" s="384" t="s">
        <v>219</v>
      </c>
      <c r="AW56" t="s">
        <v>300</v>
      </c>
      <c r="AY56" t="s">
        <v>300</v>
      </c>
      <c r="BE56" s="349"/>
      <c r="BF56" s="349"/>
      <c r="BI56" s="384" t="s">
        <v>219</v>
      </c>
      <c r="BK56" s="343"/>
    </row>
    <row r="57">
      <c r="A57" s="5" t="s">
        <v>426</v>
      </c>
      <c r="B57" s="5" t="s">
        <v>294</v>
      </c>
      <c r="C57" s="5">
        <v>6.0</v>
      </c>
      <c r="D57" s="5">
        <v>4.0</v>
      </c>
      <c r="E57" s="5" t="s">
        <v>289</v>
      </c>
      <c r="F57" s="5" t="s">
        <v>294</v>
      </c>
      <c r="G57" s="5" t="s">
        <v>289</v>
      </c>
      <c r="H57" t="s">
        <v>300</v>
      </c>
      <c r="I57" s="384" t="s">
        <v>219</v>
      </c>
      <c r="J57" s="349" t="s">
        <v>300</v>
      </c>
      <c r="K57" s="349" t="s">
        <v>300</v>
      </c>
      <c r="L57" s="349" t="s">
        <v>300</v>
      </c>
      <c r="M57" s="384" t="s">
        <v>219</v>
      </c>
      <c r="N57" s="349"/>
      <c r="O57" s="349" t="s">
        <v>300</v>
      </c>
      <c r="R57" s="349"/>
      <c r="S57" s="349" t="s">
        <v>300</v>
      </c>
      <c r="T57" t="s">
        <v>300</v>
      </c>
      <c r="U57" s="349"/>
      <c r="Y57" s="349" t="s">
        <v>300</v>
      </c>
      <c r="Z57" s="384" t="s">
        <v>219</v>
      </c>
      <c r="AB57" s="349" t="s">
        <v>300</v>
      </c>
      <c r="AI57" s="384" t="s">
        <v>219</v>
      </c>
      <c r="AM57" s="384" t="s">
        <v>219</v>
      </c>
      <c r="AP57" s="349" t="s">
        <v>300</v>
      </c>
      <c r="AQ57" s="384" t="s">
        <v>219</v>
      </c>
      <c r="AR57" s="349" t="s">
        <v>300</v>
      </c>
      <c r="AS57" s="349" t="s">
        <v>300</v>
      </c>
      <c r="AU57" t="s">
        <v>300</v>
      </c>
      <c r="AV57" s="384" t="s">
        <v>219</v>
      </c>
      <c r="AX57" s="349" t="s">
        <v>300</v>
      </c>
      <c r="AY57" s="349"/>
      <c r="BA57" s="349" t="s">
        <v>300</v>
      </c>
      <c r="BD57" s="349" t="s">
        <v>300</v>
      </c>
      <c r="BF57" s="349"/>
      <c r="BG57" s="349" t="s">
        <v>300</v>
      </c>
      <c r="BH57" t="s">
        <v>300</v>
      </c>
      <c r="BI57" s="384" t="s">
        <v>219</v>
      </c>
      <c r="BJ57" t="s">
        <v>300</v>
      </c>
      <c r="BK57" s="343"/>
    </row>
    <row r="58">
      <c r="A58" s="5" t="s">
        <v>427</v>
      </c>
      <c r="B58" s="5" t="s">
        <v>294</v>
      </c>
      <c r="C58" s="5">
        <v>8.0</v>
      </c>
      <c r="D58" s="5">
        <v>4.0</v>
      </c>
      <c r="E58" s="5" t="s">
        <v>294</v>
      </c>
      <c r="F58" s="5" t="s">
        <v>294</v>
      </c>
      <c r="G58" s="5" t="s">
        <v>289</v>
      </c>
      <c r="H58" t="s">
        <v>300</v>
      </c>
      <c r="I58" s="384" t="s">
        <v>219</v>
      </c>
      <c r="J58" s="349"/>
      <c r="K58" t="s">
        <v>300</v>
      </c>
      <c r="L58" s="349"/>
      <c r="M58" s="384" t="s">
        <v>219</v>
      </c>
      <c r="N58" s="349" t="s">
        <v>300</v>
      </c>
      <c r="O58" s="349"/>
      <c r="Q58" s="349" t="s">
        <v>300</v>
      </c>
      <c r="V58" t="s">
        <v>300</v>
      </c>
      <c r="X58" t="s">
        <v>300</v>
      </c>
      <c r="Z58" s="384" t="s">
        <v>219</v>
      </c>
      <c r="AA58" s="349" t="s">
        <v>300</v>
      </c>
      <c r="AB58" s="349"/>
      <c r="AC58" t="s">
        <v>300</v>
      </c>
      <c r="AH58" s="349"/>
      <c r="AI58" s="384" t="s">
        <v>219</v>
      </c>
      <c r="AK58" s="349"/>
      <c r="AM58" s="384" t="s">
        <v>219</v>
      </c>
      <c r="AN58" t="s">
        <v>300</v>
      </c>
      <c r="AO58" t="s">
        <v>300</v>
      </c>
      <c r="AP58" t="s">
        <v>300</v>
      </c>
      <c r="AQ58" s="384" t="s">
        <v>219</v>
      </c>
      <c r="AV58" s="384" t="s">
        <v>219</v>
      </c>
      <c r="AW58" s="349"/>
      <c r="AY58" s="349"/>
      <c r="BC58" t="s">
        <v>300</v>
      </c>
      <c r="BD58" t="s">
        <v>300</v>
      </c>
      <c r="BI58" s="384" t="s">
        <v>219</v>
      </c>
      <c r="BK58" s="343"/>
    </row>
    <row r="59">
      <c r="BK59" s="343"/>
    </row>
    <row r="60">
      <c r="A60" t="s">
        <v>428</v>
      </c>
      <c r="B60" t="s">
        <v>299</v>
      </c>
      <c r="C60">
        <v>8.0</v>
      </c>
      <c r="D60">
        <v>6.0</v>
      </c>
      <c r="E60" t="s">
        <v>294</v>
      </c>
      <c r="F60" t="s">
        <v>294</v>
      </c>
      <c r="G60" t="s">
        <v>289</v>
      </c>
      <c r="I60" t="s">
        <v>219</v>
      </c>
      <c r="L60" t="s">
        <v>300</v>
      </c>
      <c r="M60" t="s">
        <v>219</v>
      </c>
      <c r="N60" t="s">
        <v>300</v>
      </c>
      <c r="O60" t="s">
        <v>300</v>
      </c>
      <c r="V60" t="s">
        <v>300</v>
      </c>
      <c r="W60" t="s">
        <v>300</v>
      </c>
      <c r="X60" t="s">
        <v>300</v>
      </c>
      <c r="Y60" t="s">
        <v>300</v>
      </c>
      <c r="Z60" t="s">
        <v>219</v>
      </c>
      <c r="AB60" t="s">
        <v>300</v>
      </c>
      <c r="AF60" t="s">
        <v>300</v>
      </c>
      <c r="AH60" t="s">
        <v>300</v>
      </c>
      <c r="AI60" t="s">
        <v>219</v>
      </c>
      <c r="AM60" t="s">
        <v>219</v>
      </c>
      <c r="AP60" t="s">
        <v>300</v>
      </c>
      <c r="AQ60" t="s">
        <v>219</v>
      </c>
      <c r="AR60" t="s">
        <v>300</v>
      </c>
      <c r="AU60" t="s">
        <v>300</v>
      </c>
      <c r="AV60" t="s">
        <v>219</v>
      </c>
      <c r="AW60" t="s">
        <v>300</v>
      </c>
      <c r="AX60" t="s">
        <v>300</v>
      </c>
      <c r="AY60" t="s">
        <v>300</v>
      </c>
      <c r="BD60" t="s">
        <v>300</v>
      </c>
      <c r="BF60" t="s">
        <v>300</v>
      </c>
      <c r="BI60" t="s">
        <v>219</v>
      </c>
      <c r="BJ60" t="s">
        <v>300</v>
      </c>
      <c r="BK60" s="343"/>
    </row>
    <row r="61">
      <c r="A61" t="s">
        <v>429</v>
      </c>
      <c r="B61" t="s">
        <v>289</v>
      </c>
      <c r="C61">
        <v>4.0</v>
      </c>
      <c r="D61">
        <v>2.0</v>
      </c>
      <c r="E61" t="s">
        <v>289</v>
      </c>
      <c r="F61" t="s">
        <v>289</v>
      </c>
      <c r="G61" t="s">
        <v>294</v>
      </c>
      <c r="M61" t="s">
        <v>219</v>
      </c>
      <c r="N61" t="s">
        <v>300</v>
      </c>
      <c r="O61" t="s">
        <v>300</v>
      </c>
      <c r="Z61" t="s">
        <v>219</v>
      </c>
      <c r="AC61" t="s">
        <v>300</v>
      </c>
      <c r="AD61" t="s">
        <v>300</v>
      </c>
      <c r="AE61" t="s">
        <v>300</v>
      </c>
      <c r="AF61" t="s">
        <v>300</v>
      </c>
      <c r="AG61" t="s">
        <v>300</v>
      </c>
      <c r="AH61" t="s">
        <v>300</v>
      </c>
      <c r="AI61" t="s">
        <v>219</v>
      </c>
      <c r="AJ61" t="s">
        <v>300</v>
      </c>
      <c r="AK61" t="s">
        <v>300</v>
      </c>
      <c r="AL61" t="s">
        <v>300</v>
      </c>
      <c r="AM61" t="s">
        <v>219</v>
      </c>
      <c r="AN61" t="s">
        <v>300</v>
      </c>
      <c r="AO61" t="s">
        <v>300</v>
      </c>
      <c r="AQ61" t="s">
        <v>219</v>
      </c>
      <c r="AU61" t="s">
        <v>300</v>
      </c>
      <c r="AV61" t="s">
        <v>300</v>
      </c>
      <c r="BK61" s="343"/>
    </row>
    <row r="62">
      <c r="A62" t="s">
        <v>430</v>
      </c>
      <c r="B62" t="s">
        <v>294</v>
      </c>
      <c r="C62">
        <v>8.0</v>
      </c>
      <c r="D62">
        <v>2.0</v>
      </c>
      <c r="E62" t="s">
        <v>294</v>
      </c>
      <c r="F62" t="s">
        <v>289</v>
      </c>
      <c r="G62" t="s">
        <v>289</v>
      </c>
      <c r="I62" t="s">
        <v>300</v>
      </c>
      <c r="L62" t="s">
        <v>300</v>
      </c>
      <c r="N62" t="s">
        <v>300</v>
      </c>
      <c r="O62" t="s">
        <v>300</v>
      </c>
      <c r="Z62" t="s">
        <v>219</v>
      </c>
      <c r="AB62" t="s">
        <v>300</v>
      </c>
      <c r="AL62" t="s">
        <v>300</v>
      </c>
      <c r="AM62" t="s">
        <v>219</v>
      </c>
      <c r="AQ62" t="s">
        <v>219</v>
      </c>
      <c r="AU62" t="s">
        <v>300</v>
      </c>
      <c r="AX62" t="s">
        <v>300</v>
      </c>
      <c r="BF62" t="s">
        <v>300</v>
      </c>
      <c r="BG62" t="s">
        <v>300</v>
      </c>
      <c r="BK62" s="343"/>
    </row>
    <row r="63">
      <c r="A63" t="s">
        <v>431</v>
      </c>
      <c r="B63" t="s">
        <v>294</v>
      </c>
      <c r="C63">
        <v>8.0</v>
      </c>
      <c r="D63">
        <v>4.0</v>
      </c>
      <c r="E63" t="s">
        <v>294</v>
      </c>
      <c r="F63" t="s">
        <v>294</v>
      </c>
      <c r="G63" t="s">
        <v>294</v>
      </c>
      <c r="I63" t="s">
        <v>300</v>
      </c>
      <c r="J63" t="s">
        <v>300</v>
      </c>
      <c r="L63" t="s">
        <v>300</v>
      </c>
      <c r="M63" t="s">
        <v>219</v>
      </c>
      <c r="N63" t="s">
        <v>300</v>
      </c>
      <c r="O63" t="s">
        <v>300</v>
      </c>
      <c r="Q63" t="s">
        <v>300</v>
      </c>
      <c r="T63" t="s">
        <v>300</v>
      </c>
      <c r="Y63" t="s">
        <v>300</v>
      </c>
      <c r="Z63" t="s">
        <v>219</v>
      </c>
      <c r="AA63" t="s">
        <v>300</v>
      </c>
      <c r="AC63" t="s">
        <v>300</v>
      </c>
      <c r="AI63" t="s">
        <v>219</v>
      </c>
      <c r="AL63" t="s">
        <v>300</v>
      </c>
      <c r="AM63" t="s">
        <v>219</v>
      </c>
      <c r="AN63" t="s">
        <v>300</v>
      </c>
      <c r="AP63" t="s">
        <v>300</v>
      </c>
      <c r="AQ63" t="s">
        <v>219</v>
      </c>
      <c r="AR63" t="s">
        <v>300</v>
      </c>
      <c r="AT63" t="s">
        <v>300</v>
      </c>
      <c r="AU63" t="s">
        <v>300</v>
      </c>
      <c r="AY63" t="s">
        <v>300</v>
      </c>
      <c r="BD63" t="s">
        <v>300</v>
      </c>
      <c r="BF63" t="s">
        <v>300</v>
      </c>
      <c r="BG63" t="s">
        <v>300</v>
      </c>
      <c r="BI63" t="s">
        <v>219</v>
      </c>
      <c r="BK63" s="343"/>
    </row>
    <row r="64">
      <c r="A64" t="s">
        <v>432</v>
      </c>
      <c r="B64" t="s">
        <v>299</v>
      </c>
      <c r="C64">
        <v>10.0</v>
      </c>
      <c r="D64">
        <v>2.0</v>
      </c>
      <c r="E64" t="s">
        <v>294</v>
      </c>
      <c r="F64" t="s">
        <v>289</v>
      </c>
      <c r="G64" t="s">
        <v>289</v>
      </c>
      <c r="I64" t="s">
        <v>219</v>
      </c>
      <c r="M64" t="s">
        <v>219</v>
      </c>
      <c r="Q64" t="s">
        <v>300</v>
      </c>
      <c r="W64" t="s">
        <v>300</v>
      </c>
      <c r="Z64" t="s">
        <v>219</v>
      </c>
      <c r="AA64" t="s">
        <v>300</v>
      </c>
      <c r="AB64" t="s">
        <v>300</v>
      </c>
      <c r="AI64" t="s">
        <v>219</v>
      </c>
      <c r="AJ64" t="s">
        <v>300</v>
      </c>
      <c r="AM64" t="s">
        <v>219</v>
      </c>
      <c r="AP64" t="s">
        <v>300</v>
      </c>
      <c r="AQ64" t="s">
        <v>219</v>
      </c>
      <c r="AU64" t="s">
        <v>300</v>
      </c>
      <c r="AV64" t="s">
        <v>219</v>
      </c>
      <c r="AW64" t="s">
        <v>300</v>
      </c>
      <c r="BE64" t="s">
        <v>300</v>
      </c>
      <c r="BF64" t="s">
        <v>300</v>
      </c>
      <c r="BI64" t="s">
        <v>219</v>
      </c>
      <c r="BK64" s="343"/>
    </row>
    <row r="65">
      <c r="A65" t="s">
        <v>433</v>
      </c>
      <c r="B65" t="s">
        <v>294</v>
      </c>
      <c r="C65">
        <v>6.0</v>
      </c>
      <c r="D65">
        <v>2.0</v>
      </c>
      <c r="E65" t="s">
        <v>289</v>
      </c>
      <c r="F65" t="s">
        <v>289</v>
      </c>
      <c r="G65" t="s">
        <v>294</v>
      </c>
      <c r="I65" t="s">
        <v>219</v>
      </c>
      <c r="K65" t="s">
        <v>300</v>
      </c>
      <c r="M65" t="s">
        <v>219</v>
      </c>
      <c r="N65" t="s">
        <v>300</v>
      </c>
      <c r="O65" t="s">
        <v>300</v>
      </c>
      <c r="S65" t="s">
        <v>300</v>
      </c>
      <c r="Z65" t="s">
        <v>219</v>
      </c>
      <c r="AA65" t="s">
        <v>300</v>
      </c>
      <c r="AB65" t="s">
        <v>300</v>
      </c>
      <c r="AC65" t="s">
        <v>300</v>
      </c>
      <c r="AI65" t="s">
        <v>219</v>
      </c>
      <c r="AM65" t="s">
        <v>219</v>
      </c>
      <c r="AN65" t="s">
        <v>300</v>
      </c>
      <c r="AO65" t="s">
        <v>300</v>
      </c>
      <c r="AQ65" t="s">
        <v>219</v>
      </c>
      <c r="AU65" t="s">
        <v>300</v>
      </c>
      <c r="AV65" t="s">
        <v>219</v>
      </c>
      <c r="AY65" t="s">
        <v>300</v>
      </c>
      <c r="BC65" t="s">
        <v>300</v>
      </c>
      <c r="BH65" t="s">
        <v>300</v>
      </c>
      <c r="BI65" t="s">
        <v>219</v>
      </c>
      <c r="BK65" s="343"/>
    </row>
    <row r="66">
      <c r="A66" t="s">
        <v>434</v>
      </c>
      <c r="B66" t="s">
        <v>289</v>
      </c>
      <c r="C66">
        <v>4.0</v>
      </c>
      <c r="D66">
        <v>2.0</v>
      </c>
      <c r="E66" t="s">
        <v>289</v>
      </c>
      <c r="F66" t="s">
        <v>289</v>
      </c>
      <c r="G66" t="s">
        <v>294</v>
      </c>
      <c r="I66" t="s">
        <v>219</v>
      </c>
      <c r="M66" t="s">
        <v>219</v>
      </c>
      <c r="N66" t="s">
        <v>300</v>
      </c>
      <c r="O66" t="s">
        <v>300</v>
      </c>
      <c r="P66" t="s">
        <v>300</v>
      </c>
      <c r="Z66" t="s">
        <v>219</v>
      </c>
      <c r="AC66" t="s">
        <v>300</v>
      </c>
      <c r="AD66" t="s">
        <v>300</v>
      </c>
      <c r="AE66" t="s">
        <v>300</v>
      </c>
      <c r="AF66" t="s">
        <v>300</v>
      </c>
      <c r="AG66" t="s">
        <v>300</v>
      </c>
      <c r="AH66" t="s">
        <v>300</v>
      </c>
      <c r="AI66" t="s">
        <v>219</v>
      </c>
      <c r="AJ66" t="s">
        <v>300</v>
      </c>
      <c r="AK66" t="s">
        <v>300</v>
      </c>
      <c r="AM66" t="s">
        <v>219</v>
      </c>
      <c r="AN66" t="s">
        <v>300</v>
      </c>
      <c r="AO66" t="s">
        <v>300</v>
      </c>
      <c r="AQ66" t="s">
        <v>219</v>
      </c>
      <c r="AU66" t="s">
        <v>300</v>
      </c>
      <c r="AV66" t="s">
        <v>219</v>
      </c>
      <c r="BC66" t="s">
        <v>300</v>
      </c>
      <c r="BH66" t="s">
        <v>300</v>
      </c>
      <c r="BI66" t="s">
        <v>219</v>
      </c>
      <c r="BK66" s="343"/>
    </row>
    <row r="67">
      <c r="A67" t="s">
        <v>435</v>
      </c>
      <c r="B67" t="s">
        <v>299</v>
      </c>
      <c r="C67">
        <v>10.0</v>
      </c>
      <c r="D67">
        <v>4.0</v>
      </c>
      <c r="E67" t="s">
        <v>294</v>
      </c>
      <c r="F67" t="s">
        <v>289</v>
      </c>
      <c r="G67" t="s">
        <v>289</v>
      </c>
      <c r="I67" t="s">
        <v>219</v>
      </c>
      <c r="L67" t="s">
        <v>300</v>
      </c>
      <c r="M67" t="s">
        <v>219</v>
      </c>
      <c r="N67" t="s">
        <v>300</v>
      </c>
      <c r="O67" t="s">
        <v>300</v>
      </c>
      <c r="P67" t="s">
        <v>300</v>
      </c>
      <c r="V67" t="s">
        <v>300</v>
      </c>
      <c r="X67" t="s">
        <v>300</v>
      </c>
      <c r="Y67" t="s">
        <v>300</v>
      </c>
      <c r="Z67" t="s">
        <v>219</v>
      </c>
      <c r="AB67" t="s">
        <v>300</v>
      </c>
      <c r="AI67" t="s">
        <v>219</v>
      </c>
      <c r="AM67" t="s">
        <v>219</v>
      </c>
      <c r="AN67" t="s">
        <v>300</v>
      </c>
      <c r="AQ67" t="s">
        <v>219</v>
      </c>
      <c r="AR67" t="s">
        <v>300</v>
      </c>
      <c r="AU67" t="s">
        <v>300</v>
      </c>
      <c r="AV67" t="s">
        <v>219</v>
      </c>
      <c r="AX67" t="s">
        <v>300</v>
      </c>
      <c r="AY67" t="s">
        <v>300</v>
      </c>
      <c r="BF67" t="s">
        <v>300</v>
      </c>
      <c r="BI67" t="s">
        <v>219</v>
      </c>
      <c r="BK67" s="343"/>
    </row>
    <row r="68">
      <c r="A68" t="s">
        <v>436</v>
      </c>
      <c r="B68" t="s">
        <v>299</v>
      </c>
      <c r="C68">
        <v>8.0</v>
      </c>
      <c r="D68">
        <v>2.0</v>
      </c>
      <c r="E68" t="s">
        <v>294</v>
      </c>
      <c r="F68" t="s">
        <v>289</v>
      </c>
      <c r="G68" t="s">
        <v>294</v>
      </c>
      <c r="I68" t="s">
        <v>219</v>
      </c>
      <c r="L68" t="s">
        <v>300</v>
      </c>
      <c r="M68" t="s">
        <v>219</v>
      </c>
      <c r="N68" t="s">
        <v>300</v>
      </c>
      <c r="Z68" t="s">
        <v>219</v>
      </c>
      <c r="AB68" t="s">
        <v>300</v>
      </c>
      <c r="AC68" t="s">
        <v>300</v>
      </c>
      <c r="AD68" t="s">
        <v>300</v>
      </c>
      <c r="AE68" t="s">
        <v>300</v>
      </c>
      <c r="AF68" t="s">
        <v>300</v>
      </c>
      <c r="AG68" t="s">
        <v>300</v>
      </c>
      <c r="AH68" t="s">
        <v>300</v>
      </c>
      <c r="AI68" t="s">
        <v>219</v>
      </c>
      <c r="AJ68" t="s">
        <v>300</v>
      </c>
      <c r="AK68" t="s">
        <v>300</v>
      </c>
      <c r="AL68" t="s">
        <v>300</v>
      </c>
      <c r="AM68" t="s">
        <v>219</v>
      </c>
      <c r="AN68" t="s">
        <v>300</v>
      </c>
      <c r="AO68" t="s">
        <v>300</v>
      </c>
      <c r="AQ68" t="s">
        <v>219</v>
      </c>
      <c r="AV68" t="s">
        <v>219</v>
      </c>
      <c r="BC68" t="s">
        <v>300</v>
      </c>
      <c r="BI68" t="s">
        <v>219</v>
      </c>
      <c r="BK68" s="343"/>
    </row>
    <row r="69">
      <c r="A69" t="s">
        <v>437</v>
      </c>
      <c r="B69" t="s">
        <v>294</v>
      </c>
      <c r="C69">
        <v>6.0</v>
      </c>
      <c r="D69">
        <v>6.0</v>
      </c>
      <c r="E69" t="s">
        <v>289</v>
      </c>
      <c r="F69" t="s">
        <v>289</v>
      </c>
      <c r="G69" t="s">
        <v>294</v>
      </c>
      <c r="H69" t="s">
        <v>300</v>
      </c>
      <c r="I69" t="s">
        <v>219</v>
      </c>
      <c r="K69" t="s">
        <v>300</v>
      </c>
      <c r="M69" t="s">
        <v>219</v>
      </c>
      <c r="N69" t="s">
        <v>300</v>
      </c>
      <c r="O69" t="s">
        <v>300</v>
      </c>
      <c r="P69" t="s">
        <v>300</v>
      </c>
      <c r="R69" t="s">
        <v>300</v>
      </c>
      <c r="T69" t="s">
        <v>300</v>
      </c>
      <c r="V69" t="s">
        <v>300</v>
      </c>
      <c r="Y69" t="s">
        <v>300</v>
      </c>
      <c r="Z69" t="s">
        <v>219</v>
      </c>
      <c r="AB69" t="s">
        <v>300</v>
      </c>
      <c r="AC69" t="s">
        <v>300</v>
      </c>
      <c r="AH69" t="s">
        <v>300</v>
      </c>
      <c r="AI69" t="s">
        <v>219</v>
      </c>
      <c r="AM69" t="s">
        <v>219</v>
      </c>
      <c r="AP69" t="s">
        <v>300</v>
      </c>
      <c r="AQ69" t="s">
        <v>219</v>
      </c>
      <c r="AR69" t="s">
        <v>300</v>
      </c>
      <c r="AS69" t="s">
        <v>300</v>
      </c>
      <c r="AV69" t="s">
        <v>219</v>
      </c>
      <c r="AX69" t="s">
        <v>300</v>
      </c>
      <c r="BB69" t="s">
        <v>300</v>
      </c>
      <c r="BC69" t="s">
        <v>300</v>
      </c>
      <c r="BD69" t="s">
        <v>300</v>
      </c>
      <c r="BF69" t="s">
        <v>300</v>
      </c>
      <c r="BG69" t="s">
        <v>300</v>
      </c>
      <c r="BH69" t="s">
        <v>300</v>
      </c>
      <c r="BI69" t="s">
        <v>219</v>
      </c>
      <c r="BK69" s="343"/>
    </row>
    <row r="70">
      <c r="A70" t="s">
        <v>438</v>
      </c>
      <c r="B70" t="s">
        <v>299</v>
      </c>
      <c r="C70">
        <v>8.0</v>
      </c>
      <c r="D70">
        <v>4.0</v>
      </c>
      <c r="E70" t="s">
        <v>294</v>
      </c>
      <c r="F70" t="s">
        <v>289</v>
      </c>
      <c r="G70" t="s">
        <v>289</v>
      </c>
      <c r="I70" t="s">
        <v>219</v>
      </c>
      <c r="J70" t="s">
        <v>300</v>
      </c>
      <c r="M70" t="s">
        <v>219</v>
      </c>
      <c r="W70" t="s">
        <v>300</v>
      </c>
      <c r="Z70" t="s">
        <v>219</v>
      </c>
      <c r="AB70" t="s">
        <v>300</v>
      </c>
      <c r="AI70" t="s">
        <v>219</v>
      </c>
      <c r="AJ70" t="s">
        <v>300</v>
      </c>
      <c r="AM70" t="s">
        <v>219</v>
      </c>
      <c r="AP70" t="s">
        <v>300</v>
      </c>
      <c r="AQ70" t="s">
        <v>219</v>
      </c>
      <c r="AR70" t="s">
        <v>300</v>
      </c>
      <c r="AV70" t="s">
        <v>219</v>
      </c>
      <c r="AW70" t="s">
        <v>300</v>
      </c>
      <c r="BD70" t="s">
        <v>300</v>
      </c>
      <c r="BE70" t="s">
        <v>300</v>
      </c>
      <c r="BF70" t="s">
        <v>300</v>
      </c>
      <c r="BI70" t="s">
        <v>219</v>
      </c>
      <c r="BK70" s="343"/>
    </row>
    <row r="71">
      <c r="A71" t="s">
        <v>439</v>
      </c>
      <c r="B71" t="s">
        <v>294</v>
      </c>
      <c r="C71">
        <v>6.0</v>
      </c>
      <c r="D71">
        <v>4.0</v>
      </c>
      <c r="E71" t="s">
        <v>289</v>
      </c>
      <c r="F71" t="s">
        <v>294</v>
      </c>
      <c r="G71" t="s">
        <v>289</v>
      </c>
      <c r="I71" t="s">
        <v>219</v>
      </c>
      <c r="J71" t="s">
        <v>300</v>
      </c>
      <c r="K71" t="s">
        <v>300</v>
      </c>
      <c r="L71" t="s">
        <v>300</v>
      </c>
      <c r="M71" t="s">
        <v>219</v>
      </c>
      <c r="O71" t="s">
        <v>300</v>
      </c>
      <c r="P71" t="s">
        <v>300</v>
      </c>
      <c r="Q71" t="s">
        <v>300</v>
      </c>
      <c r="R71" t="s">
        <v>300</v>
      </c>
      <c r="S71" t="s">
        <v>300</v>
      </c>
      <c r="T71" t="s">
        <v>300</v>
      </c>
      <c r="U71" t="s">
        <v>300</v>
      </c>
      <c r="V71" t="s">
        <v>300</v>
      </c>
      <c r="Y71" t="s">
        <v>300</v>
      </c>
      <c r="Z71" t="s">
        <v>219</v>
      </c>
      <c r="AA71" t="s">
        <v>300</v>
      </c>
      <c r="AB71" t="s">
        <v>300</v>
      </c>
      <c r="AI71" t="s">
        <v>219</v>
      </c>
      <c r="AM71" t="s">
        <v>219</v>
      </c>
      <c r="AP71" t="s">
        <v>300</v>
      </c>
      <c r="AQ71" t="s">
        <v>219</v>
      </c>
      <c r="AR71" t="s">
        <v>300</v>
      </c>
      <c r="AS71" t="s">
        <v>300</v>
      </c>
      <c r="AV71" t="s">
        <v>219</v>
      </c>
      <c r="AX71" t="s">
        <v>300</v>
      </c>
      <c r="AY71" t="s">
        <v>300</v>
      </c>
      <c r="BA71" t="s">
        <v>300</v>
      </c>
      <c r="BD71" t="s">
        <v>300</v>
      </c>
      <c r="BF71" t="s">
        <v>300</v>
      </c>
      <c r="BG71" t="s">
        <v>300</v>
      </c>
      <c r="BH71" t="s">
        <v>300</v>
      </c>
      <c r="BI71" t="s">
        <v>219</v>
      </c>
      <c r="BJ71" t="s">
        <v>300</v>
      </c>
      <c r="BK71" s="343"/>
    </row>
    <row r="72">
      <c r="A72" t="s">
        <v>440</v>
      </c>
      <c r="B72" t="s">
        <v>299</v>
      </c>
      <c r="C72">
        <v>10.0</v>
      </c>
      <c r="D72">
        <v>4.0</v>
      </c>
      <c r="E72" t="s">
        <v>294</v>
      </c>
      <c r="F72" t="s">
        <v>294</v>
      </c>
      <c r="G72" t="s">
        <v>289</v>
      </c>
      <c r="I72" t="s">
        <v>219</v>
      </c>
      <c r="L72" t="s">
        <v>300</v>
      </c>
      <c r="M72" t="s">
        <v>219</v>
      </c>
      <c r="W72" t="s">
        <v>300</v>
      </c>
      <c r="X72" t="s">
        <v>300</v>
      </c>
      <c r="Y72" t="s">
        <v>300</v>
      </c>
      <c r="Z72" t="s">
        <v>219</v>
      </c>
      <c r="AB72" t="s">
        <v>300</v>
      </c>
      <c r="AI72" t="s">
        <v>219</v>
      </c>
      <c r="AJ72" t="s">
        <v>300</v>
      </c>
      <c r="AM72" t="s">
        <v>219</v>
      </c>
      <c r="AP72" t="s">
        <v>300</v>
      </c>
      <c r="AQ72" t="s">
        <v>219</v>
      </c>
      <c r="AV72" t="s">
        <v>219</v>
      </c>
      <c r="AW72" t="s">
        <v>300</v>
      </c>
      <c r="BD72" t="s">
        <v>300</v>
      </c>
      <c r="BE72" t="s">
        <v>300</v>
      </c>
      <c r="BF72" t="s">
        <v>300</v>
      </c>
      <c r="BI72" t="s">
        <v>219</v>
      </c>
      <c r="BK72" s="343"/>
    </row>
    <row r="73">
      <c r="A73" t="s">
        <v>441</v>
      </c>
      <c r="B73" t="s">
        <v>299</v>
      </c>
      <c r="C73">
        <v>10.0</v>
      </c>
      <c r="D73">
        <v>2.0</v>
      </c>
      <c r="E73" t="s">
        <v>294</v>
      </c>
      <c r="F73" t="s">
        <v>289</v>
      </c>
      <c r="G73" t="s">
        <v>289</v>
      </c>
      <c r="I73" t="s">
        <v>219</v>
      </c>
      <c r="M73" t="s">
        <v>219</v>
      </c>
      <c r="N73" t="s">
        <v>300</v>
      </c>
      <c r="O73" t="s">
        <v>300</v>
      </c>
      <c r="Q73" t="s">
        <v>300</v>
      </c>
      <c r="W73" t="s">
        <v>300</v>
      </c>
      <c r="X73" t="s">
        <v>300</v>
      </c>
      <c r="Y73" t="s">
        <v>300</v>
      </c>
      <c r="Z73" t="s">
        <v>219</v>
      </c>
      <c r="AA73" t="s">
        <v>300</v>
      </c>
      <c r="AI73" t="s">
        <v>219</v>
      </c>
      <c r="AM73" t="s">
        <v>219</v>
      </c>
      <c r="AN73" t="s">
        <v>300</v>
      </c>
      <c r="AQ73" t="s">
        <v>219</v>
      </c>
      <c r="AU73" t="s">
        <v>300</v>
      </c>
      <c r="AV73" t="s">
        <v>219</v>
      </c>
      <c r="AW73" t="s">
        <v>300</v>
      </c>
      <c r="BI73" t="s">
        <v>219</v>
      </c>
      <c r="BK73" s="343"/>
    </row>
    <row r="74">
      <c r="A74" t="s">
        <v>442</v>
      </c>
      <c r="B74" t="s">
        <v>289</v>
      </c>
      <c r="C74">
        <v>6.0</v>
      </c>
      <c r="D74">
        <v>2.0</v>
      </c>
      <c r="E74" t="s">
        <v>294</v>
      </c>
      <c r="F74" t="s">
        <v>289</v>
      </c>
      <c r="G74" t="s">
        <v>289</v>
      </c>
      <c r="I74" t="s">
        <v>219</v>
      </c>
      <c r="K74" t="s">
        <v>300</v>
      </c>
      <c r="M74" t="s">
        <v>219</v>
      </c>
      <c r="N74" t="s">
        <v>300</v>
      </c>
      <c r="O74" t="s">
        <v>300</v>
      </c>
      <c r="X74" t="s">
        <v>300</v>
      </c>
      <c r="Z74" t="s">
        <v>219</v>
      </c>
      <c r="AI74" t="s">
        <v>219</v>
      </c>
      <c r="AM74" t="s">
        <v>219</v>
      </c>
      <c r="AV74" t="s">
        <v>219</v>
      </c>
      <c r="BC74" t="s">
        <v>300</v>
      </c>
      <c r="BI74" t="s">
        <v>219</v>
      </c>
      <c r="BK74" s="343"/>
    </row>
    <row r="75">
      <c r="A75" t="s">
        <v>443</v>
      </c>
      <c r="B75" t="s">
        <v>299</v>
      </c>
      <c r="C75">
        <v>8.0</v>
      </c>
      <c r="D75">
        <v>4.0</v>
      </c>
      <c r="E75" t="s">
        <v>289</v>
      </c>
      <c r="F75" t="s">
        <v>294</v>
      </c>
      <c r="G75" t="s">
        <v>289</v>
      </c>
      <c r="I75" t="s">
        <v>219</v>
      </c>
      <c r="J75" t="s">
        <v>300</v>
      </c>
      <c r="L75" t="s">
        <v>300</v>
      </c>
      <c r="M75" t="s">
        <v>219</v>
      </c>
      <c r="O75" t="s">
        <v>300</v>
      </c>
      <c r="T75" t="s">
        <v>300</v>
      </c>
      <c r="Y75" t="s">
        <v>300</v>
      </c>
      <c r="Z75" t="s">
        <v>219</v>
      </c>
      <c r="AB75" t="s">
        <v>300</v>
      </c>
      <c r="AI75" t="s">
        <v>219</v>
      </c>
      <c r="AJ75" t="s">
        <v>300</v>
      </c>
      <c r="AM75" t="s">
        <v>219</v>
      </c>
      <c r="AP75" t="s">
        <v>300</v>
      </c>
      <c r="AQ75" t="s">
        <v>219</v>
      </c>
      <c r="AR75" t="s">
        <v>300</v>
      </c>
      <c r="AV75" t="s">
        <v>219</v>
      </c>
      <c r="BD75" t="s">
        <v>300</v>
      </c>
      <c r="BE75" t="s">
        <v>300</v>
      </c>
      <c r="BF75" t="s">
        <v>300</v>
      </c>
      <c r="BI75" t="s">
        <v>219</v>
      </c>
      <c r="BK75" s="343"/>
    </row>
    <row r="76">
      <c r="A76" t="s">
        <v>444</v>
      </c>
      <c r="B76" t="s">
        <v>299</v>
      </c>
      <c r="C76">
        <v>8.0</v>
      </c>
      <c r="D76">
        <v>6.0</v>
      </c>
      <c r="E76" t="s">
        <v>289</v>
      </c>
      <c r="F76" t="s">
        <v>294</v>
      </c>
      <c r="G76" t="s">
        <v>289</v>
      </c>
      <c r="I76" t="s">
        <v>219</v>
      </c>
      <c r="L76" t="s">
        <v>300</v>
      </c>
      <c r="M76" t="s">
        <v>219</v>
      </c>
      <c r="O76" t="s">
        <v>300</v>
      </c>
      <c r="R76" t="s">
        <v>300</v>
      </c>
      <c r="S76" t="s">
        <v>300</v>
      </c>
      <c r="T76" t="s">
        <v>300</v>
      </c>
      <c r="Y76" t="s">
        <v>300</v>
      </c>
      <c r="Z76" t="s">
        <v>219</v>
      </c>
      <c r="AB76" t="s">
        <v>300</v>
      </c>
      <c r="AF76" t="s">
        <v>300</v>
      </c>
      <c r="AI76" t="s">
        <v>219</v>
      </c>
      <c r="AM76" t="s">
        <v>219</v>
      </c>
      <c r="AP76" t="s">
        <v>300</v>
      </c>
      <c r="AQ76" t="s">
        <v>219</v>
      </c>
      <c r="AR76" t="s">
        <v>300</v>
      </c>
      <c r="AS76" t="s">
        <v>300</v>
      </c>
      <c r="AU76" t="s">
        <v>300</v>
      </c>
      <c r="AV76" t="s">
        <v>219</v>
      </c>
      <c r="AX76" t="s">
        <v>300</v>
      </c>
      <c r="BD76" t="s">
        <v>300</v>
      </c>
      <c r="BF76" t="s">
        <v>300</v>
      </c>
      <c r="BI76" t="s">
        <v>219</v>
      </c>
      <c r="BJ76" t="s">
        <v>300</v>
      </c>
      <c r="BK76" s="343"/>
    </row>
    <row r="77">
      <c r="A77" t="s">
        <v>445</v>
      </c>
      <c r="B77" t="s">
        <v>299</v>
      </c>
      <c r="C77">
        <v>6.0</v>
      </c>
      <c r="D77">
        <v>2.0</v>
      </c>
      <c r="E77" t="s">
        <v>294</v>
      </c>
      <c r="F77" t="s">
        <v>289</v>
      </c>
      <c r="G77" t="s">
        <v>289</v>
      </c>
      <c r="I77" t="s">
        <v>219</v>
      </c>
      <c r="M77" t="s">
        <v>219</v>
      </c>
      <c r="N77" t="s">
        <v>300</v>
      </c>
      <c r="O77" t="s">
        <v>300</v>
      </c>
      <c r="P77" t="s">
        <v>300</v>
      </c>
      <c r="Z77" t="s">
        <v>219</v>
      </c>
      <c r="AB77" t="s">
        <v>300</v>
      </c>
      <c r="AC77" t="s">
        <v>300</v>
      </c>
      <c r="AI77" t="s">
        <v>219</v>
      </c>
      <c r="AK77" t="s">
        <v>300</v>
      </c>
      <c r="AM77" t="s">
        <v>219</v>
      </c>
      <c r="AQ77" t="s">
        <v>219</v>
      </c>
      <c r="AV77" t="s">
        <v>219</v>
      </c>
      <c r="AW77" t="s">
        <v>300</v>
      </c>
      <c r="AY77" t="s">
        <v>300</v>
      </c>
      <c r="BC77" t="s">
        <v>300</v>
      </c>
      <c r="BF77" t="s">
        <v>300</v>
      </c>
      <c r="BI77" t="s">
        <v>219</v>
      </c>
      <c r="BK77" s="343"/>
    </row>
    <row r="78">
      <c r="A78" t="s">
        <v>415</v>
      </c>
      <c r="B78" t="s">
        <v>299</v>
      </c>
      <c r="C78">
        <v>12.0</v>
      </c>
      <c r="D78">
        <v>2.0</v>
      </c>
      <c r="E78" t="s">
        <v>294</v>
      </c>
      <c r="F78" t="s">
        <v>289</v>
      </c>
      <c r="G78" t="s">
        <v>289</v>
      </c>
      <c r="I78" t="s">
        <v>219</v>
      </c>
      <c r="L78" t="s">
        <v>300</v>
      </c>
      <c r="M78" t="s">
        <v>219</v>
      </c>
      <c r="Z78" t="s">
        <v>219</v>
      </c>
      <c r="AA78" t="s">
        <v>300</v>
      </c>
      <c r="AB78" t="s">
        <v>300</v>
      </c>
      <c r="AI78" t="s">
        <v>219</v>
      </c>
      <c r="AM78" t="s">
        <v>219</v>
      </c>
      <c r="AQ78" t="s">
        <v>219</v>
      </c>
      <c r="AV78" t="s">
        <v>219</v>
      </c>
      <c r="AW78" t="s">
        <v>300</v>
      </c>
      <c r="BF78" t="s">
        <v>300</v>
      </c>
      <c r="BI78" t="s">
        <v>219</v>
      </c>
      <c r="BK78" s="343"/>
    </row>
    <row r="79">
      <c r="A79" t="s">
        <v>446</v>
      </c>
      <c r="B79" t="s">
        <v>299</v>
      </c>
      <c r="C79">
        <v>8.0</v>
      </c>
      <c r="D79">
        <v>4.0</v>
      </c>
      <c r="E79" t="s">
        <v>289</v>
      </c>
      <c r="F79" t="s">
        <v>294</v>
      </c>
      <c r="G79" t="s">
        <v>289</v>
      </c>
      <c r="I79" t="s">
        <v>219</v>
      </c>
      <c r="M79" t="s">
        <v>219</v>
      </c>
      <c r="W79" t="s">
        <v>300</v>
      </c>
      <c r="Z79" t="s">
        <v>219</v>
      </c>
      <c r="AI79" t="s">
        <v>219</v>
      </c>
      <c r="AM79" t="s">
        <v>219</v>
      </c>
      <c r="AP79" t="s">
        <v>300</v>
      </c>
      <c r="AQ79" t="s">
        <v>219</v>
      </c>
      <c r="AV79" t="s">
        <v>219</v>
      </c>
      <c r="AW79" t="s">
        <v>300</v>
      </c>
      <c r="BD79" t="s">
        <v>300</v>
      </c>
      <c r="BE79" t="s">
        <v>300</v>
      </c>
      <c r="BI79" t="s">
        <v>219</v>
      </c>
      <c r="BK79" s="343"/>
    </row>
    <row r="80">
      <c r="A80" t="s">
        <v>447</v>
      </c>
      <c r="B80" t="s">
        <v>299</v>
      </c>
      <c r="C80">
        <v>8.0</v>
      </c>
      <c r="D80">
        <v>2.0</v>
      </c>
      <c r="E80" t="s">
        <v>294</v>
      </c>
      <c r="F80" t="s">
        <v>289</v>
      </c>
      <c r="G80" t="s">
        <v>289</v>
      </c>
      <c r="I80" t="s">
        <v>219</v>
      </c>
      <c r="M80" t="s">
        <v>219</v>
      </c>
      <c r="N80" t="s">
        <v>300</v>
      </c>
      <c r="O80" t="s">
        <v>300</v>
      </c>
      <c r="Z80" t="s">
        <v>219</v>
      </c>
      <c r="AA80" t="s">
        <v>300</v>
      </c>
      <c r="AC80" t="s">
        <v>300</v>
      </c>
      <c r="AF80" t="s">
        <v>300</v>
      </c>
      <c r="AI80" t="s">
        <v>219</v>
      </c>
      <c r="AM80" t="s">
        <v>219</v>
      </c>
      <c r="AQ80" t="s">
        <v>219</v>
      </c>
      <c r="AV80" t="s">
        <v>219</v>
      </c>
      <c r="AW80" t="s">
        <v>300</v>
      </c>
      <c r="BC80" t="s">
        <v>300</v>
      </c>
      <c r="BD80" t="s">
        <v>300</v>
      </c>
      <c r="BI80" t="s">
        <v>219</v>
      </c>
      <c r="BK80" s="343"/>
    </row>
    <row r="81">
      <c r="A81" t="s">
        <v>448</v>
      </c>
      <c r="B81" t="s">
        <v>289</v>
      </c>
      <c r="C81">
        <v>4.0</v>
      </c>
      <c r="D81">
        <v>2.0</v>
      </c>
      <c r="E81" t="s">
        <v>289</v>
      </c>
      <c r="F81" t="s">
        <v>289</v>
      </c>
      <c r="G81" t="s">
        <v>294</v>
      </c>
      <c r="I81" t="s">
        <v>219</v>
      </c>
      <c r="M81" t="s">
        <v>219</v>
      </c>
      <c r="N81" t="s">
        <v>300</v>
      </c>
      <c r="O81" t="s">
        <v>300</v>
      </c>
      <c r="P81" t="s">
        <v>300</v>
      </c>
      <c r="Z81" t="s">
        <v>219</v>
      </c>
      <c r="AC81" t="s">
        <v>300</v>
      </c>
      <c r="AD81" t="s">
        <v>300</v>
      </c>
      <c r="AE81" t="s">
        <v>300</v>
      </c>
      <c r="AF81" t="s">
        <v>300</v>
      </c>
      <c r="AG81" t="s">
        <v>300</v>
      </c>
      <c r="AH81" t="s">
        <v>300</v>
      </c>
      <c r="AI81" t="s">
        <v>219</v>
      </c>
      <c r="AJ81" t="s">
        <v>300</v>
      </c>
      <c r="AK81" t="s">
        <v>300</v>
      </c>
      <c r="AM81" t="s">
        <v>219</v>
      </c>
      <c r="AN81" t="s">
        <v>300</v>
      </c>
      <c r="AO81" t="s">
        <v>300</v>
      </c>
      <c r="AQ81" t="s">
        <v>219</v>
      </c>
      <c r="AU81" t="s">
        <v>300</v>
      </c>
      <c r="AV81" t="s">
        <v>219</v>
      </c>
      <c r="BC81" t="s">
        <v>300</v>
      </c>
      <c r="BI81" t="s">
        <v>219</v>
      </c>
      <c r="BK81" s="343"/>
    </row>
    <row r="82">
      <c r="A82" t="s">
        <v>449</v>
      </c>
      <c r="B82" t="s">
        <v>289</v>
      </c>
      <c r="C82">
        <v>4.0</v>
      </c>
      <c r="D82">
        <v>2.0</v>
      </c>
      <c r="E82" t="s">
        <v>289</v>
      </c>
      <c r="F82" t="s">
        <v>289</v>
      </c>
      <c r="G82" t="s">
        <v>294</v>
      </c>
      <c r="I82" t="s">
        <v>219</v>
      </c>
      <c r="M82" t="s">
        <v>219</v>
      </c>
      <c r="N82" t="s">
        <v>300</v>
      </c>
      <c r="O82" t="s">
        <v>300</v>
      </c>
      <c r="P82" t="s">
        <v>300</v>
      </c>
      <c r="Z82" t="s">
        <v>219</v>
      </c>
      <c r="AC82" t="s">
        <v>300</v>
      </c>
      <c r="AI82" t="s">
        <v>219</v>
      </c>
      <c r="AM82" t="s">
        <v>219</v>
      </c>
      <c r="AN82" t="s">
        <v>300</v>
      </c>
      <c r="AQ82" t="s">
        <v>219</v>
      </c>
      <c r="AU82" t="s">
        <v>300</v>
      </c>
      <c r="AV82" t="s">
        <v>219</v>
      </c>
      <c r="AY82" t="s">
        <v>300</v>
      </c>
      <c r="BC82" t="s">
        <v>300</v>
      </c>
      <c r="BI82" t="s">
        <v>219</v>
      </c>
      <c r="BK82" s="343"/>
    </row>
    <row r="83">
      <c r="A83" t="s">
        <v>450</v>
      </c>
      <c r="B83" t="s">
        <v>299</v>
      </c>
      <c r="C83">
        <v>8.0</v>
      </c>
      <c r="D83">
        <v>2.0</v>
      </c>
      <c r="E83" t="s">
        <v>289</v>
      </c>
      <c r="F83" t="s">
        <v>294</v>
      </c>
      <c r="G83" t="s">
        <v>294</v>
      </c>
      <c r="I83" t="s">
        <v>219</v>
      </c>
      <c r="L83" t="s">
        <v>300</v>
      </c>
      <c r="M83" t="s">
        <v>219</v>
      </c>
      <c r="O83" t="s">
        <v>300</v>
      </c>
      <c r="Z83" t="s">
        <v>219</v>
      </c>
      <c r="AI83" t="s">
        <v>219</v>
      </c>
      <c r="AM83" t="s">
        <v>219</v>
      </c>
      <c r="AN83" t="s">
        <v>300</v>
      </c>
      <c r="AQ83" t="s">
        <v>219</v>
      </c>
      <c r="AV83" t="s">
        <v>219</v>
      </c>
      <c r="AW83" t="s">
        <v>300</v>
      </c>
      <c r="BD83" t="s">
        <v>300</v>
      </c>
      <c r="BF83" t="s">
        <v>300</v>
      </c>
      <c r="BI83" t="s">
        <v>219</v>
      </c>
      <c r="BK83" s="343"/>
    </row>
    <row r="84">
      <c r="A84" t="s">
        <v>451</v>
      </c>
      <c r="B84" t="s">
        <v>294</v>
      </c>
      <c r="C84">
        <v>6.0</v>
      </c>
      <c r="D84">
        <v>2.0</v>
      </c>
      <c r="E84" t="s">
        <v>294</v>
      </c>
      <c r="F84" t="s">
        <v>289</v>
      </c>
      <c r="G84" t="s">
        <v>294</v>
      </c>
      <c r="I84" t="s">
        <v>219</v>
      </c>
      <c r="M84" t="s">
        <v>219</v>
      </c>
      <c r="N84" t="s">
        <v>300</v>
      </c>
      <c r="O84" t="s">
        <v>300</v>
      </c>
      <c r="Q84" t="s">
        <v>300</v>
      </c>
      <c r="X84" t="s">
        <v>300</v>
      </c>
      <c r="Z84" t="s">
        <v>219</v>
      </c>
      <c r="AC84" t="s">
        <v>300</v>
      </c>
      <c r="AI84" t="s">
        <v>219</v>
      </c>
      <c r="AM84" t="s">
        <v>219</v>
      </c>
      <c r="AN84" t="s">
        <v>300</v>
      </c>
      <c r="AQ84" t="s">
        <v>219</v>
      </c>
      <c r="AU84" t="s">
        <v>300</v>
      </c>
      <c r="AV84" t="s">
        <v>219</v>
      </c>
      <c r="AY84" t="s">
        <v>300</v>
      </c>
      <c r="BC84" t="s">
        <v>300</v>
      </c>
      <c r="BI84" t="s">
        <v>219</v>
      </c>
      <c r="BK84" s="343"/>
    </row>
    <row r="85">
      <c r="A85" t="s">
        <v>452</v>
      </c>
      <c r="B85" t="s">
        <v>294</v>
      </c>
      <c r="C85">
        <v>8.0</v>
      </c>
      <c r="D85">
        <v>4.0</v>
      </c>
      <c r="E85" t="s">
        <v>294</v>
      </c>
      <c r="F85" t="s">
        <v>289</v>
      </c>
      <c r="G85" t="s">
        <v>294</v>
      </c>
      <c r="M85" t="s">
        <v>219</v>
      </c>
      <c r="N85" t="s">
        <v>300</v>
      </c>
      <c r="O85" t="s">
        <v>300</v>
      </c>
      <c r="Q85" t="s">
        <v>300</v>
      </c>
      <c r="W85" t="s">
        <v>300</v>
      </c>
      <c r="X85" t="s">
        <v>300</v>
      </c>
      <c r="Z85" t="s">
        <v>219</v>
      </c>
      <c r="AF85" t="s">
        <v>300</v>
      </c>
      <c r="AG85" t="s">
        <v>300</v>
      </c>
      <c r="AH85" t="s">
        <v>300</v>
      </c>
      <c r="AI85" t="s">
        <v>219</v>
      </c>
      <c r="AJ85" t="s">
        <v>300</v>
      </c>
      <c r="AM85" t="s">
        <v>219</v>
      </c>
      <c r="AP85" t="s">
        <v>300</v>
      </c>
      <c r="AQ85" t="s">
        <v>219</v>
      </c>
      <c r="AU85" t="s">
        <v>300</v>
      </c>
      <c r="AV85" t="s">
        <v>219</v>
      </c>
      <c r="AW85" t="s">
        <v>300</v>
      </c>
      <c r="BC85" t="s">
        <v>300</v>
      </c>
      <c r="BD85" t="s">
        <v>300</v>
      </c>
      <c r="BE85" t="s">
        <v>300</v>
      </c>
      <c r="BI85" t="s">
        <v>219</v>
      </c>
      <c r="BK85" s="343"/>
    </row>
    <row r="86">
      <c r="A86" t="s">
        <v>453</v>
      </c>
      <c r="B86" t="s">
        <v>299</v>
      </c>
      <c r="C86">
        <v>10.0</v>
      </c>
      <c r="D86">
        <v>4.0</v>
      </c>
      <c r="E86" t="s">
        <v>294</v>
      </c>
      <c r="F86" t="s">
        <v>289</v>
      </c>
      <c r="G86" t="s">
        <v>289</v>
      </c>
      <c r="I86" t="s">
        <v>219</v>
      </c>
      <c r="K86" t="s">
        <v>300</v>
      </c>
      <c r="L86" t="s">
        <v>300</v>
      </c>
      <c r="M86" t="s">
        <v>219</v>
      </c>
      <c r="O86" t="s">
        <v>300</v>
      </c>
      <c r="V86" t="s">
        <v>300</v>
      </c>
      <c r="W86" t="s">
        <v>300</v>
      </c>
      <c r="Z86" t="s">
        <v>219</v>
      </c>
      <c r="AA86" t="s">
        <v>300</v>
      </c>
      <c r="AB86" t="s">
        <v>300</v>
      </c>
      <c r="AH86" t="s">
        <v>300</v>
      </c>
      <c r="AI86" t="s">
        <v>219</v>
      </c>
      <c r="AM86" t="s">
        <v>219</v>
      </c>
      <c r="AQ86" t="s">
        <v>219</v>
      </c>
      <c r="AV86" t="s">
        <v>219</v>
      </c>
      <c r="AW86" t="s">
        <v>300</v>
      </c>
      <c r="BA86" t="s">
        <v>300</v>
      </c>
      <c r="BF86" t="s">
        <v>300</v>
      </c>
      <c r="BI86" t="s">
        <v>219</v>
      </c>
      <c r="BK86" s="343"/>
    </row>
    <row r="87">
      <c r="A87" t="s">
        <v>454</v>
      </c>
      <c r="B87" t="s">
        <v>289</v>
      </c>
      <c r="C87">
        <v>6.0</v>
      </c>
      <c r="D87">
        <v>2.0</v>
      </c>
      <c r="E87" t="s">
        <v>289</v>
      </c>
      <c r="F87" t="s">
        <v>289</v>
      </c>
      <c r="G87" t="s">
        <v>294</v>
      </c>
      <c r="I87" t="s">
        <v>219</v>
      </c>
      <c r="K87" t="s">
        <v>300</v>
      </c>
      <c r="M87" t="s">
        <v>219</v>
      </c>
      <c r="N87" t="s">
        <v>300</v>
      </c>
      <c r="O87" t="s">
        <v>300</v>
      </c>
      <c r="P87" t="s">
        <v>300</v>
      </c>
      <c r="S87" t="s">
        <v>300</v>
      </c>
      <c r="Y87" t="s">
        <v>300</v>
      </c>
      <c r="Z87" t="s">
        <v>219</v>
      </c>
      <c r="AA87" t="s">
        <v>300</v>
      </c>
      <c r="AC87" t="s">
        <v>300</v>
      </c>
      <c r="AI87" t="s">
        <v>219</v>
      </c>
      <c r="AM87" t="s">
        <v>219</v>
      </c>
      <c r="AN87" t="s">
        <v>300</v>
      </c>
      <c r="AQ87" t="s">
        <v>219</v>
      </c>
      <c r="AU87" t="s">
        <v>300</v>
      </c>
      <c r="AV87" t="s">
        <v>219</v>
      </c>
      <c r="BC87" t="s">
        <v>300</v>
      </c>
      <c r="BI87" t="s">
        <v>219</v>
      </c>
      <c r="BK87" s="343"/>
    </row>
    <row r="88">
      <c r="A88" t="s">
        <v>209</v>
      </c>
      <c r="B88" t="s">
        <v>289</v>
      </c>
      <c r="C88">
        <v>6.0</v>
      </c>
      <c r="D88">
        <v>6.0</v>
      </c>
      <c r="E88" t="s">
        <v>294</v>
      </c>
      <c r="F88" t="s">
        <v>289</v>
      </c>
      <c r="G88" t="s">
        <v>294</v>
      </c>
      <c r="I88" t="s">
        <v>219</v>
      </c>
      <c r="M88" t="s">
        <v>219</v>
      </c>
      <c r="N88" t="s">
        <v>300</v>
      </c>
      <c r="O88" t="s">
        <v>300</v>
      </c>
      <c r="P88" t="s">
        <v>300</v>
      </c>
      <c r="Q88" t="s">
        <v>300</v>
      </c>
      <c r="X88" t="s">
        <v>300</v>
      </c>
      <c r="Z88" t="s">
        <v>219</v>
      </c>
      <c r="AC88" t="s">
        <v>300</v>
      </c>
      <c r="AD88" t="s">
        <v>300</v>
      </c>
      <c r="AE88" t="s">
        <v>300</v>
      </c>
      <c r="AF88" t="s">
        <v>300</v>
      </c>
      <c r="AG88" t="s">
        <v>300</v>
      </c>
      <c r="AH88" t="s">
        <v>300</v>
      </c>
      <c r="AI88" t="s">
        <v>219</v>
      </c>
      <c r="AJ88" t="s">
        <v>300</v>
      </c>
      <c r="AK88" t="s">
        <v>300</v>
      </c>
      <c r="AL88" t="s">
        <v>300</v>
      </c>
      <c r="AM88" t="s">
        <v>219</v>
      </c>
      <c r="AN88" t="s">
        <v>300</v>
      </c>
      <c r="AO88" t="s">
        <v>300</v>
      </c>
      <c r="AQ88" t="s">
        <v>219</v>
      </c>
      <c r="AU88" t="s">
        <v>300</v>
      </c>
      <c r="AV88" t="s">
        <v>219</v>
      </c>
      <c r="BB88" t="s">
        <v>300</v>
      </c>
      <c r="BC88" t="s">
        <v>300</v>
      </c>
      <c r="BI88" t="s">
        <v>219</v>
      </c>
      <c r="BK88" s="343"/>
    </row>
    <row r="89">
      <c r="A89" t="s">
        <v>455</v>
      </c>
      <c r="B89" t="s">
        <v>299</v>
      </c>
      <c r="C89">
        <v>10.0</v>
      </c>
      <c r="D89">
        <v>4.0</v>
      </c>
      <c r="E89" t="s">
        <v>294</v>
      </c>
      <c r="F89" t="s">
        <v>294</v>
      </c>
      <c r="G89" t="s">
        <v>289</v>
      </c>
      <c r="I89" t="s">
        <v>219</v>
      </c>
      <c r="M89" t="s">
        <v>219</v>
      </c>
      <c r="Y89" t="s">
        <v>300</v>
      </c>
      <c r="Z89" t="s">
        <v>219</v>
      </c>
      <c r="AI89" t="s">
        <v>219</v>
      </c>
      <c r="AM89" t="s">
        <v>219</v>
      </c>
      <c r="AP89" t="s">
        <v>300</v>
      </c>
      <c r="AQ89" t="s">
        <v>219</v>
      </c>
      <c r="AR89" t="s">
        <v>300</v>
      </c>
      <c r="AV89" t="s">
        <v>219</v>
      </c>
      <c r="AW89" t="s">
        <v>300</v>
      </c>
      <c r="BD89" t="s">
        <v>300</v>
      </c>
      <c r="BE89" t="s">
        <v>300</v>
      </c>
      <c r="BI89" t="s">
        <v>219</v>
      </c>
      <c r="BK89" s="343"/>
    </row>
    <row r="90">
      <c r="A90" t="s">
        <v>456</v>
      </c>
      <c r="B90" t="s">
        <v>299</v>
      </c>
      <c r="C90">
        <v>8.0</v>
      </c>
      <c r="D90">
        <v>4.0</v>
      </c>
      <c r="E90" t="s">
        <v>294</v>
      </c>
      <c r="F90" t="s">
        <v>294</v>
      </c>
      <c r="G90" t="s">
        <v>289</v>
      </c>
      <c r="I90" t="s">
        <v>219</v>
      </c>
      <c r="M90" t="s">
        <v>219</v>
      </c>
      <c r="O90" t="s">
        <v>300</v>
      </c>
      <c r="Y90" t="s">
        <v>300</v>
      </c>
      <c r="Z90" t="s">
        <v>219</v>
      </c>
      <c r="AI90" t="s">
        <v>219</v>
      </c>
      <c r="AM90" t="s">
        <v>219</v>
      </c>
      <c r="AP90" t="s">
        <v>300</v>
      </c>
      <c r="AQ90" t="s">
        <v>219</v>
      </c>
      <c r="AR90" t="s">
        <v>300</v>
      </c>
      <c r="AV90" t="s">
        <v>219</v>
      </c>
      <c r="AW90" t="s">
        <v>300</v>
      </c>
      <c r="BD90" t="s">
        <v>300</v>
      </c>
      <c r="BE90" t="s">
        <v>300</v>
      </c>
      <c r="BI90" t="s">
        <v>219</v>
      </c>
      <c r="BK90" s="343"/>
    </row>
    <row r="91">
      <c r="A91" t="s">
        <v>457</v>
      </c>
      <c r="B91" t="s">
        <v>294</v>
      </c>
      <c r="C91">
        <v>8.0</v>
      </c>
      <c r="D91">
        <v>2.0</v>
      </c>
      <c r="E91" t="s">
        <v>294</v>
      </c>
      <c r="F91" t="s">
        <v>289</v>
      </c>
      <c r="G91" t="s">
        <v>294</v>
      </c>
      <c r="I91" t="s">
        <v>219</v>
      </c>
      <c r="M91" t="s">
        <v>219</v>
      </c>
      <c r="O91" t="s">
        <v>300</v>
      </c>
      <c r="Y91" t="s">
        <v>300</v>
      </c>
      <c r="Z91" t="s">
        <v>219</v>
      </c>
      <c r="AI91" t="s">
        <v>219</v>
      </c>
      <c r="AM91" t="s">
        <v>219</v>
      </c>
      <c r="AP91" t="s">
        <v>300</v>
      </c>
      <c r="AQ91" t="s">
        <v>219</v>
      </c>
      <c r="AR91" t="s">
        <v>300</v>
      </c>
      <c r="AV91" t="s">
        <v>219</v>
      </c>
      <c r="AW91" t="s">
        <v>300</v>
      </c>
      <c r="BD91" t="s">
        <v>300</v>
      </c>
      <c r="BE91" t="s">
        <v>300</v>
      </c>
      <c r="BI91" t="s">
        <v>219</v>
      </c>
      <c r="BK91" s="343"/>
    </row>
    <row r="92">
      <c r="A92" t="s">
        <v>458</v>
      </c>
      <c r="B92" t="s">
        <v>294</v>
      </c>
      <c r="C92">
        <v>12.0</v>
      </c>
      <c r="D92">
        <v>4.0</v>
      </c>
      <c r="E92" t="s">
        <v>294</v>
      </c>
      <c r="F92" t="s">
        <v>294</v>
      </c>
      <c r="G92" t="s">
        <v>289</v>
      </c>
      <c r="I92" t="s">
        <v>219</v>
      </c>
      <c r="L92" t="s">
        <v>300</v>
      </c>
      <c r="M92" t="s">
        <v>219</v>
      </c>
      <c r="W92" t="s">
        <v>300</v>
      </c>
      <c r="Y92" t="s">
        <v>300</v>
      </c>
      <c r="Z92" t="s">
        <v>219</v>
      </c>
      <c r="AA92" t="s">
        <v>300</v>
      </c>
      <c r="AB92" t="s">
        <v>300</v>
      </c>
      <c r="AI92" t="s">
        <v>219</v>
      </c>
      <c r="AJ92" t="s">
        <v>300</v>
      </c>
      <c r="AM92" t="s">
        <v>219</v>
      </c>
      <c r="AP92" t="s">
        <v>300</v>
      </c>
      <c r="AQ92" t="s">
        <v>219</v>
      </c>
      <c r="AR92" t="s">
        <v>300</v>
      </c>
      <c r="AV92" t="s">
        <v>219</v>
      </c>
      <c r="AX92" t="s">
        <v>300</v>
      </c>
      <c r="BD92" t="s">
        <v>300</v>
      </c>
      <c r="BE92" t="s">
        <v>300</v>
      </c>
      <c r="BF92" t="s">
        <v>300</v>
      </c>
      <c r="BI92" t="s">
        <v>219</v>
      </c>
      <c r="BK92" s="343"/>
    </row>
    <row r="93">
      <c r="BK93" s="343"/>
    </row>
    <row r="94">
      <c r="BK94" s="343"/>
    </row>
    <row r="95">
      <c r="BK95" s="343"/>
    </row>
    <row r="96">
      <c r="BK96" s="343"/>
    </row>
    <row r="97">
      <c r="BK97" s="343"/>
    </row>
    <row r="98">
      <c r="BK98" s="343"/>
    </row>
    <row r="99">
      <c r="BK99" s="343"/>
    </row>
    <row r="100">
      <c r="BK100" s="343"/>
    </row>
    <row r="101">
      <c r="BK101" s="343"/>
    </row>
    <row r="102">
      <c r="BK102" s="343"/>
    </row>
    <row r="103">
      <c r="BK103" s="343"/>
    </row>
    <row r="104">
      <c r="BK104" s="343"/>
    </row>
    <row r="105">
      <c r="BK105" s="343"/>
    </row>
    <row r="106">
      <c r="BK106" s="343"/>
    </row>
    <row r="107">
      <c r="BK107" s="343"/>
    </row>
    <row r="108">
      <c r="BK108" s="343"/>
    </row>
    <row r="109">
      <c r="BK109" s="343"/>
    </row>
    <row r="110">
      <c r="BK110" s="343"/>
    </row>
    <row r="111">
      <c r="BK111" s="343"/>
    </row>
    <row r="112">
      <c r="BK112" s="343"/>
    </row>
    <row r="113">
      <c r="BK113" s="343"/>
    </row>
  </sheetData>
  <mergeCells count="2">
    <mergeCell ref="H1:BJ1"/>
    <mergeCell ref="BK1:BT1"/>
  </mergeCells>
  <dataValidations>
    <dataValidation type="list" allowBlank="1" showErrorMessage="1" sqref="B2:B16 B42:B46 B49:B113">
      <formula1>CalcData!$A$13:$A$15</formula1>
    </dataValidation>
    <dataValidation type="list" allowBlank="1" showErrorMessage="1" sqref="E42:G46 E49:G113">
      <formula1>CalcData!$A$13:$A$14</formula1>
    </dataValidation>
    <dataValidation type="list" allowBlank="1" showErrorMessage="1" sqref="C2:C16 C42:C46 C49:C113">
      <formula1>"4,6,8,10,12"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40" width="3.14"/>
    <col customWidth="1" min="42" max="81" width="3.14"/>
    <col customWidth="1" min="82" max="82" width="14.0"/>
    <col customWidth="1" min="83" max="84" width="12.0"/>
    <col customWidth="1" min="85" max="85" width="24.29"/>
    <col customWidth="1" min="86" max="94" width="3.14"/>
    <col customWidth="1" min="95" max="97" width="12.0"/>
  </cols>
  <sheetData>
    <row r="1">
      <c r="A1">
        <f t="array" ref="A1:AN65">IF(Skills!$D3:$D67="✓",1,TRANSPOSE(IF(CalcData!$P36:$P75="",0,IF(CalcData!W36:CI75="",0.5,VLOOKUP(CalcData!W36:CI75,CalcData!D13:E15,2,false)))))</f>
        <v>0.5</v>
      </c>
      <c r="B1">
        <v>0.5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  <c r="Y1">
        <v>0.0</v>
      </c>
      <c r="Z1">
        <v>0.0</v>
      </c>
      <c r="AA1">
        <v>0.0</v>
      </c>
      <c r="AB1">
        <v>0.0</v>
      </c>
      <c r="AC1">
        <v>0.0</v>
      </c>
      <c r="AD1">
        <v>0.0</v>
      </c>
      <c r="AE1">
        <v>0.0</v>
      </c>
      <c r="AF1">
        <v>0.0</v>
      </c>
      <c r="AG1">
        <v>0.0</v>
      </c>
      <c r="AH1">
        <v>0.0</v>
      </c>
      <c r="AI1">
        <v>0.0</v>
      </c>
      <c r="AJ1">
        <v>0.0</v>
      </c>
      <c r="AK1">
        <v>0.0</v>
      </c>
      <c r="AL1">
        <v>0.0</v>
      </c>
      <c r="AM1">
        <v>0.0</v>
      </c>
      <c r="AN1">
        <v>0.0</v>
      </c>
      <c r="CE1" s="5" t="b">
        <v>1</v>
      </c>
      <c r="CF1" s="5"/>
      <c r="CG1" t="str">
        <f t="array" ref="CG1:CG65">Skills!A3:A67</f>
        <v>Appraise</v>
      </c>
      <c r="CH1" s="5">
        <f t="shared" ref="CH1:CH65" si="1">SUM(CI1:CK1)</f>
        <v>2</v>
      </c>
      <c r="CI1" s="5">
        <f>Skills!F3</f>
        <v>0</v>
      </c>
      <c r="CJ1" s="5">
        <f>VLOOKUP(Skills!B3,CalcData!$A$18:$F$23,6,false)</f>
        <v>2</v>
      </c>
      <c r="CK1" s="5">
        <f t="shared" ref="CK1:CK55" si="2">SUM(CL1:CP1)</f>
        <v>0</v>
      </c>
      <c r="CL1" s="5" t="str">
        <f>Skills!G3</f>
        <v/>
      </c>
      <c r="CM1" s="5"/>
      <c r="CN1" s="5"/>
      <c r="CO1" s="5"/>
      <c r="CP1" s="5"/>
      <c r="CQ1" s="5"/>
      <c r="CR1" s="5"/>
      <c r="CS1" s="5"/>
    </row>
    <row r="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CE2" s="5" t="b">
        <v>0</v>
      </c>
      <c r="CF2" s="5"/>
      <c r="CG2" t="s">
        <v>221</v>
      </c>
      <c r="CH2" s="5">
        <f t="shared" si="1"/>
        <v>2</v>
      </c>
      <c r="CI2" s="5">
        <f>Skills!F4</f>
        <v>0</v>
      </c>
      <c r="CJ2" s="5">
        <f>VLOOKUP(Skills!B4,CalcData!$A$18:$F$23,6,false)</f>
        <v>2</v>
      </c>
      <c r="CK2" s="5">
        <f t="shared" si="2"/>
        <v>0</v>
      </c>
      <c r="CL2" s="5" t="str">
        <f>Skills!G4</f>
        <v/>
      </c>
      <c r="CM2" s="5"/>
      <c r="CN2" s="5"/>
      <c r="CO2" s="5"/>
      <c r="CP2" s="5"/>
      <c r="CQ2" s="5"/>
      <c r="CR2" s="5"/>
      <c r="CS2" s="5"/>
    </row>
    <row r="3">
      <c r="A3">
        <v>0.5</v>
      </c>
      <c r="B3">
        <v>0.5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CE3" s="5" t="b">
        <v>1</v>
      </c>
      <c r="CF3" s="5"/>
      <c r="CG3" t="s">
        <v>224</v>
      </c>
      <c r="CH3" s="5">
        <f t="shared" si="1"/>
        <v>1</v>
      </c>
      <c r="CI3" s="5">
        <f>Skills!F5</f>
        <v>0</v>
      </c>
      <c r="CJ3" s="5">
        <f>VLOOKUP(Skills!B5,CalcData!$A$18:$F$23,6,false)</f>
        <v>1</v>
      </c>
      <c r="CK3" s="5">
        <f t="shared" si="2"/>
        <v>0</v>
      </c>
      <c r="CL3" s="5" t="str">
        <f>Skills!G5</f>
        <v/>
      </c>
      <c r="CM3" s="5">
        <f>ACP</f>
        <v>0</v>
      </c>
      <c r="CN3" s="5">
        <f>IF(Skills!F54&gt;4,2,0)</f>
        <v>0</v>
      </c>
      <c r="CO3" s="5"/>
      <c r="CP3" s="5"/>
      <c r="CQ3" s="5"/>
      <c r="CR3" s="5"/>
      <c r="CS3" s="5"/>
    </row>
    <row r="4">
      <c r="A4">
        <v>0.5</v>
      </c>
      <c r="B4">
        <v>0.5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CE4" s="5" t="b">
        <v>1</v>
      </c>
      <c r="CF4" s="5"/>
      <c r="CG4" t="s">
        <v>228</v>
      </c>
      <c r="CH4" s="5">
        <f t="shared" si="1"/>
        <v>2</v>
      </c>
      <c r="CI4" s="5">
        <f>Skills!F6</f>
        <v>0</v>
      </c>
      <c r="CJ4" s="5">
        <f>VLOOKUP(Skills!B6,CalcData!$A$18:$F$23,6,false)</f>
        <v>2</v>
      </c>
      <c r="CK4" s="5">
        <f t="shared" si="2"/>
        <v>0</v>
      </c>
      <c r="CL4" s="5" t="str">
        <f>Skills!G6</f>
        <v/>
      </c>
      <c r="CM4" s="5"/>
      <c r="CN4" s="5"/>
      <c r="CO4" s="5"/>
      <c r="CP4" s="5"/>
      <c r="CQ4" s="5"/>
      <c r="CR4" s="5"/>
      <c r="CS4" s="5"/>
    </row>
    <row r="5">
      <c r="A5">
        <v>1.0</v>
      </c>
      <c r="B5">
        <v>0.5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CE5" s="5" t="b">
        <v>1</v>
      </c>
      <c r="CF5" s="5"/>
      <c r="CG5" t="s">
        <v>147</v>
      </c>
      <c r="CH5" s="5">
        <f t="shared" si="1"/>
        <v>3</v>
      </c>
      <c r="CI5" s="5">
        <f>Skills!F7</f>
        <v>0</v>
      </c>
      <c r="CJ5" s="5">
        <f>VLOOKUP(Skills!B7,CalcData!$A$18:$F$23,6,false)</f>
        <v>3</v>
      </c>
      <c r="CK5" s="5">
        <f t="shared" si="2"/>
        <v>0</v>
      </c>
      <c r="CL5" s="5" t="str">
        <f>Skills!G7</f>
        <v/>
      </c>
      <c r="CM5" s="5">
        <f>ACP</f>
        <v>0</v>
      </c>
      <c r="CN5" s="5"/>
      <c r="CO5" s="5"/>
      <c r="CP5" s="5"/>
      <c r="CQ5" s="5"/>
      <c r="CR5" s="5"/>
      <c r="CS5" s="5"/>
    </row>
    <row r="6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CE6" s="5" t="b">
        <v>0</v>
      </c>
      <c r="CF6" s="5"/>
      <c r="CG6" t="s">
        <v>234</v>
      </c>
      <c r="CH6" s="5">
        <f t="shared" si="1"/>
        <v>2</v>
      </c>
      <c r="CI6" s="5">
        <f>Skills!F8</f>
        <v>0</v>
      </c>
      <c r="CJ6" s="5">
        <f>VLOOKUP(Skills!B8,CalcData!$A$18:$F$23,6,false)</f>
        <v>2</v>
      </c>
      <c r="CK6" s="5">
        <f t="shared" si="2"/>
        <v>0</v>
      </c>
      <c r="CL6" s="5" t="str">
        <f>Skills!G8</f>
        <v/>
      </c>
      <c r="CM6" s="5"/>
      <c r="CN6" s="5"/>
      <c r="CO6" s="5"/>
      <c r="CP6" s="5"/>
      <c r="CQ6" s="5"/>
      <c r="CR6" s="5"/>
      <c r="CS6" s="5"/>
    </row>
    <row r="7">
      <c r="A7">
        <v>0.5</v>
      </c>
      <c r="B7">
        <v>1.0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CE7" s="5" t="b">
        <v>1</v>
      </c>
      <c r="CF7" s="5"/>
      <c r="CG7" t="s">
        <v>237</v>
      </c>
      <c r="CH7" s="5">
        <f t="shared" si="1"/>
        <v>2</v>
      </c>
      <c r="CI7" s="5">
        <f>Skills!F9</f>
        <v>0</v>
      </c>
      <c r="CJ7" s="5">
        <f>VLOOKUP(Skills!B9,CalcData!$A$18:$F$23,6,false)</f>
        <v>2</v>
      </c>
      <c r="CK7" s="5">
        <f t="shared" si="2"/>
        <v>0</v>
      </c>
      <c r="CL7" s="5" t="str">
        <f>Skills!G9</f>
        <v/>
      </c>
      <c r="CM7" s="5"/>
      <c r="CN7" s="5"/>
      <c r="CO7" s="5"/>
      <c r="CP7" s="5"/>
      <c r="CQ7" s="5"/>
      <c r="CR7" s="5"/>
      <c r="CS7" s="5"/>
    </row>
    <row r="8">
      <c r="A8">
        <v>1.0</v>
      </c>
      <c r="B8">
        <v>1.0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CE8" s="5" t="b">
        <v>1</v>
      </c>
      <c r="CF8" s="5"/>
      <c r="CG8" t="s">
        <v>241</v>
      </c>
      <c r="CH8" s="5">
        <f t="shared" si="1"/>
        <v>2</v>
      </c>
      <c r="CI8" s="5">
        <f>Skills!F10</f>
        <v>0</v>
      </c>
      <c r="CJ8" s="5">
        <f>VLOOKUP(Skills!B10,CalcData!$A$18:$F$23,6,false)</f>
        <v>2</v>
      </c>
      <c r="CK8" s="5">
        <f t="shared" si="2"/>
        <v>0</v>
      </c>
      <c r="CL8" s="5" t="str">
        <f>Skills!G10</f>
        <v/>
      </c>
      <c r="CM8" s="5"/>
      <c r="CN8" s="5"/>
      <c r="CO8" s="5"/>
      <c r="CP8" s="5"/>
      <c r="CQ8" s="5"/>
      <c r="CR8" s="5"/>
      <c r="CS8" s="5"/>
    </row>
    <row r="9">
      <c r="A9">
        <v>0.5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CE9" s="5" t="b">
        <v>0</v>
      </c>
      <c r="CF9" s="5"/>
      <c r="CG9" t="s">
        <v>245</v>
      </c>
      <c r="CH9" s="5">
        <f t="shared" si="1"/>
        <v>2</v>
      </c>
      <c r="CI9" s="5">
        <f>Skills!F11</f>
        <v>0</v>
      </c>
      <c r="CJ9" s="5">
        <f>VLOOKUP(Skills!B11,CalcData!$A$18:$F$23,6,false)</f>
        <v>2</v>
      </c>
      <c r="CK9" s="5">
        <f t="shared" si="2"/>
        <v>0</v>
      </c>
      <c r="CL9" s="5" t="str">
        <f>Skills!G11</f>
        <v/>
      </c>
      <c r="CM9" s="5"/>
      <c r="CN9" s="5"/>
      <c r="CO9" s="5"/>
      <c r="CP9" s="5"/>
      <c r="CQ9" s="5"/>
      <c r="CR9" s="5"/>
      <c r="CS9" s="5"/>
    </row>
    <row r="10">
      <c r="A10">
        <v>0.5</v>
      </c>
      <c r="B10">
        <v>1.0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CE10" s="5" t="b">
        <v>1</v>
      </c>
      <c r="CF10" s="5"/>
      <c r="CG10" t="s">
        <v>250</v>
      </c>
      <c r="CH10" s="5">
        <f t="shared" si="1"/>
        <v>2</v>
      </c>
      <c r="CI10" s="5">
        <f>Skills!F12</f>
        <v>0</v>
      </c>
      <c r="CJ10" s="5">
        <f>VLOOKUP(Skills!B12,CalcData!$A$18:$F$23,6,false)</f>
        <v>2</v>
      </c>
      <c r="CK10" s="5">
        <f t="shared" si="2"/>
        <v>0</v>
      </c>
      <c r="CL10" s="5" t="str">
        <f>Skills!G12</f>
        <v/>
      </c>
      <c r="CM10" s="5"/>
      <c r="CN10" s="5">
        <f>IF(Skills!F6&gt;4,2,0)</f>
        <v>0</v>
      </c>
      <c r="CO10" s="5">
        <f>IF(Skills!F32&gt;4,2,0)</f>
        <v>0</v>
      </c>
      <c r="CP10" s="5">
        <f>IF(Skills!F6&gt;46,2,0)</f>
        <v>0</v>
      </c>
      <c r="CQ10" s="5"/>
      <c r="CR10" s="5"/>
      <c r="CS10" s="5"/>
    </row>
    <row r="11">
      <c r="A11" s="5">
        <v>0.5</v>
      </c>
      <c r="B11">
        <v>0.5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CE11" s="5" t="b">
        <v>0</v>
      </c>
      <c r="CF11" s="5"/>
      <c r="CG11" t="s">
        <v>253</v>
      </c>
      <c r="CH11" s="5">
        <f t="shared" si="1"/>
        <v>2</v>
      </c>
      <c r="CI11" s="5">
        <f>Skills!F13</f>
        <v>0</v>
      </c>
      <c r="CJ11" s="5">
        <f>VLOOKUP(Skills!B13,CalcData!$A$18:$F$23,6,false)</f>
        <v>2</v>
      </c>
      <c r="CK11" s="5">
        <f t="shared" si="2"/>
        <v>0</v>
      </c>
      <c r="CL11" s="5" t="str">
        <f>Skills!G13</f>
        <v/>
      </c>
      <c r="CM11" s="5"/>
      <c r="CN11" s="5"/>
      <c r="CO11" s="5"/>
      <c r="CP11" s="5"/>
      <c r="CQ11" s="5"/>
      <c r="CR11" s="5"/>
      <c r="CS11" s="5"/>
    </row>
    <row r="12">
      <c r="A12">
        <v>0.5</v>
      </c>
      <c r="B12">
        <v>0.5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CE12" s="5" t="b">
        <v>1</v>
      </c>
      <c r="CF12" s="5"/>
      <c r="CG12" t="s">
        <v>263</v>
      </c>
      <c r="CH12" s="5">
        <f t="shared" si="1"/>
        <v>2</v>
      </c>
      <c r="CI12" s="5">
        <f>Skills!F14</f>
        <v>0</v>
      </c>
      <c r="CJ12" s="5">
        <f>VLOOKUP(Skills!B14,CalcData!$A$18:$F$23,6,false)</f>
        <v>2</v>
      </c>
      <c r="CK12" s="5">
        <f t="shared" si="2"/>
        <v>0</v>
      </c>
      <c r="CL12" s="5" t="str">
        <f>Skills!G14</f>
        <v/>
      </c>
      <c r="CM12" s="5"/>
      <c r="CN12" s="5">
        <f>IF(Skills!F6&gt;4,2,0)</f>
        <v>0</v>
      </c>
      <c r="CO12" s="5"/>
      <c r="CP12" s="5"/>
      <c r="CQ12" s="5"/>
      <c r="CR12" s="5"/>
      <c r="CS12" s="5"/>
    </row>
    <row r="13">
      <c r="A13">
        <v>0.5</v>
      </c>
      <c r="B13">
        <v>0.5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CE13" s="5" t="b">
        <v>1</v>
      </c>
      <c r="CF13" s="5"/>
      <c r="CG13" t="s">
        <v>264</v>
      </c>
      <c r="CH13" s="5">
        <f t="shared" si="1"/>
        <v>1</v>
      </c>
      <c r="CI13" s="5">
        <f>Skills!F15</f>
        <v>0</v>
      </c>
      <c r="CJ13" s="5">
        <f>VLOOKUP(Skills!B15,CalcData!$A$18:$F$23,6,false)</f>
        <v>1</v>
      </c>
      <c r="CK13" s="5">
        <f t="shared" si="2"/>
        <v>0</v>
      </c>
      <c r="CL13" s="5" t="str">
        <f>Skills!G15</f>
        <v/>
      </c>
      <c r="CM13" s="5">
        <f>ACP</f>
        <v>0</v>
      </c>
      <c r="CN13" s="5"/>
      <c r="CO13" s="5"/>
      <c r="CP13" s="5"/>
      <c r="CQ13" s="5"/>
      <c r="CR13" s="5"/>
      <c r="CS13" s="5"/>
    </row>
    <row r="14">
      <c r="A14">
        <v>0.5</v>
      </c>
      <c r="B14">
        <v>0.5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CE14" s="5" t="b">
        <v>1</v>
      </c>
      <c r="CF14" s="5"/>
      <c r="CG14" t="s">
        <v>268</v>
      </c>
      <c r="CH14" s="5">
        <f t="shared" si="1"/>
        <v>2</v>
      </c>
      <c r="CI14" s="5">
        <f>Skills!F16</f>
        <v>0</v>
      </c>
      <c r="CJ14" s="5">
        <f>VLOOKUP(Skills!B16,CalcData!$A$18:$F$23,6,false)</f>
        <v>2</v>
      </c>
      <c r="CK14" s="5">
        <f t="shared" si="2"/>
        <v>0</v>
      </c>
      <c r="CL14" s="5" t="str">
        <f>Skills!G16</f>
        <v/>
      </c>
      <c r="CM14" s="5"/>
      <c r="CN14" s="5"/>
      <c r="CO14" s="5"/>
      <c r="CP14" s="5"/>
      <c r="CQ14" s="5"/>
      <c r="CR14" s="5"/>
      <c r="CS14" s="5"/>
    </row>
    <row r="15">
      <c r="A15">
        <v>0.5</v>
      </c>
      <c r="B15">
        <v>0.5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CE15" s="5" t="b">
        <v>1</v>
      </c>
      <c r="CF15" s="5"/>
      <c r="CG15" t="s">
        <v>272</v>
      </c>
      <c r="CH15" s="5">
        <f t="shared" si="1"/>
        <v>2</v>
      </c>
      <c r="CI15" s="5">
        <f>Skills!F17</f>
        <v>0</v>
      </c>
      <c r="CJ15" s="5">
        <f>VLOOKUP(Skills!B17,CalcData!$A$18:$F$23,6,false)</f>
        <v>2</v>
      </c>
      <c r="CK15" s="5">
        <f t="shared" si="2"/>
        <v>0</v>
      </c>
      <c r="CL15" s="5" t="str">
        <f>Skills!G17</f>
        <v/>
      </c>
      <c r="CM15" s="5"/>
      <c r="CN15" s="5">
        <f>IF(Skills!F6&gt;29,2,0)</f>
        <v>0</v>
      </c>
      <c r="CO15" s="5"/>
      <c r="CP15" s="5"/>
      <c r="CQ15" s="5"/>
      <c r="CR15" s="5"/>
      <c r="CS15" s="5"/>
    </row>
    <row r="16">
      <c r="A16">
        <v>1.0</v>
      </c>
      <c r="B16">
        <v>0.5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CE16" s="5" t="b">
        <v>0</v>
      </c>
      <c r="CF16" s="5"/>
      <c r="CG16" t="s">
        <v>273</v>
      </c>
      <c r="CH16" s="5">
        <f t="shared" si="1"/>
        <v>2</v>
      </c>
      <c r="CI16" s="5">
        <f>Skills!F18</f>
        <v>0</v>
      </c>
      <c r="CJ16" s="5">
        <f>VLOOKUP(Skills!B18,CalcData!$A$18:$F$23,6,false)</f>
        <v>2</v>
      </c>
      <c r="CK16" s="5">
        <f t="shared" si="2"/>
        <v>0</v>
      </c>
      <c r="CL16" s="5" t="str">
        <f>Skills!G18</f>
        <v/>
      </c>
      <c r="CM16" s="5"/>
      <c r="CN16" s="5"/>
      <c r="CO16" s="5"/>
      <c r="CP16" s="5"/>
      <c r="CQ16" s="5"/>
      <c r="CR16" s="5"/>
      <c r="CS16" s="5"/>
    </row>
    <row r="17">
      <c r="A17">
        <v>0.5</v>
      </c>
      <c r="B17">
        <v>1.0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CE17" s="5" t="b">
        <v>1</v>
      </c>
      <c r="CF17" s="5"/>
      <c r="CG17" t="s">
        <v>276</v>
      </c>
      <c r="CH17" s="5">
        <f t="shared" si="1"/>
        <v>2</v>
      </c>
      <c r="CI17" s="5">
        <f>Skills!F19</f>
        <v>0</v>
      </c>
      <c r="CJ17" s="5">
        <f>VLOOKUP(Skills!B19,CalcData!$A$18:$F$23,6,false)</f>
        <v>2</v>
      </c>
      <c r="CK17" s="5">
        <f t="shared" si="2"/>
        <v>0</v>
      </c>
      <c r="CL17" s="5" t="str">
        <f>Skills!G19</f>
        <v/>
      </c>
      <c r="CM17" s="5"/>
      <c r="CN17" s="5"/>
      <c r="CO17" s="5"/>
      <c r="CP17" s="5"/>
      <c r="CQ17" s="5"/>
      <c r="CR17" s="5"/>
      <c r="CS17" s="5"/>
    </row>
    <row r="18">
      <c r="A18">
        <v>0.5</v>
      </c>
      <c r="B18">
        <v>0.5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CE18" s="5" t="b">
        <v>1</v>
      </c>
      <c r="CF18" s="5"/>
      <c r="CG18" t="s">
        <v>277</v>
      </c>
      <c r="CH18" s="5">
        <f t="shared" si="1"/>
        <v>1</v>
      </c>
      <c r="CI18" s="5">
        <f>Skills!F20</f>
        <v>0</v>
      </c>
      <c r="CJ18" s="5">
        <f>VLOOKUP(Skills!B20,CalcData!$A$18:$F$23,6,false)</f>
        <v>1</v>
      </c>
      <c r="CK18" s="5">
        <f t="shared" si="2"/>
        <v>0</v>
      </c>
      <c r="CL18" s="5" t="str">
        <f>Skills!G20</f>
        <v/>
      </c>
      <c r="CM18" s="5">
        <f>ACP</f>
        <v>0</v>
      </c>
      <c r="CN18" s="5">
        <f>VLOOKUP(Character!L1,CalcData!A2:D10,4,false)</f>
        <v>0</v>
      </c>
      <c r="CO18" s="5"/>
      <c r="CP18" s="5"/>
      <c r="CQ18" s="5"/>
      <c r="CR18" s="5"/>
      <c r="CS18" s="5"/>
    </row>
    <row r="19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CE19" s="5" t="b">
        <v>0</v>
      </c>
      <c r="CF19" s="5"/>
      <c r="CG19" t="s">
        <v>279</v>
      </c>
      <c r="CH19" s="5">
        <f t="shared" si="1"/>
        <v>2</v>
      </c>
      <c r="CI19" s="5">
        <f>Skills!F21</f>
        <v>0</v>
      </c>
      <c r="CJ19" s="5">
        <f>VLOOKUP(Skills!B21,CalcData!$A$18:$F$23,6,false)</f>
        <v>2</v>
      </c>
      <c r="CK19" s="5">
        <f t="shared" si="2"/>
        <v>0</v>
      </c>
      <c r="CL19" s="5" t="str">
        <f>Skills!G21</f>
        <v/>
      </c>
      <c r="CM19" s="5"/>
      <c r="CN19" s="5"/>
      <c r="CO19" s="5"/>
      <c r="CP19" s="5"/>
      <c r="CQ19" s="5"/>
      <c r="CR19" s="5"/>
      <c r="CS19" s="5"/>
    </row>
    <row r="20">
      <c r="A20">
        <v>1.0</v>
      </c>
      <c r="B20">
        <v>0.5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CE20" s="5" t="b">
        <v>1</v>
      </c>
      <c r="CF20" s="5"/>
      <c r="CG20" t="s">
        <v>281</v>
      </c>
      <c r="CH20" s="5">
        <f t="shared" si="1"/>
        <v>2</v>
      </c>
      <c r="CI20" s="5">
        <f>Skills!F22</f>
        <v>0</v>
      </c>
      <c r="CJ20" s="5">
        <f>VLOOKUP(Skills!B22,CalcData!$A$18:$F$23,6,false)</f>
        <v>2</v>
      </c>
      <c r="CK20" s="5">
        <f t="shared" si="2"/>
        <v>0</v>
      </c>
      <c r="CL20" s="5" t="str">
        <f>Skills!G22</f>
        <v/>
      </c>
      <c r="CM20" s="5"/>
      <c r="CN20" s="5">
        <f>IF(Skills!F6&gt;4,2,0)</f>
        <v>0</v>
      </c>
      <c r="CO20" s="5"/>
      <c r="CP20" s="5"/>
      <c r="CQ20" s="5"/>
      <c r="CR20" s="5"/>
      <c r="CS20" s="5"/>
    </row>
    <row r="21">
      <c r="A21">
        <v>1.0</v>
      </c>
      <c r="B21">
        <v>0.5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CE21" s="5" t="b">
        <v>1</v>
      </c>
      <c r="CF21" s="5"/>
      <c r="CG21" t="s">
        <v>283</v>
      </c>
      <c r="CH21" s="5">
        <f t="shared" si="1"/>
        <v>3</v>
      </c>
      <c r="CI21" s="5">
        <f>Skills!F23</f>
        <v>0</v>
      </c>
      <c r="CJ21" s="5">
        <f>VLOOKUP(Skills!B23,CalcData!$A$18:$F$23,6,false)</f>
        <v>3</v>
      </c>
      <c r="CK21" s="5">
        <f t="shared" si="2"/>
        <v>0</v>
      </c>
      <c r="CL21" s="5" t="str">
        <f>Skills!G23</f>
        <v/>
      </c>
      <c r="CM21" s="5">
        <f>ACP</f>
        <v>0</v>
      </c>
      <c r="CN21" s="5">
        <f>IF(Skills!F54&gt;4,2,0)</f>
        <v>0</v>
      </c>
      <c r="CO21" s="5"/>
      <c r="CP21" s="5"/>
      <c r="CQ21" s="5"/>
      <c r="CR21" s="5"/>
      <c r="CS21" s="5"/>
    </row>
    <row r="22">
      <c r="A22">
        <v>0.5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CE22" s="5" t="b">
        <v>0</v>
      </c>
      <c r="CF22" s="5"/>
      <c r="CG22" s="134" t="s">
        <v>284</v>
      </c>
      <c r="CH22" s="5">
        <f t="shared" si="1"/>
        <v>2</v>
      </c>
      <c r="CI22" s="5">
        <f>Skills!F24</f>
        <v>0</v>
      </c>
      <c r="CJ22" s="5">
        <f>VLOOKUP(Skills!B24,CalcData!$A$18:$F$23,6,false)</f>
        <v>2</v>
      </c>
      <c r="CK22" s="5">
        <f t="shared" si="2"/>
        <v>0</v>
      </c>
      <c r="CL22" s="5" t="str">
        <f>Skills!G24</f>
        <v/>
      </c>
      <c r="CM22" s="5"/>
      <c r="CN22" s="5"/>
      <c r="CO22" s="5"/>
      <c r="CP22" s="5"/>
      <c r="CQ22" s="5"/>
      <c r="CR22" s="5"/>
      <c r="CS22" s="5"/>
    </row>
    <row r="23">
      <c r="A23">
        <v>0.5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CE23" s="5" t="b">
        <v>0</v>
      </c>
      <c r="CF23" s="5"/>
      <c r="CG23" t="s">
        <v>288</v>
      </c>
      <c r="CH23" s="5">
        <f t="shared" si="1"/>
        <v>2</v>
      </c>
      <c r="CI23" s="5">
        <f>Skills!F25</f>
        <v>0</v>
      </c>
      <c r="CJ23" s="5">
        <f>VLOOKUP(Skills!B25,CalcData!$A$18:$F$23,6,false)</f>
        <v>2</v>
      </c>
      <c r="CK23" s="5">
        <f t="shared" si="2"/>
        <v>0</v>
      </c>
      <c r="CL23" s="5" t="str">
        <f>Skills!G25</f>
        <v/>
      </c>
      <c r="CM23" s="5"/>
      <c r="CN23" s="5"/>
      <c r="CO23" s="5"/>
      <c r="CP23" s="5"/>
      <c r="CQ23" s="5"/>
      <c r="CR23" s="5"/>
      <c r="CS23" s="5"/>
    </row>
    <row r="24">
      <c r="A24">
        <v>0.5</v>
      </c>
      <c r="B24">
        <v>1.0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CE24" s="5" t="b">
        <v>0</v>
      </c>
      <c r="CF24" s="5"/>
      <c r="CG24" t="s">
        <v>292</v>
      </c>
      <c r="CH24" s="5">
        <f t="shared" si="1"/>
        <v>2</v>
      </c>
      <c r="CI24" s="5">
        <f>Skills!F26</f>
        <v>0</v>
      </c>
      <c r="CJ24" s="5">
        <f>VLOOKUP(Skills!B26,CalcData!$A$18:$F$23,6,false)</f>
        <v>2</v>
      </c>
      <c r="CK24" s="5">
        <f t="shared" si="2"/>
        <v>0</v>
      </c>
      <c r="CL24" s="5" t="str">
        <f>Skills!G26</f>
        <v/>
      </c>
      <c r="CM24" s="5"/>
      <c r="CN24" s="5"/>
      <c r="CO24" s="5"/>
      <c r="CP24" s="5"/>
      <c r="CQ24" s="5"/>
      <c r="CR24" s="5"/>
      <c r="CS24" s="5"/>
    </row>
    <row r="25">
      <c r="A25">
        <v>0.5</v>
      </c>
      <c r="B25">
        <v>1.0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CE25" s="5" t="b">
        <v>0</v>
      </c>
      <c r="CF25" s="5"/>
      <c r="CG25" t="s">
        <v>297</v>
      </c>
      <c r="CH25" s="5">
        <f t="shared" si="1"/>
        <v>2</v>
      </c>
      <c r="CI25" s="5">
        <f>Skills!F27</f>
        <v>0</v>
      </c>
      <c r="CJ25" s="5">
        <f>VLOOKUP(Skills!B27,CalcData!$A$18:$F$23,6,false)</f>
        <v>2</v>
      </c>
      <c r="CK25" s="5">
        <f t="shared" si="2"/>
        <v>0</v>
      </c>
      <c r="CL25" s="5" t="str">
        <f>Skills!G27</f>
        <v/>
      </c>
      <c r="CM25" s="5"/>
      <c r="CN25" s="5"/>
      <c r="CO25" s="5"/>
      <c r="CP25" s="5"/>
      <c r="CQ25" s="5"/>
      <c r="CR25" s="5"/>
      <c r="CS25" s="5"/>
    </row>
    <row r="26">
      <c r="A26">
        <v>0.5</v>
      </c>
      <c r="B26">
        <v>1.0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CE26" s="5" t="b">
        <v>0</v>
      </c>
      <c r="CF26" s="5"/>
      <c r="CG26" t="s">
        <v>304</v>
      </c>
      <c r="CH26" s="5">
        <f t="shared" si="1"/>
        <v>2</v>
      </c>
      <c r="CI26" s="5">
        <f>Skills!F28</f>
        <v>0</v>
      </c>
      <c r="CJ26" s="5">
        <f>VLOOKUP(Skills!B28,CalcData!$A$18:$F$23,6,false)</f>
        <v>2</v>
      </c>
      <c r="CK26" s="5">
        <f t="shared" si="2"/>
        <v>0</v>
      </c>
      <c r="CL26" s="5" t="str">
        <f>Skills!G28</f>
        <v/>
      </c>
      <c r="CM26" s="5"/>
      <c r="CN26" s="5"/>
      <c r="CO26" s="5"/>
      <c r="CP26" s="5"/>
      <c r="CQ26" s="5"/>
      <c r="CR26" s="5"/>
      <c r="CS26" s="5"/>
    </row>
    <row r="27">
      <c r="A27">
        <v>0.5</v>
      </c>
      <c r="B27">
        <v>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CE27" s="5" t="b">
        <v>0</v>
      </c>
      <c r="CF27" s="5"/>
      <c r="CG27" t="s">
        <v>307</v>
      </c>
      <c r="CH27" s="5">
        <f t="shared" si="1"/>
        <v>2</v>
      </c>
      <c r="CI27" s="5">
        <f>Skills!F29</f>
        <v>0</v>
      </c>
      <c r="CJ27" s="5">
        <f>VLOOKUP(Skills!B29,CalcData!$A$18:$F$23,6,false)</f>
        <v>2</v>
      </c>
      <c r="CK27" s="5">
        <f t="shared" si="2"/>
        <v>0</v>
      </c>
      <c r="CL27" s="5" t="str">
        <f>Skills!G29</f>
        <v/>
      </c>
      <c r="CM27" s="5"/>
      <c r="CN27" s="5"/>
      <c r="CO27" s="5"/>
      <c r="CP27" s="5"/>
      <c r="CQ27" s="5"/>
      <c r="CR27" s="5"/>
      <c r="CS27" s="5"/>
    </row>
    <row r="28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CE28" s="5" t="b">
        <v>0</v>
      </c>
      <c r="CF28" s="5"/>
      <c r="CG28" t="s">
        <v>308</v>
      </c>
      <c r="CH28" s="5">
        <f t="shared" si="1"/>
        <v>2</v>
      </c>
      <c r="CI28" s="5">
        <f>Skills!F30</f>
        <v>0</v>
      </c>
      <c r="CJ28" s="5">
        <f>VLOOKUP(Skills!B30,CalcData!$A$18:$F$23,6,false)</f>
        <v>2</v>
      </c>
      <c r="CK28" s="5">
        <f t="shared" si="2"/>
        <v>0</v>
      </c>
      <c r="CL28" s="5" t="str">
        <f>Skills!G30</f>
        <v/>
      </c>
      <c r="CM28" s="5"/>
      <c r="CN28" s="5"/>
      <c r="CO28" s="5"/>
      <c r="CP28" s="5"/>
      <c r="CQ28" s="5"/>
      <c r="CR28" s="5"/>
      <c r="CS28" s="5"/>
    </row>
    <row r="29">
      <c r="A29">
        <v>0.5</v>
      </c>
      <c r="B29">
        <v>1.0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CE29" s="5" t="b">
        <v>0</v>
      </c>
      <c r="CF29" s="5"/>
      <c r="CG29" t="s">
        <v>310</v>
      </c>
      <c r="CH29" s="5">
        <f t="shared" si="1"/>
        <v>2</v>
      </c>
      <c r="CI29" s="5">
        <f>Skills!F31</f>
        <v>0</v>
      </c>
      <c r="CJ29" s="5">
        <f>VLOOKUP(Skills!B31,CalcData!$A$18:$F$23,6,false)</f>
        <v>2</v>
      </c>
      <c r="CK29" s="5">
        <f t="shared" si="2"/>
        <v>0</v>
      </c>
      <c r="CL29" s="5" t="str">
        <f>Skills!G31</f>
        <v/>
      </c>
      <c r="CM29" s="5"/>
      <c r="CN29" s="5">
        <f>IF(Skills!F52&gt;4,2,0)</f>
        <v>0</v>
      </c>
      <c r="CO29" s="5"/>
      <c r="CP29" s="5"/>
      <c r="CQ29" s="5"/>
      <c r="CR29" s="5"/>
      <c r="CS29" s="5"/>
    </row>
    <row r="30">
      <c r="A30">
        <v>0.5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CE30" s="5" t="b">
        <v>0</v>
      </c>
      <c r="CF30" s="5"/>
      <c r="CG30" t="s">
        <v>311</v>
      </c>
      <c r="CH30" s="5">
        <f t="shared" si="1"/>
        <v>2</v>
      </c>
      <c r="CI30" s="5">
        <f>Skills!F32</f>
        <v>0</v>
      </c>
      <c r="CJ30" s="5">
        <f>VLOOKUP(Skills!B32,CalcData!$A$18:$F$23,6,false)</f>
        <v>2</v>
      </c>
      <c r="CK30" s="5">
        <f t="shared" si="2"/>
        <v>0</v>
      </c>
      <c r="CL30" s="5" t="str">
        <f>Skills!G32</f>
        <v/>
      </c>
      <c r="CM30" s="5"/>
      <c r="CN30" s="5"/>
      <c r="CO30" s="5"/>
      <c r="CP30" s="5"/>
      <c r="CQ30" s="5"/>
      <c r="CR30" s="5"/>
      <c r="CS30" s="5"/>
    </row>
    <row r="31">
      <c r="A31">
        <v>0.5</v>
      </c>
      <c r="B31">
        <v>1.0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CE31" s="5" t="b">
        <v>0</v>
      </c>
      <c r="CF31" s="5"/>
      <c r="CG31" s="426" t="s">
        <v>477</v>
      </c>
      <c r="CH31" s="5">
        <f t="shared" si="1"/>
        <v>2</v>
      </c>
      <c r="CI31" s="5">
        <f>Skills!F33</f>
        <v>0</v>
      </c>
      <c r="CJ31" s="5">
        <f>VLOOKUP(Skills!B33,CalcData!$A$18:$F$23,6,false)</f>
        <v>2</v>
      </c>
      <c r="CK31" s="5">
        <f t="shared" si="2"/>
        <v>0</v>
      </c>
      <c r="CL31" s="5" t="str">
        <f>Skills!G33</f>
        <v/>
      </c>
      <c r="CM31" s="5"/>
      <c r="CN31" s="5"/>
      <c r="CO31" s="5"/>
      <c r="CP31" s="5"/>
      <c r="CQ31" s="5"/>
      <c r="CR31" s="5"/>
      <c r="CS31" s="5"/>
    </row>
    <row r="32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CE32" s="5" t="b">
        <v>0</v>
      </c>
      <c r="CF32" s="5"/>
      <c r="CG32" t="s">
        <v>314</v>
      </c>
      <c r="CH32" s="5">
        <f t="shared" si="1"/>
        <v>2</v>
      </c>
      <c r="CI32" s="5">
        <f>Skills!F34</f>
        <v>0</v>
      </c>
      <c r="CJ32" s="5">
        <f>VLOOKUP(Skills!B34,CalcData!$A$18:$F$23,6,false)</f>
        <v>2</v>
      </c>
      <c r="CK32" s="5">
        <f t="shared" si="2"/>
        <v>0</v>
      </c>
      <c r="CL32" s="5" t="str">
        <f>Skills!G34</f>
        <v/>
      </c>
      <c r="CM32" s="5"/>
      <c r="CN32" s="5"/>
      <c r="CO32" s="5"/>
      <c r="CP32" s="5"/>
      <c r="CQ32" s="5"/>
      <c r="CR32" s="5"/>
      <c r="CS32" s="5"/>
    </row>
    <row r="33">
      <c r="A33">
        <v>0.5</v>
      </c>
      <c r="B33">
        <v>1.0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CE33" s="5" t="b">
        <v>0</v>
      </c>
      <c r="CF33" s="5"/>
      <c r="CG33" t="s">
        <v>316</v>
      </c>
      <c r="CH33" s="5">
        <f t="shared" si="1"/>
        <v>2</v>
      </c>
      <c r="CI33" s="5">
        <f>Skills!F35</f>
        <v>0</v>
      </c>
      <c r="CJ33" s="5">
        <f>VLOOKUP(Skills!B35,CalcData!$A$18:$F$23,6,false)</f>
        <v>2</v>
      </c>
      <c r="CK33" s="5">
        <f t="shared" si="2"/>
        <v>0</v>
      </c>
      <c r="CL33" s="5" t="str">
        <f>Skills!G35</f>
        <v/>
      </c>
      <c r="CM33" s="5"/>
      <c r="CN33" s="5"/>
      <c r="CO33" s="5"/>
      <c r="CP33" s="5"/>
      <c r="CQ33" s="5"/>
      <c r="CR33" s="5"/>
      <c r="CS33" s="5"/>
    </row>
    <row r="34">
      <c r="A34">
        <v>0.5</v>
      </c>
      <c r="B34">
        <v>1.0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CE34" s="5" t="b">
        <v>0</v>
      </c>
      <c r="CF34" s="5"/>
      <c r="CG34" t="s">
        <v>317</v>
      </c>
      <c r="CH34" s="5">
        <f t="shared" si="1"/>
        <v>2</v>
      </c>
      <c r="CI34" s="5">
        <f>Skills!F36</f>
        <v>0</v>
      </c>
      <c r="CJ34" s="5">
        <f>VLOOKUP(Skills!B36,CalcData!$A$18:$F$23,6,false)</f>
        <v>2</v>
      </c>
      <c r="CK34" s="5">
        <f t="shared" si="2"/>
        <v>0</v>
      </c>
      <c r="CL34" s="5" t="str">
        <f>Skills!G36</f>
        <v/>
      </c>
      <c r="CM34" s="5"/>
      <c r="CN34" s="5"/>
      <c r="CO34" s="5"/>
      <c r="CP34" s="5"/>
      <c r="CQ34" s="5"/>
      <c r="CR34" s="5"/>
      <c r="CS34" s="5"/>
    </row>
    <row r="35">
      <c r="A35">
        <v>0.5</v>
      </c>
      <c r="B35">
        <v>0.5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CE35" s="5" t="b">
        <v>1</v>
      </c>
      <c r="CF35" s="5"/>
      <c r="CG35" t="s">
        <v>290</v>
      </c>
      <c r="CH35" s="5">
        <f t="shared" si="1"/>
        <v>2</v>
      </c>
      <c r="CI35" s="5">
        <f>Skills!F37</f>
        <v>0</v>
      </c>
      <c r="CJ35" s="5">
        <f>VLOOKUP(Skills!B37,CalcData!$A$18:$F$23,6,false)</f>
        <v>2</v>
      </c>
      <c r="CK35" s="5">
        <f t="shared" si="2"/>
        <v>0</v>
      </c>
      <c r="CL35" s="5" t="str">
        <f>Skills!G37</f>
        <v/>
      </c>
      <c r="CM35" s="5"/>
      <c r="CN35" s="5"/>
      <c r="CO35" s="5"/>
      <c r="CP35" s="5"/>
      <c r="CQ35" s="5"/>
      <c r="CR35" s="5"/>
      <c r="CS35" s="5"/>
    </row>
    <row r="36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CE36" s="5" t="b">
        <v>0</v>
      </c>
      <c r="CF36" s="5"/>
      <c r="CG36" t="s">
        <v>319</v>
      </c>
      <c r="CH36" s="5">
        <f t="shared" si="1"/>
        <v>2</v>
      </c>
      <c r="CI36" s="5">
        <f>Skills!F38</f>
        <v>0</v>
      </c>
      <c r="CJ36" s="5">
        <f>VLOOKUP(Skills!B38,CalcData!$A$18:$F$23,6,false)</f>
        <v>2</v>
      </c>
      <c r="CK36" s="5">
        <f t="shared" si="2"/>
        <v>0</v>
      </c>
      <c r="CL36" s="5" t="str">
        <f>Skills!G38</f>
        <v/>
      </c>
      <c r="CM36" s="5"/>
      <c r="CN36" s="5"/>
      <c r="CO36" s="5"/>
      <c r="CP36" s="5"/>
      <c r="CQ36" s="5"/>
      <c r="CR36" s="5"/>
      <c r="CS36" s="5"/>
    </row>
    <row r="37">
      <c r="A37">
        <v>0.5</v>
      </c>
      <c r="B37">
        <v>0.5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CE37" s="5" t="b">
        <v>1</v>
      </c>
      <c r="CF37" s="5"/>
      <c r="CG37" t="s">
        <v>291</v>
      </c>
      <c r="CH37" s="5">
        <f t="shared" si="1"/>
        <v>1</v>
      </c>
      <c r="CI37" s="5">
        <f>Skills!F39</f>
        <v>0</v>
      </c>
      <c r="CJ37" s="5">
        <f>VLOOKUP(Skills!B39,CalcData!$A$18:$F$23,6,false)</f>
        <v>1</v>
      </c>
      <c r="CK37" s="5">
        <f t="shared" si="2"/>
        <v>0</v>
      </c>
      <c r="CL37" s="5" t="str">
        <f>Skills!G39</f>
        <v/>
      </c>
      <c r="CM37" s="5">
        <f>ACP</f>
        <v>0</v>
      </c>
      <c r="CN37" s="5"/>
      <c r="CO37" s="5"/>
      <c r="CP37" s="5"/>
      <c r="CQ37" s="5"/>
      <c r="CR37" s="5"/>
      <c r="CS37" s="5"/>
    </row>
    <row r="38">
      <c r="A38">
        <v>0.5</v>
      </c>
      <c r="B38">
        <v>0.5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CE38" s="5" t="b">
        <v>0</v>
      </c>
      <c r="CF38" s="5"/>
      <c r="CG38" t="s">
        <v>335</v>
      </c>
      <c r="CH38" s="5">
        <f t="shared" si="1"/>
        <v>1</v>
      </c>
      <c r="CI38" s="5">
        <f>Skills!F40</f>
        <v>0</v>
      </c>
      <c r="CJ38" s="5">
        <f>VLOOKUP(Skills!B40,CalcData!$A$18:$F$23,6,false)</f>
        <v>1</v>
      </c>
      <c r="CK38" s="5">
        <f t="shared" si="2"/>
        <v>0</v>
      </c>
      <c r="CL38" s="5" t="str">
        <f>Skills!G40</f>
        <v/>
      </c>
      <c r="CM38" s="5"/>
      <c r="CN38" s="5"/>
      <c r="CO38" s="5"/>
      <c r="CP38" s="5"/>
      <c r="CQ38" s="5"/>
      <c r="CR38" s="5"/>
      <c r="CS38" s="5"/>
    </row>
    <row r="39">
      <c r="A39">
        <v>0.5</v>
      </c>
      <c r="B39">
        <v>0.5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CE39" s="5" t="b">
        <v>1</v>
      </c>
      <c r="CF39" s="5"/>
      <c r="CG39" t="s">
        <v>293</v>
      </c>
      <c r="CH39" s="5">
        <f t="shared" si="1"/>
        <v>2</v>
      </c>
      <c r="CI39" s="5">
        <f>Skills!F41</f>
        <v>0</v>
      </c>
      <c r="CJ39" s="5">
        <f>VLOOKUP(Skills!B41,CalcData!$A$18:$F$23,6,false)</f>
        <v>2</v>
      </c>
      <c r="CK39" s="5">
        <f t="shared" si="2"/>
        <v>0</v>
      </c>
      <c r="CL39" s="5" t="str">
        <f>Skills!G41</f>
        <v/>
      </c>
      <c r="CM39" s="5"/>
      <c r="CN39" s="5"/>
      <c r="CO39" s="5"/>
      <c r="CP39" s="5"/>
      <c r="CQ39" s="5"/>
      <c r="CR39" s="5"/>
      <c r="CS39" s="5"/>
    </row>
    <row r="40">
      <c r="A40">
        <v>0.5</v>
      </c>
      <c r="B40">
        <v>1.0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CE40" s="5" t="b">
        <v>0</v>
      </c>
      <c r="CF40" s="5"/>
      <c r="CG40" t="s">
        <v>350</v>
      </c>
      <c r="CH40" s="5">
        <f t="shared" si="1"/>
        <v>2</v>
      </c>
      <c r="CI40" s="5">
        <f>Skills!F42</f>
        <v>0</v>
      </c>
      <c r="CJ40" s="5">
        <f>VLOOKUP(Skills!B42,CalcData!$A$18:$F$23,6,false)</f>
        <v>2</v>
      </c>
      <c r="CK40" s="5">
        <f t="shared" si="2"/>
        <v>0</v>
      </c>
      <c r="CL40" s="5" t="str">
        <f>Skills!G42</f>
        <v/>
      </c>
      <c r="CM40" s="5"/>
      <c r="CN40" s="5"/>
      <c r="CO40" s="5"/>
      <c r="CP40" s="5"/>
      <c r="CQ40" s="5"/>
      <c r="CR40" s="5"/>
      <c r="CS40" s="5"/>
    </row>
    <row r="41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CE41" s="5" t="b">
        <v>0</v>
      </c>
      <c r="CF41" s="5"/>
      <c r="CG41" t="s">
        <v>357</v>
      </c>
      <c r="CH41" s="5">
        <f t="shared" si="1"/>
        <v>2</v>
      </c>
      <c r="CI41" s="5">
        <f>Skills!F43</f>
        <v>0</v>
      </c>
      <c r="CJ41" s="5">
        <f>VLOOKUP(Skills!B43,CalcData!$A$18:$F$23,6,false)</f>
        <v>2</v>
      </c>
      <c r="CK41" s="5">
        <f t="shared" si="2"/>
        <v>0</v>
      </c>
      <c r="CL41" s="5" t="str">
        <f>Skills!G43</f>
        <v/>
      </c>
      <c r="CM41" s="5"/>
      <c r="CN41" s="5"/>
      <c r="CO41" s="5"/>
      <c r="CP41" s="5"/>
      <c r="CQ41" s="5"/>
      <c r="CR41" s="5"/>
      <c r="CS41" s="5"/>
    </row>
    <row r="42">
      <c r="A42">
        <v>1.0</v>
      </c>
      <c r="B42">
        <v>0.5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CE42" s="5" t="b">
        <v>1</v>
      </c>
      <c r="CF42" s="5"/>
      <c r="CG42" t="s">
        <v>295</v>
      </c>
      <c r="CH42" s="5">
        <f t="shared" si="1"/>
        <v>1</v>
      </c>
      <c r="CI42" s="5">
        <f>Skills!F44</f>
        <v>0</v>
      </c>
      <c r="CJ42" s="5">
        <f>VLOOKUP(Skills!B44,CalcData!$A$18:$F$23,6,false)</f>
        <v>1</v>
      </c>
      <c r="CK42" s="5">
        <f t="shared" si="2"/>
        <v>0</v>
      </c>
      <c r="CL42" s="5" t="str">
        <f>Skills!G44</f>
        <v/>
      </c>
      <c r="CM42" s="5"/>
      <c r="CN42" s="5">
        <f>IF(Skills!F18&gt;4,2,0)</f>
        <v>0</v>
      </c>
      <c r="CO42" s="5"/>
      <c r="CP42" s="5"/>
      <c r="CQ42" s="5"/>
      <c r="CR42" s="5"/>
      <c r="CS42" s="5"/>
    </row>
    <row r="43">
      <c r="A43">
        <v>0.5</v>
      </c>
      <c r="B43">
        <v>0.5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CE43" s="5" t="b">
        <v>1</v>
      </c>
      <c r="CF43" s="5"/>
      <c r="CG43" t="s">
        <v>296</v>
      </c>
      <c r="CH43" s="5">
        <f t="shared" si="1"/>
        <v>2</v>
      </c>
      <c r="CI43" s="5">
        <f>Skills!F45</f>
        <v>0</v>
      </c>
      <c r="CJ43" s="5">
        <f>VLOOKUP(Skills!B45,CalcData!$A$18:$F$23,6,false)</f>
        <v>2</v>
      </c>
      <c r="CK43" s="5">
        <f t="shared" si="2"/>
        <v>0</v>
      </c>
      <c r="CL43" s="5" t="str">
        <f>Skills!G45</f>
        <v/>
      </c>
      <c r="CM43" s="5"/>
      <c r="CN43" s="5"/>
      <c r="CO43" s="5"/>
      <c r="CP43" s="5"/>
      <c r="CQ43" s="5"/>
      <c r="CR43" s="5"/>
      <c r="CS43" s="5"/>
    </row>
    <row r="44">
      <c r="A44">
        <v>0.5</v>
      </c>
      <c r="B44">
        <v>0.5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CE44" s="5" t="b">
        <v>1</v>
      </c>
      <c r="CF44" s="5"/>
      <c r="CG44" t="s">
        <v>298</v>
      </c>
      <c r="CH44" s="5">
        <f t="shared" si="1"/>
        <v>2</v>
      </c>
      <c r="CI44" s="5">
        <f>Skills!F46</f>
        <v>0</v>
      </c>
      <c r="CJ44" s="5">
        <f>VLOOKUP(Skills!B46,CalcData!$A$18:$F$23,6,false)</f>
        <v>2</v>
      </c>
      <c r="CK44" s="5">
        <f t="shared" si="2"/>
        <v>0</v>
      </c>
      <c r="CL44" s="5" t="str">
        <f>Skills!G46</f>
        <v/>
      </c>
      <c r="CM44" s="5"/>
      <c r="CN44" s="5"/>
      <c r="CO44" s="5"/>
      <c r="CP44" s="5"/>
      <c r="CQ44" s="5"/>
      <c r="CR44" s="5"/>
      <c r="CS44" s="5"/>
    </row>
    <row r="45">
      <c r="A45">
        <v>0.5</v>
      </c>
      <c r="B45">
        <v>0.5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CE45" s="5" t="b">
        <v>0</v>
      </c>
      <c r="CF45" s="5"/>
      <c r="CG45" t="s">
        <v>373</v>
      </c>
      <c r="CH45" s="5">
        <f t="shared" si="1"/>
        <v>0</v>
      </c>
      <c r="CI45" s="5">
        <f>Skills!F47</f>
        <v>0</v>
      </c>
      <c r="CJ45" s="5"/>
      <c r="CK45" s="5">
        <f t="shared" si="2"/>
        <v>0</v>
      </c>
      <c r="CL45" s="5" t="str">
        <f>Skills!G47</f>
        <v/>
      </c>
      <c r="CM45" s="5"/>
      <c r="CN45" s="5"/>
      <c r="CO45" s="5"/>
      <c r="CP45" s="5"/>
      <c r="CQ45" s="5"/>
      <c r="CR45" s="5"/>
      <c r="CS45" s="5"/>
    </row>
    <row r="46">
      <c r="A46">
        <v>0.5</v>
      </c>
      <c r="B46">
        <v>0.5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CE46" s="5" t="b">
        <v>0</v>
      </c>
      <c r="CF46" s="5"/>
      <c r="CG46" t="s">
        <v>379</v>
      </c>
      <c r="CH46" s="5">
        <f t="shared" si="1"/>
        <v>1</v>
      </c>
      <c r="CI46" s="5">
        <f>Skills!F48</f>
        <v>0</v>
      </c>
      <c r="CJ46" s="5">
        <f>VLOOKUP(Skills!B48,CalcData!$A$18:$F$23,6,false)</f>
        <v>1</v>
      </c>
      <c r="CK46" s="5">
        <f t="shared" si="2"/>
        <v>0</v>
      </c>
      <c r="CL46" s="5" t="str">
        <f>Skills!G48</f>
        <v/>
      </c>
      <c r="CM46" s="5">
        <f>ACP</f>
        <v>0</v>
      </c>
      <c r="CN46" s="5">
        <f>IF(Skills!F6&gt;4,2,0)</f>
        <v>0</v>
      </c>
      <c r="CO46" s="5"/>
      <c r="CP46" s="5"/>
      <c r="CQ46" s="5"/>
      <c r="CR46" s="5"/>
      <c r="CS46" s="5"/>
    </row>
    <row r="47">
      <c r="A47">
        <v>0.5</v>
      </c>
      <c r="B47">
        <v>1.0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CE47" s="5" t="b">
        <v>1</v>
      </c>
      <c r="CF47" s="5"/>
      <c r="CG47" t="s">
        <v>301</v>
      </c>
      <c r="CH47" s="5">
        <f t="shared" si="1"/>
        <v>2</v>
      </c>
      <c r="CI47" s="5">
        <f>Skills!F49</f>
        <v>0</v>
      </c>
      <c r="CJ47" s="5">
        <f>VLOOKUP(Skills!B49,CalcData!$A$18:$F$23,6,false)</f>
        <v>2</v>
      </c>
      <c r="CK47" s="5">
        <f t="shared" si="2"/>
        <v>0</v>
      </c>
      <c r="CL47" s="5" t="str">
        <f>Skills!G49</f>
        <v/>
      </c>
      <c r="CM47" s="5"/>
      <c r="CN47" s="5"/>
      <c r="CO47" s="5"/>
      <c r="CP47" s="5"/>
      <c r="CQ47" s="5"/>
      <c r="CR47" s="5"/>
      <c r="CS47" s="5"/>
    </row>
    <row r="48">
      <c r="A48">
        <v>0.5</v>
      </c>
      <c r="B48">
        <v>1.0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CE48" s="5" t="b">
        <v>0</v>
      </c>
      <c r="CF48" s="5"/>
      <c r="CG48" t="s">
        <v>385</v>
      </c>
      <c r="CH48" s="5">
        <f t="shared" si="1"/>
        <v>2</v>
      </c>
      <c r="CI48" s="5">
        <f>Skills!F50</f>
        <v>0</v>
      </c>
      <c r="CJ48" s="5">
        <f>VLOOKUP(Skills!B50,CalcData!$A$18:$F$23,6,false)</f>
        <v>2</v>
      </c>
      <c r="CK48" s="5">
        <f t="shared" si="2"/>
        <v>0</v>
      </c>
      <c r="CL48" s="5" t="str">
        <f>Skills!G50</f>
        <v/>
      </c>
      <c r="CM48" s="5"/>
      <c r="CN48" s="5">
        <f>IF(Skills!F24&gt;4,2,0)</f>
        <v>0</v>
      </c>
      <c r="CO48" s="5"/>
      <c r="CP48" s="5"/>
      <c r="CQ48" s="5"/>
      <c r="CR48" s="5"/>
      <c r="CS48" s="5"/>
    </row>
    <row r="49">
      <c r="A49">
        <v>0.5</v>
      </c>
      <c r="B49">
        <v>0.5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CE49" s="5" t="b">
        <v>1</v>
      </c>
      <c r="CF49" s="5"/>
      <c r="CG49" t="s">
        <v>302</v>
      </c>
      <c r="CH49" s="5">
        <f t="shared" si="1"/>
        <v>2</v>
      </c>
      <c r="CI49" s="5">
        <f>Skills!F51</f>
        <v>0</v>
      </c>
      <c r="CJ49" s="5">
        <f>VLOOKUP(Skills!B51,CalcData!$A$18:$F$23,6,false)</f>
        <v>2</v>
      </c>
      <c r="CK49" s="5">
        <f t="shared" si="2"/>
        <v>0</v>
      </c>
      <c r="CL49" s="5" t="str">
        <f>Skills!G51</f>
        <v/>
      </c>
      <c r="CM49" s="5"/>
      <c r="CN49" s="5"/>
      <c r="CO49" s="5"/>
      <c r="CP49" s="5"/>
      <c r="CQ49" s="5"/>
      <c r="CR49" s="5"/>
      <c r="CS49" s="5"/>
    </row>
    <row r="50">
      <c r="A50">
        <v>0.5</v>
      </c>
      <c r="B50">
        <v>0.5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CE50" s="5" t="b">
        <v>1</v>
      </c>
      <c r="CF50" s="5"/>
      <c r="CG50" t="s">
        <v>303</v>
      </c>
      <c r="CH50" s="5">
        <f t="shared" si="1"/>
        <v>2</v>
      </c>
      <c r="CI50" s="5">
        <f>Skills!F52</f>
        <v>0</v>
      </c>
      <c r="CJ50" s="5">
        <f>VLOOKUP(Skills!B52,CalcData!$A$18:$F$23,6,false)</f>
        <v>2</v>
      </c>
      <c r="CK50" s="5">
        <f t="shared" si="2"/>
        <v>0</v>
      </c>
      <c r="CL50" s="5" t="str">
        <f>Skills!G52</f>
        <v/>
      </c>
      <c r="CM50" s="5"/>
      <c r="CN50" s="5"/>
      <c r="CO50" s="5"/>
      <c r="CP50" s="5"/>
      <c r="CQ50" s="5"/>
      <c r="CR50" s="5"/>
      <c r="CS50" s="5"/>
    </row>
    <row r="51">
      <c r="A51">
        <v>1.0</v>
      </c>
      <c r="B51">
        <v>0.5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CE51" s="5" t="b">
        <v>1</v>
      </c>
      <c r="CF51" s="5"/>
      <c r="CG51" t="s">
        <v>150</v>
      </c>
      <c r="CH51" s="5">
        <f t="shared" si="1"/>
        <v>3</v>
      </c>
      <c r="CI51" s="5">
        <f>Skills!F53</f>
        <v>0</v>
      </c>
      <c r="CJ51" s="5">
        <f>VLOOKUP(Skills!B53,CalcData!$A$18:$F$23,6,false)</f>
        <v>3</v>
      </c>
      <c r="CK51" s="5">
        <f t="shared" si="2"/>
        <v>0</v>
      </c>
      <c r="CL51" s="5" t="str">
        <f>Skills!G53</f>
        <v/>
      </c>
      <c r="CM51" s="5">
        <f>ACP*2</f>
        <v>0</v>
      </c>
      <c r="CN51" s="5"/>
      <c r="CO51" s="5"/>
      <c r="CP51" s="5"/>
      <c r="CQ51" s="5"/>
      <c r="CR51" s="5"/>
      <c r="CS51" s="5"/>
    </row>
    <row r="52">
      <c r="A52">
        <v>0.5</v>
      </c>
      <c r="B52">
        <v>0.5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CE52" s="5" t="b">
        <v>1</v>
      </c>
      <c r="CF52" s="5"/>
      <c r="CG52" t="s">
        <v>305</v>
      </c>
      <c r="CH52" s="5">
        <f t="shared" si="1"/>
        <v>1</v>
      </c>
      <c r="CI52" s="5">
        <f>Skills!F54</f>
        <v>0</v>
      </c>
      <c r="CJ52" s="5">
        <f>VLOOKUP(Skills!B54,CalcData!$A$18:$F$23,6,false)</f>
        <v>1</v>
      </c>
      <c r="CK52" s="5">
        <f t="shared" si="2"/>
        <v>0</v>
      </c>
      <c r="CL52" s="5" t="str">
        <f>Skills!G54</f>
        <v/>
      </c>
      <c r="CM52" s="5">
        <f>ACP</f>
        <v>0</v>
      </c>
      <c r="CN52" s="5">
        <f>IF(Skills!F23&gt;4,2,0)</f>
        <v>0</v>
      </c>
      <c r="CO52" s="5"/>
      <c r="CP52" s="5"/>
      <c r="CQ52" s="5"/>
      <c r="CR52" s="5"/>
      <c r="CS52" s="5"/>
    </row>
    <row r="53">
      <c r="A53">
        <v>0.5</v>
      </c>
      <c r="B53">
        <v>0.5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CE53" s="5" t="b">
        <v>0</v>
      </c>
      <c r="CF53" s="5"/>
      <c r="CG53" t="s">
        <v>396</v>
      </c>
      <c r="CH53" s="5">
        <f t="shared" si="1"/>
        <v>2</v>
      </c>
      <c r="CI53" s="5">
        <f>Skills!F55</f>
        <v>0</v>
      </c>
      <c r="CJ53" s="5">
        <f>VLOOKUP(Skills!B55,CalcData!$A$18:$F$23,6,false)</f>
        <v>2</v>
      </c>
      <c r="CK53" s="5">
        <f t="shared" si="2"/>
        <v>0</v>
      </c>
      <c r="CL53" s="5" t="str">
        <f>Skills!G55</f>
        <v/>
      </c>
      <c r="CM53" s="5"/>
      <c r="CN53" s="5"/>
      <c r="CO53" s="5"/>
      <c r="CP53" s="5"/>
      <c r="CQ53" s="5"/>
      <c r="CR53" s="5"/>
      <c r="CS53" s="5"/>
    </row>
    <row r="54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CE54" s="5" t="b">
        <v>0</v>
      </c>
      <c r="CF54" s="5"/>
      <c r="CG54" t="s">
        <v>397</v>
      </c>
      <c r="CH54" s="5">
        <f t="shared" si="1"/>
        <v>2</v>
      </c>
      <c r="CI54" s="5">
        <f>Skills!F56</f>
        <v>0</v>
      </c>
      <c r="CJ54" s="5">
        <f>VLOOKUP(Skills!B56,CalcData!$A$18:$F$23,6,false)</f>
        <v>2</v>
      </c>
      <c r="CK54" s="5">
        <f t="shared" si="2"/>
        <v>0</v>
      </c>
      <c r="CL54" s="5" t="str">
        <f>Skills!G56</f>
        <v/>
      </c>
      <c r="CM54" s="5"/>
      <c r="CN54" s="5"/>
      <c r="CO54" s="5"/>
      <c r="CP54" s="5"/>
      <c r="CQ54" s="5"/>
      <c r="CR54" s="5"/>
      <c r="CS54" s="5"/>
    </row>
    <row r="55">
      <c r="A55">
        <v>0.5</v>
      </c>
      <c r="B55">
        <v>0.5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CE55" s="5" t="b">
        <v>1</v>
      </c>
      <c r="CF55" s="5"/>
      <c r="CG55" t="s">
        <v>306</v>
      </c>
      <c r="CH55" s="5">
        <f t="shared" si="1"/>
        <v>1</v>
      </c>
      <c r="CI55" s="5">
        <f>Skills!F57</f>
        <v>0</v>
      </c>
      <c r="CJ55" s="5">
        <f>VLOOKUP(Skills!B57,CalcData!$A$18:$F$23,6,false)</f>
        <v>1</v>
      </c>
      <c r="CK55" s="5">
        <f t="shared" si="2"/>
        <v>0</v>
      </c>
      <c r="CL55" s="5" t="str">
        <f>Skills!G57</f>
        <v/>
      </c>
      <c r="CM55" s="5"/>
      <c r="CN55" s="5"/>
      <c r="CO55" s="5"/>
      <c r="CP55" s="5"/>
      <c r="CQ55" s="5"/>
      <c r="CR55" s="5"/>
      <c r="CS55" s="5"/>
    </row>
    <row r="56">
      <c r="A56">
        <v>0.5</v>
      </c>
      <c r="B56">
        <v>0.5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CE56" s="5" t="b">
        <v>0</v>
      </c>
      <c r="CH56" s="5">
        <f t="shared" si="1"/>
        <v>0</v>
      </c>
      <c r="CI56" s="5">
        <f>Skills!F58</f>
        <v>0</v>
      </c>
      <c r="CJ56" s="5" t="str">
        <f>IF(Skills!B58="","",VLOOKUP(Skills!B58,CalcData!$A$18:$F$23,6,false))</f>
        <v/>
      </c>
    </row>
    <row r="57">
      <c r="A57">
        <v>0.5</v>
      </c>
      <c r="B57">
        <v>0.5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CE57" s="5" t="b">
        <v>0</v>
      </c>
      <c r="CH57" s="5">
        <f t="shared" si="1"/>
        <v>0</v>
      </c>
      <c r="CI57" s="5">
        <f>Skills!F59</f>
        <v>0</v>
      </c>
      <c r="CJ57" s="5" t="str">
        <f>IF(Skills!B59="","",VLOOKUP(Skills!B59,CalcData!$A$18:$F$23,6,false))</f>
        <v/>
      </c>
    </row>
    <row r="58">
      <c r="A58">
        <v>0.5</v>
      </c>
      <c r="B58">
        <v>0.5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>
        <v>0.0</v>
      </c>
      <c r="AJ58">
        <v>0.0</v>
      </c>
      <c r="AK58">
        <v>0.0</v>
      </c>
      <c r="AL58">
        <v>0.0</v>
      </c>
      <c r="AM58">
        <v>0.0</v>
      </c>
      <c r="AN58">
        <v>0.0</v>
      </c>
      <c r="CE58" s="5" t="b">
        <v>0</v>
      </c>
      <c r="CH58" s="5">
        <f t="shared" si="1"/>
        <v>0</v>
      </c>
      <c r="CI58" s="5">
        <f>Skills!F60</f>
        <v>0</v>
      </c>
      <c r="CJ58" s="5" t="str">
        <f>IF(Skills!B60="","",VLOOKUP(Skills!B60,CalcData!$A$18:$F$23,6,false))</f>
        <v/>
      </c>
    </row>
    <row r="59">
      <c r="A59">
        <v>0.5</v>
      </c>
      <c r="B59">
        <v>0.5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  <c r="AA59">
        <v>0.0</v>
      </c>
      <c r="AB59">
        <v>0.0</v>
      </c>
      <c r="AC59">
        <v>0.0</v>
      </c>
      <c r="AD59">
        <v>0.0</v>
      </c>
      <c r="AE59">
        <v>0.0</v>
      </c>
      <c r="AF59">
        <v>0.0</v>
      </c>
      <c r="AG59">
        <v>0.0</v>
      </c>
      <c r="AH59">
        <v>0.0</v>
      </c>
      <c r="AI59">
        <v>0.0</v>
      </c>
      <c r="AJ59">
        <v>0.0</v>
      </c>
      <c r="AK59">
        <v>0.0</v>
      </c>
      <c r="AL59">
        <v>0.0</v>
      </c>
      <c r="AM59">
        <v>0.0</v>
      </c>
      <c r="AN59">
        <v>0.0</v>
      </c>
      <c r="CE59" s="5" t="b">
        <v>0</v>
      </c>
      <c r="CH59" s="5">
        <f t="shared" si="1"/>
        <v>0</v>
      </c>
      <c r="CI59" s="5">
        <f>Skills!F61</f>
        <v>0</v>
      </c>
      <c r="CJ59" s="5" t="str">
        <f>IF(Skills!B61="","",VLOOKUP(Skills!B61,CalcData!$A$18:$F$23,6,false))</f>
        <v/>
      </c>
    </row>
    <row r="60">
      <c r="A60">
        <v>0.5</v>
      </c>
      <c r="B60">
        <v>0.5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  <c r="S60">
        <v>0.0</v>
      </c>
      <c r="T60">
        <v>0.0</v>
      </c>
      <c r="U60">
        <v>0.0</v>
      </c>
      <c r="V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>
        <v>0.0</v>
      </c>
      <c r="AG60">
        <v>0.0</v>
      </c>
      <c r="AH60">
        <v>0.0</v>
      </c>
      <c r="AI60">
        <v>0.0</v>
      </c>
      <c r="AJ60">
        <v>0.0</v>
      </c>
      <c r="AK60">
        <v>0.0</v>
      </c>
      <c r="AL60">
        <v>0.0</v>
      </c>
      <c r="AM60">
        <v>0.0</v>
      </c>
      <c r="AN60">
        <v>0.0</v>
      </c>
      <c r="CE60" s="5" t="b">
        <v>0</v>
      </c>
      <c r="CH60" s="5">
        <f t="shared" si="1"/>
        <v>0</v>
      </c>
      <c r="CI60" s="5">
        <f>Skills!F62</f>
        <v>0</v>
      </c>
      <c r="CJ60" s="5" t="str">
        <f>IF(Skills!B62="","",VLOOKUP(Skills!B62,CalcData!$A$18:$F$23,6,false))</f>
        <v/>
      </c>
    </row>
    <row r="61">
      <c r="A61">
        <v>0.5</v>
      </c>
      <c r="B61">
        <v>0.5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  <c r="AA61">
        <v>0.0</v>
      </c>
      <c r="AB61">
        <v>0.0</v>
      </c>
      <c r="AC61">
        <v>0.0</v>
      </c>
      <c r="AD61">
        <v>0.0</v>
      </c>
      <c r="AE61">
        <v>0.0</v>
      </c>
      <c r="AF61">
        <v>0.0</v>
      </c>
      <c r="AG61">
        <v>0.0</v>
      </c>
      <c r="AH61">
        <v>0.0</v>
      </c>
      <c r="AI61">
        <v>0.0</v>
      </c>
      <c r="AJ61">
        <v>0.0</v>
      </c>
      <c r="AK61">
        <v>0.0</v>
      </c>
      <c r="AL61">
        <v>0.0</v>
      </c>
      <c r="AM61">
        <v>0.0</v>
      </c>
      <c r="AN61">
        <v>0.0</v>
      </c>
      <c r="CE61" s="5" t="b">
        <v>0</v>
      </c>
      <c r="CH61" s="5">
        <f t="shared" si="1"/>
        <v>0</v>
      </c>
      <c r="CI61" s="5">
        <f>Skills!F63</f>
        <v>0</v>
      </c>
      <c r="CJ61" s="5" t="str">
        <f>IF(Skills!B63="","",VLOOKUP(Skills!B63,CalcData!$A$18:$F$23,6,false))</f>
        <v/>
      </c>
    </row>
    <row r="62">
      <c r="A62">
        <v>0.5</v>
      </c>
      <c r="B62">
        <v>0.5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0.0</v>
      </c>
      <c r="AI62">
        <v>0.0</v>
      </c>
      <c r="AJ62">
        <v>0.0</v>
      </c>
      <c r="AK62">
        <v>0.0</v>
      </c>
      <c r="AL62">
        <v>0.0</v>
      </c>
      <c r="AM62">
        <v>0.0</v>
      </c>
      <c r="AN62">
        <v>0.0</v>
      </c>
      <c r="CE62" s="5" t="b">
        <v>0</v>
      </c>
      <c r="CH62" s="5">
        <f t="shared" si="1"/>
        <v>0</v>
      </c>
      <c r="CI62" s="5">
        <f>Skills!F64</f>
        <v>0</v>
      </c>
      <c r="CJ62" s="5" t="str">
        <f>IF(Skills!B64="","",VLOOKUP(Skills!B64,CalcData!$A$18:$F$23,6,false))</f>
        <v/>
      </c>
    </row>
    <row r="63">
      <c r="A63">
        <v>0.5</v>
      </c>
      <c r="B63">
        <v>0.5</v>
      </c>
      <c r="C63">
        <v>0.0</v>
      </c>
      <c r="D63">
        <v>0.0</v>
      </c>
      <c r="E63">
        <v>0.0</v>
      </c>
      <c r="F63">
        <v>0.0</v>
      </c>
      <c r="G63">
        <v>0.0</v>
      </c>
      <c r="H63">
        <v>0.0</v>
      </c>
      <c r="I63">
        <v>0.0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  <c r="S63">
        <v>0.0</v>
      </c>
      <c r="T63">
        <v>0.0</v>
      </c>
      <c r="U63">
        <v>0.0</v>
      </c>
      <c r="V63">
        <v>0.0</v>
      </c>
      <c r="W63">
        <v>0.0</v>
      </c>
      <c r="X63">
        <v>0.0</v>
      </c>
      <c r="Y63">
        <v>0.0</v>
      </c>
      <c r="Z63">
        <v>0.0</v>
      </c>
      <c r="AA63">
        <v>0.0</v>
      </c>
      <c r="AB63">
        <v>0.0</v>
      </c>
      <c r="AC63">
        <v>0.0</v>
      </c>
      <c r="AD63">
        <v>0.0</v>
      </c>
      <c r="AE63">
        <v>0.0</v>
      </c>
      <c r="AF63">
        <v>0.0</v>
      </c>
      <c r="AG63">
        <v>0.0</v>
      </c>
      <c r="AH63">
        <v>0.0</v>
      </c>
      <c r="AI63">
        <v>0.0</v>
      </c>
      <c r="AJ63">
        <v>0.0</v>
      </c>
      <c r="AK63">
        <v>0.0</v>
      </c>
      <c r="AL63">
        <v>0.0</v>
      </c>
      <c r="AM63">
        <v>0.0</v>
      </c>
      <c r="AN63">
        <v>0.0</v>
      </c>
      <c r="CE63" s="5" t="b">
        <v>0</v>
      </c>
      <c r="CH63" s="5">
        <f t="shared" si="1"/>
        <v>0</v>
      </c>
      <c r="CI63" s="5">
        <f>Skills!F65</f>
        <v>0</v>
      </c>
      <c r="CJ63" s="5" t="str">
        <f>IF(Skills!B65="","",VLOOKUP(Skills!B65,CalcData!$A$18:$F$23,6,false))</f>
        <v/>
      </c>
    </row>
    <row r="64">
      <c r="A64">
        <v>0.5</v>
      </c>
      <c r="B64">
        <v>0.5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0.0</v>
      </c>
      <c r="AC64">
        <v>0.0</v>
      </c>
      <c r="AD64">
        <v>0.0</v>
      </c>
      <c r="AE64">
        <v>0.0</v>
      </c>
      <c r="AF64">
        <v>0.0</v>
      </c>
      <c r="AG64">
        <v>0.0</v>
      </c>
      <c r="AH64">
        <v>0.0</v>
      </c>
      <c r="AI64">
        <v>0.0</v>
      </c>
      <c r="AJ64">
        <v>0.0</v>
      </c>
      <c r="AK64">
        <v>0.0</v>
      </c>
      <c r="AL64">
        <v>0.0</v>
      </c>
      <c r="AM64">
        <v>0.0</v>
      </c>
      <c r="AN64">
        <v>0.0</v>
      </c>
      <c r="CE64" s="5" t="b">
        <v>0</v>
      </c>
      <c r="CH64" s="5">
        <f t="shared" si="1"/>
        <v>0</v>
      </c>
      <c r="CI64" s="5">
        <f>Skills!F66</f>
        <v>0</v>
      </c>
      <c r="CJ64" s="5" t="str">
        <f>IF(Skills!B66="","",VLOOKUP(Skills!B66,CalcData!$A$18:$F$23,6,false))</f>
        <v/>
      </c>
    </row>
    <row r="65">
      <c r="A65">
        <v>0.5</v>
      </c>
      <c r="B65">
        <v>0.5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  <c r="AA65">
        <v>0.0</v>
      </c>
      <c r="AB65">
        <v>0.0</v>
      </c>
      <c r="AC65">
        <v>0.0</v>
      </c>
      <c r="AD65">
        <v>0.0</v>
      </c>
      <c r="AE65">
        <v>0.0</v>
      </c>
      <c r="AF65">
        <v>0.0</v>
      </c>
      <c r="AG65">
        <v>0.0</v>
      </c>
      <c r="AH65">
        <v>0.0</v>
      </c>
      <c r="AI65">
        <v>0.0</v>
      </c>
      <c r="AJ65">
        <v>0.0</v>
      </c>
      <c r="AK65">
        <v>0.0</v>
      </c>
      <c r="AL65">
        <v>0.0</v>
      </c>
      <c r="AM65">
        <v>0.0</v>
      </c>
      <c r="AN65">
        <v>0.0</v>
      </c>
      <c r="CE65" s="5" t="b">
        <v>0</v>
      </c>
      <c r="CH65" s="5">
        <f t="shared" si="1"/>
        <v>0</v>
      </c>
      <c r="CI65" s="5">
        <f>Skills!F67</f>
        <v>0</v>
      </c>
      <c r="CJ65" s="5" t="str">
        <f>IF(Skills!B67="","",VLOOKUP(Skills!B67,CalcData!$A$18:$F$23,6,false))</f>
        <v/>
      </c>
    </row>
  </sheetData>
  <hyperlinks>
    <hyperlink r:id="rId1" ref="CG3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3" width="28.71"/>
    <col customWidth="1" min="4" max="6" width="10.86"/>
    <col customWidth="1" min="7" max="9" width="28.71"/>
  </cols>
  <sheetData>
    <row r="1">
      <c r="A1" s="5" t="s">
        <v>459</v>
      </c>
      <c r="B1" s="314" t="s">
        <v>460</v>
      </c>
      <c r="C1" s="314" t="s">
        <v>461</v>
      </c>
      <c r="D1" s="387" t="s">
        <v>184</v>
      </c>
      <c r="E1" s="387" t="s">
        <v>192</v>
      </c>
      <c r="F1" s="387" t="s">
        <v>200</v>
      </c>
      <c r="G1" s="388" t="str">
        <f>HYPERLINK("www.dandwiki.com/wiki/SRD:Feats","Feat")</f>
        <v>Feat</v>
      </c>
      <c r="H1" s="314" t="s">
        <v>462</v>
      </c>
      <c r="I1" s="314" t="s">
        <v>462</v>
      </c>
    </row>
    <row r="2">
      <c r="A2" s="296">
        <v>1.0</v>
      </c>
      <c r="B2" s="24"/>
      <c r="C2" s="24"/>
      <c r="D2" s="389" t="s">
        <v>463</v>
      </c>
      <c r="E2" s="390" t="s">
        <v>464</v>
      </c>
      <c r="F2" s="391" t="s">
        <v>464</v>
      </c>
      <c r="G2" s="24"/>
      <c r="H2" s="24"/>
      <c r="I2" s="24"/>
    </row>
    <row r="3">
      <c r="A3" s="296">
        <v>2.0</v>
      </c>
      <c r="B3" s="392"/>
      <c r="C3" s="24"/>
      <c r="D3" s="393" t="s">
        <v>465</v>
      </c>
      <c r="E3" s="394" t="s">
        <v>464</v>
      </c>
      <c r="F3" s="395" t="s">
        <v>464</v>
      </c>
      <c r="G3" s="396"/>
      <c r="H3" s="397"/>
      <c r="I3" s="398"/>
    </row>
    <row r="4">
      <c r="A4" s="296">
        <v>3.0</v>
      </c>
      <c r="B4" s="399"/>
      <c r="C4" s="396"/>
      <c r="D4" s="394" t="s">
        <v>465</v>
      </c>
      <c r="E4" s="394" t="s">
        <v>466</v>
      </c>
      <c r="F4" s="395" t="s">
        <v>464</v>
      </c>
      <c r="G4" s="24"/>
      <c r="H4" s="400"/>
      <c r="I4" s="401"/>
    </row>
    <row r="5">
      <c r="A5" s="296">
        <v>4.0</v>
      </c>
      <c r="B5" s="402"/>
      <c r="C5" s="50"/>
      <c r="D5" s="394" t="s">
        <v>467</v>
      </c>
      <c r="E5" s="394" t="s">
        <v>466</v>
      </c>
      <c r="F5" s="403" t="s">
        <v>466</v>
      </c>
      <c r="G5" s="404"/>
      <c r="H5" s="405"/>
      <c r="I5" s="401"/>
    </row>
    <row r="6">
      <c r="A6" s="296">
        <v>5.0</v>
      </c>
      <c r="B6" s="24"/>
      <c r="C6" s="404"/>
      <c r="D6" s="393" t="s">
        <v>467</v>
      </c>
      <c r="E6" s="394" t="s">
        <v>466</v>
      </c>
      <c r="F6" s="394" t="s">
        <v>466</v>
      </c>
      <c r="G6" s="24"/>
      <c r="H6" s="400"/>
      <c r="I6" s="401"/>
    </row>
    <row r="7">
      <c r="A7" s="296">
        <v>6.0</v>
      </c>
      <c r="B7" s="406"/>
      <c r="C7" s="24"/>
      <c r="D7" s="394" t="s">
        <v>468</v>
      </c>
      <c r="E7" s="394" t="s">
        <v>463</v>
      </c>
      <c r="F7" s="394" t="s">
        <v>463</v>
      </c>
      <c r="G7" s="396"/>
      <c r="H7" s="405"/>
      <c r="I7" s="401"/>
    </row>
    <row r="8">
      <c r="A8" s="296">
        <v>7.0</v>
      </c>
      <c r="B8" s="399"/>
      <c r="C8" s="407"/>
      <c r="D8" s="394" t="s">
        <v>468</v>
      </c>
      <c r="E8" s="394" t="s">
        <v>463</v>
      </c>
      <c r="F8" s="394" t="s">
        <v>463</v>
      </c>
      <c r="G8" s="24"/>
      <c r="H8" s="400"/>
      <c r="I8" s="401"/>
    </row>
    <row r="9">
      <c r="A9" s="296">
        <v>8.0</v>
      </c>
      <c r="B9" s="408"/>
      <c r="C9" s="24"/>
      <c r="D9" s="394" t="s">
        <v>469</v>
      </c>
      <c r="E9" s="394" t="s">
        <v>463</v>
      </c>
      <c r="F9" s="394" t="s">
        <v>463</v>
      </c>
      <c r="G9" s="404"/>
      <c r="H9" s="405"/>
      <c r="I9" s="401"/>
    </row>
    <row r="10">
      <c r="A10" s="296">
        <v>9.0</v>
      </c>
      <c r="B10" s="409"/>
      <c r="C10" s="396"/>
      <c r="D10" s="393" t="s">
        <v>469</v>
      </c>
      <c r="E10" s="394" t="s">
        <v>465</v>
      </c>
      <c r="F10" s="394" t="s">
        <v>465</v>
      </c>
      <c r="G10" s="24"/>
      <c r="H10" s="400"/>
      <c r="I10" s="401"/>
    </row>
    <row r="11">
      <c r="A11" s="296">
        <v>10.0</v>
      </c>
      <c r="B11" s="24"/>
      <c r="C11" s="50"/>
      <c r="D11" s="394" t="s">
        <v>470</v>
      </c>
      <c r="E11" s="394" t="s">
        <v>465</v>
      </c>
      <c r="F11" s="394" t="s">
        <v>465</v>
      </c>
      <c r="G11" s="396"/>
      <c r="H11" s="405"/>
      <c r="I11" s="401"/>
    </row>
    <row r="12">
      <c r="A12" s="296">
        <v>11.0</v>
      </c>
      <c r="B12" s="406"/>
      <c r="C12" s="396"/>
      <c r="D12" s="394" t="s">
        <v>470</v>
      </c>
      <c r="E12" s="394" t="s">
        <v>465</v>
      </c>
      <c r="F12" s="394" t="s">
        <v>465</v>
      </c>
      <c r="G12" s="24"/>
      <c r="H12" s="400"/>
      <c r="I12" s="401"/>
    </row>
    <row r="13">
      <c r="A13" s="296">
        <v>12.0</v>
      </c>
      <c r="B13" s="399"/>
      <c r="C13" s="24"/>
      <c r="D13" s="394" t="s">
        <v>471</v>
      </c>
      <c r="E13" s="394" t="s">
        <v>467</v>
      </c>
      <c r="F13" s="394" t="s">
        <v>467</v>
      </c>
      <c r="G13" s="404"/>
      <c r="H13" s="405"/>
      <c r="I13" s="401"/>
    </row>
    <row r="14">
      <c r="A14" s="296">
        <v>13.0</v>
      </c>
      <c r="B14" s="399"/>
      <c r="C14" s="407"/>
      <c r="D14" s="393" t="s">
        <v>471</v>
      </c>
      <c r="E14" s="394" t="s">
        <v>467</v>
      </c>
      <c r="F14" s="394" t="s">
        <v>467</v>
      </c>
      <c r="G14" s="24"/>
      <c r="H14" s="400"/>
      <c r="I14" s="401"/>
    </row>
    <row r="15">
      <c r="A15" s="296">
        <v>14.0</v>
      </c>
      <c r="B15" s="402"/>
      <c r="C15" s="24"/>
      <c r="D15" s="394" t="s">
        <v>472</v>
      </c>
      <c r="E15" s="394" t="s">
        <v>467</v>
      </c>
      <c r="F15" s="394" t="s">
        <v>467</v>
      </c>
      <c r="G15" s="396"/>
      <c r="H15" s="405"/>
      <c r="I15" s="401"/>
    </row>
    <row r="16">
      <c r="A16" s="296">
        <v>15.0</v>
      </c>
      <c r="B16" s="24"/>
      <c r="C16" s="404"/>
      <c r="D16" s="394" t="s">
        <v>472</v>
      </c>
      <c r="E16" s="394" t="s">
        <v>468</v>
      </c>
      <c r="F16" s="394" t="s">
        <v>468</v>
      </c>
      <c r="G16" s="24"/>
      <c r="H16" s="400"/>
      <c r="I16" s="401"/>
    </row>
    <row r="17">
      <c r="A17" s="296">
        <v>16.0</v>
      </c>
      <c r="B17" s="392"/>
      <c r="C17" s="50"/>
      <c r="D17" s="394" t="s">
        <v>473</v>
      </c>
      <c r="E17" s="394" t="s">
        <v>468</v>
      </c>
      <c r="F17" s="394" t="s">
        <v>468</v>
      </c>
      <c r="G17" s="404"/>
      <c r="H17" s="405"/>
      <c r="I17" s="401"/>
    </row>
    <row r="18">
      <c r="A18" s="296">
        <v>17.0</v>
      </c>
      <c r="B18" s="399"/>
      <c r="C18" s="396"/>
      <c r="D18" s="393" t="s">
        <v>473</v>
      </c>
      <c r="E18" s="394" t="s">
        <v>468</v>
      </c>
      <c r="F18" s="394" t="s">
        <v>468</v>
      </c>
      <c r="G18" s="24"/>
      <c r="H18" s="400"/>
      <c r="I18" s="401"/>
    </row>
    <row r="19">
      <c r="A19" s="296">
        <v>18.0</v>
      </c>
      <c r="B19" s="399"/>
      <c r="C19" s="24"/>
      <c r="D19" s="394" t="s">
        <v>474</v>
      </c>
      <c r="E19" s="394" t="s">
        <v>469</v>
      </c>
      <c r="F19" s="394" t="s">
        <v>469</v>
      </c>
      <c r="G19" s="396"/>
      <c r="H19" s="405"/>
      <c r="I19" s="401"/>
    </row>
    <row r="20">
      <c r="A20" s="296">
        <v>19.0</v>
      </c>
      <c r="B20" s="399"/>
      <c r="C20" s="407"/>
      <c r="D20" s="410" t="s">
        <v>474</v>
      </c>
      <c r="E20" s="394" t="s">
        <v>469</v>
      </c>
      <c r="F20" s="394" t="s">
        <v>469</v>
      </c>
      <c r="G20" s="24"/>
      <c r="H20" s="400"/>
      <c r="I20" s="401"/>
    </row>
    <row r="21">
      <c r="A21" s="296">
        <v>20.0</v>
      </c>
      <c r="B21" s="411"/>
      <c r="C21" s="24"/>
      <c r="D21" s="412" t="s">
        <v>475</v>
      </c>
      <c r="E21" s="413" t="s">
        <v>469</v>
      </c>
      <c r="F21" s="413" t="s">
        <v>469</v>
      </c>
      <c r="G21" s="414"/>
      <c r="H21" s="415"/>
      <c r="I21" s="416"/>
    </row>
    <row r="23">
      <c r="B23" s="314" t="s">
        <v>476</v>
      </c>
    </row>
    <row r="24">
      <c r="B24" s="417" t="s">
        <v>241</v>
      </c>
    </row>
    <row r="25">
      <c r="B25" s="24"/>
    </row>
    <row r="26">
      <c r="B26" s="24"/>
    </row>
    <row r="27">
      <c r="B27" s="24"/>
    </row>
    <row r="28">
      <c r="B28" s="24"/>
    </row>
    <row r="29">
      <c r="B29" s="24"/>
    </row>
    <row r="30">
      <c r="B30" s="24"/>
    </row>
  </sheetData>
  <dataValidations>
    <dataValidation type="list" allowBlank="1" showErrorMessage="1" sqref="D1:F1">
      <formula1>"Fortitude,Reflex,Will"</formula1>
    </dataValidation>
  </dataValidation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3" width="28.71"/>
    <col customWidth="1" min="4" max="6" width="10.86"/>
    <col customWidth="1" min="7" max="9" width="28.71"/>
  </cols>
  <sheetData>
    <row r="1">
      <c r="A1" s="5" t="s">
        <v>459</v>
      </c>
      <c r="B1" s="314" t="s">
        <v>460</v>
      </c>
      <c r="C1" s="314" t="s">
        <v>461</v>
      </c>
      <c r="D1" s="387" t="s">
        <v>192</v>
      </c>
      <c r="E1" s="387" t="s">
        <v>200</v>
      </c>
      <c r="F1" s="387" t="s">
        <v>184</v>
      </c>
      <c r="G1" s="388" t="str">
        <f>HYPERLINK("www.dandwiki.com/wiki/SRD:Feats","Feat")</f>
        <v>Feat</v>
      </c>
      <c r="H1" s="314" t="s">
        <v>462</v>
      </c>
      <c r="I1" s="314" t="s">
        <v>462</v>
      </c>
    </row>
    <row r="2">
      <c r="A2" s="296">
        <v>1.0</v>
      </c>
      <c r="B2" s="23"/>
      <c r="C2" s="23"/>
      <c r="D2" s="389" t="s">
        <v>463</v>
      </c>
      <c r="E2" s="389" t="s">
        <v>463</v>
      </c>
      <c r="F2" s="418" t="s">
        <v>464</v>
      </c>
      <c r="G2" s="23"/>
      <c r="H2" s="24"/>
      <c r="I2" s="24"/>
    </row>
    <row r="3">
      <c r="A3" s="296">
        <v>2.0</v>
      </c>
      <c r="B3" s="392"/>
      <c r="C3" s="24"/>
      <c r="D3" s="393" t="s">
        <v>465</v>
      </c>
      <c r="E3" s="393" t="s">
        <v>465</v>
      </c>
      <c r="F3" s="419" t="s">
        <v>464</v>
      </c>
      <c r="G3" s="396"/>
      <c r="H3" s="397"/>
      <c r="I3" s="398"/>
    </row>
    <row r="4">
      <c r="A4" s="296">
        <v>3.0</v>
      </c>
      <c r="B4" s="399"/>
      <c r="C4" s="397"/>
      <c r="D4" s="394" t="s">
        <v>465</v>
      </c>
      <c r="E4" s="394" t="s">
        <v>465</v>
      </c>
      <c r="F4" s="395" t="s">
        <v>464</v>
      </c>
      <c r="G4" s="24"/>
      <c r="H4" s="400"/>
      <c r="I4" s="401"/>
    </row>
    <row r="5">
      <c r="A5" s="296">
        <v>4.0</v>
      </c>
      <c r="B5" s="409"/>
      <c r="C5" s="420"/>
      <c r="D5" s="394" t="s">
        <v>467</v>
      </c>
      <c r="E5" s="394" t="s">
        <v>467</v>
      </c>
      <c r="F5" s="403" t="s">
        <v>466</v>
      </c>
      <c r="G5" s="404"/>
      <c r="H5" s="405"/>
      <c r="I5" s="401"/>
    </row>
    <row r="6">
      <c r="A6" s="296">
        <v>5.0</v>
      </c>
      <c r="B6" s="24"/>
      <c r="C6" s="24"/>
      <c r="D6" s="393" t="s">
        <v>467</v>
      </c>
      <c r="E6" s="393" t="s">
        <v>467</v>
      </c>
      <c r="F6" s="394" t="s">
        <v>466</v>
      </c>
      <c r="G6" s="24"/>
      <c r="H6" s="400"/>
      <c r="I6" s="401"/>
    </row>
    <row r="7">
      <c r="A7" s="296">
        <v>6.0</v>
      </c>
      <c r="B7" s="406"/>
      <c r="C7" s="397"/>
      <c r="D7" s="394" t="s">
        <v>468</v>
      </c>
      <c r="E7" s="394" t="s">
        <v>468</v>
      </c>
      <c r="F7" s="394" t="s">
        <v>463</v>
      </c>
      <c r="G7" s="396"/>
      <c r="H7" s="405"/>
      <c r="I7" s="401"/>
    </row>
    <row r="8">
      <c r="A8" s="296">
        <v>7.0</v>
      </c>
      <c r="B8" s="399"/>
      <c r="C8" s="421"/>
      <c r="D8" s="394" t="s">
        <v>468</v>
      </c>
      <c r="E8" s="394" t="s">
        <v>468</v>
      </c>
      <c r="F8" s="394" t="s">
        <v>463</v>
      </c>
      <c r="G8" s="24"/>
      <c r="H8" s="400"/>
      <c r="I8" s="401"/>
    </row>
    <row r="9">
      <c r="A9" s="296">
        <v>8.0</v>
      </c>
      <c r="B9" s="408"/>
      <c r="C9" s="24"/>
      <c r="D9" s="394" t="s">
        <v>469</v>
      </c>
      <c r="E9" s="394" t="s">
        <v>469</v>
      </c>
      <c r="F9" s="394" t="s">
        <v>463</v>
      </c>
      <c r="G9" s="404"/>
      <c r="H9" s="405"/>
      <c r="I9" s="401"/>
    </row>
    <row r="10">
      <c r="A10" s="296">
        <v>9.0</v>
      </c>
      <c r="B10" s="409"/>
      <c r="C10" s="397"/>
      <c r="D10" s="393" t="s">
        <v>469</v>
      </c>
      <c r="E10" s="393" t="s">
        <v>469</v>
      </c>
      <c r="F10" s="394" t="s">
        <v>465</v>
      </c>
      <c r="G10" s="24"/>
      <c r="H10" s="400"/>
      <c r="I10" s="401"/>
    </row>
    <row r="11">
      <c r="A11" s="296">
        <v>10.0</v>
      </c>
      <c r="B11" s="24"/>
      <c r="C11" s="422"/>
      <c r="D11" s="394" t="s">
        <v>470</v>
      </c>
      <c r="E11" s="394" t="s">
        <v>470</v>
      </c>
      <c r="F11" s="394" t="s">
        <v>465</v>
      </c>
      <c r="G11" s="396"/>
      <c r="H11" s="405"/>
      <c r="I11" s="401"/>
    </row>
    <row r="12">
      <c r="A12" s="296">
        <v>11.0</v>
      </c>
      <c r="B12" s="392"/>
      <c r="C12" s="24"/>
      <c r="D12" s="394" t="s">
        <v>470</v>
      </c>
      <c r="E12" s="394" t="s">
        <v>470</v>
      </c>
      <c r="F12" s="394" t="s">
        <v>465</v>
      </c>
      <c r="G12" s="24"/>
      <c r="H12" s="400"/>
      <c r="I12" s="401"/>
    </row>
    <row r="13">
      <c r="A13" s="296">
        <v>12.0</v>
      </c>
      <c r="B13" s="399"/>
      <c r="C13" s="423"/>
      <c r="D13" s="394" t="s">
        <v>471</v>
      </c>
      <c r="E13" s="394" t="s">
        <v>471</v>
      </c>
      <c r="F13" s="424" t="s">
        <v>467</v>
      </c>
      <c r="G13" s="404"/>
      <c r="H13" s="405"/>
      <c r="I13" s="401"/>
    </row>
    <row r="14">
      <c r="A14" s="296">
        <v>13.0</v>
      </c>
      <c r="B14" s="399"/>
      <c r="C14" s="421"/>
      <c r="D14" s="393" t="s">
        <v>471</v>
      </c>
      <c r="E14" s="393" t="s">
        <v>471</v>
      </c>
      <c r="F14" s="394" t="s">
        <v>467</v>
      </c>
      <c r="G14" s="24"/>
      <c r="H14" s="400"/>
      <c r="I14" s="401"/>
    </row>
    <row r="15">
      <c r="A15" s="296">
        <v>14.0</v>
      </c>
      <c r="B15" s="402"/>
      <c r="C15" s="24"/>
      <c r="D15" s="394" t="s">
        <v>472</v>
      </c>
      <c r="E15" s="394" t="s">
        <v>472</v>
      </c>
      <c r="F15" s="394" t="s">
        <v>467</v>
      </c>
      <c r="G15" s="396"/>
      <c r="H15" s="405"/>
      <c r="I15" s="401"/>
    </row>
    <row r="16">
      <c r="A16" s="296">
        <v>15.0</v>
      </c>
      <c r="B16" s="24"/>
      <c r="C16" s="425"/>
      <c r="D16" s="394" t="s">
        <v>472</v>
      </c>
      <c r="E16" s="394" t="s">
        <v>472</v>
      </c>
      <c r="F16" s="394" t="s">
        <v>468</v>
      </c>
      <c r="G16" s="24"/>
      <c r="H16" s="400"/>
      <c r="I16" s="401"/>
    </row>
    <row r="17">
      <c r="A17" s="296">
        <v>16.0</v>
      </c>
      <c r="B17" s="406"/>
      <c r="C17" s="420"/>
      <c r="D17" s="394" t="s">
        <v>473</v>
      </c>
      <c r="E17" s="394" t="s">
        <v>473</v>
      </c>
      <c r="F17" s="394" t="s">
        <v>468</v>
      </c>
      <c r="G17" s="404"/>
      <c r="H17" s="405"/>
      <c r="I17" s="401"/>
    </row>
    <row r="18">
      <c r="A18" s="296">
        <v>17.0</v>
      </c>
      <c r="B18" s="408"/>
      <c r="C18" s="24"/>
      <c r="D18" s="393" t="s">
        <v>473</v>
      </c>
      <c r="E18" s="393" t="s">
        <v>473</v>
      </c>
      <c r="F18" s="394" t="s">
        <v>468</v>
      </c>
      <c r="G18" s="24"/>
      <c r="H18" s="400"/>
      <c r="I18" s="401"/>
    </row>
    <row r="19">
      <c r="A19" s="296">
        <v>18.0</v>
      </c>
      <c r="B19" s="399"/>
      <c r="C19" s="397"/>
      <c r="D19" s="394" t="s">
        <v>474</v>
      </c>
      <c r="E19" s="394" t="s">
        <v>474</v>
      </c>
      <c r="F19" s="394" t="s">
        <v>469</v>
      </c>
      <c r="G19" s="396"/>
      <c r="H19" s="405"/>
      <c r="I19" s="401"/>
    </row>
    <row r="20">
      <c r="A20" s="296">
        <v>19.0</v>
      </c>
      <c r="B20" s="399"/>
      <c r="C20" s="421"/>
      <c r="D20" s="410" t="s">
        <v>474</v>
      </c>
      <c r="E20" s="410" t="s">
        <v>474</v>
      </c>
      <c r="F20" s="394" t="s">
        <v>469</v>
      </c>
      <c r="G20" s="24"/>
      <c r="H20" s="400"/>
      <c r="I20" s="401"/>
    </row>
    <row r="21">
      <c r="A21" s="296">
        <v>20.0</v>
      </c>
      <c r="B21" s="411"/>
      <c r="C21" s="24"/>
      <c r="D21" s="412" t="s">
        <v>475</v>
      </c>
      <c r="E21" s="412" t="s">
        <v>475</v>
      </c>
      <c r="F21" s="413" t="s">
        <v>469</v>
      </c>
      <c r="G21" s="414"/>
      <c r="H21" s="415"/>
      <c r="I21" s="416"/>
    </row>
    <row r="23">
      <c r="B23" s="314" t="s">
        <v>476</v>
      </c>
    </row>
    <row r="24">
      <c r="B24" s="417" t="s">
        <v>241</v>
      </c>
    </row>
    <row r="25">
      <c r="B25" s="417" t="s">
        <v>350</v>
      </c>
    </row>
    <row r="26">
      <c r="B26" s="24"/>
    </row>
    <row r="27">
      <c r="B27" s="24"/>
    </row>
    <row r="28">
      <c r="B28" s="24"/>
    </row>
    <row r="29">
      <c r="B29" s="24"/>
    </row>
    <row r="30">
      <c r="B30" s="24"/>
    </row>
    <row r="31">
      <c r="B31" s="24"/>
    </row>
    <row r="32">
      <c r="B32" s="24"/>
    </row>
    <row r="33">
      <c r="B33" s="24"/>
    </row>
    <row r="34">
      <c r="B34" s="24"/>
    </row>
    <row r="35">
      <c r="B35" s="24"/>
    </row>
    <row r="36">
      <c r="B36" s="24"/>
    </row>
    <row r="37">
      <c r="B37" s="24"/>
    </row>
  </sheetData>
  <dataValidations>
    <dataValidation type="list" allowBlank="1" showErrorMessage="1" sqref="D1:F1">
      <formula1>"Fortitude,Reflex,Will"</formula1>
    </dataValidation>
  </dataValidations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0"/>
    <col customWidth="1" min="2" max="3" width="28.71"/>
    <col customWidth="1" min="4" max="6" width="10.86"/>
    <col customWidth="1" min="7" max="20" width="28.71"/>
  </cols>
  <sheetData>
    <row r="1">
      <c r="A1" s="5" t="s">
        <v>459</v>
      </c>
      <c r="B1" s="314" t="s">
        <v>460</v>
      </c>
      <c r="C1" s="314" t="s">
        <v>461</v>
      </c>
      <c r="D1" s="387" t="s">
        <v>200</v>
      </c>
      <c r="E1" s="387" t="s">
        <v>192</v>
      </c>
      <c r="F1" s="387" t="s">
        <v>184</v>
      </c>
      <c r="G1" s="388" t="str">
        <f>HYPERLINK("www.dandwiki.com/wiki/SRD:Feats","Feat")</f>
        <v>Feat</v>
      </c>
      <c r="H1" s="314" t="s">
        <v>462</v>
      </c>
      <c r="I1" s="314" t="s">
        <v>462</v>
      </c>
      <c r="J1" s="314"/>
      <c r="K1" s="314"/>
      <c r="L1" s="314"/>
      <c r="M1" s="314"/>
      <c r="N1" s="314"/>
      <c r="O1" s="314"/>
      <c r="P1" s="314"/>
      <c r="Q1" s="314"/>
      <c r="R1" s="314"/>
      <c r="S1" s="314"/>
      <c r="T1" s="314"/>
    </row>
    <row r="2">
      <c r="A2" s="296">
        <v>1.0</v>
      </c>
      <c r="B2" s="23"/>
      <c r="C2" s="24"/>
      <c r="D2" s="389" t="s">
        <v>463</v>
      </c>
      <c r="E2" s="390" t="s">
        <v>464</v>
      </c>
      <c r="F2" s="391" t="s">
        <v>464</v>
      </c>
      <c r="G2" s="23"/>
      <c r="H2" s="23"/>
      <c r="I2" s="24"/>
    </row>
    <row r="3">
      <c r="A3" s="296">
        <v>2.0</v>
      </c>
      <c r="B3" s="392"/>
      <c r="C3" s="24"/>
      <c r="D3" s="393" t="s">
        <v>465</v>
      </c>
      <c r="E3" s="394" t="s">
        <v>464</v>
      </c>
      <c r="F3" s="395" t="s">
        <v>464</v>
      </c>
      <c r="G3" s="396"/>
      <c r="H3" s="397"/>
      <c r="I3" s="398"/>
      <c r="J3" s="427"/>
      <c r="K3" s="427"/>
      <c r="L3" s="427"/>
      <c r="M3" s="427"/>
      <c r="N3" s="427"/>
      <c r="O3" s="427"/>
      <c r="P3" s="427"/>
      <c r="Q3" s="427"/>
      <c r="R3" s="427"/>
      <c r="S3" s="427"/>
      <c r="T3" s="427"/>
    </row>
    <row r="4">
      <c r="A4" s="296">
        <v>3.0</v>
      </c>
      <c r="B4" s="408"/>
      <c r="C4" s="24"/>
      <c r="D4" s="394" t="s">
        <v>465</v>
      </c>
      <c r="E4" s="394" t="s">
        <v>466</v>
      </c>
      <c r="F4" s="395" t="s">
        <v>464</v>
      </c>
      <c r="G4" s="23"/>
      <c r="H4" s="400"/>
      <c r="I4" s="401"/>
      <c r="J4" s="427"/>
      <c r="K4" s="427"/>
      <c r="L4" s="427"/>
      <c r="M4" s="427"/>
      <c r="N4" s="427"/>
      <c r="O4" s="427"/>
      <c r="P4" s="427"/>
      <c r="Q4" s="427"/>
      <c r="R4" s="427"/>
      <c r="S4" s="427"/>
      <c r="T4" s="427"/>
    </row>
    <row r="5">
      <c r="A5" s="296">
        <v>4.0</v>
      </c>
      <c r="B5" s="399"/>
      <c r="C5" s="397"/>
      <c r="D5" s="394" t="s">
        <v>467</v>
      </c>
      <c r="E5" s="394" t="s">
        <v>466</v>
      </c>
      <c r="F5" s="403" t="s">
        <v>466</v>
      </c>
      <c r="G5" s="404"/>
      <c r="H5" s="405"/>
      <c r="I5" s="401"/>
      <c r="J5" s="427"/>
      <c r="K5" s="427"/>
      <c r="L5" s="427"/>
      <c r="M5" s="427"/>
      <c r="N5" s="427"/>
      <c r="O5" s="427"/>
      <c r="P5" s="427"/>
      <c r="Q5" s="427"/>
      <c r="R5" s="427"/>
      <c r="S5" s="427"/>
      <c r="T5" s="427"/>
    </row>
    <row r="6">
      <c r="A6" s="296">
        <v>5.0</v>
      </c>
      <c r="B6" s="399"/>
      <c r="C6" s="421"/>
      <c r="D6" s="393" t="s">
        <v>467</v>
      </c>
      <c r="E6" s="394" t="s">
        <v>466</v>
      </c>
      <c r="F6" s="394" t="s">
        <v>466</v>
      </c>
      <c r="G6" s="23"/>
      <c r="H6" s="400"/>
      <c r="I6" s="401"/>
      <c r="J6" s="427"/>
      <c r="K6" s="427"/>
      <c r="L6" s="427"/>
      <c r="M6" s="427"/>
      <c r="N6" s="427"/>
      <c r="O6" s="427"/>
      <c r="P6" s="427"/>
      <c r="Q6" s="427"/>
      <c r="R6" s="427"/>
      <c r="S6" s="427"/>
      <c r="T6" s="427"/>
    </row>
    <row r="7">
      <c r="A7" s="296">
        <v>6.0</v>
      </c>
      <c r="B7" s="408"/>
      <c r="C7" s="24"/>
      <c r="D7" s="394" t="s">
        <v>468</v>
      </c>
      <c r="E7" s="394" t="s">
        <v>463</v>
      </c>
      <c r="F7" s="394" t="s">
        <v>463</v>
      </c>
      <c r="G7" s="396"/>
      <c r="H7" s="405"/>
      <c r="I7" s="401"/>
      <c r="J7" s="427"/>
      <c r="K7" s="427"/>
      <c r="L7" s="427"/>
      <c r="M7" s="427"/>
      <c r="N7" s="427"/>
      <c r="O7" s="427"/>
      <c r="P7" s="427"/>
      <c r="Q7" s="427"/>
      <c r="R7" s="427"/>
      <c r="S7" s="427"/>
      <c r="T7" s="427"/>
    </row>
    <row r="8">
      <c r="A8" s="296">
        <v>7.0</v>
      </c>
      <c r="B8" s="399"/>
      <c r="C8" s="397"/>
      <c r="D8" s="394" t="s">
        <v>468</v>
      </c>
      <c r="E8" s="394" t="s">
        <v>463</v>
      </c>
      <c r="F8" s="394" t="s">
        <v>463</v>
      </c>
      <c r="G8" s="24"/>
      <c r="H8" s="400"/>
      <c r="I8" s="401"/>
      <c r="J8" s="427"/>
      <c r="K8" s="427"/>
      <c r="L8" s="427"/>
      <c r="M8" s="427"/>
      <c r="N8" s="427"/>
      <c r="O8" s="427"/>
      <c r="P8" s="427"/>
      <c r="Q8" s="427"/>
      <c r="R8" s="427"/>
      <c r="S8" s="427"/>
      <c r="T8" s="427"/>
    </row>
    <row r="9">
      <c r="A9" s="296">
        <v>8.0</v>
      </c>
      <c r="B9" s="399"/>
      <c r="C9" s="405"/>
      <c r="D9" s="394" t="s">
        <v>469</v>
      </c>
      <c r="E9" s="394" t="s">
        <v>463</v>
      </c>
      <c r="F9" s="394" t="s">
        <v>463</v>
      </c>
      <c r="G9" s="404"/>
      <c r="H9" s="405"/>
      <c r="I9" s="401"/>
      <c r="J9" s="427"/>
      <c r="K9" s="427"/>
      <c r="L9" s="427"/>
      <c r="M9" s="427"/>
      <c r="N9" s="427"/>
      <c r="O9" s="427"/>
      <c r="P9" s="427"/>
      <c r="Q9" s="427"/>
      <c r="R9" s="427"/>
      <c r="S9" s="427"/>
      <c r="T9" s="427"/>
    </row>
    <row r="10">
      <c r="A10" s="296">
        <v>9.0</v>
      </c>
      <c r="B10" s="409"/>
      <c r="C10" s="421"/>
      <c r="D10" s="393" t="s">
        <v>469</v>
      </c>
      <c r="E10" s="394" t="s">
        <v>465</v>
      </c>
      <c r="F10" s="394" t="s">
        <v>465</v>
      </c>
      <c r="G10" s="24"/>
      <c r="H10" s="400"/>
      <c r="I10" s="401"/>
      <c r="J10" s="427"/>
      <c r="K10" s="427"/>
      <c r="L10" s="427"/>
      <c r="M10" s="427"/>
      <c r="N10" s="427"/>
      <c r="O10" s="427"/>
      <c r="P10" s="427"/>
      <c r="Q10" s="427"/>
      <c r="R10" s="427"/>
      <c r="S10" s="427"/>
      <c r="T10" s="427"/>
    </row>
    <row r="11">
      <c r="A11" s="296">
        <v>10.0</v>
      </c>
      <c r="B11" s="24"/>
      <c r="C11" s="24"/>
      <c r="D11" s="394" t="s">
        <v>470</v>
      </c>
      <c r="E11" s="394" t="s">
        <v>465</v>
      </c>
      <c r="F11" s="394" t="s">
        <v>465</v>
      </c>
      <c r="G11" s="396"/>
      <c r="H11" s="405"/>
      <c r="I11" s="401"/>
      <c r="J11" s="427"/>
      <c r="K11" s="427"/>
      <c r="L11" s="427"/>
      <c r="M11" s="427"/>
      <c r="N11" s="427"/>
      <c r="O11" s="427"/>
      <c r="P11" s="427"/>
      <c r="Q11" s="427"/>
      <c r="R11" s="427"/>
      <c r="S11" s="427"/>
      <c r="T11" s="427"/>
    </row>
    <row r="12">
      <c r="A12" s="296">
        <v>11.0</v>
      </c>
      <c r="B12" s="406"/>
      <c r="C12" s="397"/>
      <c r="D12" s="394" t="s">
        <v>470</v>
      </c>
      <c r="E12" s="394" t="s">
        <v>465</v>
      </c>
      <c r="F12" s="394" t="s">
        <v>465</v>
      </c>
      <c r="G12" s="24"/>
      <c r="H12" s="400"/>
      <c r="I12" s="401"/>
      <c r="J12" s="427"/>
      <c r="K12" s="427"/>
      <c r="L12" s="427"/>
      <c r="M12" s="427"/>
      <c r="N12" s="427"/>
      <c r="O12" s="427"/>
      <c r="P12" s="427"/>
      <c r="Q12" s="427"/>
      <c r="R12" s="427"/>
      <c r="S12" s="427"/>
      <c r="T12" s="427"/>
    </row>
    <row r="13">
      <c r="A13" s="296">
        <v>12.0</v>
      </c>
      <c r="B13" s="399"/>
      <c r="C13" s="405"/>
      <c r="D13" s="394" t="s">
        <v>471</v>
      </c>
      <c r="E13" s="394" t="s">
        <v>467</v>
      </c>
      <c r="F13" s="394" t="s">
        <v>467</v>
      </c>
      <c r="G13" s="404"/>
      <c r="H13" s="405"/>
      <c r="I13" s="401"/>
      <c r="J13" s="427"/>
      <c r="K13" s="427"/>
      <c r="L13" s="427"/>
      <c r="M13" s="427"/>
      <c r="N13" s="427"/>
      <c r="O13" s="427"/>
      <c r="P13" s="427"/>
      <c r="Q13" s="427"/>
      <c r="R13" s="427"/>
      <c r="S13" s="427"/>
      <c r="T13" s="427"/>
    </row>
    <row r="14">
      <c r="A14" s="296">
        <v>13.0</v>
      </c>
      <c r="B14" s="399"/>
      <c r="C14" s="421"/>
      <c r="D14" s="393" t="s">
        <v>471</v>
      </c>
      <c r="E14" s="394" t="s">
        <v>467</v>
      </c>
      <c r="F14" s="394" t="s">
        <v>467</v>
      </c>
      <c r="G14" s="24"/>
      <c r="H14" s="400"/>
      <c r="I14" s="401"/>
      <c r="J14" s="427"/>
      <c r="K14" s="427"/>
      <c r="L14" s="427"/>
      <c r="M14" s="427"/>
      <c r="N14" s="427"/>
      <c r="O14" s="427"/>
      <c r="P14" s="427"/>
      <c r="Q14" s="427"/>
      <c r="R14" s="427"/>
      <c r="S14" s="427"/>
      <c r="T14" s="427"/>
    </row>
    <row r="15">
      <c r="A15" s="296">
        <v>14.0</v>
      </c>
      <c r="B15" s="408"/>
      <c r="C15" s="24"/>
      <c r="D15" s="394" t="s">
        <v>472</v>
      </c>
      <c r="E15" s="394" t="s">
        <v>467</v>
      </c>
      <c r="F15" s="394" t="s">
        <v>467</v>
      </c>
      <c r="G15" s="396"/>
      <c r="H15" s="405"/>
      <c r="I15" s="401"/>
      <c r="J15" s="427"/>
      <c r="K15" s="427"/>
      <c r="L15" s="427"/>
      <c r="M15" s="427"/>
      <c r="N15" s="427"/>
      <c r="O15" s="427"/>
      <c r="P15" s="427"/>
      <c r="Q15" s="427"/>
      <c r="R15" s="427"/>
      <c r="S15" s="427"/>
      <c r="T15" s="427"/>
    </row>
    <row r="16">
      <c r="A16" s="296">
        <v>15.0</v>
      </c>
      <c r="B16" s="399"/>
      <c r="C16" s="397"/>
      <c r="D16" s="394" t="s">
        <v>472</v>
      </c>
      <c r="E16" s="394" t="s">
        <v>468</v>
      </c>
      <c r="F16" s="394" t="s">
        <v>468</v>
      </c>
      <c r="G16" s="24"/>
      <c r="H16" s="400"/>
      <c r="I16" s="401"/>
      <c r="J16" s="427"/>
      <c r="K16" s="427"/>
      <c r="L16" s="427"/>
      <c r="M16" s="427"/>
      <c r="N16" s="427"/>
      <c r="O16" s="427"/>
      <c r="P16" s="427"/>
      <c r="Q16" s="427"/>
      <c r="R16" s="427"/>
      <c r="S16" s="427"/>
      <c r="T16" s="427"/>
    </row>
    <row r="17">
      <c r="A17" s="296">
        <v>16.0</v>
      </c>
      <c r="B17" s="399"/>
      <c r="C17" s="405"/>
      <c r="D17" s="394" t="s">
        <v>473</v>
      </c>
      <c r="E17" s="394" t="s">
        <v>468</v>
      </c>
      <c r="F17" s="394" t="s">
        <v>468</v>
      </c>
      <c r="G17" s="404"/>
      <c r="H17" s="405"/>
      <c r="I17" s="401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</row>
    <row r="18">
      <c r="A18" s="296">
        <v>17.0</v>
      </c>
      <c r="B18" s="399"/>
      <c r="C18" s="421"/>
      <c r="D18" s="393" t="s">
        <v>473</v>
      </c>
      <c r="E18" s="394" t="s">
        <v>468</v>
      </c>
      <c r="F18" s="394" t="s">
        <v>468</v>
      </c>
      <c r="G18" s="24"/>
      <c r="H18" s="400"/>
      <c r="I18" s="401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</row>
    <row r="19">
      <c r="A19" s="296">
        <v>18.0</v>
      </c>
      <c r="B19" s="408"/>
      <c r="C19" s="24"/>
      <c r="D19" s="394" t="s">
        <v>474</v>
      </c>
      <c r="E19" s="394" t="s">
        <v>469</v>
      </c>
      <c r="F19" s="394" t="s">
        <v>469</v>
      </c>
      <c r="G19" s="396"/>
      <c r="H19" s="405"/>
      <c r="I19" s="401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</row>
    <row r="20">
      <c r="A20" s="296">
        <v>19.0</v>
      </c>
      <c r="B20" s="399"/>
      <c r="C20" s="397"/>
      <c r="D20" s="410" t="s">
        <v>474</v>
      </c>
      <c r="E20" s="394" t="s">
        <v>469</v>
      </c>
      <c r="F20" s="394" t="s">
        <v>469</v>
      </c>
      <c r="G20" s="24"/>
      <c r="H20" s="400"/>
      <c r="I20" s="401"/>
      <c r="J20" s="427"/>
      <c r="K20" s="427"/>
      <c r="L20" s="427"/>
      <c r="M20" s="427"/>
      <c r="N20" s="427"/>
      <c r="O20" s="427"/>
      <c r="P20" s="427"/>
      <c r="Q20" s="427"/>
      <c r="R20" s="427"/>
      <c r="S20" s="427"/>
      <c r="T20" s="427"/>
    </row>
    <row r="21">
      <c r="A21" s="296">
        <v>20.0</v>
      </c>
      <c r="B21" s="428"/>
      <c r="C21" s="415"/>
      <c r="D21" s="412" t="s">
        <v>475</v>
      </c>
      <c r="E21" s="413" t="s">
        <v>469</v>
      </c>
      <c r="F21" s="413" t="s">
        <v>469</v>
      </c>
      <c r="G21" s="414"/>
      <c r="H21" s="415"/>
      <c r="I21" s="416"/>
      <c r="J21" s="427"/>
      <c r="K21" s="427"/>
      <c r="L21" s="427"/>
      <c r="M21" s="427"/>
      <c r="N21" s="427"/>
      <c r="O21" s="427"/>
      <c r="P21" s="427"/>
      <c r="Q21" s="427"/>
      <c r="R21" s="427"/>
      <c r="S21" s="427"/>
      <c r="T21" s="427"/>
    </row>
  </sheetData>
  <dataValidations>
    <dataValidation type="list" allowBlank="1" showErrorMessage="1" sqref="D1:F1">
      <formula1>"Fortitude,Reflex,Will"</formula1>
    </dataValidation>
  </dataValidations>
  <drawing r:id="rId2"/>
  <legacyDrawing r:id="rId3"/>
</worksheet>
</file>