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9960" yWindow="0" windowWidth="40400" windowHeight="25860" tabRatio="500"/>
  </bookViews>
  <sheets>
    <sheet name="Main" sheetId="1" r:id="rId1"/>
  </sheets>
  <definedNames>
    <definedName name="adjusted_clinton_national">Main!$L$11</definedName>
    <definedName name="adjusted_electors_">Main!$O$11</definedName>
    <definedName name="adjusted_electors_national_clinton">Main!$P$11</definedName>
    <definedName name="adjusted_electors_national_trump">Main!$O$11</definedName>
    <definedName name="adjusted_spread_national">Main!$N$11</definedName>
    <definedName name="adjusted_trump_national">Main!$M$11</definedName>
    <definedName name="clinton_national">Main!$L$3</definedName>
    <definedName name="johnson_national">Main!$N$3</definedName>
    <definedName name="orig_">Main!$I$13:$I$63</definedName>
    <definedName name="orig_clinton">Main!$L$4</definedName>
    <definedName name="orig_electors_clinton">Main!$J$13:$J$63</definedName>
    <definedName name="orig_electors_trump">Main!$K$13:$K$63</definedName>
    <definedName name="orig_johnson">Main!#REF!</definedName>
    <definedName name="orig_stein">Main!#REF!</definedName>
    <definedName name="orig_trump">Main!$M$4</definedName>
    <definedName name="other_clinton">Main!#REF!</definedName>
    <definedName name="other_trump">Main!#REF!</definedName>
    <definedName name="pct_johnson_to_clinton">Main!$E$3</definedName>
    <definedName name="pct_johnson_to_trump">Main!$E$4</definedName>
    <definedName name="pct_stein_to_clinton">Main!$D$3</definedName>
    <definedName name="pct_stein_to_trump">Main!$D$4</definedName>
    <definedName name="stein_national">Main!$O$3</definedName>
    <definedName name="trump_national">Main!$M$3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" i="1" l="1"/>
  <c r="E4" i="1"/>
  <c r="D4" i="1"/>
  <c r="M13" i="1"/>
  <c r="P13" i="1"/>
  <c r="L14" i="1"/>
  <c r="M14" i="1"/>
  <c r="P14" i="1"/>
  <c r="L15" i="1"/>
  <c r="M15" i="1"/>
  <c r="P15" i="1"/>
  <c r="L16" i="1"/>
  <c r="M16" i="1"/>
  <c r="P16" i="1"/>
  <c r="L17" i="1"/>
  <c r="M17" i="1"/>
  <c r="P17" i="1"/>
  <c r="L18" i="1"/>
  <c r="M18" i="1"/>
  <c r="P18" i="1"/>
  <c r="L19" i="1"/>
  <c r="M19" i="1"/>
  <c r="P19" i="1"/>
  <c r="L20" i="1"/>
  <c r="M20" i="1"/>
  <c r="P20" i="1"/>
  <c r="L21" i="1"/>
  <c r="M21" i="1"/>
  <c r="P21" i="1"/>
  <c r="L22" i="1"/>
  <c r="M22" i="1"/>
  <c r="P22" i="1"/>
  <c r="L23" i="1"/>
  <c r="M23" i="1"/>
  <c r="P23" i="1"/>
  <c r="L24" i="1"/>
  <c r="M24" i="1"/>
  <c r="P24" i="1"/>
  <c r="L25" i="1"/>
  <c r="M25" i="1"/>
  <c r="P25" i="1"/>
  <c r="L26" i="1"/>
  <c r="M26" i="1"/>
  <c r="P26" i="1"/>
  <c r="L27" i="1"/>
  <c r="M27" i="1"/>
  <c r="P27" i="1"/>
  <c r="L28" i="1"/>
  <c r="M28" i="1"/>
  <c r="P28" i="1"/>
  <c r="L29" i="1"/>
  <c r="M29" i="1"/>
  <c r="P29" i="1"/>
  <c r="L30" i="1"/>
  <c r="M30" i="1"/>
  <c r="P30" i="1"/>
  <c r="L31" i="1"/>
  <c r="M31" i="1"/>
  <c r="P31" i="1"/>
  <c r="L32" i="1"/>
  <c r="M32" i="1"/>
  <c r="P32" i="1"/>
  <c r="L33" i="1"/>
  <c r="M33" i="1"/>
  <c r="P33" i="1"/>
  <c r="L34" i="1"/>
  <c r="M34" i="1"/>
  <c r="P34" i="1"/>
  <c r="L35" i="1"/>
  <c r="M35" i="1"/>
  <c r="P35" i="1"/>
  <c r="L36" i="1"/>
  <c r="M36" i="1"/>
  <c r="P36" i="1"/>
  <c r="L37" i="1"/>
  <c r="M37" i="1"/>
  <c r="P37" i="1"/>
  <c r="L38" i="1"/>
  <c r="M38" i="1"/>
  <c r="P38" i="1"/>
  <c r="L39" i="1"/>
  <c r="M39" i="1"/>
  <c r="P39" i="1"/>
  <c r="L40" i="1"/>
  <c r="M40" i="1"/>
  <c r="P40" i="1"/>
  <c r="L41" i="1"/>
  <c r="M41" i="1"/>
  <c r="P41" i="1"/>
  <c r="L42" i="1"/>
  <c r="M42" i="1"/>
  <c r="P42" i="1"/>
  <c r="L43" i="1"/>
  <c r="M43" i="1"/>
  <c r="P43" i="1"/>
  <c r="L44" i="1"/>
  <c r="M44" i="1"/>
  <c r="P44" i="1"/>
  <c r="L45" i="1"/>
  <c r="M45" i="1"/>
  <c r="P45" i="1"/>
  <c r="L46" i="1"/>
  <c r="M46" i="1"/>
  <c r="P46" i="1"/>
  <c r="L47" i="1"/>
  <c r="M47" i="1"/>
  <c r="P47" i="1"/>
  <c r="L48" i="1"/>
  <c r="M48" i="1"/>
  <c r="P48" i="1"/>
  <c r="L49" i="1"/>
  <c r="M49" i="1"/>
  <c r="P49" i="1"/>
  <c r="L50" i="1"/>
  <c r="M50" i="1"/>
  <c r="P50" i="1"/>
  <c r="L51" i="1"/>
  <c r="M51" i="1"/>
  <c r="P51" i="1"/>
  <c r="L52" i="1"/>
  <c r="M52" i="1"/>
  <c r="P52" i="1"/>
  <c r="L53" i="1"/>
  <c r="M53" i="1"/>
  <c r="P53" i="1"/>
  <c r="L54" i="1"/>
  <c r="M54" i="1"/>
  <c r="P54" i="1"/>
  <c r="L55" i="1"/>
  <c r="M55" i="1"/>
  <c r="P55" i="1"/>
  <c r="L56" i="1"/>
  <c r="M56" i="1"/>
  <c r="P56" i="1"/>
  <c r="L57" i="1"/>
  <c r="M57" i="1"/>
  <c r="P57" i="1"/>
  <c r="L58" i="1"/>
  <c r="M58" i="1"/>
  <c r="P58" i="1"/>
  <c r="L59" i="1"/>
  <c r="M59" i="1"/>
  <c r="P59" i="1"/>
  <c r="L60" i="1"/>
  <c r="M60" i="1"/>
  <c r="P60" i="1"/>
  <c r="L61" i="1"/>
  <c r="M61" i="1"/>
  <c r="P61" i="1"/>
  <c r="L62" i="1"/>
  <c r="M62" i="1"/>
  <c r="P62" i="1"/>
  <c r="L63" i="1"/>
  <c r="M63" i="1"/>
  <c r="P63" i="1"/>
  <c r="F3" i="1"/>
  <c r="N63" i="1"/>
  <c r="R63" i="1"/>
  <c r="I63" i="1"/>
  <c r="Q63" i="1"/>
  <c r="T63" i="1"/>
  <c r="N62" i="1"/>
  <c r="R62" i="1"/>
  <c r="I62" i="1"/>
  <c r="Q62" i="1"/>
  <c r="T62" i="1"/>
  <c r="N61" i="1"/>
  <c r="R61" i="1"/>
  <c r="I61" i="1"/>
  <c r="Q61" i="1"/>
  <c r="T61" i="1"/>
  <c r="N60" i="1"/>
  <c r="R60" i="1"/>
  <c r="I60" i="1"/>
  <c r="Q60" i="1"/>
  <c r="T60" i="1"/>
  <c r="N59" i="1"/>
  <c r="R59" i="1"/>
  <c r="I59" i="1"/>
  <c r="Q59" i="1"/>
  <c r="T59" i="1"/>
  <c r="N58" i="1"/>
  <c r="R58" i="1"/>
  <c r="I58" i="1"/>
  <c r="Q58" i="1"/>
  <c r="T58" i="1"/>
  <c r="N57" i="1"/>
  <c r="R57" i="1"/>
  <c r="I57" i="1"/>
  <c r="Q57" i="1"/>
  <c r="T57" i="1"/>
  <c r="N56" i="1"/>
  <c r="R56" i="1"/>
  <c r="I56" i="1"/>
  <c r="Q56" i="1"/>
  <c r="T56" i="1"/>
  <c r="N55" i="1"/>
  <c r="R55" i="1"/>
  <c r="I55" i="1"/>
  <c r="Q55" i="1"/>
  <c r="T55" i="1"/>
  <c r="N54" i="1"/>
  <c r="R54" i="1"/>
  <c r="I54" i="1"/>
  <c r="Q54" i="1"/>
  <c r="T54" i="1"/>
  <c r="N53" i="1"/>
  <c r="R53" i="1"/>
  <c r="I53" i="1"/>
  <c r="Q53" i="1"/>
  <c r="T53" i="1"/>
  <c r="N52" i="1"/>
  <c r="R52" i="1"/>
  <c r="I52" i="1"/>
  <c r="Q52" i="1"/>
  <c r="T52" i="1"/>
  <c r="N51" i="1"/>
  <c r="R51" i="1"/>
  <c r="I51" i="1"/>
  <c r="Q51" i="1"/>
  <c r="T51" i="1"/>
  <c r="N50" i="1"/>
  <c r="R50" i="1"/>
  <c r="I50" i="1"/>
  <c r="Q50" i="1"/>
  <c r="T50" i="1"/>
  <c r="N49" i="1"/>
  <c r="R49" i="1"/>
  <c r="I49" i="1"/>
  <c r="Q49" i="1"/>
  <c r="T49" i="1"/>
  <c r="N48" i="1"/>
  <c r="R48" i="1"/>
  <c r="I48" i="1"/>
  <c r="Q48" i="1"/>
  <c r="T48" i="1"/>
  <c r="N47" i="1"/>
  <c r="R47" i="1"/>
  <c r="I47" i="1"/>
  <c r="Q47" i="1"/>
  <c r="T47" i="1"/>
  <c r="N46" i="1"/>
  <c r="R46" i="1"/>
  <c r="I46" i="1"/>
  <c r="Q46" i="1"/>
  <c r="T46" i="1"/>
  <c r="N45" i="1"/>
  <c r="R45" i="1"/>
  <c r="I45" i="1"/>
  <c r="Q45" i="1"/>
  <c r="T45" i="1"/>
  <c r="N44" i="1"/>
  <c r="R44" i="1"/>
  <c r="I44" i="1"/>
  <c r="Q44" i="1"/>
  <c r="T44" i="1"/>
  <c r="N43" i="1"/>
  <c r="R43" i="1"/>
  <c r="I43" i="1"/>
  <c r="Q43" i="1"/>
  <c r="T43" i="1"/>
  <c r="N42" i="1"/>
  <c r="R42" i="1"/>
  <c r="I42" i="1"/>
  <c r="Q42" i="1"/>
  <c r="T42" i="1"/>
  <c r="N41" i="1"/>
  <c r="R41" i="1"/>
  <c r="I41" i="1"/>
  <c r="Q41" i="1"/>
  <c r="T41" i="1"/>
  <c r="N40" i="1"/>
  <c r="R40" i="1"/>
  <c r="I40" i="1"/>
  <c r="Q40" i="1"/>
  <c r="T40" i="1"/>
  <c r="N39" i="1"/>
  <c r="R39" i="1"/>
  <c r="I39" i="1"/>
  <c r="Q39" i="1"/>
  <c r="T39" i="1"/>
  <c r="N38" i="1"/>
  <c r="R38" i="1"/>
  <c r="I38" i="1"/>
  <c r="Q38" i="1"/>
  <c r="T38" i="1"/>
  <c r="N37" i="1"/>
  <c r="R37" i="1"/>
  <c r="I37" i="1"/>
  <c r="Q37" i="1"/>
  <c r="T37" i="1"/>
  <c r="N36" i="1"/>
  <c r="R36" i="1"/>
  <c r="I36" i="1"/>
  <c r="Q36" i="1"/>
  <c r="T36" i="1"/>
  <c r="N35" i="1"/>
  <c r="R35" i="1"/>
  <c r="I35" i="1"/>
  <c r="Q35" i="1"/>
  <c r="T35" i="1"/>
  <c r="N34" i="1"/>
  <c r="R34" i="1"/>
  <c r="I34" i="1"/>
  <c r="Q34" i="1"/>
  <c r="T34" i="1"/>
  <c r="N33" i="1"/>
  <c r="R33" i="1"/>
  <c r="I33" i="1"/>
  <c r="Q33" i="1"/>
  <c r="T33" i="1"/>
  <c r="N32" i="1"/>
  <c r="R32" i="1"/>
  <c r="I32" i="1"/>
  <c r="Q32" i="1"/>
  <c r="T32" i="1"/>
  <c r="N31" i="1"/>
  <c r="R31" i="1"/>
  <c r="I31" i="1"/>
  <c r="Q31" i="1"/>
  <c r="T31" i="1"/>
  <c r="N30" i="1"/>
  <c r="R30" i="1"/>
  <c r="I30" i="1"/>
  <c r="Q30" i="1"/>
  <c r="T30" i="1"/>
  <c r="N29" i="1"/>
  <c r="R29" i="1"/>
  <c r="I29" i="1"/>
  <c r="Q29" i="1"/>
  <c r="T29" i="1"/>
  <c r="N28" i="1"/>
  <c r="R28" i="1"/>
  <c r="I28" i="1"/>
  <c r="Q28" i="1"/>
  <c r="T28" i="1"/>
  <c r="N27" i="1"/>
  <c r="R27" i="1"/>
  <c r="I27" i="1"/>
  <c r="Q27" i="1"/>
  <c r="T27" i="1"/>
  <c r="N26" i="1"/>
  <c r="R26" i="1"/>
  <c r="I26" i="1"/>
  <c r="Q26" i="1"/>
  <c r="T26" i="1"/>
  <c r="N25" i="1"/>
  <c r="R25" i="1"/>
  <c r="I25" i="1"/>
  <c r="Q25" i="1"/>
  <c r="T25" i="1"/>
  <c r="N24" i="1"/>
  <c r="R24" i="1"/>
  <c r="I24" i="1"/>
  <c r="Q24" i="1"/>
  <c r="T24" i="1"/>
  <c r="N23" i="1"/>
  <c r="R23" i="1"/>
  <c r="I23" i="1"/>
  <c r="Q23" i="1"/>
  <c r="T23" i="1"/>
  <c r="N22" i="1"/>
  <c r="R22" i="1"/>
  <c r="I22" i="1"/>
  <c r="Q22" i="1"/>
  <c r="T22" i="1"/>
  <c r="N21" i="1"/>
  <c r="R21" i="1"/>
  <c r="I21" i="1"/>
  <c r="Q21" i="1"/>
  <c r="T21" i="1"/>
  <c r="N20" i="1"/>
  <c r="R20" i="1"/>
  <c r="I20" i="1"/>
  <c r="Q20" i="1"/>
  <c r="T20" i="1"/>
  <c r="N19" i="1"/>
  <c r="R19" i="1"/>
  <c r="I19" i="1"/>
  <c r="Q19" i="1"/>
  <c r="T19" i="1"/>
  <c r="N18" i="1"/>
  <c r="R18" i="1"/>
  <c r="I18" i="1"/>
  <c r="Q18" i="1"/>
  <c r="T18" i="1"/>
  <c r="N17" i="1"/>
  <c r="R17" i="1"/>
  <c r="I17" i="1"/>
  <c r="Q17" i="1"/>
  <c r="T17" i="1"/>
  <c r="N16" i="1"/>
  <c r="R16" i="1"/>
  <c r="I16" i="1"/>
  <c r="Q16" i="1"/>
  <c r="T16" i="1"/>
  <c r="N15" i="1"/>
  <c r="R15" i="1"/>
  <c r="I15" i="1"/>
  <c r="Q15" i="1"/>
  <c r="T15" i="1"/>
  <c r="N14" i="1"/>
  <c r="R14" i="1"/>
  <c r="I14" i="1"/>
  <c r="Q14" i="1"/>
  <c r="T14" i="1"/>
  <c r="N13" i="1"/>
  <c r="R13" i="1"/>
  <c r="I13" i="1"/>
  <c r="Q13" i="1"/>
  <c r="T13" i="1"/>
  <c r="H13" i="1"/>
  <c r="V13" i="1"/>
  <c r="H14" i="1"/>
  <c r="V14" i="1"/>
  <c r="H15" i="1"/>
  <c r="V15" i="1"/>
  <c r="H16" i="1"/>
  <c r="V16" i="1"/>
  <c r="H17" i="1"/>
  <c r="V17" i="1"/>
  <c r="H18" i="1"/>
  <c r="V18" i="1"/>
  <c r="H19" i="1"/>
  <c r="V19" i="1"/>
  <c r="H20" i="1"/>
  <c r="V20" i="1"/>
  <c r="H21" i="1"/>
  <c r="V21" i="1"/>
  <c r="H22" i="1"/>
  <c r="V22" i="1"/>
  <c r="H23" i="1"/>
  <c r="V23" i="1"/>
  <c r="H24" i="1"/>
  <c r="V24" i="1"/>
  <c r="H25" i="1"/>
  <c r="V25" i="1"/>
  <c r="H26" i="1"/>
  <c r="V26" i="1"/>
  <c r="H27" i="1"/>
  <c r="V27" i="1"/>
  <c r="H28" i="1"/>
  <c r="V28" i="1"/>
  <c r="H29" i="1"/>
  <c r="V29" i="1"/>
  <c r="H30" i="1"/>
  <c r="V30" i="1"/>
  <c r="H31" i="1"/>
  <c r="V31" i="1"/>
  <c r="H32" i="1"/>
  <c r="V32" i="1"/>
  <c r="H33" i="1"/>
  <c r="V33" i="1"/>
  <c r="H34" i="1"/>
  <c r="V34" i="1"/>
  <c r="H35" i="1"/>
  <c r="V35" i="1"/>
  <c r="H36" i="1"/>
  <c r="V36" i="1"/>
  <c r="H37" i="1"/>
  <c r="V37" i="1"/>
  <c r="H38" i="1"/>
  <c r="V38" i="1"/>
  <c r="H39" i="1"/>
  <c r="V39" i="1"/>
  <c r="H40" i="1"/>
  <c r="V40" i="1"/>
  <c r="H41" i="1"/>
  <c r="V41" i="1"/>
  <c r="H42" i="1"/>
  <c r="V42" i="1"/>
  <c r="H43" i="1"/>
  <c r="V43" i="1"/>
  <c r="H44" i="1"/>
  <c r="V44" i="1"/>
  <c r="H45" i="1"/>
  <c r="V45" i="1"/>
  <c r="H46" i="1"/>
  <c r="V46" i="1"/>
  <c r="H47" i="1"/>
  <c r="V47" i="1"/>
  <c r="H48" i="1"/>
  <c r="V48" i="1"/>
  <c r="H49" i="1"/>
  <c r="V49" i="1"/>
  <c r="H50" i="1"/>
  <c r="V50" i="1"/>
  <c r="H51" i="1"/>
  <c r="V51" i="1"/>
  <c r="H52" i="1"/>
  <c r="V52" i="1"/>
  <c r="H53" i="1"/>
  <c r="V53" i="1"/>
  <c r="H54" i="1"/>
  <c r="V54" i="1"/>
  <c r="H55" i="1"/>
  <c r="V55" i="1"/>
  <c r="H56" i="1"/>
  <c r="V56" i="1"/>
  <c r="H57" i="1"/>
  <c r="V57" i="1"/>
  <c r="H58" i="1"/>
  <c r="V58" i="1"/>
  <c r="H59" i="1"/>
  <c r="V59" i="1"/>
  <c r="H60" i="1"/>
  <c r="V60" i="1"/>
  <c r="H61" i="1"/>
  <c r="V61" i="1"/>
  <c r="H62" i="1"/>
  <c r="V62" i="1"/>
  <c r="H63" i="1"/>
  <c r="V63" i="1"/>
  <c r="G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G3" i="1"/>
  <c r="D11" i="1"/>
  <c r="E11" i="1"/>
  <c r="F11" i="1"/>
  <c r="G11" i="1"/>
  <c r="I11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11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11" i="1"/>
  <c r="L11" i="1"/>
  <c r="M11" i="1"/>
  <c r="N11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11" i="1"/>
  <c r="P11" i="1"/>
  <c r="C11" i="1"/>
  <c r="U9" i="1" a="1"/>
  <c r="U9" i="1"/>
  <c r="U64" i="1"/>
  <c r="P4" i="1"/>
  <c r="P3" i="1"/>
  <c r="I10" i="1"/>
  <c r="J10" i="1"/>
  <c r="F10" i="1"/>
  <c r="G10" i="1"/>
  <c r="E5" i="1"/>
  <c r="D5" i="1"/>
  <c r="E10" i="1"/>
  <c r="D10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C10" i="1"/>
  <c r="F4" i="1"/>
  <c r="F5" i="1"/>
  <c r="K10" i="1"/>
</calcChain>
</file>

<file path=xl/sharedStrings.xml><?xml version="1.0" encoding="utf-8"?>
<sst xmlns="http://schemas.openxmlformats.org/spreadsheetml/2006/main" count="89" uniqueCount="87">
  <si>
    <t>Wisconsin</t>
  </si>
  <si>
    <t>Michigan</t>
  </si>
  <si>
    <t>Pennsylvania</t>
  </si>
  <si>
    <t>Florida</t>
  </si>
  <si>
    <t>Clinton</t>
  </si>
  <si>
    <t>Trump</t>
  </si>
  <si>
    <t>Johnson</t>
  </si>
  <si>
    <t>Stein</t>
  </si>
  <si>
    <t>New Hampshire</t>
  </si>
  <si>
    <t>North Carolina</t>
  </si>
  <si>
    <t>Adjusted Electors</t>
  </si>
  <si>
    <t>Check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</si>
  <si>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</si>
  <si>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</si>
  <si>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</si>
  <si>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</si>
  <si>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</si>
  <si>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</si>
  <si>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</si>
  <si>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</si>
  <si>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</si>
  <si>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</si>
  <si>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</si>
  <si>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</si>
  <si>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</si>
  <si>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</si>
  <si>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</si>
  <si>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</si>
  <si>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</si>
  <si>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</si>
  <si>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</si>
  <si>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</si>
  <si>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</si>
  <si>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</si>
  <si>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</si>
  <si>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</si>
  <si>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</si>
  <si>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</si>
  <si>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</si>
  <si>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</si>
  <si>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</si>
  <si>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</si>
  <si>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Dakota</t>
  </si>
  <si>
    <t>Ohio</t>
  </si>
  <si>
    <t>Oklahoma</t>
  </si>
  <si>
    <t>Oregon</t>
  </si>
  <si>
    <t>Rhode Island</t>
  </si>
  <si>
    <t>South Dakota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</si>
  <si>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</si>
  <si>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</si>
  <si>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</si>
  <si>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</si>
  <si>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</si>
  <si>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</si>
  <si>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</si>
  <si>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</si>
  <si>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</si>
  <si>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District of Columbia</t>
  </si>
  <si>
    <t>Percent For Stein</t>
  </si>
  <si>
    <t>Percent For Johnson</t>
  </si>
  <si>
    <t>Orig Votes</t>
  </si>
  <si>
    <t>Orig Electors</t>
  </si>
  <si>
    <t>adjusted_vote_clinton</t>
  </si>
  <si>
    <t>orig_electors_clinton</t>
  </si>
  <si>
    <t>orig_electors_trump</t>
  </si>
  <si>
    <t>adjusted_vote_trump</t>
  </si>
  <si>
    <t>adjusted_spread</t>
  </si>
  <si>
    <t>adjusted_electors_trump</t>
  </si>
  <si>
    <t>adjusted_electors_clinton</t>
  </si>
  <si>
    <t>pickup_clinton</t>
  </si>
  <si>
    <t>pickup_trump</t>
  </si>
  <si>
    <t>check_electors</t>
  </si>
  <si>
    <t>orig_spread</t>
  </si>
  <si>
    <t>orig_vote_clinton</t>
  </si>
  <si>
    <t>orig_vote_trump</t>
  </si>
  <si>
    <t>orig_vote_johnson</t>
  </si>
  <si>
    <t>orig_vote_stein</t>
  </si>
  <si>
    <t>electoral_votes</t>
  </si>
  <si>
    <t>orig_outcome</t>
  </si>
  <si>
    <t>Checks --&gt;</t>
  </si>
  <si>
    <t>adjusted_outcome</t>
  </si>
  <si>
    <t>Totals --&gt;</t>
  </si>
  <si>
    <t>Totals</t>
  </si>
  <si>
    <t>states_added</t>
  </si>
  <si>
    <t>states_lost</t>
  </si>
  <si>
    <t>index</t>
  </si>
  <si>
    <t>States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</si>
</sst>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Arial"/>
    </font>
    <font>
      <b/>
      <sz val="12"/>
      <name val="Arial"/>
      <family val="2"/>
    </font>
    <font>
      <b/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4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1" xfId="1" applyNumberFormat="1" applyFill="1" applyBorder="1"/>
    <xf numFmtId="164" fontId="1" fillId="2" borderId="1" xfId="1" applyNumberForma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9" fontId="0" fillId="5" borderId="1" xfId="2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164" fontId="1" fillId="5" borderId="1" xfId="1" applyNumberFormat="1" applyFill="1" applyBorder="1" applyAlignment="1">
      <alignment horizontal="center"/>
    </xf>
    <xf numFmtId="3" fontId="7" fillId="2" borderId="1" xfId="0" applyNumberFormat="1" applyFont="1" applyFill="1" applyBorder="1"/>
    <xf numFmtId="164" fontId="8" fillId="2" borderId="1" xfId="1" applyNumberFormat="1" applyFont="1" applyFill="1" applyBorder="1" applyAlignment="1">
      <alignment horizontal="center"/>
    </xf>
    <xf numFmtId="3" fontId="4" fillId="2" borderId="1" xfId="0" applyNumberFormat="1" applyFont="1" applyFill="1" applyBorder="1"/>
    <xf numFmtId="3" fontId="9" fillId="2" borderId="1" xfId="0" applyNumberFormat="1" applyFont="1" applyFill="1" applyBorder="1"/>
    <xf numFmtId="0" fontId="8" fillId="2" borderId="1" xfId="0" applyFont="1" applyFill="1" applyBorder="1"/>
    <xf numFmtId="164" fontId="0" fillId="0" borderId="0" xfId="1" applyNumberFormat="1" applyFont="1" applyAlignment="1">
      <alignment horizontal="center"/>
    </xf>
    <xf numFmtId="164" fontId="1" fillId="6" borderId="1" xfId="1" applyNumberFormat="1" applyFill="1" applyBorder="1" applyAlignment="1">
      <alignment horizontal="center"/>
    </xf>
    <xf numFmtId="43" fontId="8" fillId="6" borderId="1" xfId="1" applyFont="1" applyFill="1" applyBorder="1" applyAlignment="1">
      <alignment horizontal="center"/>
    </xf>
    <xf numFmtId="0" fontId="3" fillId="2" borderId="1" xfId="1" applyNumberFormat="1" applyFont="1" applyFill="1" applyBorder="1"/>
    <xf numFmtId="0" fontId="3" fillId="2" borderId="1" xfId="0" applyFont="1" applyFill="1" applyBorder="1" applyAlignment="1">
      <alignment horizontal="center"/>
    </xf>
    <xf numFmtId="3" fontId="10" fillId="2" borderId="1" xfId="0" applyNumberFormat="1" applyFont="1" applyFill="1" applyBorder="1"/>
    <xf numFmtId="3" fontId="0" fillId="0" borderId="0" xfId="0" applyNumberFormat="1" applyAlignment="1">
      <alignment horizontal="center"/>
    </xf>
    <xf numFmtId="3" fontId="0" fillId="5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43" fontId="8" fillId="6" borderId="4" xfId="1" applyFont="1" applyFill="1" applyBorder="1" applyAlignment="1">
      <alignment horizontal="center"/>
    </xf>
    <xf numFmtId="164" fontId="8" fillId="8" borderId="1" xfId="1" applyNumberFormat="1" applyFont="1" applyFill="1" applyBorder="1" applyAlignment="1">
      <alignment horizontal="center"/>
    </xf>
    <xf numFmtId="164" fontId="11" fillId="9" borderId="1" xfId="0" applyNumberFormat="1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49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  <cellStyle name="Percent" xfId="2" builtinId="5"/>
  </cellStyles>
  <dxfs count="33"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color theme="0"/>
      </font>
      <fill>
        <patternFill patternType="solid">
          <fgColor indexed="64"/>
          <bgColor rgb="FF000090"/>
        </patternFill>
      </fill>
    </dxf>
    <dxf>
      <font>
        <b/>
        <i val="0"/>
        <color theme="0"/>
      </font>
      <fill>
        <patternFill patternType="solid">
          <fgColor indexed="64"/>
          <bgColor rgb="FFFF0000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/>
        <i val="0"/>
        <color theme="0"/>
      </font>
      <fill>
        <patternFill patternType="solid">
          <fgColor indexed="64"/>
          <bgColor rgb="FF6600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8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2:W63" totalsRowShown="0" headerRowDxfId="32" dataDxfId="30" headerRowBorderDxfId="31" tableBorderDxfId="29" totalsRowBorderDxfId="28">
  <autoFilter ref="B12:W63"/>
  <tableColumns count="22">
    <tableColumn id="1" name="State" dataDxfId="27"/>
    <tableColumn id="2" name="electoral_votes" dataDxfId="26" dataCellStyle="Comma"/>
    <tableColumn id="3" name="orig_vote_clinton" dataDxfId="25" dataCellStyle="Comma"/>
    <tableColumn id="4" name="orig_vote_trump" dataDxfId="24" dataCellStyle="Comma"/>
    <tableColumn id="5" name="orig_vote_johnson" dataDxfId="23" dataCellStyle="Comma"/>
    <tableColumn id="6" name="orig_vote_stein" dataDxfId="22" dataCellStyle="Comma"/>
    <tableColumn id="16" name="index" dataDxfId="21">
      <calculatedColumnFormula>ROW()-ROW(Table1[[#Headers],[index]])</calculatedColumnFormula>
    </tableColumn>
    <tableColumn id="13" name="orig_spread" dataDxfId="20" dataCellStyle="Comma">
      <calculatedColumnFormula>Table1[[#This Row],[orig_vote_trump]]-Table1[[#This Row],[orig_vote_clinton]]</calculatedColumnFormula>
    </tableColumn>
    <tableColumn id="18" name="orig_electors_clinton" dataDxfId="19" dataCellStyle="Comma">
      <calculatedColumnFormula>IF(Table1[[#This Row],[orig_vote_clinton]]&gt;Table1[[#This Row],[orig_vote_trump]],Table1[[#This Row],[electoral_votes]],0)</calculatedColumnFormula>
    </tableColumn>
    <tableColumn id="17" name="orig_electors_trump" dataDxfId="18" dataCellStyle="Comma">
      <calculatedColumnFormula>IF(Table1[[#This Row],[orig_vote_trump]]&gt;Table1[[#This Row],[orig_vote_clinton]],Table1[[#This Row],[electoral_votes]],0)</calculatedColumnFormula>
    </tableColumn>
    <tableColumn id="7" name="adjusted_vote_clinton" dataDxfId="17" dataCellStyle="Comma">
      <calculatedColumnFormula>Table1[[#This Row],[orig_vote_clinton]]+Table1[[#This Row],[orig_vote_stein]]*pct_stein_to_clinton+Table1[[#This Row],[orig_vote_johnson]]*pct_johnson_to_clinton</calculatedColumnFormula>
    </tableColumn>
    <tableColumn id="8" name="adjusted_vote_trump" dataDxfId="16" dataCellStyle="Comma">
      <calculatedColumnFormula>Table1[[#This Row],[orig_vote_trump]]+Table1[[#This Row],[orig_vote_stein]]*pct_stein_to_trump+Table1[[#This Row],[orig_vote_johnson]]*pct_johnson_to_trump</calculatedColumnFormula>
    </tableColumn>
    <tableColumn id="14" name="adjusted_spread" dataDxfId="15" dataCellStyle="Comma">
      <calculatedColumnFormula>Table1[[#This Row],[adjusted_vote_trump]]-Table1[[#This Row],[adjusted_vote_clinton]]</calculatedColumnFormula>
    </tableColumn>
    <tableColumn id="11" name="adjusted_electors_trump" dataDxfId="14" dataCellStyle="Comma">
      <calculatedColumnFormula>IF(Table1[[#This Row],[adjusted_vote_clinton]]&gt;Table1[[#This Row],[adjusted_vote_trump]],0,Table1[[#This Row],[electoral_votes]])</calculatedColumnFormula>
    </tableColumn>
    <tableColumn id="10" name="adjusted_electors_clinton" dataDxfId="13" dataCellStyle="Comma">
      <calculatedColumnFormula>IF(Table1[[#This Row],[adjusted_vote_clinton]]&gt;Table1[[#This Row],[adjusted_vote_trump]],Table1[[#This Row],[electoral_votes]],0)</calculatedColumnFormula>
    </tableColumn>
    <tableColumn id="21" name="orig_outcome" dataDxfId="12" dataCellStyle="Comma">
      <calculatedColumnFormula>IF(Table1[[#This Row],[orig_spread]]&gt;0,"Trump","Clinton")</calculatedColumnFormula>
    </tableColumn>
    <tableColumn id="23" name="adjusted_outcome" dataDxfId="11" dataCellStyle="Comma">
      <calculatedColumnFormula>IF(Table1[[#This Row],[adjusted_spread]]&gt;0,"Trump","Clinton")</calculatedColumnFormula>
    </tableColumn>
    <tableColumn id="20" name="pickup_clinton" dataDxfId="10" dataCellStyle="Comma">
      <calculatedColumnFormula>AND(Table1[[#This Row],[orig_outcome]]="Trump",Table1[[#This Row],[adjusted_outcome]]="Clinton")</calculatedColumnFormula>
    </tableColumn>
    <tableColumn id="19" name="pickup_trump" dataDxfId="9" dataCellStyle="Comma">
      <calculatedColumnFormula>AND(Table1[[#This Row],[orig_outcome]]="Clinton",Table1[[#This Row],[adjusted_outcome]]="Trump")</calculatedColumnFormula>
    </tableColumn>
    <tableColumn id="15" name="states_added" dataDxfId="8" dataCellStyle="Comma">
      <calculatedColumnFormula>IF(Table1[[#This Row],[index]]=1,IF(Table1[[#This Row],[pickup_clinton]],Table1[[#This Row],[State]],""),IF(Table1[[#This Row],[pickup_clinton]],CONCATENATE(U12,IF(U12="","",","),Table1[[#This Row],[State]]),U12))</calculatedColumnFormula>
    </tableColumn>
    <tableColumn id="9" name="states_lost" dataDxfId="7" dataCellStyle="Comma">
      <calculatedColumnFormula>IF(Table1[[#This Row],[index]]=1,IF(Table1[[#This Row],[pickup_trump]],Table1[[#This Row],[State]],""),IF(Table1[[#This Row],[pickup_trump]],CONCATENATE(V12,IF(V2="","",","),Table1[[#This Row],[State]]),V12))</calculatedColumnFormula>
    </tableColumn>
    <tableColumn id="12" name="check_electors" dataDxfId="6" dataCellStyle="Comma">
      <calculatedColumnFormula>Table1[[#This Row],[adjusted_electors_trump]]+Table1[[#This Row],[adjusted_electors_clinton]]-Table1[[#This Row],[electoral_votes]]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81"/>
  <sheetViews>
    <sheetView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D3" sqref="D3"/>
    </sheetView>
  </sheetViews>
  <sheetFormatPr baseColWidth="10" defaultColWidth="24.1640625" defaultRowHeight="15" outlineLevelCol="2" x14ac:dyDescent="0"/>
  <cols>
    <col min="1" max="1" width="4.33203125" customWidth="1"/>
    <col min="2" max="2" width="24.1640625" outlineLevel="1"/>
    <col min="3" max="8" width="24.1640625" style="1" outlineLevel="1"/>
    <col min="9" max="11" width="24.1640625" style="1" outlineLevel="2"/>
    <col min="13" max="15" width="24.1640625" style="1" outlineLevel="2"/>
    <col min="17" max="18" width="24.1640625" style="1" outlineLevel="2"/>
    <col min="19" max="19" width="24.1640625" outlineLevel="2"/>
    <col min="20" max="22" width="24.1640625" style="1" outlineLevel="2"/>
    <col min="23" max="24" width="24.1640625" outlineLevel="2"/>
    <col min="25" max="25" width="24.1640625" style="1" outlineLevel="2"/>
    <col min="26" max="26" width="24.1640625" outlineLevel="1"/>
  </cols>
  <sheetData>
    <row r="1" spans="2:25">
      <c r="L1" s="1"/>
      <c r="P1" s="1"/>
      <c r="S1" s="1"/>
      <c r="T1"/>
      <c r="U1"/>
      <c r="V1"/>
      <c r="Y1"/>
    </row>
    <row r="2" spans="2:25">
      <c r="D2" s="2" t="s">
        <v>58</v>
      </c>
      <c r="E2" s="2" t="s">
        <v>59</v>
      </c>
      <c r="F2" s="2" t="s">
        <v>10</v>
      </c>
      <c r="G2" s="34" t="s">
        <v>86</v>
      </c>
      <c r="H2" s="34"/>
      <c r="I2" s="34"/>
      <c r="L2" s="2" t="s">
        <v>4</v>
      </c>
      <c r="M2" s="2" t="s">
        <v>5</v>
      </c>
      <c r="N2" s="2" t="s">
        <v>6</v>
      </c>
      <c r="O2" s="2" t="s">
        <v>7</v>
      </c>
      <c r="P2" s="2" t="s">
        <v>82</v>
      </c>
      <c r="R2"/>
      <c r="S2" s="1"/>
      <c r="T2"/>
      <c r="U2"/>
      <c r="V2"/>
      <c r="Y2"/>
    </row>
    <row r="3" spans="2:25">
      <c r="C3" s="2" t="s">
        <v>4</v>
      </c>
      <c r="D3" s="11">
        <v>0.9</v>
      </c>
      <c r="E3" s="11">
        <v>0.6</v>
      </c>
      <c r="F3" s="13">
        <f>SUM(Table1[adjusted_electors_clinton])</f>
        <v>259</v>
      </c>
      <c r="G3" s="32" t="str">
        <f>U63</f>
        <v>Michigan,Wisconsin</v>
      </c>
      <c r="H3" s="32"/>
      <c r="I3" s="32"/>
      <c r="K3" s="2" t="s">
        <v>60</v>
      </c>
      <c r="L3" s="18">
        <v>60058698</v>
      </c>
      <c r="M3" s="18">
        <v>59844617</v>
      </c>
      <c r="N3" s="19">
        <v>4264943</v>
      </c>
      <c r="O3" s="19">
        <v>1241012</v>
      </c>
      <c r="P3" s="28">
        <f>SUM(L3:O3)</f>
        <v>125409270</v>
      </c>
      <c r="R3"/>
      <c r="S3" s="1"/>
      <c r="T3"/>
      <c r="U3"/>
      <c r="V3"/>
      <c r="Y3"/>
    </row>
    <row r="4" spans="2:25">
      <c r="C4" s="2" t="s">
        <v>5</v>
      </c>
      <c r="D4" s="12">
        <f>1-pct_stein_to_clinton</f>
        <v>9.9999999999999978E-2</v>
      </c>
      <c r="E4" s="12">
        <f>1-pct_johnson_to_clinton</f>
        <v>0.4</v>
      </c>
      <c r="F4" s="13">
        <f>SUM(Table1[adjusted_electors_trump])</f>
        <v>279</v>
      </c>
      <c r="G4" s="32" t="str">
        <f>V63</f>
        <v/>
      </c>
      <c r="H4" s="33"/>
      <c r="I4" s="33"/>
      <c r="K4" s="2" t="s">
        <v>61</v>
      </c>
      <c r="L4" s="20">
        <v>233</v>
      </c>
      <c r="M4" s="20">
        <v>305</v>
      </c>
      <c r="N4" s="20">
        <v>0</v>
      </c>
      <c r="O4" s="20">
        <v>0</v>
      </c>
      <c r="P4" s="3">
        <f>SUM(L4:O4)</f>
        <v>538</v>
      </c>
      <c r="R4"/>
      <c r="S4" s="1"/>
      <c r="T4"/>
      <c r="U4"/>
      <c r="V4"/>
      <c r="Y4"/>
    </row>
    <row r="5" spans="2:25">
      <c r="C5" s="2" t="s">
        <v>11</v>
      </c>
      <c r="D5" s="23">
        <f>SUM(D3:D4)-1</f>
        <v>0</v>
      </c>
      <c r="E5" s="23">
        <f>SUM(E3:E4)-1</f>
        <v>0</v>
      </c>
      <c r="F5" s="23">
        <f>SUM(F3:F4)-538</f>
        <v>0</v>
      </c>
      <c r="L5" s="1"/>
      <c r="P5" s="1"/>
      <c r="S5" s="1"/>
      <c r="T5"/>
      <c r="U5"/>
      <c r="V5"/>
      <c r="Y5"/>
    </row>
    <row r="6" spans="2:25">
      <c r="L6" s="1"/>
      <c r="P6" s="1"/>
      <c r="S6" s="1"/>
      <c r="T6"/>
      <c r="U6"/>
      <c r="V6"/>
      <c r="Y6"/>
    </row>
    <row r="7" spans="2:25">
      <c r="L7" s="1"/>
      <c r="P7" s="1"/>
      <c r="S7" s="1"/>
      <c r="T7"/>
      <c r="U7"/>
      <c r="V7"/>
      <c r="Y7"/>
    </row>
    <row r="8" spans="2:25">
      <c r="D8" s="27"/>
      <c r="E8" s="27"/>
      <c r="F8" s="27"/>
      <c r="G8" s="27"/>
      <c r="H8" s="27"/>
      <c r="L8" s="1"/>
      <c r="T8"/>
      <c r="U8"/>
      <c r="V8"/>
      <c r="W8" s="1"/>
      <c r="Y8"/>
    </row>
    <row r="9" spans="2:25">
      <c r="L9" s="1"/>
      <c r="T9"/>
      <c r="U9" t="str">
        <f t="array" ref="U9">CONCATENATE(Table1[states_added])</f>
        <v/>
      </c>
      <c r="V9"/>
      <c r="W9" s="1"/>
      <c r="Y9"/>
    </row>
    <row r="10" spans="2:25">
      <c r="B10" s="2" t="s">
        <v>79</v>
      </c>
      <c r="C10" s="30">
        <f>SUM(Table1[electoral_votes])-538</f>
        <v>0</v>
      </c>
      <c r="D10" s="30">
        <f>SUM(Table1[orig_vote_clinton])-clinton_national</f>
        <v>0</v>
      </c>
      <c r="E10" s="30">
        <f>SUM(Table1[orig_vote_trump])-trump_national</f>
        <v>0</v>
      </c>
      <c r="F10" s="30">
        <f>SUM(Table1[orig_vote_johnson])-johnson_national</f>
        <v>0</v>
      </c>
      <c r="G10" s="30">
        <f>SUM(Table1[orig_vote_stein])-stein_national</f>
        <v>0</v>
      </c>
      <c r="H10" s="30"/>
      <c r="I10" s="30">
        <f>SUM(orig_)-(trump_national-clinton_national)</f>
        <v>0</v>
      </c>
      <c r="J10" s="30">
        <f>SUM(Table1[orig_electors_clinton])-orig_clinton</f>
        <v>0</v>
      </c>
      <c r="K10" s="30">
        <f>SUM(Table1[orig_electors_trump])-orig_trump</f>
        <v>0</v>
      </c>
      <c r="L10" s="1"/>
      <c r="P10" s="1"/>
      <c r="S10" s="1"/>
      <c r="W10" s="1"/>
      <c r="Y10"/>
    </row>
    <row r="11" spans="2:25">
      <c r="B11" s="2" t="s">
        <v>81</v>
      </c>
      <c r="C11" s="31">
        <f t="shared" ref="C11:P11" si="0">SUM(C$13:C$63)</f>
        <v>538</v>
      </c>
      <c r="D11" s="31">
        <f t="shared" si="0"/>
        <v>60058698</v>
      </c>
      <c r="E11" s="31">
        <f t="shared" si="0"/>
        <v>59844617</v>
      </c>
      <c r="F11" s="31">
        <f t="shared" si="0"/>
        <v>4264943</v>
      </c>
      <c r="G11" s="31">
        <f t="shared" si="0"/>
        <v>1241012</v>
      </c>
      <c r="H11" s="31"/>
      <c r="I11" s="31">
        <f t="shared" si="0"/>
        <v>-214081</v>
      </c>
      <c r="J11" s="31">
        <f t="shared" si="0"/>
        <v>233</v>
      </c>
      <c r="K11" s="31">
        <f t="shared" si="0"/>
        <v>305</v>
      </c>
      <c r="L11" s="31">
        <f t="shared" si="0"/>
        <v>63734574.599999994</v>
      </c>
      <c r="M11" s="31">
        <f t="shared" si="0"/>
        <v>61674695.400000006</v>
      </c>
      <c r="N11" s="31">
        <f t="shared" si="0"/>
        <v>-2059879.1999999993</v>
      </c>
      <c r="O11" s="31">
        <f t="shared" si="0"/>
        <v>279</v>
      </c>
      <c r="P11" s="31">
        <f t="shared" si="0"/>
        <v>259</v>
      </c>
      <c r="Q11" s="21"/>
      <c r="R11" s="21"/>
      <c r="S11" s="21"/>
      <c r="T11" s="21"/>
      <c r="U11" s="21"/>
      <c r="V11" s="21"/>
      <c r="W11" s="21"/>
      <c r="Y11"/>
    </row>
    <row r="12" spans="2:25">
      <c r="B12" s="7" t="s">
        <v>12</v>
      </c>
      <c r="C12" s="2" t="s">
        <v>77</v>
      </c>
      <c r="D12" s="2" t="s">
        <v>73</v>
      </c>
      <c r="E12" s="2" t="s">
        <v>74</v>
      </c>
      <c r="F12" s="2" t="s">
        <v>75</v>
      </c>
      <c r="G12" s="2" t="s">
        <v>76</v>
      </c>
      <c r="H12" s="2" t="s">
        <v>85</v>
      </c>
      <c r="I12" s="2" t="s">
        <v>72</v>
      </c>
      <c r="J12" s="2" t="s">
        <v>63</v>
      </c>
      <c r="K12" s="2" t="s">
        <v>64</v>
      </c>
      <c r="L12" s="2" t="s">
        <v>62</v>
      </c>
      <c r="M12" s="2" t="s">
        <v>65</v>
      </c>
      <c r="N12" s="8" t="s">
        <v>66</v>
      </c>
      <c r="O12" s="8" t="s">
        <v>67</v>
      </c>
      <c r="P12" s="8" t="s">
        <v>68</v>
      </c>
      <c r="Q12" s="2" t="s">
        <v>78</v>
      </c>
      <c r="R12" s="8" t="s">
        <v>80</v>
      </c>
      <c r="S12" s="8" t="s">
        <v>69</v>
      </c>
      <c r="T12" s="8" t="s">
        <v>70</v>
      </c>
      <c r="U12" s="8" t="s">
        <v>83</v>
      </c>
      <c r="V12" s="8" t="s">
        <v>84</v>
      </c>
      <c r="W12" s="8" t="s">
        <v>71</v>
      </c>
      <c r="Y12"/>
    </row>
    <row r="13" spans="2:25">
      <c r="B13" s="4" t="s">
        <v>13</v>
      </c>
      <c r="C13" s="5">
        <v>9</v>
      </c>
      <c r="D13" s="18">
        <v>718084</v>
      </c>
      <c r="E13" s="18">
        <v>1306925</v>
      </c>
      <c r="F13" s="18">
        <v>43869</v>
      </c>
      <c r="G13" s="18">
        <v>9287</v>
      </c>
      <c r="H13" s="18">
        <f>ROW()-ROW(Table1[[#Headers],[index]])</f>
        <v>1</v>
      </c>
      <c r="I13" s="15">
        <f>Table1[[#This Row],[orig_vote_trump]]-Table1[[#This Row],[orig_vote_clinton]]</f>
        <v>588841</v>
      </c>
      <c r="J13" s="15">
        <f>IF(Table1[[#This Row],[orig_vote_clinton]]&gt;Table1[[#This Row],[orig_vote_trump]],Table1[[#This Row],[electoral_votes]],0)</f>
        <v>0</v>
      </c>
      <c r="K13" s="15">
        <f>IF(Table1[[#This Row],[orig_vote_trump]]&gt;Table1[[#This Row],[orig_vote_clinton]],Table1[[#This Row],[electoral_votes]],0)</f>
        <v>9</v>
      </c>
      <c r="L13" s="14">
        <f>Table1[[#This Row],[orig_vote_clinton]]+Table1[[#This Row],[orig_vote_stein]]*pct_stein_to_clinton+Table1[[#This Row],[orig_vote_johnson]]*pct_johnson_to_clinton</f>
        <v>752763.70000000007</v>
      </c>
      <c r="M13" s="14">
        <f>Table1[[#This Row],[orig_vote_trump]]+Table1[[#This Row],[orig_vote_stein]]*pct_stein_to_trump+Table1[[#This Row],[orig_vote_johnson]]*pct_johnson_to_trump</f>
        <v>1325401.3</v>
      </c>
      <c r="N13" s="15">
        <f>Table1[[#This Row],[adjusted_vote_trump]]-Table1[[#This Row],[adjusted_vote_clinton]]</f>
        <v>572637.6</v>
      </c>
      <c r="O13" s="15">
        <f>IF(Table1[[#This Row],[adjusted_vote_clinton]]&gt;Table1[[#This Row],[adjusted_vote_trump]],0,Table1[[#This Row],[electoral_votes]])</f>
        <v>9</v>
      </c>
      <c r="P13" s="14">
        <f>IF(Table1[[#This Row],[adjusted_vote_clinton]]&gt;Table1[[#This Row],[adjusted_vote_trump]],Table1[[#This Row],[electoral_votes]],0)</f>
        <v>0</v>
      </c>
      <c r="Q13" s="15" t="str">
        <f>IF(Table1[[#This Row],[orig_spread]]&gt;0,"Trump","Clinton")</f>
        <v>Trump</v>
      </c>
      <c r="R13" s="15" t="str">
        <f>IF(Table1[[#This Row],[adjusted_spread]]&gt;0,"Trump","Clinton")</f>
        <v>Trump</v>
      </c>
      <c r="S13" s="14" t="b">
        <f>AND(Table1[[#This Row],[orig_outcome]]="Trump",Table1[[#This Row],[adjusted_outcome]]="Clinton")</f>
        <v>0</v>
      </c>
      <c r="T13" s="14" t="b">
        <f>AND(Table1[[#This Row],[orig_outcome]]="Clinton",Table1[[#This Row],[adjusted_outcome]]="Trump")</f>
        <v>0</v>
      </c>
      <c r="U13" s="14" t="str">
        <f>IF(Table1[[#This Row],[index]]=1,IF(Table1[[#This Row],[pickup_clinton]],Table1[[#This Row],[State]],""),IF(Table1[[#This Row],[pickup_clinton]],CONCATENATE(U12,IF(U12="","",","),Table1[[#This Row],[State]]),U12))</f>
        <v/>
      </c>
      <c r="V13" s="14" t="str">
        <f>IF(Table1[[#This Row],[index]]=1,IF(Table1[[#This Row],[pickup_trump]],Table1[[#This Row],[State]],""),IF(Table1[[#This Row],[pickup_trump]],CONCATENATE(V12,IF(V2="","",","),Table1[[#This Row],[State]]),V12))</f>
        <v/>
      </c>
      <c r="W13" s="22">
        <f>Table1[[#This Row],[adjusted_electors_trump]]+Table1[[#This Row],[adjusted_electors_clinton]]-Table1[[#This Row],[electoral_votes]]</f>
        <v>0</v>
      </c>
      <c r="Y13"/>
    </row>
    <row r="14" spans="2:25">
      <c r="B14" s="4" t="s">
        <v>14</v>
      </c>
      <c r="C14" s="9">
        <v>3</v>
      </c>
      <c r="D14" s="18">
        <v>92013</v>
      </c>
      <c r="E14" s="18">
        <v>129786</v>
      </c>
      <c r="F14" s="18">
        <v>14524</v>
      </c>
      <c r="G14" s="18">
        <v>4394</v>
      </c>
      <c r="H14" s="18">
        <f>ROW()-ROW(Table1[[#Headers],[index]])</f>
        <v>2</v>
      </c>
      <c r="I14" s="15">
        <f>Table1[[#This Row],[orig_vote_trump]]-Table1[[#This Row],[orig_vote_clinton]]</f>
        <v>37773</v>
      </c>
      <c r="J14" s="15">
        <f>IF(Table1[[#This Row],[orig_vote_clinton]]&gt;Table1[[#This Row],[orig_vote_trump]],Table1[[#This Row],[electoral_votes]],0)</f>
        <v>0</v>
      </c>
      <c r="K14" s="15">
        <f>IF(Table1[[#This Row],[orig_vote_trump]]&gt;Table1[[#This Row],[orig_vote_clinton]],Table1[[#This Row],[electoral_votes]],0)</f>
        <v>3</v>
      </c>
      <c r="L14" s="14">
        <f>Table1[[#This Row],[orig_vote_clinton]]+Table1[[#This Row],[orig_vote_stein]]*pct_stein_to_clinton+Table1[[#This Row],[orig_vote_johnson]]*pct_johnson_to_clinton</f>
        <v>104682</v>
      </c>
      <c r="M14" s="14">
        <f>Table1[[#This Row],[orig_vote_trump]]+Table1[[#This Row],[orig_vote_stein]]*pct_stein_to_trump+Table1[[#This Row],[orig_vote_johnson]]*pct_johnson_to_trump</f>
        <v>136035</v>
      </c>
      <c r="N14" s="15">
        <f>Table1[[#This Row],[adjusted_vote_trump]]-Table1[[#This Row],[adjusted_vote_clinton]]</f>
        <v>31353</v>
      </c>
      <c r="O14" s="15">
        <f>IF(Table1[[#This Row],[adjusted_vote_clinton]]&gt;Table1[[#This Row],[adjusted_vote_trump]],0,Table1[[#This Row],[electoral_votes]])</f>
        <v>3</v>
      </c>
      <c r="P14" s="14">
        <f>IF(Table1[[#This Row],[adjusted_vote_clinton]]&gt;Table1[[#This Row],[adjusted_vote_trump]],Table1[[#This Row],[electoral_votes]],0)</f>
        <v>0</v>
      </c>
      <c r="Q14" s="15" t="str">
        <f>IF(Table1[[#This Row],[orig_spread]]&gt;0,"Trump","Clinton")</f>
        <v>Trump</v>
      </c>
      <c r="R14" s="15" t="str">
        <f>IF(Table1[[#This Row],[adjusted_spread]]&gt;0,"Trump","Clinton")</f>
        <v>Trump</v>
      </c>
      <c r="S14" s="14" t="b">
        <f>AND(Table1[[#This Row],[orig_outcome]]="Trump",Table1[[#This Row],[adjusted_outcome]]="Clinton")</f>
        <v>0</v>
      </c>
      <c r="T14" s="14" t="b">
        <f>AND(Table1[[#This Row],[orig_outcome]]="Clinton",Table1[[#This Row],[adjusted_outcome]]="Trump")</f>
        <v>0</v>
      </c>
      <c r="U14" s="14" t="str">
        <f>IF(Table1[[#This Row],[index]]=1,IF(Table1[[#This Row],[pickup_clinton]],Table1[[#This Row],[State]],""),IF(Table1[[#This Row],[pickup_clinton]],CONCATENATE(U13,IF(U13="","",","),Table1[[#This Row],[State]]),U13))</f>
        <v/>
      </c>
      <c r="V14" s="14" t="str">
        <f>IF(Table1[[#This Row],[index]]=1,IF(Table1[[#This Row],[pickup_trump]],Table1[[#This Row],[State]],""),IF(Table1[[#This Row],[pickup_trump]],CONCATENATE(V13,IF(V3="","",","),Table1[[#This Row],[State]]),V13))</f>
        <v/>
      </c>
      <c r="W14" s="22">
        <f>Table1[[#This Row],[adjusted_electors_trump]]+Table1[[#This Row],[adjusted_electors_clinton]]-Table1[[#This Row],[electoral_votes]]</f>
        <v>0</v>
      </c>
      <c r="Y14"/>
    </row>
    <row r="15" spans="2:25">
      <c r="B15" s="4" t="s">
        <v>15</v>
      </c>
      <c r="C15" s="9">
        <v>11</v>
      </c>
      <c r="D15" s="18">
        <v>888374</v>
      </c>
      <c r="E15" s="18">
        <v>972900</v>
      </c>
      <c r="F15" s="18">
        <v>75082</v>
      </c>
      <c r="G15" s="18">
        <v>23697</v>
      </c>
      <c r="H15" s="18">
        <f>ROW()-ROW(Table1[[#Headers],[index]])</f>
        <v>3</v>
      </c>
      <c r="I15" s="15">
        <f>Table1[[#This Row],[orig_vote_trump]]-Table1[[#This Row],[orig_vote_clinton]]</f>
        <v>84526</v>
      </c>
      <c r="J15" s="15">
        <f>IF(Table1[[#This Row],[orig_vote_clinton]]&gt;Table1[[#This Row],[orig_vote_trump]],Table1[[#This Row],[electoral_votes]],0)</f>
        <v>0</v>
      </c>
      <c r="K15" s="15">
        <f>IF(Table1[[#This Row],[orig_vote_trump]]&gt;Table1[[#This Row],[orig_vote_clinton]],Table1[[#This Row],[electoral_votes]],0)</f>
        <v>11</v>
      </c>
      <c r="L15" s="14">
        <f>Table1[[#This Row],[orig_vote_clinton]]+Table1[[#This Row],[orig_vote_stein]]*pct_stein_to_clinton+Table1[[#This Row],[orig_vote_johnson]]*pct_johnson_to_clinton</f>
        <v>954750.5</v>
      </c>
      <c r="M15" s="14">
        <f>Table1[[#This Row],[orig_vote_trump]]+Table1[[#This Row],[orig_vote_stein]]*pct_stein_to_trump+Table1[[#This Row],[orig_vote_johnson]]*pct_johnson_to_trump</f>
        <v>1005302.5</v>
      </c>
      <c r="N15" s="15">
        <f>Table1[[#This Row],[adjusted_vote_trump]]-Table1[[#This Row],[adjusted_vote_clinton]]</f>
        <v>50552</v>
      </c>
      <c r="O15" s="15">
        <f>IF(Table1[[#This Row],[adjusted_vote_clinton]]&gt;Table1[[#This Row],[adjusted_vote_trump]],0,Table1[[#This Row],[electoral_votes]])</f>
        <v>11</v>
      </c>
      <c r="P15" s="14">
        <f>IF(Table1[[#This Row],[adjusted_vote_clinton]]&gt;Table1[[#This Row],[adjusted_vote_trump]],Table1[[#This Row],[electoral_votes]],0)</f>
        <v>0</v>
      </c>
      <c r="Q15" s="15" t="str">
        <f>IF(Table1[[#This Row],[orig_spread]]&gt;0,"Trump","Clinton")</f>
        <v>Trump</v>
      </c>
      <c r="R15" s="15" t="str">
        <f>IF(Table1[[#This Row],[adjusted_spread]]&gt;0,"Trump","Clinton")</f>
        <v>Trump</v>
      </c>
      <c r="S15" s="14" t="b">
        <f>AND(Table1[[#This Row],[orig_outcome]]="Trump",Table1[[#This Row],[adjusted_outcome]]="Clinton")</f>
        <v>0</v>
      </c>
      <c r="T15" s="14" t="b">
        <f>AND(Table1[[#This Row],[orig_outcome]]="Clinton",Table1[[#This Row],[adjusted_outcome]]="Trump")</f>
        <v>0</v>
      </c>
      <c r="U15" s="14" t="str">
        <f>IF(Table1[[#This Row],[index]]=1,IF(Table1[[#This Row],[pickup_clinton]],Table1[[#This Row],[State]],""),IF(Table1[[#This Row],[pickup_clinton]],CONCATENATE(U14,IF(U14="","",","),Table1[[#This Row],[State]]),U14))</f>
        <v/>
      </c>
      <c r="V15" s="14" t="str">
        <f>IF(Table1[[#This Row],[index]]=1,IF(Table1[[#This Row],[pickup_trump]],Table1[[#This Row],[State]],""),IF(Table1[[#This Row],[pickup_trump]],CONCATENATE(V14,IF(V4="","",","),Table1[[#This Row],[State]]),V14))</f>
        <v/>
      </c>
      <c r="W15" s="22">
        <f>Table1[[#This Row],[adjusted_electors_trump]]+Table1[[#This Row],[adjusted_electors_clinton]]-Table1[[#This Row],[electoral_votes]]</f>
        <v>0</v>
      </c>
      <c r="Y15"/>
    </row>
    <row r="16" spans="2:25">
      <c r="B16" s="4" t="s">
        <v>16</v>
      </c>
      <c r="C16" s="9">
        <v>6</v>
      </c>
      <c r="D16" s="16">
        <v>378729</v>
      </c>
      <c r="E16" s="16">
        <v>677904</v>
      </c>
      <c r="F16" s="16">
        <v>29518</v>
      </c>
      <c r="G16" s="16">
        <v>9837</v>
      </c>
      <c r="H16" s="16">
        <f>ROW()-ROW(Table1[[#Headers],[index]])</f>
        <v>4</v>
      </c>
      <c r="I16" s="15">
        <f>Table1[[#This Row],[orig_vote_trump]]-Table1[[#This Row],[orig_vote_clinton]]</f>
        <v>299175</v>
      </c>
      <c r="J16" s="15">
        <f>IF(Table1[[#This Row],[orig_vote_clinton]]&gt;Table1[[#This Row],[orig_vote_trump]],Table1[[#This Row],[electoral_votes]],0)</f>
        <v>0</v>
      </c>
      <c r="K16" s="15">
        <f>IF(Table1[[#This Row],[orig_vote_trump]]&gt;Table1[[#This Row],[orig_vote_clinton]],Table1[[#This Row],[electoral_votes]],0)</f>
        <v>6</v>
      </c>
      <c r="L16" s="14">
        <f>Table1[[#This Row],[orig_vote_clinton]]+Table1[[#This Row],[orig_vote_stein]]*pct_stein_to_clinton+Table1[[#This Row],[orig_vote_johnson]]*pct_johnson_to_clinton</f>
        <v>405293.1</v>
      </c>
      <c r="M16" s="14">
        <f>Table1[[#This Row],[orig_vote_trump]]+Table1[[#This Row],[orig_vote_stein]]*pct_stein_to_trump+Table1[[#This Row],[orig_vote_johnson]]*pct_johnson_to_trump</f>
        <v>690694.89999999991</v>
      </c>
      <c r="N16" s="15">
        <f>Table1[[#This Row],[adjusted_vote_trump]]-Table1[[#This Row],[adjusted_vote_clinton]]</f>
        <v>285401.79999999993</v>
      </c>
      <c r="O16" s="15">
        <f>IF(Table1[[#This Row],[adjusted_vote_clinton]]&gt;Table1[[#This Row],[adjusted_vote_trump]],0,Table1[[#This Row],[electoral_votes]])</f>
        <v>6</v>
      </c>
      <c r="P16" s="14">
        <f>IF(Table1[[#This Row],[adjusted_vote_clinton]]&gt;Table1[[#This Row],[adjusted_vote_trump]],Table1[[#This Row],[electoral_votes]],0)</f>
        <v>0</v>
      </c>
      <c r="Q16" s="15" t="str">
        <f>IF(Table1[[#This Row],[orig_spread]]&gt;0,"Trump","Clinton")</f>
        <v>Trump</v>
      </c>
      <c r="R16" s="15" t="str">
        <f>IF(Table1[[#This Row],[adjusted_spread]]&gt;0,"Trump","Clinton")</f>
        <v>Trump</v>
      </c>
      <c r="S16" s="14" t="b">
        <f>AND(Table1[[#This Row],[orig_outcome]]="Trump",Table1[[#This Row],[adjusted_outcome]]="Clinton")</f>
        <v>0</v>
      </c>
      <c r="T16" s="14" t="b">
        <f>AND(Table1[[#This Row],[orig_outcome]]="Clinton",Table1[[#This Row],[adjusted_outcome]]="Trump")</f>
        <v>0</v>
      </c>
      <c r="U16" s="14" t="str">
        <f>IF(Table1[[#This Row],[index]]=1,IF(Table1[[#This Row],[pickup_clinton]],Table1[[#This Row],[State]],""),IF(Table1[[#This Row],[pickup_clinton]],CONCATENATE(U15,IF(U15="","",","),Table1[[#This Row],[State]]),U15))</f>
        <v/>
      </c>
      <c r="V16" s="14" t="str">
        <f>IF(Table1[[#This Row],[index]]=1,IF(Table1[[#This Row],[pickup_trump]],Table1[[#This Row],[State]],""),IF(Table1[[#This Row],[pickup_trump]],CONCATENATE(V15,IF(V5="","",","),Table1[[#This Row],[State]]),V15))</f>
        <v/>
      </c>
      <c r="W16" s="22">
        <f>Table1[[#This Row],[adjusted_electors_trump]]+Table1[[#This Row],[adjusted_electors_clinton]]-Table1[[#This Row],[electoral_votes]]</f>
        <v>0</v>
      </c>
      <c r="Y16"/>
    </row>
    <row r="17" spans="2:25">
      <c r="B17" s="4" t="s">
        <v>17</v>
      </c>
      <c r="C17" s="9">
        <v>55</v>
      </c>
      <c r="D17" s="16">
        <v>5482166</v>
      </c>
      <c r="E17" s="16">
        <v>2966654</v>
      </c>
      <c r="F17" s="16">
        <v>281536</v>
      </c>
      <c r="G17" s="16">
        <v>152333</v>
      </c>
      <c r="H17" s="16">
        <f>ROW()-ROW(Table1[[#Headers],[index]])</f>
        <v>5</v>
      </c>
      <c r="I17" s="15">
        <f>Table1[[#This Row],[orig_vote_trump]]-Table1[[#This Row],[orig_vote_clinton]]</f>
        <v>-2515512</v>
      </c>
      <c r="J17" s="15">
        <f>IF(Table1[[#This Row],[orig_vote_clinton]]&gt;Table1[[#This Row],[orig_vote_trump]],Table1[[#This Row],[electoral_votes]],0)</f>
        <v>55</v>
      </c>
      <c r="K17" s="15">
        <f>IF(Table1[[#This Row],[orig_vote_trump]]&gt;Table1[[#This Row],[orig_vote_clinton]],Table1[[#This Row],[electoral_votes]],0)</f>
        <v>0</v>
      </c>
      <c r="L17" s="14">
        <f>Table1[[#This Row],[orig_vote_clinton]]+Table1[[#This Row],[orig_vote_stein]]*pct_stein_to_clinton+Table1[[#This Row],[orig_vote_johnson]]*pct_johnson_to_clinton</f>
        <v>5788187.2999999998</v>
      </c>
      <c r="M17" s="14">
        <f>Table1[[#This Row],[orig_vote_trump]]+Table1[[#This Row],[orig_vote_stein]]*pct_stein_to_trump+Table1[[#This Row],[orig_vote_johnson]]*pct_johnson_to_trump</f>
        <v>3094501.6999999997</v>
      </c>
      <c r="N17" s="15">
        <f>Table1[[#This Row],[adjusted_vote_trump]]-Table1[[#This Row],[adjusted_vote_clinton]]</f>
        <v>-2693685.6</v>
      </c>
      <c r="O17" s="15">
        <f>IF(Table1[[#This Row],[adjusted_vote_clinton]]&gt;Table1[[#This Row],[adjusted_vote_trump]],0,Table1[[#This Row],[electoral_votes]])</f>
        <v>0</v>
      </c>
      <c r="P17" s="14">
        <f>IF(Table1[[#This Row],[adjusted_vote_clinton]]&gt;Table1[[#This Row],[adjusted_vote_trump]],Table1[[#This Row],[electoral_votes]],0)</f>
        <v>55</v>
      </c>
      <c r="Q17" s="15" t="str">
        <f>IF(Table1[[#This Row],[orig_spread]]&gt;0,"Trump","Clinton")</f>
        <v>Clinton</v>
      </c>
      <c r="R17" s="15" t="str">
        <f>IF(Table1[[#This Row],[adjusted_spread]]&gt;0,"Trump","Clinton")</f>
        <v>Clinton</v>
      </c>
      <c r="S17" s="14" t="b">
        <f>AND(Table1[[#This Row],[orig_outcome]]="Trump",Table1[[#This Row],[adjusted_outcome]]="Clinton")</f>
        <v>0</v>
      </c>
      <c r="T17" s="14" t="b">
        <f>AND(Table1[[#This Row],[orig_outcome]]="Clinton",Table1[[#This Row],[adjusted_outcome]]="Trump")</f>
        <v>0</v>
      </c>
      <c r="U17" s="14" t="str">
        <f>IF(Table1[[#This Row],[index]]=1,IF(Table1[[#This Row],[pickup_clinton]],Table1[[#This Row],[State]],""),IF(Table1[[#This Row],[pickup_clinton]],CONCATENATE(U16,IF(U16="","",","),Table1[[#This Row],[State]]),U16))</f>
        <v/>
      </c>
      <c r="V17" s="14" t="str">
        <f>IF(Table1[[#This Row],[index]]=1,IF(Table1[[#This Row],[pickup_trump]],Table1[[#This Row],[State]],""),IF(Table1[[#This Row],[pickup_trump]],CONCATENATE(V16,IF(V6="","",","),Table1[[#This Row],[State]]),V16))</f>
        <v/>
      </c>
      <c r="W17" s="22">
        <f>Table1[[#This Row],[adjusted_electors_trump]]+Table1[[#This Row],[adjusted_electors_clinton]]-Table1[[#This Row],[electoral_votes]]</f>
        <v>0</v>
      </c>
      <c r="Y17"/>
    </row>
    <row r="18" spans="2:25">
      <c r="B18" s="4" t="s">
        <v>18</v>
      </c>
      <c r="C18" s="9">
        <v>9</v>
      </c>
      <c r="D18" s="16">
        <v>1126384</v>
      </c>
      <c r="E18" s="16">
        <v>1075770</v>
      </c>
      <c r="F18" s="16">
        <v>117906</v>
      </c>
      <c r="G18" s="16">
        <v>29299</v>
      </c>
      <c r="H18" s="16">
        <f>ROW()-ROW(Table1[[#Headers],[index]])</f>
        <v>6</v>
      </c>
      <c r="I18" s="15">
        <f>Table1[[#This Row],[orig_vote_trump]]-Table1[[#This Row],[orig_vote_clinton]]</f>
        <v>-50614</v>
      </c>
      <c r="J18" s="15">
        <f>IF(Table1[[#This Row],[orig_vote_clinton]]&gt;Table1[[#This Row],[orig_vote_trump]],Table1[[#This Row],[electoral_votes]],0)</f>
        <v>9</v>
      </c>
      <c r="K18" s="15">
        <f>IF(Table1[[#This Row],[orig_vote_trump]]&gt;Table1[[#This Row],[orig_vote_clinton]],Table1[[#This Row],[electoral_votes]],0)</f>
        <v>0</v>
      </c>
      <c r="L18" s="14">
        <f>Table1[[#This Row],[orig_vote_clinton]]+Table1[[#This Row],[orig_vote_stein]]*pct_stein_to_clinton+Table1[[#This Row],[orig_vote_johnson]]*pct_johnson_to_clinton</f>
        <v>1223496.7000000002</v>
      </c>
      <c r="M18" s="14">
        <f>Table1[[#This Row],[orig_vote_trump]]+Table1[[#This Row],[orig_vote_stein]]*pct_stein_to_trump+Table1[[#This Row],[orig_vote_johnson]]*pct_johnson_to_trump</f>
        <v>1125862.2999999998</v>
      </c>
      <c r="N18" s="15">
        <f>Table1[[#This Row],[adjusted_vote_trump]]-Table1[[#This Row],[adjusted_vote_clinton]]</f>
        <v>-97634.400000000373</v>
      </c>
      <c r="O18" s="15">
        <f>IF(Table1[[#This Row],[adjusted_vote_clinton]]&gt;Table1[[#This Row],[adjusted_vote_trump]],0,Table1[[#This Row],[electoral_votes]])</f>
        <v>0</v>
      </c>
      <c r="P18" s="14">
        <f>IF(Table1[[#This Row],[adjusted_vote_clinton]]&gt;Table1[[#This Row],[adjusted_vote_trump]],Table1[[#This Row],[electoral_votes]],0)</f>
        <v>9</v>
      </c>
      <c r="Q18" s="15" t="str">
        <f>IF(Table1[[#This Row],[orig_spread]]&gt;0,"Trump","Clinton")</f>
        <v>Clinton</v>
      </c>
      <c r="R18" s="15" t="str">
        <f>IF(Table1[[#This Row],[adjusted_spread]]&gt;0,"Trump","Clinton")</f>
        <v>Clinton</v>
      </c>
      <c r="S18" s="14" t="b">
        <f>AND(Table1[[#This Row],[orig_outcome]]="Trump",Table1[[#This Row],[adjusted_outcome]]="Clinton")</f>
        <v>0</v>
      </c>
      <c r="T18" s="14" t="b">
        <f>AND(Table1[[#This Row],[orig_outcome]]="Clinton",Table1[[#This Row],[adjusted_outcome]]="Trump")</f>
        <v>0</v>
      </c>
      <c r="U18" s="14" t="str">
        <f>IF(Table1[[#This Row],[index]]=1,IF(Table1[[#This Row],[pickup_clinton]],Table1[[#This Row],[State]],""),IF(Table1[[#This Row],[pickup_clinton]],CONCATENATE(U17,IF(U17="","",","),Table1[[#This Row],[State]]),U17))</f>
        <v/>
      </c>
      <c r="V18" s="14" t="str">
        <f>IF(Table1[[#This Row],[index]]=1,IF(Table1[[#This Row],[pickup_trump]],Table1[[#This Row],[State]],""),IF(Table1[[#This Row],[pickup_trump]],CONCATENATE(V17,IF(V7="","",","),Table1[[#This Row],[State]]),V17))</f>
        <v/>
      </c>
      <c r="W18" s="22">
        <f>Table1[[#This Row],[adjusted_electors_trump]]+Table1[[#This Row],[adjusted_electors_clinton]]-Table1[[#This Row],[electoral_votes]]</f>
        <v>0</v>
      </c>
      <c r="Y18"/>
    </row>
    <row r="19" spans="2:25">
      <c r="B19" s="4" t="s">
        <v>19</v>
      </c>
      <c r="C19" s="9">
        <v>7</v>
      </c>
      <c r="D19" s="16">
        <v>823360</v>
      </c>
      <c r="E19" s="16">
        <v>637919</v>
      </c>
      <c r="F19" s="16">
        <v>45999</v>
      </c>
      <c r="G19" s="16">
        <v>21539</v>
      </c>
      <c r="H19" s="16">
        <f>ROW()-ROW(Table1[[#Headers],[index]])</f>
        <v>7</v>
      </c>
      <c r="I19" s="15">
        <f>Table1[[#This Row],[orig_vote_trump]]-Table1[[#This Row],[orig_vote_clinton]]</f>
        <v>-185441</v>
      </c>
      <c r="J19" s="15">
        <f>IF(Table1[[#This Row],[orig_vote_clinton]]&gt;Table1[[#This Row],[orig_vote_trump]],Table1[[#This Row],[electoral_votes]],0)</f>
        <v>7</v>
      </c>
      <c r="K19" s="15">
        <f>IF(Table1[[#This Row],[orig_vote_trump]]&gt;Table1[[#This Row],[orig_vote_clinton]],Table1[[#This Row],[electoral_votes]],0)</f>
        <v>0</v>
      </c>
      <c r="L19" s="14">
        <f>Table1[[#This Row],[orig_vote_clinton]]+Table1[[#This Row],[orig_vote_stein]]*pct_stein_to_clinton+Table1[[#This Row],[orig_vote_johnson]]*pct_johnson_to_clinton</f>
        <v>870344.5</v>
      </c>
      <c r="M19" s="14">
        <f>Table1[[#This Row],[orig_vote_trump]]+Table1[[#This Row],[orig_vote_stein]]*pct_stein_to_trump+Table1[[#This Row],[orig_vote_johnson]]*pct_johnson_to_trump</f>
        <v>658472.5</v>
      </c>
      <c r="N19" s="15">
        <f>Table1[[#This Row],[adjusted_vote_trump]]-Table1[[#This Row],[adjusted_vote_clinton]]</f>
        <v>-211872</v>
      </c>
      <c r="O19" s="15">
        <f>IF(Table1[[#This Row],[adjusted_vote_clinton]]&gt;Table1[[#This Row],[adjusted_vote_trump]],0,Table1[[#This Row],[electoral_votes]])</f>
        <v>0</v>
      </c>
      <c r="P19" s="14">
        <f>IF(Table1[[#This Row],[adjusted_vote_clinton]]&gt;Table1[[#This Row],[adjusted_vote_trump]],Table1[[#This Row],[electoral_votes]],0)</f>
        <v>7</v>
      </c>
      <c r="Q19" s="15" t="str">
        <f>IF(Table1[[#This Row],[orig_spread]]&gt;0,"Trump","Clinton")</f>
        <v>Clinton</v>
      </c>
      <c r="R19" s="15" t="str">
        <f>IF(Table1[[#This Row],[adjusted_spread]]&gt;0,"Trump","Clinton")</f>
        <v>Clinton</v>
      </c>
      <c r="S19" s="14" t="b">
        <f>AND(Table1[[#This Row],[orig_outcome]]="Trump",Table1[[#This Row],[adjusted_outcome]]="Clinton")</f>
        <v>0</v>
      </c>
      <c r="T19" s="14" t="b">
        <f>AND(Table1[[#This Row],[orig_outcome]]="Clinton",Table1[[#This Row],[adjusted_outcome]]="Trump")</f>
        <v>0</v>
      </c>
      <c r="U19" s="14" t="str">
        <f>IF(Table1[[#This Row],[index]]=1,IF(Table1[[#This Row],[pickup_clinton]],Table1[[#This Row],[State]],""),IF(Table1[[#This Row],[pickup_clinton]],CONCATENATE(U18,IF(U18="","",","),Table1[[#This Row],[State]]),U18))</f>
        <v/>
      </c>
      <c r="V19" s="14" t="str">
        <f>IF(Table1[[#This Row],[index]]=1,IF(Table1[[#This Row],[pickup_trump]],Table1[[#This Row],[State]],""),IF(Table1[[#This Row],[pickup_trump]],CONCATENATE(V18,IF(V8="","",","),Table1[[#This Row],[State]]),V18))</f>
        <v/>
      </c>
      <c r="W19" s="22">
        <f>Table1[[#This Row],[adjusted_electors_trump]]+Table1[[#This Row],[adjusted_electors_clinton]]-Table1[[#This Row],[electoral_votes]]</f>
        <v>0</v>
      </c>
      <c r="Y19"/>
    </row>
    <row r="20" spans="2:25">
      <c r="B20" s="4" t="s">
        <v>57</v>
      </c>
      <c r="C20" s="9">
        <v>3</v>
      </c>
      <c r="D20" s="16">
        <v>260223</v>
      </c>
      <c r="E20" s="16">
        <v>11553</v>
      </c>
      <c r="F20" s="16">
        <v>4501</v>
      </c>
      <c r="G20" s="16">
        <v>3995</v>
      </c>
      <c r="H20" s="16">
        <f>ROW()-ROW(Table1[[#Headers],[index]])</f>
        <v>8</v>
      </c>
      <c r="I20" s="15">
        <f>Table1[[#This Row],[orig_vote_trump]]-Table1[[#This Row],[orig_vote_clinton]]</f>
        <v>-248670</v>
      </c>
      <c r="J20" s="15">
        <f>IF(Table1[[#This Row],[orig_vote_clinton]]&gt;Table1[[#This Row],[orig_vote_trump]],Table1[[#This Row],[electoral_votes]],0)</f>
        <v>3</v>
      </c>
      <c r="K20" s="15">
        <f>IF(Table1[[#This Row],[orig_vote_trump]]&gt;Table1[[#This Row],[orig_vote_clinton]],Table1[[#This Row],[electoral_votes]],0)</f>
        <v>0</v>
      </c>
      <c r="L20" s="14">
        <f>Table1[[#This Row],[orig_vote_clinton]]+Table1[[#This Row],[orig_vote_stein]]*pct_stein_to_clinton+Table1[[#This Row],[orig_vote_johnson]]*pct_johnson_to_clinton</f>
        <v>266519.09999999998</v>
      </c>
      <c r="M20" s="14">
        <f>Table1[[#This Row],[orig_vote_trump]]+Table1[[#This Row],[orig_vote_stein]]*pct_stein_to_trump+Table1[[#This Row],[orig_vote_johnson]]*pct_johnson_to_trump</f>
        <v>13752.9</v>
      </c>
      <c r="N20" s="15">
        <f>Table1[[#This Row],[adjusted_vote_trump]]-Table1[[#This Row],[adjusted_vote_clinton]]</f>
        <v>-252766.19999999998</v>
      </c>
      <c r="O20" s="15">
        <f>IF(Table1[[#This Row],[adjusted_vote_clinton]]&gt;Table1[[#This Row],[adjusted_vote_trump]],0,Table1[[#This Row],[electoral_votes]])</f>
        <v>0</v>
      </c>
      <c r="P20" s="14">
        <f>IF(Table1[[#This Row],[adjusted_vote_clinton]]&gt;Table1[[#This Row],[adjusted_vote_trump]],Table1[[#This Row],[electoral_votes]],0)</f>
        <v>3</v>
      </c>
      <c r="Q20" s="15" t="str">
        <f>IF(Table1[[#This Row],[orig_spread]]&gt;0,"Trump","Clinton")</f>
        <v>Clinton</v>
      </c>
      <c r="R20" s="15" t="str">
        <f>IF(Table1[[#This Row],[adjusted_spread]]&gt;0,"Trump","Clinton")</f>
        <v>Clinton</v>
      </c>
      <c r="S20" s="14" t="b">
        <f>AND(Table1[[#This Row],[orig_outcome]]="Trump",Table1[[#This Row],[adjusted_outcome]]="Clinton")</f>
        <v>0</v>
      </c>
      <c r="T20" s="14" t="b">
        <f>AND(Table1[[#This Row],[orig_outcome]]="Clinton",Table1[[#This Row],[adjusted_outcome]]="Trump")</f>
        <v>0</v>
      </c>
      <c r="U20" s="14" t="str">
        <f>IF(Table1[[#This Row],[index]]=1,IF(Table1[[#This Row],[pickup_clinton]],Table1[[#This Row],[State]],""),IF(Table1[[#This Row],[pickup_clinton]],CONCATENATE(U19,IF(U19="","",","),Table1[[#This Row],[State]]),U19))</f>
        <v/>
      </c>
      <c r="V20" s="14" t="str">
        <f>IF(Table1[[#This Row],[index]]=1,IF(Table1[[#This Row],[pickup_trump]],Table1[[#This Row],[State]],""),IF(Table1[[#This Row],[pickup_trump]],CONCATENATE(V19,IF(V9="","",","),Table1[[#This Row],[State]]),V19))</f>
        <v/>
      </c>
      <c r="W20" s="22">
        <f>Table1[[#This Row],[adjusted_electors_trump]]+Table1[[#This Row],[adjusted_electors_clinton]]-Table1[[#This Row],[electoral_votes]]</f>
        <v>0</v>
      </c>
      <c r="Y20"/>
    </row>
    <row r="21" spans="2:25">
      <c r="B21" s="4" t="s">
        <v>20</v>
      </c>
      <c r="C21" s="9">
        <v>3</v>
      </c>
      <c r="D21" s="16">
        <v>235581</v>
      </c>
      <c r="E21" s="16">
        <v>185103</v>
      </c>
      <c r="F21" s="16">
        <v>14751</v>
      </c>
      <c r="G21" s="16">
        <v>6100</v>
      </c>
      <c r="H21" s="16">
        <f>ROW()-ROW(Table1[[#Headers],[index]])</f>
        <v>9</v>
      </c>
      <c r="I21" s="15">
        <f>Table1[[#This Row],[orig_vote_trump]]-Table1[[#This Row],[orig_vote_clinton]]</f>
        <v>-50478</v>
      </c>
      <c r="J21" s="15">
        <f>IF(Table1[[#This Row],[orig_vote_clinton]]&gt;Table1[[#This Row],[orig_vote_trump]],Table1[[#This Row],[electoral_votes]],0)</f>
        <v>3</v>
      </c>
      <c r="K21" s="15">
        <f>IF(Table1[[#This Row],[orig_vote_trump]]&gt;Table1[[#This Row],[orig_vote_clinton]],Table1[[#This Row],[electoral_votes]],0)</f>
        <v>0</v>
      </c>
      <c r="L21" s="14">
        <f>Table1[[#This Row],[orig_vote_clinton]]+Table1[[#This Row],[orig_vote_stein]]*pct_stein_to_clinton+Table1[[#This Row],[orig_vote_johnson]]*pct_johnson_to_clinton</f>
        <v>249921.6</v>
      </c>
      <c r="M21" s="14">
        <f>Table1[[#This Row],[orig_vote_trump]]+Table1[[#This Row],[orig_vote_stein]]*pct_stein_to_trump+Table1[[#This Row],[orig_vote_johnson]]*pct_johnson_to_trump</f>
        <v>191613.4</v>
      </c>
      <c r="N21" s="15">
        <f>Table1[[#This Row],[adjusted_vote_trump]]-Table1[[#This Row],[adjusted_vote_clinton]]</f>
        <v>-58308.200000000012</v>
      </c>
      <c r="O21" s="15">
        <f>IF(Table1[[#This Row],[adjusted_vote_clinton]]&gt;Table1[[#This Row],[adjusted_vote_trump]],0,Table1[[#This Row],[electoral_votes]])</f>
        <v>0</v>
      </c>
      <c r="P21" s="14">
        <f>IF(Table1[[#This Row],[adjusted_vote_clinton]]&gt;Table1[[#This Row],[adjusted_vote_trump]],Table1[[#This Row],[electoral_votes]],0)</f>
        <v>3</v>
      </c>
      <c r="Q21" s="15" t="str">
        <f>IF(Table1[[#This Row],[orig_spread]]&gt;0,"Trump","Clinton")</f>
        <v>Clinton</v>
      </c>
      <c r="R21" s="15" t="str">
        <f>IF(Table1[[#This Row],[adjusted_spread]]&gt;0,"Trump","Clinton")</f>
        <v>Clinton</v>
      </c>
      <c r="S21" s="14" t="b">
        <f>AND(Table1[[#This Row],[orig_outcome]]="Trump",Table1[[#This Row],[adjusted_outcome]]="Clinton")</f>
        <v>0</v>
      </c>
      <c r="T21" s="14" t="b">
        <f>AND(Table1[[#This Row],[orig_outcome]]="Clinton",Table1[[#This Row],[adjusted_outcome]]="Trump")</f>
        <v>0</v>
      </c>
      <c r="U21" s="14" t="str">
        <f>IF(Table1[[#This Row],[index]]=1,IF(Table1[[#This Row],[pickup_clinton]],Table1[[#This Row],[State]],""),IF(Table1[[#This Row],[pickup_clinton]],CONCATENATE(U20,IF(U20="","",","),Table1[[#This Row],[State]]),U20))</f>
        <v/>
      </c>
      <c r="V21" s="14" t="str">
        <f>IF(Table1[[#This Row],[index]]=1,IF(Table1[[#This Row],[pickup_trump]],Table1[[#This Row],[State]],""),IF(Table1[[#This Row],[pickup_trump]],CONCATENATE(V20,IF(V10="","",","),Table1[[#This Row],[State]]),V20))</f>
        <v/>
      </c>
      <c r="W21" s="22">
        <f>Table1[[#This Row],[adjusted_electors_trump]]+Table1[[#This Row],[adjusted_electors_clinton]]-Table1[[#This Row],[electoral_votes]]</f>
        <v>0</v>
      </c>
      <c r="Y21"/>
    </row>
    <row r="22" spans="2:25">
      <c r="B22" s="4" t="s">
        <v>3</v>
      </c>
      <c r="C22" s="5">
        <v>29</v>
      </c>
      <c r="D22" s="17">
        <v>4485745</v>
      </c>
      <c r="E22" s="17">
        <v>4605515</v>
      </c>
      <c r="F22" s="17">
        <v>206007</v>
      </c>
      <c r="G22" s="17">
        <v>64019</v>
      </c>
      <c r="H22" s="17">
        <f>ROW()-ROW(Table1[[#Headers],[index]])</f>
        <v>10</v>
      </c>
      <c r="I22" s="15">
        <f>Table1[[#This Row],[orig_vote_trump]]-Table1[[#This Row],[orig_vote_clinton]]</f>
        <v>119770</v>
      </c>
      <c r="J22" s="15">
        <f>IF(Table1[[#This Row],[orig_vote_clinton]]&gt;Table1[[#This Row],[orig_vote_trump]],Table1[[#This Row],[electoral_votes]],0)</f>
        <v>0</v>
      </c>
      <c r="K22" s="15">
        <f>IF(Table1[[#This Row],[orig_vote_trump]]&gt;Table1[[#This Row],[orig_vote_clinton]],Table1[[#This Row],[electoral_votes]],0)</f>
        <v>29</v>
      </c>
      <c r="L22" s="14">
        <f>Table1[[#This Row],[orig_vote_clinton]]+Table1[[#This Row],[orig_vote_stein]]*pct_stein_to_clinton+Table1[[#This Row],[orig_vote_johnson]]*pct_johnson_to_clinton</f>
        <v>4666966.3</v>
      </c>
      <c r="M22" s="14">
        <f>Table1[[#This Row],[orig_vote_trump]]+Table1[[#This Row],[orig_vote_stein]]*pct_stein_to_trump+Table1[[#This Row],[orig_vote_johnson]]*pct_johnson_to_trump</f>
        <v>4694319.7</v>
      </c>
      <c r="N22" s="15">
        <f>Table1[[#This Row],[adjusted_vote_trump]]-Table1[[#This Row],[adjusted_vote_clinton]]</f>
        <v>27353.400000000373</v>
      </c>
      <c r="O22" s="15">
        <f>IF(Table1[[#This Row],[adjusted_vote_clinton]]&gt;Table1[[#This Row],[adjusted_vote_trump]],0,Table1[[#This Row],[electoral_votes]])</f>
        <v>29</v>
      </c>
      <c r="P22" s="14">
        <f>IF(Table1[[#This Row],[adjusted_vote_clinton]]&gt;Table1[[#This Row],[adjusted_vote_trump]],Table1[[#This Row],[electoral_votes]],0)</f>
        <v>0</v>
      </c>
      <c r="Q22" s="15" t="str">
        <f>IF(Table1[[#This Row],[orig_spread]]&gt;0,"Trump","Clinton")</f>
        <v>Trump</v>
      </c>
      <c r="R22" s="15" t="str">
        <f>IF(Table1[[#This Row],[adjusted_spread]]&gt;0,"Trump","Clinton")</f>
        <v>Trump</v>
      </c>
      <c r="S22" s="14" t="b">
        <f>AND(Table1[[#This Row],[orig_outcome]]="Trump",Table1[[#This Row],[adjusted_outcome]]="Clinton")</f>
        <v>0</v>
      </c>
      <c r="T22" s="14" t="b">
        <f>AND(Table1[[#This Row],[orig_outcome]]="Clinton",Table1[[#This Row],[adjusted_outcome]]="Trump")</f>
        <v>0</v>
      </c>
      <c r="U22" s="14" t="str">
        <f>IF(Table1[[#This Row],[index]]=1,IF(Table1[[#This Row],[pickup_clinton]],Table1[[#This Row],[State]],""),IF(Table1[[#This Row],[pickup_clinton]],CONCATENATE(U21,IF(U21="","",","),Table1[[#This Row],[State]]),U21))</f>
        <v/>
      </c>
      <c r="V22" s="14" t="str">
        <f>IF(Table1[[#This Row],[index]]=1,IF(Table1[[#This Row],[pickup_trump]],Table1[[#This Row],[State]],""),IF(Table1[[#This Row],[pickup_trump]],CONCATENATE(V21,IF(V11="","",","),Table1[[#This Row],[State]]),V21))</f>
        <v/>
      </c>
      <c r="W22" s="22">
        <f>Table1[[#This Row],[adjusted_electors_trump]]+Table1[[#This Row],[adjusted_electors_clinton]]-Table1[[#This Row],[electoral_votes]]</f>
        <v>0</v>
      </c>
      <c r="Y22"/>
    </row>
    <row r="23" spans="2:25">
      <c r="B23" s="4" t="s">
        <v>21</v>
      </c>
      <c r="C23" s="9">
        <v>16</v>
      </c>
      <c r="D23" s="16">
        <v>1837300</v>
      </c>
      <c r="E23" s="16">
        <v>2068623</v>
      </c>
      <c r="F23" s="16">
        <v>123641</v>
      </c>
      <c r="G23" s="17"/>
      <c r="H23" s="17">
        <f>ROW()-ROW(Table1[[#Headers],[index]])</f>
        <v>11</v>
      </c>
      <c r="I23" s="15">
        <f>Table1[[#This Row],[orig_vote_trump]]-Table1[[#This Row],[orig_vote_clinton]]</f>
        <v>231323</v>
      </c>
      <c r="J23" s="15">
        <f>IF(Table1[[#This Row],[orig_vote_clinton]]&gt;Table1[[#This Row],[orig_vote_trump]],Table1[[#This Row],[electoral_votes]],0)</f>
        <v>0</v>
      </c>
      <c r="K23" s="15">
        <f>IF(Table1[[#This Row],[orig_vote_trump]]&gt;Table1[[#This Row],[orig_vote_clinton]],Table1[[#This Row],[electoral_votes]],0)</f>
        <v>16</v>
      </c>
      <c r="L23" s="14">
        <f>Table1[[#This Row],[orig_vote_clinton]]+Table1[[#This Row],[orig_vote_stein]]*pct_stein_to_clinton+Table1[[#This Row],[orig_vote_johnson]]*pct_johnson_to_clinton</f>
        <v>1911484.6</v>
      </c>
      <c r="M23" s="14">
        <f>Table1[[#This Row],[orig_vote_trump]]+Table1[[#This Row],[orig_vote_stein]]*pct_stein_to_trump+Table1[[#This Row],[orig_vote_johnson]]*pct_johnson_to_trump</f>
        <v>2118079.4</v>
      </c>
      <c r="N23" s="15">
        <f>Table1[[#This Row],[adjusted_vote_trump]]-Table1[[#This Row],[adjusted_vote_clinton]]</f>
        <v>206594.79999999981</v>
      </c>
      <c r="O23" s="15">
        <f>IF(Table1[[#This Row],[adjusted_vote_clinton]]&gt;Table1[[#This Row],[adjusted_vote_trump]],0,Table1[[#This Row],[electoral_votes]])</f>
        <v>16</v>
      </c>
      <c r="P23" s="14">
        <f>IF(Table1[[#This Row],[adjusted_vote_clinton]]&gt;Table1[[#This Row],[adjusted_vote_trump]],Table1[[#This Row],[electoral_votes]],0)</f>
        <v>0</v>
      </c>
      <c r="Q23" s="15" t="str">
        <f>IF(Table1[[#This Row],[orig_spread]]&gt;0,"Trump","Clinton")</f>
        <v>Trump</v>
      </c>
      <c r="R23" s="15" t="str">
        <f>IF(Table1[[#This Row],[adjusted_spread]]&gt;0,"Trump","Clinton")</f>
        <v>Trump</v>
      </c>
      <c r="S23" s="14" t="b">
        <f>AND(Table1[[#This Row],[orig_outcome]]="Trump",Table1[[#This Row],[adjusted_outcome]]="Clinton")</f>
        <v>0</v>
      </c>
      <c r="T23" s="14" t="b">
        <f>AND(Table1[[#This Row],[orig_outcome]]="Clinton",Table1[[#This Row],[adjusted_outcome]]="Trump")</f>
        <v>0</v>
      </c>
      <c r="U23" s="14" t="str">
        <f>IF(Table1[[#This Row],[index]]=1,IF(Table1[[#This Row],[pickup_clinton]],Table1[[#This Row],[State]],""),IF(Table1[[#This Row],[pickup_clinton]],CONCATENATE(U22,IF(U22="","",","),Table1[[#This Row],[State]]),U22))</f>
        <v/>
      </c>
      <c r="V23" s="14" t="str">
        <f>IF(Table1[[#This Row],[index]]=1,IF(Table1[[#This Row],[pickup_trump]],Table1[[#This Row],[State]],""),IF(Table1[[#This Row],[pickup_trump]],CONCATENATE(V22,IF(V12="","",","),Table1[[#This Row],[State]]),V22))</f>
        <v/>
      </c>
      <c r="W23" s="22">
        <f>Table1[[#This Row],[adjusted_electors_trump]]+Table1[[#This Row],[adjusted_electors_clinton]]-Table1[[#This Row],[electoral_votes]]</f>
        <v>0</v>
      </c>
      <c r="Y23"/>
    </row>
    <row r="24" spans="2:25">
      <c r="B24" s="4" t="s">
        <v>22</v>
      </c>
      <c r="C24" s="9">
        <v>4</v>
      </c>
      <c r="D24" s="18">
        <v>266827</v>
      </c>
      <c r="E24" s="18">
        <v>128815</v>
      </c>
      <c r="F24" s="18">
        <v>15949</v>
      </c>
      <c r="G24" s="18">
        <v>12727</v>
      </c>
      <c r="H24" s="18">
        <f>ROW()-ROW(Table1[[#Headers],[index]])</f>
        <v>12</v>
      </c>
      <c r="I24" s="15">
        <f>Table1[[#This Row],[orig_vote_trump]]-Table1[[#This Row],[orig_vote_clinton]]</f>
        <v>-138012</v>
      </c>
      <c r="J24" s="15">
        <f>IF(Table1[[#This Row],[orig_vote_clinton]]&gt;Table1[[#This Row],[orig_vote_trump]],Table1[[#This Row],[electoral_votes]],0)</f>
        <v>4</v>
      </c>
      <c r="K24" s="15">
        <f>IF(Table1[[#This Row],[orig_vote_trump]]&gt;Table1[[#This Row],[orig_vote_clinton]],Table1[[#This Row],[electoral_votes]],0)</f>
        <v>0</v>
      </c>
      <c r="L24" s="14">
        <f>Table1[[#This Row],[orig_vote_clinton]]+Table1[[#This Row],[orig_vote_stein]]*pct_stein_to_clinton+Table1[[#This Row],[orig_vote_johnson]]*pct_johnson_to_clinton</f>
        <v>287850.7</v>
      </c>
      <c r="M24" s="14">
        <f>Table1[[#This Row],[orig_vote_trump]]+Table1[[#This Row],[orig_vote_stein]]*pct_stein_to_trump+Table1[[#This Row],[orig_vote_johnson]]*pct_johnson_to_trump</f>
        <v>136467.29999999999</v>
      </c>
      <c r="N24" s="15">
        <f>Table1[[#This Row],[adjusted_vote_trump]]-Table1[[#This Row],[adjusted_vote_clinton]]</f>
        <v>-151383.40000000002</v>
      </c>
      <c r="O24" s="15">
        <f>IF(Table1[[#This Row],[adjusted_vote_clinton]]&gt;Table1[[#This Row],[adjusted_vote_trump]],0,Table1[[#This Row],[electoral_votes]])</f>
        <v>0</v>
      </c>
      <c r="P24" s="14">
        <f>IF(Table1[[#This Row],[adjusted_vote_clinton]]&gt;Table1[[#This Row],[adjusted_vote_trump]],Table1[[#This Row],[electoral_votes]],0)</f>
        <v>4</v>
      </c>
      <c r="Q24" s="15" t="str">
        <f>IF(Table1[[#This Row],[orig_spread]]&gt;0,"Trump","Clinton")</f>
        <v>Clinton</v>
      </c>
      <c r="R24" s="15" t="str">
        <f>IF(Table1[[#This Row],[adjusted_spread]]&gt;0,"Trump","Clinton")</f>
        <v>Clinton</v>
      </c>
      <c r="S24" s="14" t="b">
        <f>AND(Table1[[#This Row],[orig_outcome]]="Trump",Table1[[#This Row],[adjusted_outcome]]="Clinton")</f>
        <v>0</v>
      </c>
      <c r="T24" s="14" t="b">
        <f>AND(Table1[[#This Row],[orig_outcome]]="Clinton",Table1[[#This Row],[adjusted_outcome]]="Trump")</f>
        <v>0</v>
      </c>
      <c r="U24" s="14" t="str">
        <f>IF(Table1[[#This Row],[index]]=1,IF(Table1[[#This Row],[pickup_clinton]],Table1[[#This Row],[State]],""),IF(Table1[[#This Row],[pickup_clinton]],CONCATENATE(U23,IF(U23="","",","),Table1[[#This Row],[State]]),U23))</f>
        <v/>
      </c>
      <c r="V24" s="14" t="str">
        <f>IF(Table1[[#This Row],[index]]=1,IF(Table1[[#This Row],[pickup_trump]],Table1[[#This Row],[State]],""),IF(Table1[[#This Row],[pickup_trump]],CONCATENATE(V23,IF(V13="","",","),Table1[[#This Row],[State]]),V23))</f>
        <v/>
      </c>
      <c r="W24" s="22">
        <f>Table1[[#This Row],[adjusted_electors_trump]]+Table1[[#This Row],[adjusted_electors_clinton]]-Table1[[#This Row],[electoral_votes]]</f>
        <v>0</v>
      </c>
      <c r="Y24"/>
    </row>
    <row r="25" spans="2:25">
      <c r="B25" s="4" t="s">
        <v>23</v>
      </c>
      <c r="C25" s="9">
        <v>4</v>
      </c>
      <c r="D25" s="18">
        <v>189677</v>
      </c>
      <c r="E25" s="18">
        <v>407199</v>
      </c>
      <c r="F25" s="18">
        <v>28256</v>
      </c>
      <c r="G25" s="18">
        <v>8464</v>
      </c>
      <c r="H25" s="18">
        <f>ROW()-ROW(Table1[[#Headers],[index]])</f>
        <v>13</v>
      </c>
      <c r="I25" s="15">
        <f>Table1[[#This Row],[orig_vote_trump]]-Table1[[#This Row],[orig_vote_clinton]]</f>
        <v>217522</v>
      </c>
      <c r="J25" s="15">
        <f>IF(Table1[[#This Row],[orig_vote_clinton]]&gt;Table1[[#This Row],[orig_vote_trump]],Table1[[#This Row],[electoral_votes]],0)</f>
        <v>0</v>
      </c>
      <c r="K25" s="15">
        <f>IF(Table1[[#This Row],[orig_vote_trump]]&gt;Table1[[#This Row],[orig_vote_clinton]],Table1[[#This Row],[electoral_votes]],0)</f>
        <v>4</v>
      </c>
      <c r="L25" s="14">
        <f>Table1[[#This Row],[orig_vote_clinton]]+Table1[[#This Row],[orig_vote_stein]]*pct_stein_to_clinton+Table1[[#This Row],[orig_vote_johnson]]*pct_johnson_to_clinton</f>
        <v>214248.2</v>
      </c>
      <c r="M25" s="14">
        <f>Table1[[#This Row],[orig_vote_trump]]+Table1[[#This Row],[orig_vote_stein]]*pct_stein_to_trump+Table1[[#This Row],[orig_vote_johnson]]*pct_johnson_to_trump</f>
        <v>419347.80000000005</v>
      </c>
      <c r="N25" s="15">
        <f>Table1[[#This Row],[adjusted_vote_trump]]-Table1[[#This Row],[adjusted_vote_clinton]]</f>
        <v>205099.60000000003</v>
      </c>
      <c r="O25" s="15">
        <f>IF(Table1[[#This Row],[adjusted_vote_clinton]]&gt;Table1[[#This Row],[adjusted_vote_trump]],0,Table1[[#This Row],[electoral_votes]])</f>
        <v>4</v>
      </c>
      <c r="P25" s="14">
        <f>IF(Table1[[#This Row],[adjusted_vote_clinton]]&gt;Table1[[#This Row],[adjusted_vote_trump]],Table1[[#This Row],[electoral_votes]],0)</f>
        <v>0</v>
      </c>
      <c r="Q25" s="15" t="str">
        <f>IF(Table1[[#This Row],[orig_spread]]&gt;0,"Trump","Clinton")</f>
        <v>Trump</v>
      </c>
      <c r="R25" s="15" t="str">
        <f>IF(Table1[[#This Row],[adjusted_spread]]&gt;0,"Trump","Clinton")</f>
        <v>Trump</v>
      </c>
      <c r="S25" s="14" t="b">
        <f>AND(Table1[[#This Row],[orig_outcome]]="Trump",Table1[[#This Row],[adjusted_outcome]]="Clinton")</f>
        <v>0</v>
      </c>
      <c r="T25" s="14" t="b">
        <f>AND(Table1[[#This Row],[orig_outcome]]="Clinton",Table1[[#This Row],[adjusted_outcome]]="Trump")</f>
        <v>0</v>
      </c>
      <c r="U25" s="14" t="str">
        <f>IF(Table1[[#This Row],[index]]=1,IF(Table1[[#This Row],[pickup_clinton]],Table1[[#This Row],[State]],""),IF(Table1[[#This Row],[pickup_clinton]],CONCATENATE(U24,IF(U24="","",","),Table1[[#This Row],[State]]),U24))</f>
        <v/>
      </c>
      <c r="V25" s="14" t="str">
        <f>IF(Table1[[#This Row],[index]]=1,IF(Table1[[#This Row],[pickup_trump]],Table1[[#This Row],[State]],""),IF(Table1[[#This Row],[pickup_trump]],CONCATENATE(V24,IF(V14="","",","),Table1[[#This Row],[State]]),V24))</f>
        <v/>
      </c>
      <c r="W25" s="22">
        <f>Table1[[#This Row],[adjusted_electors_trump]]+Table1[[#This Row],[adjusted_electors_clinton]]-Table1[[#This Row],[electoral_votes]]</f>
        <v>0</v>
      </c>
      <c r="Y25"/>
    </row>
    <row r="26" spans="2:25">
      <c r="B26" s="4" t="s">
        <v>24</v>
      </c>
      <c r="C26" s="9">
        <v>20</v>
      </c>
      <c r="D26" s="18">
        <v>2977498</v>
      </c>
      <c r="E26" s="18">
        <v>2118179</v>
      </c>
      <c r="F26" s="18">
        <v>204491</v>
      </c>
      <c r="G26" s="18">
        <v>74112</v>
      </c>
      <c r="H26" s="18">
        <f>ROW()-ROW(Table1[[#Headers],[index]])</f>
        <v>14</v>
      </c>
      <c r="I26" s="15">
        <f>Table1[[#This Row],[orig_vote_trump]]-Table1[[#This Row],[orig_vote_clinton]]</f>
        <v>-859319</v>
      </c>
      <c r="J26" s="15">
        <f>IF(Table1[[#This Row],[orig_vote_clinton]]&gt;Table1[[#This Row],[orig_vote_trump]],Table1[[#This Row],[electoral_votes]],0)</f>
        <v>20</v>
      </c>
      <c r="K26" s="15">
        <f>IF(Table1[[#This Row],[orig_vote_trump]]&gt;Table1[[#This Row],[orig_vote_clinton]],Table1[[#This Row],[electoral_votes]],0)</f>
        <v>0</v>
      </c>
      <c r="L26" s="14">
        <f>Table1[[#This Row],[orig_vote_clinton]]+Table1[[#This Row],[orig_vote_stein]]*pct_stein_to_clinton+Table1[[#This Row],[orig_vote_johnson]]*pct_johnson_to_clinton</f>
        <v>3166893.4</v>
      </c>
      <c r="M26" s="14">
        <f>Table1[[#This Row],[orig_vote_trump]]+Table1[[#This Row],[orig_vote_stein]]*pct_stein_to_trump+Table1[[#This Row],[orig_vote_johnson]]*pct_johnson_to_trump</f>
        <v>2207386.6</v>
      </c>
      <c r="N26" s="15">
        <f>Table1[[#This Row],[adjusted_vote_trump]]-Table1[[#This Row],[adjusted_vote_clinton]]</f>
        <v>-959506.79999999981</v>
      </c>
      <c r="O26" s="15">
        <f>IF(Table1[[#This Row],[adjusted_vote_clinton]]&gt;Table1[[#This Row],[adjusted_vote_trump]],0,Table1[[#This Row],[electoral_votes]])</f>
        <v>0</v>
      </c>
      <c r="P26" s="14">
        <f>IF(Table1[[#This Row],[adjusted_vote_clinton]]&gt;Table1[[#This Row],[adjusted_vote_trump]],Table1[[#This Row],[electoral_votes]],0)</f>
        <v>20</v>
      </c>
      <c r="Q26" s="15" t="str">
        <f>IF(Table1[[#This Row],[orig_spread]]&gt;0,"Trump","Clinton")</f>
        <v>Clinton</v>
      </c>
      <c r="R26" s="15" t="str">
        <f>IF(Table1[[#This Row],[adjusted_spread]]&gt;0,"Trump","Clinton")</f>
        <v>Clinton</v>
      </c>
      <c r="S26" s="14" t="b">
        <f>AND(Table1[[#This Row],[orig_outcome]]="Trump",Table1[[#This Row],[adjusted_outcome]]="Clinton")</f>
        <v>0</v>
      </c>
      <c r="T26" s="14" t="b">
        <f>AND(Table1[[#This Row],[orig_outcome]]="Clinton",Table1[[#This Row],[adjusted_outcome]]="Trump")</f>
        <v>0</v>
      </c>
      <c r="U26" s="14" t="str">
        <f>IF(Table1[[#This Row],[index]]=1,IF(Table1[[#This Row],[pickup_clinton]],Table1[[#This Row],[State]],""),IF(Table1[[#This Row],[pickup_clinton]],CONCATENATE(U25,IF(U25="","",","),Table1[[#This Row],[State]]),U25))</f>
        <v/>
      </c>
      <c r="V26" s="14" t="str">
        <f>IF(Table1[[#This Row],[index]]=1,IF(Table1[[#This Row],[pickup_trump]],Table1[[#This Row],[State]],""),IF(Table1[[#This Row],[pickup_trump]],CONCATENATE(V25,IF(V15="","",","),Table1[[#This Row],[State]]),V25))</f>
        <v/>
      </c>
      <c r="W26" s="22">
        <f>Table1[[#This Row],[adjusted_electors_trump]]+Table1[[#This Row],[adjusted_electors_clinton]]-Table1[[#This Row],[electoral_votes]]</f>
        <v>0</v>
      </c>
      <c r="Y26"/>
    </row>
    <row r="27" spans="2:25">
      <c r="B27" s="4" t="s">
        <v>25</v>
      </c>
      <c r="C27" s="9">
        <v>11</v>
      </c>
      <c r="D27" s="18">
        <v>1029197</v>
      </c>
      <c r="E27" s="18">
        <v>1555020</v>
      </c>
      <c r="F27" s="18">
        <v>133623</v>
      </c>
      <c r="G27" s="10"/>
      <c r="H27" s="10">
        <f>ROW()-ROW(Table1[[#Headers],[index]])</f>
        <v>15</v>
      </c>
      <c r="I27" s="15">
        <f>Table1[[#This Row],[orig_vote_trump]]-Table1[[#This Row],[orig_vote_clinton]]</f>
        <v>525823</v>
      </c>
      <c r="J27" s="15">
        <f>IF(Table1[[#This Row],[orig_vote_clinton]]&gt;Table1[[#This Row],[orig_vote_trump]],Table1[[#This Row],[electoral_votes]],0)</f>
        <v>0</v>
      </c>
      <c r="K27" s="15">
        <f>IF(Table1[[#This Row],[orig_vote_trump]]&gt;Table1[[#This Row],[orig_vote_clinton]],Table1[[#This Row],[electoral_votes]],0)</f>
        <v>11</v>
      </c>
      <c r="L27" s="14">
        <f>Table1[[#This Row],[orig_vote_clinton]]+Table1[[#This Row],[orig_vote_stein]]*pct_stein_to_clinton+Table1[[#This Row],[orig_vote_johnson]]*pct_johnson_to_clinton</f>
        <v>1109370.8</v>
      </c>
      <c r="M27" s="14">
        <f>Table1[[#This Row],[orig_vote_trump]]+Table1[[#This Row],[orig_vote_stein]]*pct_stein_to_trump+Table1[[#This Row],[orig_vote_johnson]]*pct_johnson_to_trump</f>
        <v>1608469.2</v>
      </c>
      <c r="N27" s="15">
        <f>Table1[[#This Row],[adjusted_vote_trump]]-Table1[[#This Row],[adjusted_vote_clinton]]</f>
        <v>499098.39999999991</v>
      </c>
      <c r="O27" s="15">
        <f>IF(Table1[[#This Row],[adjusted_vote_clinton]]&gt;Table1[[#This Row],[adjusted_vote_trump]],0,Table1[[#This Row],[electoral_votes]])</f>
        <v>11</v>
      </c>
      <c r="P27" s="14">
        <f>IF(Table1[[#This Row],[adjusted_vote_clinton]]&gt;Table1[[#This Row],[adjusted_vote_trump]],Table1[[#This Row],[electoral_votes]],0)</f>
        <v>0</v>
      </c>
      <c r="Q27" s="15" t="str">
        <f>IF(Table1[[#This Row],[orig_spread]]&gt;0,"Trump","Clinton")</f>
        <v>Trump</v>
      </c>
      <c r="R27" s="15" t="str">
        <f>IF(Table1[[#This Row],[adjusted_spread]]&gt;0,"Trump","Clinton")</f>
        <v>Trump</v>
      </c>
      <c r="S27" s="14" t="b">
        <f>AND(Table1[[#This Row],[orig_outcome]]="Trump",Table1[[#This Row],[adjusted_outcome]]="Clinton")</f>
        <v>0</v>
      </c>
      <c r="T27" s="14" t="b">
        <f>AND(Table1[[#This Row],[orig_outcome]]="Clinton",Table1[[#This Row],[adjusted_outcome]]="Trump")</f>
        <v>0</v>
      </c>
      <c r="U27" s="14" t="str">
        <f>IF(Table1[[#This Row],[index]]=1,IF(Table1[[#This Row],[pickup_clinton]],Table1[[#This Row],[State]],""),IF(Table1[[#This Row],[pickup_clinton]],CONCATENATE(U26,IF(U26="","",","),Table1[[#This Row],[State]]),U26))</f>
        <v/>
      </c>
      <c r="V27" s="14" t="str">
        <f>IF(Table1[[#This Row],[index]]=1,IF(Table1[[#This Row],[pickup_trump]],Table1[[#This Row],[State]],""),IF(Table1[[#This Row],[pickup_trump]],CONCATENATE(V26,IF(V16="","",","),Table1[[#This Row],[State]]),V26))</f>
        <v/>
      </c>
      <c r="W27" s="22">
        <f>Table1[[#This Row],[adjusted_electors_trump]]+Table1[[#This Row],[adjusted_electors_clinton]]-Table1[[#This Row],[electoral_votes]]</f>
        <v>0</v>
      </c>
      <c r="Y27"/>
    </row>
    <row r="28" spans="2:25">
      <c r="B28" s="4" t="s">
        <v>26</v>
      </c>
      <c r="C28" s="9">
        <v>6</v>
      </c>
      <c r="D28" s="18">
        <v>650790</v>
      </c>
      <c r="E28" s="18">
        <v>798923</v>
      </c>
      <c r="F28" s="18">
        <v>57322</v>
      </c>
      <c r="G28" s="18">
        <v>11119</v>
      </c>
      <c r="H28" s="18">
        <f>ROW()-ROW(Table1[[#Headers],[index]])</f>
        <v>16</v>
      </c>
      <c r="I28" s="15">
        <f>Table1[[#This Row],[orig_vote_trump]]-Table1[[#This Row],[orig_vote_clinton]]</f>
        <v>148133</v>
      </c>
      <c r="J28" s="15">
        <f>IF(Table1[[#This Row],[orig_vote_clinton]]&gt;Table1[[#This Row],[orig_vote_trump]],Table1[[#This Row],[electoral_votes]],0)</f>
        <v>0</v>
      </c>
      <c r="K28" s="15">
        <f>IF(Table1[[#This Row],[orig_vote_trump]]&gt;Table1[[#This Row],[orig_vote_clinton]],Table1[[#This Row],[electoral_votes]],0)</f>
        <v>6</v>
      </c>
      <c r="L28" s="14">
        <f>Table1[[#This Row],[orig_vote_clinton]]+Table1[[#This Row],[orig_vote_stein]]*pct_stein_to_clinton+Table1[[#This Row],[orig_vote_johnson]]*pct_johnson_to_clinton</f>
        <v>695190.29999999993</v>
      </c>
      <c r="M28" s="14">
        <f>Table1[[#This Row],[orig_vote_trump]]+Table1[[#This Row],[orig_vote_stein]]*pct_stein_to_trump+Table1[[#This Row],[orig_vote_johnson]]*pct_johnson_to_trump</f>
        <v>822963.70000000007</v>
      </c>
      <c r="N28" s="15">
        <f>Table1[[#This Row],[adjusted_vote_trump]]-Table1[[#This Row],[adjusted_vote_clinton]]</f>
        <v>127773.40000000014</v>
      </c>
      <c r="O28" s="15">
        <f>IF(Table1[[#This Row],[adjusted_vote_clinton]]&gt;Table1[[#This Row],[adjusted_vote_trump]],0,Table1[[#This Row],[electoral_votes]])</f>
        <v>6</v>
      </c>
      <c r="P28" s="14">
        <f>IF(Table1[[#This Row],[adjusted_vote_clinton]]&gt;Table1[[#This Row],[adjusted_vote_trump]],Table1[[#This Row],[electoral_votes]],0)</f>
        <v>0</v>
      </c>
      <c r="Q28" s="15" t="str">
        <f>IF(Table1[[#This Row],[orig_spread]]&gt;0,"Trump","Clinton")</f>
        <v>Trump</v>
      </c>
      <c r="R28" s="15" t="str">
        <f>IF(Table1[[#This Row],[adjusted_spread]]&gt;0,"Trump","Clinton")</f>
        <v>Trump</v>
      </c>
      <c r="S28" s="14" t="b">
        <f>AND(Table1[[#This Row],[orig_outcome]]="Trump",Table1[[#This Row],[adjusted_outcome]]="Clinton")</f>
        <v>0</v>
      </c>
      <c r="T28" s="14" t="b">
        <f>AND(Table1[[#This Row],[orig_outcome]]="Clinton",Table1[[#This Row],[adjusted_outcome]]="Trump")</f>
        <v>0</v>
      </c>
      <c r="U28" s="14" t="str">
        <f>IF(Table1[[#This Row],[index]]=1,IF(Table1[[#This Row],[pickup_clinton]],Table1[[#This Row],[State]],""),IF(Table1[[#This Row],[pickup_clinton]],CONCATENATE(U27,IF(U27="","",","),Table1[[#This Row],[State]]),U27))</f>
        <v/>
      </c>
      <c r="V28" s="14" t="str">
        <f>IF(Table1[[#This Row],[index]]=1,IF(Table1[[#This Row],[pickup_trump]],Table1[[#This Row],[State]],""),IF(Table1[[#This Row],[pickup_trump]],CONCATENATE(V27,IF(V17="","",","),Table1[[#This Row],[State]]),V27))</f>
        <v/>
      </c>
      <c r="W28" s="22">
        <f>Table1[[#This Row],[adjusted_electors_trump]]+Table1[[#This Row],[adjusted_electors_clinton]]-Table1[[#This Row],[electoral_votes]]</f>
        <v>0</v>
      </c>
      <c r="Y28"/>
    </row>
    <row r="29" spans="2:25">
      <c r="B29" s="4" t="s">
        <v>27</v>
      </c>
      <c r="C29" s="9">
        <v>6</v>
      </c>
      <c r="D29" s="18">
        <v>414788</v>
      </c>
      <c r="E29" s="18">
        <v>656009</v>
      </c>
      <c r="F29" s="18">
        <v>53648</v>
      </c>
      <c r="G29" s="18">
        <v>22698</v>
      </c>
      <c r="H29" s="18">
        <f>ROW()-ROW(Table1[[#Headers],[index]])</f>
        <v>17</v>
      </c>
      <c r="I29" s="15">
        <f>Table1[[#This Row],[orig_vote_trump]]-Table1[[#This Row],[orig_vote_clinton]]</f>
        <v>241221</v>
      </c>
      <c r="J29" s="15">
        <f>IF(Table1[[#This Row],[orig_vote_clinton]]&gt;Table1[[#This Row],[orig_vote_trump]],Table1[[#This Row],[electoral_votes]],0)</f>
        <v>0</v>
      </c>
      <c r="K29" s="15">
        <f>IF(Table1[[#This Row],[orig_vote_trump]]&gt;Table1[[#This Row],[orig_vote_clinton]],Table1[[#This Row],[electoral_votes]],0)</f>
        <v>6</v>
      </c>
      <c r="L29" s="14">
        <f>Table1[[#This Row],[orig_vote_clinton]]+Table1[[#This Row],[orig_vote_stein]]*pct_stein_to_clinton+Table1[[#This Row],[orig_vote_johnson]]*pct_johnson_to_clinton</f>
        <v>467405</v>
      </c>
      <c r="M29" s="14">
        <f>Table1[[#This Row],[orig_vote_trump]]+Table1[[#This Row],[orig_vote_stein]]*pct_stein_to_trump+Table1[[#This Row],[orig_vote_johnson]]*pct_johnson_to_trump</f>
        <v>679738</v>
      </c>
      <c r="N29" s="15">
        <f>Table1[[#This Row],[adjusted_vote_trump]]-Table1[[#This Row],[adjusted_vote_clinton]]</f>
        <v>212333</v>
      </c>
      <c r="O29" s="15">
        <f>IF(Table1[[#This Row],[adjusted_vote_clinton]]&gt;Table1[[#This Row],[adjusted_vote_trump]],0,Table1[[#This Row],[electoral_votes]])</f>
        <v>6</v>
      </c>
      <c r="P29" s="14">
        <f>IF(Table1[[#This Row],[adjusted_vote_clinton]]&gt;Table1[[#This Row],[adjusted_vote_trump]],Table1[[#This Row],[electoral_votes]],0)</f>
        <v>0</v>
      </c>
      <c r="Q29" s="15" t="str">
        <f>IF(Table1[[#This Row],[orig_spread]]&gt;0,"Trump","Clinton")</f>
        <v>Trump</v>
      </c>
      <c r="R29" s="15" t="str">
        <f>IF(Table1[[#This Row],[adjusted_spread]]&gt;0,"Trump","Clinton")</f>
        <v>Trump</v>
      </c>
      <c r="S29" s="14" t="b">
        <f>AND(Table1[[#This Row],[orig_outcome]]="Trump",Table1[[#This Row],[adjusted_outcome]]="Clinton")</f>
        <v>0</v>
      </c>
      <c r="T29" s="14" t="b">
        <f>AND(Table1[[#This Row],[orig_outcome]]="Clinton",Table1[[#This Row],[adjusted_outcome]]="Trump")</f>
        <v>0</v>
      </c>
      <c r="U29" s="14" t="str">
        <f>IF(Table1[[#This Row],[index]]=1,IF(Table1[[#This Row],[pickup_clinton]],Table1[[#This Row],[State]],""),IF(Table1[[#This Row],[pickup_clinton]],CONCATENATE(U28,IF(U28="","",","),Table1[[#This Row],[State]]),U28))</f>
        <v/>
      </c>
      <c r="V29" s="14" t="str">
        <f>IF(Table1[[#This Row],[index]]=1,IF(Table1[[#This Row],[pickup_trump]],Table1[[#This Row],[State]],""),IF(Table1[[#This Row],[pickup_trump]],CONCATENATE(V28,IF(V18="","",","),Table1[[#This Row],[State]]),V28))</f>
        <v/>
      </c>
      <c r="W29" s="22">
        <f>Table1[[#This Row],[adjusted_electors_trump]]+Table1[[#This Row],[adjusted_electors_clinton]]-Table1[[#This Row],[electoral_votes]]</f>
        <v>0</v>
      </c>
      <c r="Y29"/>
    </row>
    <row r="30" spans="2:25">
      <c r="B30" s="4" t="s">
        <v>28</v>
      </c>
      <c r="C30" s="9">
        <v>8</v>
      </c>
      <c r="D30" s="18">
        <v>628834</v>
      </c>
      <c r="E30" s="18">
        <v>1202942</v>
      </c>
      <c r="F30" s="18">
        <v>53749</v>
      </c>
      <c r="G30" s="18">
        <v>13913</v>
      </c>
      <c r="H30" s="18">
        <f>ROW()-ROW(Table1[[#Headers],[index]])</f>
        <v>18</v>
      </c>
      <c r="I30" s="15">
        <f>Table1[[#This Row],[orig_vote_trump]]-Table1[[#This Row],[orig_vote_clinton]]</f>
        <v>574108</v>
      </c>
      <c r="J30" s="15">
        <f>IF(Table1[[#This Row],[orig_vote_clinton]]&gt;Table1[[#This Row],[orig_vote_trump]],Table1[[#This Row],[electoral_votes]],0)</f>
        <v>0</v>
      </c>
      <c r="K30" s="15">
        <f>IF(Table1[[#This Row],[orig_vote_trump]]&gt;Table1[[#This Row],[orig_vote_clinton]],Table1[[#This Row],[electoral_votes]],0)</f>
        <v>8</v>
      </c>
      <c r="L30" s="14">
        <f>Table1[[#This Row],[orig_vote_clinton]]+Table1[[#This Row],[orig_vote_stein]]*pct_stein_to_clinton+Table1[[#This Row],[orig_vote_johnson]]*pct_johnson_to_clinton</f>
        <v>673605.1</v>
      </c>
      <c r="M30" s="14">
        <f>Table1[[#This Row],[orig_vote_trump]]+Table1[[#This Row],[orig_vote_stein]]*pct_stein_to_trump+Table1[[#This Row],[orig_vote_johnson]]*pct_johnson_to_trump</f>
        <v>1225832.9000000001</v>
      </c>
      <c r="N30" s="15">
        <f>Table1[[#This Row],[adjusted_vote_trump]]-Table1[[#This Row],[adjusted_vote_clinton]]</f>
        <v>552227.80000000016</v>
      </c>
      <c r="O30" s="15">
        <f>IF(Table1[[#This Row],[adjusted_vote_clinton]]&gt;Table1[[#This Row],[adjusted_vote_trump]],0,Table1[[#This Row],[electoral_votes]])</f>
        <v>8</v>
      </c>
      <c r="P30" s="14">
        <f>IF(Table1[[#This Row],[adjusted_vote_clinton]]&gt;Table1[[#This Row],[adjusted_vote_trump]],Table1[[#This Row],[electoral_votes]],0)</f>
        <v>0</v>
      </c>
      <c r="Q30" s="15" t="str">
        <f>IF(Table1[[#This Row],[orig_spread]]&gt;0,"Trump","Clinton")</f>
        <v>Trump</v>
      </c>
      <c r="R30" s="15" t="str">
        <f>IF(Table1[[#This Row],[adjusted_spread]]&gt;0,"Trump","Clinton")</f>
        <v>Trump</v>
      </c>
      <c r="S30" s="14" t="b">
        <f>AND(Table1[[#This Row],[orig_outcome]]="Trump",Table1[[#This Row],[adjusted_outcome]]="Clinton")</f>
        <v>0</v>
      </c>
      <c r="T30" s="14" t="b">
        <f>AND(Table1[[#This Row],[orig_outcome]]="Clinton",Table1[[#This Row],[adjusted_outcome]]="Trump")</f>
        <v>0</v>
      </c>
      <c r="U30" s="14" t="str">
        <f>IF(Table1[[#This Row],[index]]=1,IF(Table1[[#This Row],[pickup_clinton]],Table1[[#This Row],[State]],""),IF(Table1[[#This Row],[pickup_clinton]],CONCATENATE(U29,IF(U29="","",","),Table1[[#This Row],[State]]),U29))</f>
        <v/>
      </c>
      <c r="V30" s="14" t="str">
        <f>IF(Table1[[#This Row],[index]]=1,IF(Table1[[#This Row],[pickup_trump]],Table1[[#This Row],[State]],""),IF(Table1[[#This Row],[pickup_trump]],CONCATENATE(V29,IF(V19="","",","),Table1[[#This Row],[State]]),V29))</f>
        <v/>
      </c>
      <c r="W30" s="22">
        <f>Table1[[#This Row],[adjusted_electors_trump]]+Table1[[#This Row],[adjusted_electors_clinton]]-Table1[[#This Row],[electoral_votes]]</f>
        <v>0</v>
      </c>
      <c r="Y30"/>
    </row>
    <row r="31" spans="2:25">
      <c r="B31" s="4" t="s">
        <v>29</v>
      </c>
      <c r="C31" s="9">
        <v>8</v>
      </c>
      <c r="D31" s="18">
        <v>779535</v>
      </c>
      <c r="E31" s="18">
        <v>1178004</v>
      </c>
      <c r="F31" s="18">
        <v>37950</v>
      </c>
      <c r="G31" s="18">
        <v>14018</v>
      </c>
      <c r="H31" s="18">
        <f>ROW()-ROW(Table1[[#Headers],[index]])</f>
        <v>19</v>
      </c>
      <c r="I31" s="15">
        <f>Table1[[#This Row],[orig_vote_trump]]-Table1[[#This Row],[orig_vote_clinton]]</f>
        <v>398469</v>
      </c>
      <c r="J31" s="15">
        <f>IF(Table1[[#This Row],[orig_vote_clinton]]&gt;Table1[[#This Row],[orig_vote_trump]],Table1[[#This Row],[electoral_votes]],0)</f>
        <v>0</v>
      </c>
      <c r="K31" s="15">
        <f>IF(Table1[[#This Row],[orig_vote_trump]]&gt;Table1[[#This Row],[orig_vote_clinton]],Table1[[#This Row],[electoral_votes]],0)</f>
        <v>8</v>
      </c>
      <c r="L31" s="14">
        <f>Table1[[#This Row],[orig_vote_clinton]]+Table1[[#This Row],[orig_vote_stein]]*pct_stein_to_clinton+Table1[[#This Row],[orig_vote_johnson]]*pct_johnson_to_clinton</f>
        <v>814921.2</v>
      </c>
      <c r="M31" s="14">
        <f>Table1[[#This Row],[orig_vote_trump]]+Table1[[#This Row],[orig_vote_stein]]*pct_stein_to_trump+Table1[[#This Row],[orig_vote_johnson]]*pct_johnson_to_trump</f>
        <v>1194585.8</v>
      </c>
      <c r="N31" s="15">
        <f>Table1[[#This Row],[adjusted_vote_trump]]-Table1[[#This Row],[adjusted_vote_clinton]]</f>
        <v>379664.60000000009</v>
      </c>
      <c r="O31" s="15">
        <f>IF(Table1[[#This Row],[adjusted_vote_clinton]]&gt;Table1[[#This Row],[adjusted_vote_trump]],0,Table1[[#This Row],[electoral_votes]])</f>
        <v>8</v>
      </c>
      <c r="P31" s="14">
        <f>IF(Table1[[#This Row],[adjusted_vote_clinton]]&gt;Table1[[#This Row],[adjusted_vote_trump]],Table1[[#This Row],[electoral_votes]],0)</f>
        <v>0</v>
      </c>
      <c r="Q31" s="15" t="str">
        <f>IF(Table1[[#This Row],[orig_spread]]&gt;0,"Trump","Clinton")</f>
        <v>Trump</v>
      </c>
      <c r="R31" s="15" t="str">
        <f>IF(Table1[[#This Row],[adjusted_spread]]&gt;0,"Trump","Clinton")</f>
        <v>Trump</v>
      </c>
      <c r="S31" s="14" t="b">
        <f>AND(Table1[[#This Row],[orig_outcome]]="Trump",Table1[[#This Row],[adjusted_outcome]]="Clinton")</f>
        <v>0</v>
      </c>
      <c r="T31" s="14" t="b">
        <f>AND(Table1[[#This Row],[orig_outcome]]="Clinton",Table1[[#This Row],[adjusted_outcome]]="Trump")</f>
        <v>0</v>
      </c>
      <c r="U31" s="14" t="str">
        <f>IF(Table1[[#This Row],[index]]=1,IF(Table1[[#This Row],[pickup_clinton]],Table1[[#This Row],[State]],""),IF(Table1[[#This Row],[pickup_clinton]],CONCATENATE(U30,IF(U30="","",","),Table1[[#This Row],[State]]),U30))</f>
        <v/>
      </c>
      <c r="V31" s="14" t="str">
        <f>IF(Table1[[#This Row],[index]]=1,IF(Table1[[#This Row],[pickup_trump]],Table1[[#This Row],[State]],""),IF(Table1[[#This Row],[pickup_trump]],CONCATENATE(V30,IF(V20="","",","),Table1[[#This Row],[State]]),V30))</f>
        <v/>
      </c>
      <c r="W31" s="22">
        <f>Table1[[#This Row],[adjusted_electors_trump]]+Table1[[#This Row],[adjusted_electors_clinton]]-Table1[[#This Row],[electoral_votes]]</f>
        <v>0</v>
      </c>
      <c r="Y31"/>
    </row>
    <row r="32" spans="2:25">
      <c r="B32" s="4" t="s">
        <v>30</v>
      </c>
      <c r="C32" s="9">
        <v>5</v>
      </c>
      <c r="D32" s="18">
        <v>352485</v>
      </c>
      <c r="E32" s="18">
        <v>332591</v>
      </c>
      <c r="F32" s="18">
        <v>37578</v>
      </c>
      <c r="G32" s="18">
        <v>14006</v>
      </c>
      <c r="H32" s="18">
        <f>ROW()-ROW(Table1[[#Headers],[index]])</f>
        <v>20</v>
      </c>
      <c r="I32" s="15">
        <f>Table1[[#This Row],[orig_vote_trump]]-Table1[[#This Row],[orig_vote_clinton]]</f>
        <v>-19894</v>
      </c>
      <c r="J32" s="15">
        <f>IF(Table1[[#This Row],[orig_vote_clinton]]&gt;Table1[[#This Row],[orig_vote_trump]],Table1[[#This Row],[electoral_votes]],0)</f>
        <v>5</v>
      </c>
      <c r="K32" s="15">
        <f>IF(Table1[[#This Row],[orig_vote_trump]]&gt;Table1[[#This Row],[orig_vote_clinton]],Table1[[#This Row],[electoral_votes]],0)</f>
        <v>0</v>
      </c>
      <c r="L32" s="14">
        <f>Table1[[#This Row],[orig_vote_clinton]]+Table1[[#This Row],[orig_vote_stein]]*pct_stein_to_clinton+Table1[[#This Row],[orig_vote_johnson]]*pct_johnson_to_clinton</f>
        <v>387637.2</v>
      </c>
      <c r="M32" s="14">
        <f>Table1[[#This Row],[orig_vote_trump]]+Table1[[#This Row],[orig_vote_stein]]*pct_stein_to_trump+Table1[[#This Row],[orig_vote_johnson]]*pct_johnson_to_trump</f>
        <v>349022.8</v>
      </c>
      <c r="N32" s="15">
        <f>Table1[[#This Row],[adjusted_vote_trump]]-Table1[[#This Row],[adjusted_vote_clinton]]</f>
        <v>-38614.400000000023</v>
      </c>
      <c r="O32" s="15">
        <f>IF(Table1[[#This Row],[adjusted_vote_clinton]]&gt;Table1[[#This Row],[adjusted_vote_trump]],0,Table1[[#This Row],[electoral_votes]])</f>
        <v>0</v>
      </c>
      <c r="P32" s="14">
        <f>IF(Table1[[#This Row],[adjusted_vote_clinton]]&gt;Table1[[#This Row],[adjusted_vote_trump]],Table1[[#This Row],[electoral_votes]],0)</f>
        <v>5</v>
      </c>
      <c r="Q32" s="15" t="str">
        <f>IF(Table1[[#This Row],[orig_spread]]&gt;0,"Trump","Clinton")</f>
        <v>Clinton</v>
      </c>
      <c r="R32" s="15" t="str">
        <f>IF(Table1[[#This Row],[adjusted_spread]]&gt;0,"Trump","Clinton")</f>
        <v>Clinton</v>
      </c>
      <c r="S32" s="14" t="b">
        <f>AND(Table1[[#This Row],[orig_outcome]]="Trump",Table1[[#This Row],[adjusted_outcome]]="Clinton")</f>
        <v>0</v>
      </c>
      <c r="T32" s="14" t="b">
        <f>AND(Table1[[#This Row],[orig_outcome]]="Clinton",Table1[[#This Row],[adjusted_outcome]]="Trump")</f>
        <v>0</v>
      </c>
      <c r="U32" s="14" t="str">
        <f>IF(Table1[[#This Row],[index]]=1,IF(Table1[[#This Row],[pickup_clinton]],Table1[[#This Row],[State]],""),IF(Table1[[#This Row],[pickup_clinton]],CONCATENATE(U31,IF(U31="","",","),Table1[[#This Row],[State]]),U31))</f>
        <v/>
      </c>
      <c r="V32" s="14" t="str">
        <f>IF(Table1[[#This Row],[index]]=1,IF(Table1[[#This Row],[pickup_trump]],Table1[[#This Row],[State]],""),IF(Table1[[#This Row],[pickup_trump]],CONCATENATE(V31,IF(V21="","",","),Table1[[#This Row],[State]]),V31))</f>
        <v/>
      </c>
      <c r="W32" s="22">
        <f>Table1[[#This Row],[adjusted_electors_trump]]+Table1[[#This Row],[adjusted_electors_clinton]]-Table1[[#This Row],[electoral_votes]]</f>
        <v>0</v>
      </c>
      <c r="Y32"/>
    </row>
    <row r="33" spans="2:25">
      <c r="B33" s="4" t="s">
        <v>31</v>
      </c>
      <c r="C33" s="9">
        <v>10</v>
      </c>
      <c r="D33" s="18">
        <v>1497951</v>
      </c>
      <c r="E33" s="18">
        <v>873646</v>
      </c>
      <c r="F33" s="18">
        <v>71107</v>
      </c>
      <c r="G33" s="18">
        <v>31839</v>
      </c>
      <c r="H33" s="18">
        <f>ROW()-ROW(Table1[[#Headers],[index]])</f>
        <v>21</v>
      </c>
      <c r="I33" s="15">
        <f>Table1[[#This Row],[orig_vote_trump]]-Table1[[#This Row],[orig_vote_clinton]]</f>
        <v>-624305</v>
      </c>
      <c r="J33" s="15">
        <f>IF(Table1[[#This Row],[orig_vote_clinton]]&gt;Table1[[#This Row],[orig_vote_trump]],Table1[[#This Row],[electoral_votes]],0)</f>
        <v>10</v>
      </c>
      <c r="K33" s="15">
        <f>IF(Table1[[#This Row],[orig_vote_trump]]&gt;Table1[[#This Row],[orig_vote_clinton]],Table1[[#This Row],[electoral_votes]],0)</f>
        <v>0</v>
      </c>
      <c r="L33" s="14">
        <f>Table1[[#This Row],[orig_vote_clinton]]+Table1[[#This Row],[orig_vote_stein]]*pct_stein_to_clinton+Table1[[#This Row],[orig_vote_johnson]]*pct_johnson_to_clinton</f>
        <v>1569270.3</v>
      </c>
      <c r="M33" s="14">
        <f>Table1[[#This Row],[orig_vote_trump]]+Table1[[#This Row],[orig_vote_stein]]*pct_stein_to_trump+Table1[[#This Row],[orig_vote_johnson]]*pct_johnson_to_trump</f>
        <v>905272.70000000007</v>
      </c>
      <c r="N33" s="15">
        <f>Table1[[#This Row],[adjusted_vote_trump]]-Table1[[#This Row],[adjusted_vote_clinton]]</f>
        <v>-663997.6</v>
      </c>
      <c r="O33" s="15">
        <f>IF(Table1[[#This Row],[adjusted_vote_clinton]]&gt;Table1[[#This Row],[adjusted_vote_trump]],0,Table1[[#This Row],[electoral_votes]])</f>
        <v>0</v>
      </c>
      <c r="P33" s="14">
        <f>IF(Table1[[#This Row],[adjusted_vote_clinton]]&gt;Table1[[#This Row],[adjusted_vote_trump]],Table1[[#This Row],[electoral_votes]],0)</f>
        <v>10</v>
      </c>
      <c r="Q33" s="15" t="str">
        <f>IF(Table1[[#This Row],[orig_spread]]&gt;0,"Trump","Clinton")</f>
        <v>Clinton</v>
      </c>
      <c r="R33" s="15" t="str">
        <f>IF(Table1[[#This Row],[adjusted_spread]]&gt;0,"Trump","Clinton")</f>
        <v>Clinton</v>
      </c>
      <c r="S33" s="14" t="b">
        <f>AND(Table1[[#This Row],[orig_outcome]]="Trump",Table1[[#This Row],[adjusted_outcome]]="Clinton")</f>
        <v>0</v>
      </c>
      <c r="T33" s="14" t="b">
        <f>AND(Table1[[#This Row],[orig_outcome]]="Clinton",Table1[[#This Row],[adjusted_outcome]]="Trump")</f>
        <v>0</v>
      </c>
      <c r="U33" s="14" t="str">
        <f>IF(Table1[[#This Row],[index]]=1,IF(Table1[[#This Row],[pickup_clinton]],Table1[[#This Row],[State]],""),IF(Table1[[#This Row],[pickup_clinton]],CONCATENATE(U32,IF(U32="","",","),Table1[[#This Row],[State]]),U32))</f>
        <v/>
      </c>
      <c r="V33" s="14" t="str">
        <f>IF(Table1[[#This Row],[index]]=1,IF(Table1[[#This Row],[pickup_trump]],Table1[[#This Row],[State]],""),IF(Table1[[#This Row],[pickup_trump]],CONCATENATE(V32,IF(V22="","",","),Table1[[#This Row],[State]]),V32))</f>
        <v/>
      </c>
      <c r="W33" s="22">
        <f>Table1[[#This Row],[adjusted_electors_trump]]+Table1[[#This Row],[adjusted_electors_clinton]]-Table1[[#This Row],[electoral_votes]]</f>
        <v>0</v>
      </c>
      <c r="Y33"/>
    </row>
    <row r="34" spans="2:25">
      <c r="B34" s="4" t="s">
        <v>32</v>
      </c>
      <c r="C34" s="9">
        <v>10</v>
      </c>
      <c r="D34" s="18">
        <v>1497951</v>
      </c>
      <c r="E34" s="18">
        <v>873646</v>
      </c>
      <c r="F34" s="18">
        <v>71107</v>
      </c>
      <c r="G34" s="18">
        <v>31839</v>
      </c>
      <c r="H34" s="18">
        <f>ROW()-ROW(Table1[[#Headers],[index]])</f>
        <v>22</v>
      </c>
      <c r="I34" s="15">
        <f>Table1[[#This Row],[orig_vote_trump]]-Table1[[#This Row],[orig_vote_clinton]]</f>
        <v>-624305</v>
      </c>
      <c r="J34" s="15">
        <f>IF(Table1[[#This Row],[orig_vote_clinton]]&gt;Table1[[#This Row],[orig_vote_trump]],Table1[[#This Row],[electoral_votes]],0)</f>
        <v>10</v>
      </c>
      <c r="K34" s="15">
        <f>IF(Table1[[#This Row],[orig_vote_trump]]&gt;Table1[[#This Row],[orig_vote_clinton]],Table1[[#This Row],[electoral_votes]],0)</f>
        <v>0</v>
      </c>
      <c r="L34" s="14">
        <f>Table1[[#This Row],[orig_vote_clinton]]+Table1[[#This Row],[orig_vote_stein]]*pct_stein_to_clinton+Table1[[#This Row],[orig_vote_johnson]]*pct_johnson_to_clinton</f>
        <v>1569270.3</v>
      </c>
      <c r="M34" s="14">
        <f>Table1[[#This Row],[orig_vote_trump]]+Table1[[#This Row],[orig_vote_stein]]*pct_stein_to_trump+Table1[[#This Row],[orig_vote_johnson]]*pct_johnson_to_trump</f>
        <v>905272.70000000007</v>
      </c>
      <c r="N34" s="15">
        <f>Table1[[#This Row],[adjusted_vote_trump]]-Table1[[#This Row],[adjusted_vote_clinton]]</f>
        <v>-663997.6</v>
      </c>
      <c r="O34" s="15">
        <f>IF(Table1[[#This Row],[adjusted_vote_clinton]]&gt;Table1[[#This Row],[adjusted_vote_trump]],0,Table1[[#This Row],[electoral_votes]])</f>
        <v>0</v>
      </c>
      <c r="P34" s="14">
        <f>IF(Table1[[#This Row],[adjusted_vote_clinton]]&gt;Table1[[#This Row],[adjusted_vote_trump]],Table1[[#This Row],[electoral_votes]],0)</f>
        <v>10</v>
      </c>
      <c r="Q34" s="15" t="str">
        <f>IF(Table1[[#This Row],[orig_spread]]&gt;0,"Trump","Clinton")</f>
        <v>Clinton</v>
      </c>
      <c r="R34" s="15" t="str">
        <f>IF(Table1[[#This Row],[adjusted_spread]]&gt;0,"Trump","Clinton")</f>
        <v>Clinton</v>
      </c>
      <c r="S34" s="14" t="b">
        <f>AND(Table1[[#This Row],[orig_outcome]]="Trump",Table1[[#This Row],[adjusted_outcome]]="Clinton")</f>
        <v>0</v>
      </c>
      <c r="T34" s="14" t="b">
        <f>AND(Table1[[#This Row],[orig_outcome]]="Clinton",Table1[[#This Row],[adjusted_outcome]]="Trump")</f>
        <v>0</v>
      </c>
      <c r="U34" s="14" t="str">
        <f>IF(Table1[[#This Row],[index]]=1,IF(Table1[[#This Row],[pickup_clinton]],Table1[[#This Row],[State]],""),IF(Table1[[#This Row],[pickup_clinton]],CONCATENATE(U33,IF(U33="","",","),Table1[[#This Row],[State]]),U33))</f>
        <v/>
      </c>
      <c r="V34" s="14" t="str">
        <f>IF(Table1[[#This Row],[index]]=1,IF(Table1[[#This Row],[pickup_trump]],Table1[[#This Row],[State]],""),IF(Table1[[#This Row],[pickup_trump]],CONCATENATE(V33,IF(V23="","",","),Table1[[#This Row],[State]]),V33))</f>
        <v/>
      </c>
      <c r="W34" s="22">
        <f>Table1[[#This Row],[adjusted_electors_trump]]+Table1[[#This Row],[adjusted_electors_clinton]]-Table1[[#This Row],[electoral_votes]]</f>
        <v>0</v>
      </c>
      <c r="Y34"/>
    </row>
    <row r="35" spans="2:25">
      <c r="B35" s="4" t="s">
        <v>1</v>
      </c>
      <c r="C35" s="5">
        <v>16</v>
      </c>
      <c r="D35" s="6">
        <v>2267373</v>
      </c>
      <c r="E35" s="6">
        <v>2279210</v>
      </c>
      <c r="F35" s="6">
        <v>173021</v>
      </c>
      <c r="G35" s="6">
        <v>50686</v>
      </c>
      <c r="H35" s="6">
        <f>ROW()-ROW(Table1[[#Headers],[index]])</f>
        <v>23</v>
      </c>
      <c r="I35" s="15">
        <f>Table1[[#This Row],[orig_vote_trump]]-Table1[[#This Row],[orig_vote_clinton]]</f>
        <v>11837</v>
      </c>
      <c r="J35" s="15">
        <f>IF(Table1[[#This Row],[orig_vote_clinton]]&gt;Table1[[#This Row],[orig_vote_trump]],Table1[[#This Row],[electoral_votes]],0)</f>
        <v>0</v>
      </c>
      <c r="K35" s="15">
        <f>IF(Table1[[#This Row],[orig_vote_trump]]&gt;Table1[[#This Row],[orig_vote_clinton]],Table1[[#This Row],[electoral_votes]],0)</f>
        <v>16</v>
      </c>
      <c r="L35" s="14">
        <f>Table1[[#This Row],[orig_vote_clinton]]+Table1[[#This Row],[orig_vote_stein]]*pct_stein_to_clinton+Table1[[#This Row],[orig_vote_johnson]]*pct_johnson_to_clinton</f>
        <v>2416803</v>
      </c>
      <c r="M35" s="14">
        <f>Table1[[#This Row],[orig_vote_trump]]+Table1[[#This Row],[orig_vote_stein]]*pct_stein_to_trump+Table1[[#This Row],[orig_vote_johnson]]*pct_johnson_to_trump</f>
        <v>2353487</v>
      </c>
      <c r="N35" s="15">
        <f>Table1[[#This Row],[adjusted_vote_trump]]-Table1[[#This Row],[adjusted_vote_clinton]]</f>
        <v>-63316</v>
      </c>
      <c r="O35" s="15">
        <f>IF(Table1[[#This Row],[adjusted_vote_clinton]]&gt;Table1[[#This Row],[adjusted_vote_trump]],0,Table1[[#This Row],[electoral_votes]])</f>
        <v>0</v>
      </c>
      <c r="P35" s="14">
        <f>IF(Table1[[#This Row],[adjusted_vote_clinton]]&gt;Table1[[#This Row],[adjusted_vote_trump]],Table1[[#This Row],[electoral_votes]],0)</f>
        <v>16</v>
      </c>
      <c r="Q35" s="15" t="str">
        <f>IF(Table1[[#This Row],[orig_spread]]&gt;0,"Trump","Clinton")</f>
        <v>Trump</v>
      </c>
      <c r="R35" s="15" t="str">
        <f>IF(Table1[[#This Row],[adjusted_spread]]&gt;0,"Trump","Clinton")</f>
        <v>Clinton</v>
      </c>
      <c r="S35" s="14" t="b">
        <f>AND(Table1[[#This Row],[orig_outcome]]="Trump",Table1[[#This Row],[adjusted_outcome]]="Clinton")</f>
        <v>1</v>
      </c>
      <c r="T35" s="14" t="b">
        <f>AND(Table1[[#This Row],[orig_outcome]]="Clinton",Table1[[#This Row],[adjusted_outcome]]="Trump")</f>
        <v>0</v>
      </c>
      <c r="U35" s="14" t="str">
        <f>IF(Table1[[#This Row],[index]]=1,IF(Table1[[#This Row],[pickup_clinton]],Table1[[#This Row],[State]],""),IF(Table1[[#This Row],[pickup_clinton]],CONCATENATE(U34,IF(U34="","",","),Table1[[#This Row],[State]]),U34))</f>
        <v>Michigan</v>
      </c>
      <c r="V35" s="14" t="str">
        <f>IF(Table1[[#This Row],[index]]=1,IF(Table1[[#This Row],[pickup_trump]],Table1[[#This Row],[State]],""),IF(Table1[[#This Row],[pickup_trump]],CONCATENATE(V34,IF(V24="","",","),Table1[[#This Row],[State]]),V34))</f>
        <v/>
      </c>
      <c r="W35" s="22">
        <f>Table1[[#This Row],[adjusted_electors_trump]]+Table1[[#This Row],[adjusted_electors_clinton]]-Table1[[#This Row],[electoral_votes]]</f>
        <v>0</v>
      </c>
      <c r="Y35"/>
    </row>
    <row r="36" spans="2:25">
      <c r="B36" s="4" t="s">
        <v>33</v>
      </c>
      <c r="C36" s="9">
        <v>10</v>
      </c>
      <c r="D36" s="18">
        <v>1364067</v>
      </c>
      <c r="E36" s="18">
        <v>1321120</v>
      </c>
      <c r="F36" s="18">
        <v>112778</v>
      </c>
      <c r="G36" s="18">
        <v>36921</v>
      </c>
      <c r="H36" s="18">
        <f>ROW()-ROW(Table1[[#Headers],[index]])</f>
        <v>24</v>
      </c>
      <c r="I36" s="15">
        <f>Table1[[#This Row],[orig_vote_trump]]-Table1[[#This Row],[orig_vote_clinton]]</f>
        <v>-42947</v>
      </c>
      <c r="J36" s="15">
        <f>IF(Table1[[#This Row],[orig_vote_clinton]]&gt;Table1[[#This Row],[orig_vote_trump]],Table1[[#This Row],[electoral_votes]],0)</f>
        <v>10</v>
      </c>
      <c r="K36" s="15">
        <f>IF(Table1[[#This Row],[orig_vote_trump]]&gt;Table1[[#This Row],[orig_vote_clinton]],Table1[[#This Row],[electoral_votes]],0)</f>
        <v>0</v>
      </c>
      <c r="L36" s="14">
        <f>Table1[[#This Row],[orig_vote_clinton]]+Table1[[#This Row],[orig_vote_stein]]*pct_stein_to_clinton+Table1[[#This Row],[orig_vote_johnson]]*pct_johnson_to_clinton</f>
        <v>1464962.7</v>
      </c>
      <c r="M36" s="14">
        <f>Table1[[#This Row],[orig_vote_trump]]+Table1[[#This Row],[orig_vote_stein]]*pct_stein_to_trump+Table1[[#This Row],[orig_vote_johnson]]*pct_johnson_to_trump</f>
        <v>1369923.3</v>
      </c>
      <c r="N36" s="15">
        <f>Table1[[#This Row],[adjusted_vote_trump]]-Table1[[#This Row],[adjusted_vote_clinton]]</f>
        <v>-95039.399999999907</v>
      </c>
      <c r="O36" s="15">
        <f>IF(Table1[[#This Row],[adjusted_vote_clinton]]&gt;Table1[[#This Row],[adjusted_vote_trump]],0,Table1[[#This Row],[electoral_votes]])</f>
        <v>0</v>
      </c>
      <c r="P36" s="14">
        <f>IF(Table1[[#This Row],[adjusted_vote_clinton]]&gt;Table1[[#This Row],[adjusted_vote_trump]],Table1[[#This Row],[electoral_votes]],0)</f>
        <v>10</v>
      </c>
      <c r="Q36" s="15" t="str">
        <f>IF(Table1[[#This Row],[orig_spread]]&gt;0,"Trump","Clinton")</f>
        <v>Clinton</v>
      </c>
      <c r="R36" s="15" t="str">
        <f>IF(Table1[[#This Row],[adjusted_spread]]&gt;0,"Trump","Clinton")</f>
        <v>Clinton</v>
      </c>
      <c r="S36" s="14" t="b">
        <f>AND(Table1[[#This Row],[orig_outcome]]="Trump",Table1[[#This Row],[adjusted_outcome]]="Clinton")</f>
        <v>0</v>
      </c>
      <c r="T36" s="14" t="b">
        <f>AND(Table1[[#This Row],[orig_outcome]]="Clinton",Table1[[#This Row],[adjusted_outcome]]="Trump")</f>
        <v>0</v>
      </c>
      <c r="U36" s="14" t="str">
        <f>IF(Table1[[#This Row],[index]]=1,IF(Table1[[#This Row],[pickup_clinton]],Table1[[#This Row],[State]],""),IF(Table1[[#This Row],[pickup_clinton]],CONCATENATE(U35,IF(U35="","",","),Table1[[#This Row],[State]]),U35))</f>
        <v>Michigan</v>
      </c>
      <c r="V36" s="14" t="str">
        <f>IF(Table1[[#This Row],[index]]=1,IF(Table1[[#This Row],[pickup_trump]],Table1[[#This Row],[State]],""),IF(Table1[[#This Row],[pickup_trump]],CONCATENATE(V35,IF(V25="","",","),Table1[[#This Row],[State]]),V35))</f>
        <v/>
      </c>
      <c r="W36" s="22">
        <f>Table1[[#This Row],[adjusted_electors_trump]]+Table1[[#This Row],[adjusted_electors_clinton]]-Table1[[#This Row],[electoral_votes]]</f>
        <v>0</v>
      </c>
      <c r="Y36"/>
    </row>
    <row r="37" spans="2:25">
      <c r="B37" s="4" t="s">
        <v>34</v>
      </c>
      <c r="C37" s="9">
        <v>6</v>
      </c>
      <c r="D37" s="18">
        <v>462250</v>
      </c>
      <c r="E37" s="18">
        <v>677782</v>
      </c>
      <c r="F37" s="18">
        <v>13817</v>
      </c>
      <c r="G37" s="18">
        <v>3595</v>
      </c>
      <c r="H37" s="18">
        <f>ROW()-ROW(Table1[[#Headers],[index]])</f>
        <v>25</v>
      </c>
      <c r="I37" s="15">
        <f>Table1[[#This Row],[orig_vote_trump]]-Table1[[#This Row],[orig_vote_clinton]]</f>
        <v>215532</v>
      </c>
      <c r="J37" s="15">
        <f>IF(Table1[[#This Row],[orig_vote_clinton]]&gt;Table1[[#This Row],[orig_vote_trump]],Table1[[#This Row],[electoral_votes]],0)</f>
        <v>0</v>
      </c>
      <c r="K37" s="15">
        <f>IF(Table1[[#This Row],[orig_vote_trump]]&gt;Table1[[#This Row],[orig_vote_clinton]],Table1[[#This Row],[electoral_votes]],0)</f>
        <v>6</v>
      </c>
      <c r="L37" s="14">
        <f>Table1[[#This Row],[orig_vote_clinton]]+Table1[[#This Row],[orig_vote_stein]]*pct_stein_to_clinton+Table1[[#This Row],[orig_vote_johnson]]*pct_johnson_to_clinton</f>
        <v>473775.7</v>
      </c>
      <c r="M37" s="14">
        <f>Table1[[#This Row],[orig_vote_trump]]+Table1[[#This Row],[orig_vote_stein]]*pct_stein_to_trump+Table1[[#This Row],[orig_vote_johnson]]*pct_johnson_to_trump</f>
        <v>683668.3</v>
      </c>
      <c r="N37" s="15">
        <f>Table1[[#This Row],[adjusted_vote_trump]]-Table1[[#This Row],[adjusted_vote_clinton]]</f>
        <v>209892.60000000003</v>
      </c>
      <c r="O37" s="15">
        <f>IF(Table1[[#This Row],[adjusted_vote_clinton]]&gt;Table1[[#This Row],[adjusted_vote_trump]],0,Table1[[#This Row],[electoral_votes]])</f>
        <v>6</v>
      </c>
      <c r="P37" s="14">
        <f>IF(Table1[[#This Row],[adjusted_vote_clinton]]&gt;Table1[[#This Row],[adjusted_vote_trump]],Table1[[#This Row],[electoral_votes]],0)</f>
        <v>0</v>
      </c>
      <c r="Q37" s="15" t="str">
        <f>IF(Table1[[#This Row],[orig_spread]]&gt;0,"Trump","Clinton")</f>
        <v>Trump</v>
      </c>
      <c r="R37" s="15" t="str">
        <f>IF(Table1[[#This Row],[adjusted_spread]]&gt;0,"Trump","Clinton")</f>
        <v>Trump</v>
      </c>
      <c r="S37" s="14" t="b">
        <f>AND(Table1[[#This Row],[orig_outcome]]="Trump",Table1[[#This Row],[adjusted_outcome]]="Clinton")</f>
        <v>0</v>
      </c>
      <c r="T37" s="14" t="b">
        <f>AND(Table1[[#This Row],[orig_outcome]]="Clinton",Table1[[#This Row],[adjusted_outcome]]="Trump")</f>
        <v>0</v>
      </c>
      <c r="U37" s="14" t="str">
        <f>IF(Table1[[#This Row],[index]]=1,IF(Table1[[#This Row],[pickup_clinton]],Table1[[#This Row],[State]],""),IF(Table1[[#This Row],[pickup_clinton]],CONCATENATE(U36,IF(U36="","",","),Table1[[#This Row],[State]]),U36))</f>
        <v>Michigan</v>
      </c>
      <c r="V37" s="14" t="str">
        <f>IF(Table1[[#This Row],[index]]=1,IF(Table1[[#This Row],[pickup_trump]],Table1[[#This Row],[State]],""),IF(Table1[[#This Row],[pickup_trump]],CONCATENATE(V36,IF(V26="","",","),Table1[[#This Row],[State]]),V36))</f>
        <v/>
      </c>
      <c r="W37" s="22">
        <f>Table1[[#This Row],[adjusted_electors_trump]]+Table1[[#This Row],[adjusted_electors_clinton]]-Table1[[#This Row],[electoral_votes]]</f>
        <v>0</v>
      </c>
      <c r="Y37"/>
    </row>
    <row r="38" spans="2:25">
      <c r="B38" s="4" t="s">
        <v>35</v>
      </c>
      <c r="C38" s="9">
        <v>10</v>
      </c>
      <c r="D38" s="18">
        <v>1054889</v>
      </c>
      <c r="E38" s="18">
        <v>1585753</v>
      </c>
      <c r="F38" s="18">
        <v>96404</v>
      </c>
      <c r="G38" s="18">
        <v>25086</v>
      </c>
      <c r="H38" s="18">
        <f>ROW()-ROW(Table1[[#Headers],[index]])</f>
        <v>26</v>
      </c>
      <c r="I38" s="15">
        <f>Table1[[#This Row],[orig_vote_trump]]-Table1[[#This Row],[orig_vote_clinton]]</f>
        <v>530864</v>
      </c>
      <c r="J38" s="15">
        <f>IF(Table1[[#This Row],[orig_vote_clinton]]&gt;Table1[[#This Row],[orig_vote_trump]],Table1[[#This Row],[electoral_votes]],0)</f>
        <v>0</v>
      </c>
      <c r="K38" s="15">
        <f>IF(Table1[[#This Row],[orig_vote_trump]]&gt;Table1[[#This Row],[orig_vote_clinton]],Table1[[#This Row],[electoral_votes]],0)</f>
        <v>10</v>
      </c>
      <c r="L38" s="14">
        <f>Table1[[#This Row],[orig_vote_clinton]]+Table1[[#This Row],[orig_vote_stein]]*pct_stein_to_clinton+Table1[[#This Row],[orig_vote_johnson]]*pct_johnson_to_clinton</f>
        <v>1135308.7999999998</v>
      </c>
      <c r="M38" s="14">
        <f>Table1[[#This Row],[orig_vote_trump]]+Table1[[#This Row],[orig_vote_stein]]*pct_stein_to_trump+Table1[[#This Row],[orig_vote_johnson]]*pct_johnson_to_trump</f>
        <v>1626823.2000000002</v>
      </c>
      <c r="N38" s="15">
        <f>Table1[[#This Row],[adjusted_vote_trump]]-Table1[[#This Row],[adjusted_vote_clinton]]</f>
        <v>491514.40000000037</v>
      </c>
      <c r="O38" s="15">
        <f>IF(Table1[[#This Row],[adjusted_vote_clinton]]&gt;Table1[[#This Row],[adjusted_vote_trump]],0,Table1[[#This Row],[electoral_votes]])</f>
        <v>10</v>
      </c>
      <c r="P38" s="14">
        <f>IF(Table1[[#This Row],[adjusted_vote_clinton]]&gt;Table1[[#This Row],[adjusted_vote_trump]],Table1[[#This Row],[electoral_votes]],0)</f>
        <v>0</v>
      </c>
      <c r="Q38" s="15" t="str">
        <f>IF(Table1[[#This Row],[orig_spread]]&gt;0,"Trump","Clinton")</f>
        <v>Trump</v>
      </c>
      <c r="R38" s="15" t="str">
        <f>IF(Table1[[#This Row],[adjusted_spread]]&gt;0,"Trump","Clinton")</f>
        <v>Trump</v>
      </c>
      <c r="S38" s="14" t="b">
        <f>AND(Table1[[#This Row],[orig_outcome]]="Trump",Table1[[#This Row],[adjusted_outcome]]="Clinton")</f>
        <v>0</v>
      </c>
      <c r="T38" s="14" t="b">
        <f>AND(Table1[[#This Row],[orig_outcome]]="Clinton",Table1[[#This Row],[adjusted_outcome]]="Trump")</f>
        <v>0</v>
      </c>
      <c r="U38" s="14" t="str">
        <f>IF(Table1[[#This Row],[index]]=1,IF(Table1[[#This Row],[pickup_clinton]],Table1[[#This Row],[State]],""),IF(Table1[[#This Row],[pickup_clinton]],CONCATENATE(U37,IF(U37="","",","),Table1[[#This Row],[State]]),U37))</f>
        <v>Michigan</v>
      </c>
      <c r="V38" s="14" t="str">
        <f>IF(Table1[[#This Row],[index]]=1,IF(Table1[[#This Row],[pickup_trump]],Table1[[#This Row],[State]],""),IF(Table1[[#This Row],[pickup_trump]],CONCATENATE(V37,IF(V27="","",","),Table1[[#This Row],[State]]),V37))</f>
        <v/>
      </c>
      <c r="W38" s="22">
        <f>Table1[[#This Row],[adjusted_electors_trump]]+Table1[[#This Row],[adjusted_electors_clinton]]-Table1[[#This Row],[electoral_votes]]</f>
        <v>0</v>
      </c>
      <c r="Y38"/>
    </row>
    <row r="39" spans="2:25">
      <c r="B39" s="4" t="s">
        <v>36</v>
      </c>
      <c r="C39" s="9">
        <v>3</v>
      </c>
      <c r="D39" s="18">
        <v>174249</v>
      </c>
      <c r="E39" s="18">
        <v>273696</v>
      </c>
      <c r="F39" s="18">
        <v>27188</v>
      </c>
      <c r="G39" s="18">
        <v>7654</v>
      </c>
      <c r="H39" s="18">
        <f>ROW()-ROW(Table1[[#Headers],[index]])</f>
        <v>27</v>
      </c>
      <c r="I39" s="15">
        <f>Table1[[#This Row],[orig_vote_trump]]-Table1[[#This Row],[orig_vote_clinton]]</f>
        <v>99447</v>
      </c>
      <c r="J39" s="15">
        <f>IF(Table1[[#This Row],[orig_vote_clinton]]&gt;Table1[[#This Row],[orig_vote_trump]],Table1[[#This Row],[electoral_votes]],0)</f>
        <v>0</v>
      </c>
      <c r="K39" s="15">
        <f>IF(Table1[[#This Row],[orig_vote_trump]]&gt;Table1[[#This Row],[orig_vote_clinton]],Table1[[#This Row],[electoral_votes]],0)</f>
        <v>3</v>
      </c>
      <c r="L39" s="14">
        <f>Table1[[#This Row],[orig_vote_clinton]]+Table1[[#This Row],[orig_vote_stein]]*pct_stein_to_clinton+Table1[[#This Row],[orig_vote_johnson]]*pct_johnson_to_clinton</f>
        <v>197450.4</v>
      </c>
      <c r="M39" s="14">
        <f>Table1[[#This Row],[orig_vote_trump]]+Table1[[#This Row],[orig_vote_stein]]*pct_stein_to_trump+Table1[[#This Row],[orig_vote_johnson]]*pct_johnson_to_trump</f>
        <v>285336.60000000003</v>
      </c>
      <c r="N39" s="15">
        <f>Table1[[#This Row],[adjusted_vote_trump]]-Table1[[#This Row],[adjusted_vote_clinton]]</f>
        <v>87886.200000000041</v>
      </c>
      <c r="O39" s="15">
        <f>IF(Table1[[#This Row],[adjusted_vote_clinton]]&gt;Table1[[#This Row],[adjusted_vote_trump]],0,Table1[[#This Row],[electoral_votes]])</f>
        <v>3</v>
      </c>
      <c r="P39" s="14">
        <f>IF(Table1[[#This Row],[adjusted_vote_clinton]]&gt;Table1[[#This Row],[adjusted_vote_trump]],Table1[[#This Row],[electoral_votes]],0)</f>
        <v>0</v>
      </c>
      <c r="Q39" s="15" t="str">
        <f>IF(Table1[[#This Row],[orig_spread]]&gt;0,"Trump","Clinton")</f>
        <v>Trump</v>
      </c>
      <c r="R39" s="15" t="str">
        <f>IF(Table1[[#This Row],[adjusted_spread]]&gt;0,"Trump","Clinton")</f>
        <v>Trump</v>
      </c>
      <c r="S39" s="14" t="b">
        <f>AND(Table1[[#This Row],[orig_outcome]]="Trump",Table1[[#This Row],[adjusted_outcome]]="Clinton")</f>
        <v>0</v>
      </c>
      <c r="T39" s="14" t="b">
        <f>AND(Table1[[#This Row],[orig_outcome]]="Clinton",Table1[[#This Row],[adjusted_outcome]]="Trump")</f>
        <v>0</v>
      </c>
      <c r="U39" s="14" t="str">
        <f>IF(Table1[[#This Row],[index]]=1,IF(Table1[[#This Row],[pickup_clinton]],Table1[[#This Row],[State]],""),IF(Table1[[#This Row],[pickup_clinton]],CONCATENATE(U38,IF(U38="","",","),Table1[[#This Row],[State]]),U38))</f>
        <v>Michigan</v>
      </c>
      <c r="V39" s="14" t="str">
        <f>IF(Table1[[#This Row],[index]]=1,IF(Table1[[#This Row],[pickup_trump]],Table1[[#This Row],[State]],""),IF(Table1[[#This Row],[pickup_trump]],CONCATENATE(V38,IF(V28="","",","),Table1[[#This Row],[State]]),V38))</f>
        <v/>
      </c>
      <c r="W39" s="22">
        <f>Table1[[#This Row],[adjusted_electors_trump]]+Table1[[#This Row],[adjusted_electors_clinton]]-Table1[[#This Row],[electoral_votes]]</f>
        <v>0</v>
      </c>
      <c r="Y39"/>
    </row>
    <row r="40" spans="2:25">
      <c r="B40" s="4" t="s">
        <v>37</v>
      </c>
      <c r="C40" s="9">
        <v>5</v>
      </c>
      <c r="D40" s="18">
        <v>174249</v>
      </c>
      <c r="E40" s="18">
        <v>273696</v>
      </c>
      <c r="F40" s="18">
        <v>27188</v>
      </c>
      <c r="G40" s="18">
        <v>7654</v>
      </c>
      <c r="H40" s="18">
        <f>ROW()-ROW(Table1[[#Headers],[index]])</f>
        <v>28</v>
      </c>
      <c r="I40" s="15">
        <f>Table1[[#This Row],[orig_vote_trump]]-Table1[[#This Row],[orig_vote_clinton]]</f>
        <v>99447</v>
      </c>
      <c r="J40" s="15">
        <f>IF(Table1[[#This Row],[orig_vote_clinton]]&gt;Table1[[#This Row],[orig_vote_trump]],Table1[[#This Row],[electoral_votes]],0)</f>
        <v>0</v>
      </c>
      <c r="K40" s="15">
        <f>IF(Table1[[#This Row],[orig_vote_trump]]&gt;Table1[[#This Row],[orig_vote_clinton]],Table1[[#This Row],[electoral_votes]],0)</f>
        <v>5</v>
      </c>
      <c r="L40" s="14">
        <f>Table1[[#This Row],[orig_vote_clinton]]+Table1[[#This Row],[orig_vote_stein]]*pct_stein_to_clinton+Table1[[#This Row],[orig_vote_johnson]]*pct_johnson_to_clinton</f>
        <v>197450.4</v>
      </c>
      <c r="M40" s="14">
        <f>Table1[[#This Row],[orig_vote_trump]]+Table1[[#This Row],[orig_vote_stein]]*pct_stein_to_trump+Table1[[#This Row],[orig_vote_johnson]]*pct_johnson_to_trump</f>
        <v>285336.60000000003</v>
      </c>
      <c r="N40" s="15">
        <f>Table1[[#This Row],[adjusted_vote_trump]]-Table1[[#This Row],[adjusted_vote_clinton]]</f>
        <v>87886.200000000041</v>
      </c>
      <c r="O40" s="15">
        <f>IF(Table1[[#This Row],[adjusted_vote_clinton]]&gt;Table1[[#This Row],[adjusted_vote_trump]],0,Table1[[#This Row],[electoral_votes]])</f>
        <v>5</v>
      </c>
      <c r="P40" s="14">
        <f>IF(Table1[[#This Row],[adjusted_vote_clinton]]&gt;Table1[[#This Row],[adjusted_vote_trump]],Table1[[#This Row],[electoral_votes]],0)</f>
        <v>0</v>
      </c>
      <c r="Q40" s="15" t="str">
        <f>IF(Table1[[#This Row],[orig_spread]]&gt;0,"Trump","Clinton")</f>
        <v>Trump</v>
      </c>
      <c r="R40" s="15" t="str">
        <f>IF(Table1[[#This Row],[adjusted_spread]]&gt;0,"Trump","Clinton")</f>
        <v>Trump</v>
      </c>
      <c r="S40" s="14" t="b">
        <f>AND(Table1[[#This Row],[orig_outcome]]="Trump",Table1[[#This Row],[adjusted_outcome]]="Clinton")</f>
        <v>0</v>
      </c>
      <c r="T40" s="14" t="b">
        <f>AND(Table1[[#This Row],[orig_outcome]]="Clinton",Table1[[#This Row],[adjusted_outcome]]="Trump")</f>
        <v>0</v>
      </c>
      <c r="U40" s="14" t="str">
        <f>IF(Table1[[#This Row],[index]]=1,IF(Table1[[#This Row],[pickup_clinton]],Table1[[#This Row],[State]],""),IF(Table1[[#This Row],[pickup_clinton]],CONCATENATE(U39,IF(U39="","",","),Table1[[#This Row],[State]]),U39))</f>
        <v>Michigan</v>
      </c>
      <c r="V40" s="14" t="str">
        <f>IF(Table1[[#This Row],[index]]=1,IF(Table1[[#This Row],[pickup_trump]],Table1[[#This Row],[State]],""),IF(Table1[[#This Row],[pickup_trump]],CONCATENATE(V39,IF(V29="","",","),Table1[[#This Row],[State]]),V39))</f>
        <v/>
      </c>
      <c r="W40" s="22">
        <f>Table1[[#This Row],[adjusted_electors_trump]]+Table1[[#This Row],[adjusted_electors_clinton]]-Table1[[#This Row],[electoral_votes]]</f>
        <v>0</v>
      </c>
      <c r="Y40"/>
    </row>
    <row r="41" spans="2:25">
      <c r="B41" s="25" t="s">
        <v>38</v>
      </c>
      <c r="C41" s="24">
        <v>6</v>
      </c>
      <c r="D41" s="18">
        <v>537753</v>
      </c>
      <c r="E41" s="18">
        <v>511319</v>
      </c>
      <c r="F41" s="18">
        <v>37299</v>
      </c>
      <c r="G41" s="10"/>
      <c r="H41" s="10">
        <f>ROW()-ROW(Table1[[#Headers],[index]])</f>
        <v>29</v>
      </c>
      <c r="I41" s="15">
        <f>Table1[[#This Row],[orig_vote_trump]]-Table1[[#This Row],[orig_vote_clinton]]</f>
        <v>-26434</v>
      </c>
      <c r="J41" s="15">
        <f>IF(Table1[[#This Row],[orig_vote_clinton]]&gt;Table1[[#This Row],[orig_vote_trump]],Table1[[#This Row],[electoral_votes]],0)</f>
        <v>6</v>
      </c>
      <c r="K41" s="15">
        <f>IF(Table1[[#This Row],[orig_vote_trump]]&gt;Table1[[#This Row],[orig_vote_clinton]],Table1[[#This Row],[electoral_votes]],0)</f>
        <v>0</v>
      </c>
      <c r="L41" s="14">
        <f>Table1[[#This Row],[orig_vote_clinton]]+Table1[[#This Row],[orig_vote_stein]]*pct_stein_to_clinton+Table1[[#This Row],[orig_vote_johnson]]*pct_johnson_to_clinton</f>
        <v>560132.4</v>
      </c>
      <c r="M41" s="14">
        <f>Table1[[#This Row],[orig_vote_trump]]+Table1[[#This Row],[orig_vote_stein]]*pct_stein_to_trump+Table1[[#This Row],[orig_vote_johnson]]*pct_johnson_to_trump</f>
        <v>526238.6</v>
      </c>
      <c r="N41" s="15">
        <f>Table1[[#This Row],[adjusted_vote_trump]]-Table1[[#This Row],[adjusted_vote_clinton]]</f>
        <v>-33893.800000000047</v>
      </c>
      <c r="O41" s="15">
        <f>IF(Table1[[#This Row],[adjusted_vote_clinton]]&gt;Table1[[#This Row],[adjusted_vote_trump]],0,Table1[[#This Row],[electoral_votes]])</f>
        <v>0</v>
      </c>
      <c r="P41" s="14">
        <f>IF(Table1[[#This Row],[adjusted_vote_clinton]]&gt;Table1[[#This Row],[adjusted_vote_trump]],Table1[[#This Row],[electoral_votes]],0)</f>
        <v>6</v>
      </c>
      <c r="Q41" s="15" t="str">
        <f>IF(Table1[[#This Row],[orig_spread]]&gt;0,"Trump","Clinton")</f>
        <v>Clinton</v>
      </c>
      <c r="R41" s="15" t="str">
        <f>IF(Table1[[#This Row],[adjusted_spread]]&gt;0,"Trump","Clinton")</f>
        <v>Clinton</v>
      </c>
      <c r="S41" s="14" t="b">
        <f>AND(Table1[[#This Row],[orig_outcome]]="Trump",Table1[[#This Row],[adjusted_outcome]]="Clinton")</f>
        <v>0</v>
      </c>
      <c r="T41" s="14" t="b">
        <f>AND(Table1[[#This Row],[orig_outcome]]="Clinton",Table1[[#This Row],[adjusted_outcome]]="Trump")</f>
        <v>0</v>
      </c>
      <c r="U41" s="14" t="str">
        <f>IF(Table1[[#This Row],[index]]=1,IF(Table1[[#This Row],[pickup_clinton]],Table1[[#This Row],[State]],""),IF(Table1[[#This Row],[pickup_clinton]],CONCATENATE(U40,IF(U40="","",","),Table1[[#This Row],[State]]),U40))</f>
        <v>Michigan</v>
      </c>
      <c r="V41" s="14" t="str">
        <f>IF(Table1[[#This Row],[index]]=1,IF(Table1[[#This Row],[pickup_trump]],Table1[[#This Row],[State]],""),IF(Table1[[#This Row],[pickup_trump]],CONCATENATE(V40,IF(V30="","",","),Table1[[#This Row],[State]]),V40))</f>
        <v/>
      </c>
      <c r="W41" s="22">
        <f>Table1[[#This Row],[adjusted_electors_trump]]+Table1[[#This Row],[adjusted_electors_clinton]]-Table1[[#This Row],[electoral_votes]]</f>
        <v>0</v>
      </c>
      <c r="Y41"/>
    </row>
    <row r="42" spans="2:25">
      <c r="B42" s="25" t="s">
        <v>8</v>
      </c>
      <c r="C42" s="24">
        <v>4</v>
      </c>
      <c r="D42" s="18">
        <v>346816</v>
      </c>
      <c r="E42" s="18">
        <v>345379</v>
      </c>
      <c r="F42" s="18">
        <v>30500</v>
      </c>
      <c r="G42" s="18">
        <v>6265</v>
      </c>
      <c r="H42" s="18">
        <f>ROW()-ROW(Table1[[#Headers],[index]])</f>
        <v>30</v>
      </c>
      <c r="I42" s="15">
        <f>Table1[[#This Row],[orig_vote_trump]]-Table1[[#This Row],[orig_vote_clinton]]</f>
        <v>-1437</v>
      </c>
      <c r="J42" s="15">
        <f>IF(Table1[[#This Row],[orig_vote_clinton]]&gt;Table1[[#This Row],[orig_vote_trump]],Table1[[#This Row],[electoral_votes]],0)</f>
        <v>4</v>
      </c>
      <c r="K42" s="15">
        <f>IF(Table1[[#This Row],[orig_vote_trump]]&gt;Table1[[#This Row],[orig_vote_clinton]],Table1[[#This Row],[electoral_votes]],0)</f>
        <v>0</v>
      </c>
      <c r="L42" s="14">
        <f>Table1[[#This Row],[orig_vote_clinton]]+Table1[[#This Row],[orig_vote_stein]]*pct_stein_to_clinton+Table1[[#This Row],[orig_vote_johnson]]*pct_johnson_to_clinton</f>
        <v>370754.5</v>
      </c>
      <c r="M42" s="14">
        <f>Table1[[#This Row],[orig_vote_trump]]+Table1[[#This Row],[orig_vote_stein]]*pct_stein_to_trump+Table1[[#This Row],[orig_vote_johnson]]*pct_johnson_to_trump</f>
        <v>358205.5</v>
      </c>
      <c r="N42" s="15">
        <f>Table1[[#This Row],[adjusted_vote_trump]]-Table1[[#This Row],[adjusted_vote_clinton]]</f>
        <v>-12549</v>
      </c>
      <c r="O42" s="15">
        <f>IF(Table1[[#This Row],[adjusted_vote_clinton]]&gt;Table1[[#This Row],[adjusted_vote_trump]],0,Table1[[#This Row],[electoral_votes]])</f>
        <v>0</v>
      </c>
      <c r="P42" s="14">
        <f>IF(Table1[[#This Row],[adjusted_vote_clinton]]&gt;Table1[[#This Row],[adjusted_vote_trump]],Table1[[#This Row],[electoral_votes]],0)</f>
        <v>4</v>
      </c>
      <c r="Q42" s="15" t="str">
        <f>IF(Table1[[#This Row],[orig_spread]]&gt;0,"Trump","Clinton")</f>
        <v>Clinton</v>
      </c>
      <c r="R42" s="15" t="str">
        <f>IF(Table1[[#This Row],[adjusted_spread]]&gt;0,"Trump","Clinton")</f>
        <v>Clinton</v>
      </c>
      <c r="S42" s="14" t="b">
        <f>AND(Table1[[#This Row],[orig_outcome]]="Trump",Table1[[#This Row],[adjusted_outcome]]="Clinton")</f>
        <v>0</v>
      </c>
      <c r="T42" s="14" t="b">
        <f>AND(Table1[[#This Row],[orig_outcome]]="Clinton",Table1[[#This Row],[adjusted_outcome]]="Trump")</f>
        <v>0</v>
      </c>
      <c r="U42" s="14" t="str">
        <f>IF(Table1[[#This Row],[index]]=1,IF(Table1[[#This Row],[pickup_clinton]],Table1[[#This Row],[State]],""),IF(Table1[[#This Row],[pickup_clinton]],CONCATENATE(U41,IF(U41="","",","),Table1[[#This Row],[State]]),U41))</f>
        <v>Michigan</v>
      </c>
      <c r="V42" s="14" t="str">
        <f>IF(Table1[[#This Row],[index]]=1,IF(Table1[[#This Row],[pickup_trump]],Table1[[#This Row],[State]],""),IF(Table1[[#This Row],[pickup_trump]],CONCATENATE(V41,IF(V31="","",","),Table1[[#This Row],[State]]),V41))</f>
        <v/>
      </c>
      <c r="W42" s="22">
        <f>Table1[[#This Row],[adjusted_electors_trump]]+Table1[[#This Row],[adjusted_electors_clinton]]-Table1[[#This Row],[electoral_votes]]</f>
        <v>0</v>
      </c>
      <c r="Y42"/>
    </row>
    <row r="43" spans="2:25">
      <c r="B43" s="25" t="s">
        <v>39</v>
      </c>
      <c r="C43" s="24">
        <v>14</v>
      </c>
      <c r="D43" s="18">
        <v>1979768</v>
      </c>
      <c r="E43" s="18">
        <v>1516915</v>
      </c>
      <c r="F43" s="18">
        <v>67520</v>
      </c>
      <c r="G43" s="18">
        <v>35503</v>
      </c>
      <c r="H43" s="18">
        <f>ROW()-ROW(Table1[[#Headers],[index]])</f>
        <v>31</v>
      </c>
      <c r="I43" s="15">
        <f>Table1[[#This Row],[orig_vote_trump]]-Table1[[#This Row],[orig_vote_clinton]]</f>
        <v>-462853</v>
      </c>
      <c r="J43" s="15">
        <f>IF(Table1[[#This Row],[orig_vote_clinton]]&gt;Table1[[#This Row],[orig_vote_trump]],Table1[[#This Row],[electoral_votes]],0)</f>
        <v>14</v>
      </c>
      <c r="K43" s="15">
        <f>IF(Table1[[#This Row],[orig_vote_trump]]&gt;Table1[[#This Row],[orig_vote_clinton]],Table1[[#This Row],[electoral_votes]],0)</f>
        <v>0</v>
      </c>
      <c r="L43" s="14">
        <f>Table1[[#This Row],[orig_vote_clinton]]+Table1[[#This Row],[orig_vote_stein]]*pct_stein_to_clinton+Table1[[#This Row],[orig_vote_johnson]]*pct_johnson_to_clinton</f>
        <v>2052232.7</v>
      </c>
      <c r="M43" s="14">
        <f>Table1[[#This Row],[orig_vote_trump]]+Table1[[#This Row],[orig_vote_stein]]*pct_stein_to_trump+Table1[[#This Row],[orig_vote_johnson]]*pct_johnson_to_trump</f>
        <v>1547473.3</v>
      </c>
      <c r="N43" s="15">
        <f>Table1[[#This Row],[adjusted_vote_trump]]-Table1[[#This Row],[adjusted_vote_clinton]]</f>
        <v>-504759.39999999991</v>
      </c>
      <c r="O43" s="15">
        <f>IF(Table1[[#This Row],[adjusted_vote_clinton]]&gt;Table1[[#This Row],[adjusted_vote_trump]],0,Table1[[#This Row],[electoral_votes]])</f>
        <v>0</v>
      </c>
      <c r="P43" s="14">
        <f>IF(Table1[[#This Row],[adjusted_vote_clinton]]&gt;Table1[[#This Row],[adjusted_vote_trump]],Table1[[#This Row],[electoral_votes]],0)</f>
        <v>14</v>
      </c>
      <c r="Q43" s="15" t="str">
        <f>IF(Table1[[#This Row],[orig_spread]]&gt;0,"Trump","Clinton")</f>
        <v>Clinton</v>
      </c>
      <c r="R43" s="15" t="str">
        <f>IF(Table1[[#This Row],[adjusted_spread]]&gt;0,"Trump","Clinton")</f>
        <v>Clinton</v>
      </c>
      <c r="S43" s="14" t="b">
        <f>AND(Table1[[#This Row],[orig_outcome]]="Trump",Table1[[#This Row],[adjusted_outcome]]="Clinton")</f>
        <v>0</v>
      </c>
      <c r="T43" s="14" t="b">
        <f>AND(Table1[[#This Row],[orig_outcome]]="Clinton",Table1[[#This Row],[adjusted_outcome]]="Trump")</f>
        <v>0</v>
      </c>
      <c r="U43" s="14" t="str">
        <f>IF(Table1[[#This Row],[index]]=1,IF(Table1[[#This Row],[pickup_clinton]],Table1[[#This Row],[State]],""),IF(Table1[[#This Row],[pickup_clinton]],CONCATENATE(U42,IF(U42="","",","),Table1[[#This Row],[State]]),U42))</f>
        <v>Michigan</v>
      </c>
      <c r="V43" s="14" t="str">
        <f>IF(Table1[[#This Row],[index]]=1,IF(Table1[[#This Row],[pickup_trump]],Table1[[#This Row],[State]],""),IF(Table1[[#This Row],[pickup_trump]],CONCATENATE(V42,IF(V32="","",","),Table1[[#This Row],[State]]),V42))</f>
        <v/>
      </c>
      <c r="W43" s="22">
        <f>Table1[[#This Row],[adjusted_electors_trump]]+Table1[[#This Row],[adjusted_electors_clinton]]-Table1[[#This Row],[electoral_votes]]</f>
        <v>0</v>
      </c>
      <c r="Y43"/>
    </row>
    <row r="44" spans="2:25">
      <c r="B44" s="25" t="s">
        <v>40</v>
      </c>
      <c r="C44" s="24">
        <v>5</v>
      </c>
      <c r="D44" s="18">
        <v>380724</v>
      </c>
      <c r="E44" s="18">
        <v>315875</v>
      </c>
      <c r="F44" s="18">
        <v>73669</v>
      </c>
      <c r="G44" s="18">
        <v>9729</v>
      </c>
      <c r="H44" s="18">
        <f>ROW()-ROW(Table1[[#Headers],[index]])</f>
        <v>32</v>
      </c>
      <c r="I44" s="15">
        <f>Table1[[#This Row],[orig_vote_trump]]-Table1[[#This Row],[orig_vote_clinton]]</f>
        <v>-64849</v>
      </c>
      <c r="J44" s="15">
        <f>IF(Table1[[#This Row],[orig_vote_clinton]]&gt;Table1[[#This Row],[orig_vote_trump]],Table1[[#This Row],[electoral_votes]],0)</f>
        <v>5</v>
      </c>
      <c r="K44" s="15">
        <f>IF(Table1[[#This Row],[orig_vote_trump]]&gt;Table1[[#This Row],[orig_vote_clinton]],Table1[[#This Row],[electoral_votes]],0)</f>
        <v>0</v>
      </c>
      <c r="L44" s="14">
        <f>Table1[[#This Row],[orig_vote_clinton]]+Table1[[#This Row],[orig_vote_stein]]*pct_stein_to_clinton+Table1[[#This Row],[orig_vote_johnson]]*pct_johnson_to_clinton</f>
        <v>433681.5</v>
      </c>
      <c r="M44" s="14">
        <f>Table1[[#This Row],[orig_vote_trump]]+Table1[[#This Row],[orig_vote_stein]]*pct_stein_to_trump+Table1[[#This Row],[orig_vote_johnson]]*pct_johnson_to_trump</f>
        <v>346315.5</v>
      </c>
      <c r="N44" s="15">
        <f>Table1[[#This Row],[adjusted_vote_trump]]-Table1[[#This Row],[adjusted_vote_clinton]]</f>
        <v>-87366</v>
      </c>
      <c r="O44" s="15">
        <f>IF(Table1[[#This Row],[adjusted_vote_clinton]]&gt;Table1[[#This Row],[adjusted_vote_trump]],0,Table1[[#This Row],[electoral_votes]])</f>
        <v>0</v>
      </c>
      <c r="P44" s="14">
        <f>IF(Table1[[#This Row],[adjusted_vote_clinton]]&gt;Table1[[#This Row],[adjusted_vote_trump]],Table1[[#This Row],[electoral_votes]],0)</f>
        <v>5</v>
      </c>
      <c r="Q44" s="15" t="str">
        <f>IF(Table1[[#This Row],[orig_spread]]&gt;0,"Trump","Clinton")</f>
        <v>Clinton</v>
      </c>
      <c r="R44" s="15" t="str">
        <f>IF(Table1[[#This Row],[adjusted_spread]]&gt;0,"Trump","Clinton")</f>
        <v>Clinton</v>
      </c>
      <c r="S44" s="14" t="b">
        <f>AND(Table1[[#This Row],[orig_outcome]]="Trump",Table1[[#This Row],[adjusted_outcome]]="Clinton")</f>
        <v>0</v>
      </c>
      <c r="T44" s="14" t="b">
        <f>AND(Table1[[#This Row],[orig_outcome]]="Clinton",Table1[[#This Row],[adjusted_outcome]]="Trump")</f>
        <v>0</v>
      </c>
      <c r="U44" s="14" t="str">
        <f>IF(Table1[[#This Row],[index]]=1,IF(Table1[[#This Row],[pickup_clinton]],Table1[[#This Row],[State]],""),IF(Table1[[#This Row],[pickup_clinton]],CONCATENATE(U43,IF(U43="","",","),Table1[[#This Row],[State]]),U43))</f>
        <v>Michigan</v>
      </c>
      <c r="V44" s="14" t="str">
        <f>IF(Table1[[#This Row],[index]]=1,IF(Table1[[#This Row],[pickup_trump]],Table1[[#This Row],[State]],""),IF(Table1[[#This Row],[pickup_trump]],CONCATENATE(V43,IF(V33="","",","),Table1[[#This Row],[State]]),V43))</f>
        <v/>
      </c>
      <c r="W44" s="22">
        <f>Table1[[#This Row],[adjusted_electors_trump]]+Table1[[#This Row],[adjusted_electors_clinton]]-Table1[[#This Row],[electoral_votes]]</f>
        <v>0</v>
      </c>
      <c r="Y44"/>
    </row>
    <row r="45" spans="2:25">
      <c r="B45" s="25" t="s">
        <v>41</v>
      </c>
      <c r="C45" s="24">
        <v>29</v>
      </c>
      <c r="D45" s="18">
        <v>4143541</v>
      </c>
      <c r="E45" s="18">
        <v>2637678</v>
      </c>
      <c r="F45" s="18">
        <v>161857</v>
      </c>
      <c r="G45" s="18">
        <v>99880</v>
      </c>
      <c r="H45" s="18">
        <f>ROW()-ROW(Table1[[#Headers],[index]])</f>
        <v>33</v>
      </c>
      <c r="I45" s="15">
        <f>Table1[[#This Row],[orig_vote_trump]]-Table1[[#This Row],[orig_vote_clinton]]</f>
        <v>-1505863</v>
      </c>
      <c r="J45" s="15">
        <f>IF(Table1[[#This Row],[orig_vote_clinton]]&gt;Table1[[#This Row],[orig_vote_trump]],Table1[[#This Row],[electoral_votes]],0)</f>
        <v>29</v>
      </c>
      <c r="K45" s="15">
        <f>IF(Table1[[#This Row],[orig_vote_trump]]&gt;Table1[[#This Row],[orig_vote_clinton]],Table1[[#This Row],[electoral_votes]],0)</f>
        <v>0</v>
      </c>
      <c r="L45" s="14">
        <f>Table1[[#This Row],[orig_vote_clinton]]+Table1[[#This Row],[orig_vote_stein]]*pct_stein_to_clinton+Table1[[#This Row],[orig_vote_johnson]]*pct_johnson_to_clinton</f>
        <v>4330547.2000000002</v>
      </c>
      <c r="M45" s="14">
        <f>Table1[[#This Row],[orig_vote_trump]]+Table1[[#This Row],[orig_vote_stein]]*pct_stein_to_trump+Table1[[#This Row],[orig_vote_johnson]]*pct_johnson_to_trump</f>
        <v>2712408.8</v>
      </c>
      <c r="N45" s="15">
        <f>Table1[[#This Row],[adjusted_vote_trump]]-Table1[[#This Row],[adjusted_vote_clinton]]</f>
        <v>-1618138.4000000004</v>
      </c>
      <c r="O45" s="15">
        <f>IF(Table1[[#This Row],[adjusted_vote_clinton]]&gt;Table1[[#This Row],[adjusted_vote_trump]],0,Table1[[#This Row],[electoral_votes]])</f>
        <v>0</v>
      </c>
      <c r="P45" s="14">
        <f>IF(Table1[[#This Row],[adjusted_vote_clinton]]&gt;Table1[[#This Row],[adjusted_vote_trump]],Table1[[#This Row],[electoral_votes]],0)</f>
        <v>29</v>
      </c>
      <c r="Q45" s="15" t="str">
        <f>IF(Table1[[#This Row],[orig_spread]]&gt;0,"Trump","Clinton")</f>
        <v>Clinton</v>
      </c>
      <c r="R45" s="15" t="str">
        <f>IF(Table1[[#This Row],[adjusted_spread]]&gt;0,"Trump","Clinton")</f>
        <v>Clinton</v>
      </c>
      <c r="S45" s="14" t="b">
        <f>AND(Table1[[#This Row],[orig_outcome]]="Trump",Table1[[#This Row],[adjusted_outcome]]="Clinton")</f>
        <v>0</v>
      </c>
      <c r="T45" s="14" t="b">
        <f>AND(Table1[[#This Row],[orig_outcome]]="Clinton",Table1[[#This Row],[adjusted_outcome]]="Trump")</f>
        <v>0</v>
      </c>
      <c r="U45" s="14" t="str">
        <f>IF(Table1[[#This Row],[index]]=1,IF(Table1[[#This Row],[pickup_clinton]],Table1[[#This Row],[State]],""),IF(Table1[[#This Row],[pickup_clinton]],CONCATENATE(U44,IF(U44="","",","),Table1[[#This Row],[State]]),U44))</f>
        <v>Michigan</v>
      </c>
      <c r="V45" s="14" t="str">
        <f>IF(Table1[[#This Row],[index]]=1,IF(Table1[[#This Row],[pickup_trump]],Table1[[#This Row],[State]],""),IF(Table1[[#This Row],[pickup_trump]],CONCATENATE(V44,IF(V34="","",","),Table1[[#This Row],[State]]),V44))</f>
        <v/>
      </c>
      <c r="W45" s="22">
        <f>Table1[[#This Row],[adjusted_electors_trump]]+Table1[[#This Row],[adjusted_electors_clinton]]-Table1[[#This Row],[electoral_votes]]</f>
        <v>0</v>
      </c>
      <c r="Y45"/>
    </row>
    <row r="46" spans="2:25">
      <c r="B46" s="4" t="s">
        <v>9</v>
      </c>
      <c r="C46" s="9">
        <v>15</v>
      </c>
      <c r="D46" s="18">
        <v>2162074</v>
      </c>
      <c r="E46" s="18">
        <v>2339603</v>
      </c>
      <c r="F46" s="18">
        <v>127794</v>
      </c>
      <c r="G46" s="10"/>
      <c r="H46" s="10">
        <f>ROW()-ROW(Table1[[#Headers],[index]])</f>
        <v>34</v>
      </c>
      <c r="I46" s="15">
        <f>Table1[[#This Row],[orig_vote_trump]]-Table1[[#This Row],[orig_vote_clinton]]</f>
        <v>177529</v>
      </c>
      <c r="J46" s="15">
        <f>IF(Table1[[#This Row],[orig_vote_clinton]]&gt;Table1[[#This Row],[orig_vote_trump]],Table1[[#This Row],[electoral_votes]],0)</f>
        <v>0</v>
      </c>
      <c r="K46" s="15">
        <f>IF(Table1[[#This Row],[orig_vote_trump]]&gt;Table1[[#This Row],[orig_vote_clinton]],Table1[[#This Row],[electoral_votes]],0)</f>
        <v>15</v>
      </c>
      <c r="L46" s="14">
        <f>Table1[[#This Row],[orig_vote_clinton]]+Table1[[#This Row],[orig_vote_stein]]*pct_stein_to_clinton+Table1[[#This Row],[orig_vote_johnson]]*pct_johnson_to_clinton</f>
        <v>2238750.4</v>
      </c>
      <c r="M46" s="14">
        <f>Table1[[#This Row],[orig_vote_trump]]+Table1[[#This Row],[orig_vote_stein]]*pct_stein_to_trump+Table1[[#This Row],[orig_vote_johnson]]*pct_johnson_to_trump</f>
        <v>2390720.6</v>
      </c>
      <c r="N46" s="15">
        <f>Table1[[#This Row],[adjusted_vote_trump]]-Table1[[#This Row],[adjusted_vote_clinton]]</f>
        <v>151970.20000000019</v>
      </c>
      <c r="O46" s="15">
        <f>IF(Table1[[#This Row],[adjusted_vote_clinton]]&gt;Table1[[#This Row],[adjusted_vote_trump]],0,Table1[[#This Row],[electoral_votes]])</f>
        <v>15</v>
      </c>
      <c r="P46" s="14">
        <f>IF(Table1[[#This Row],[adjusted_vote_clinton]]&gt;Table1[[#This Row],[adjusted_vote_trump]],Table1[[#This Row],[electoral_votes]],0)</f>
        <v>0</v>
      </c>
      <c r="Q46" s="15" t="str">
        <f>IF(Table1[[#This Row],[orig_spread]]&gt;0,"Trump","Clinton")</f>
        <v>Trump</v>
      </c>
      <c r="R46" s="15" t="str">
        <f>IF(Table1[[#This Row],[adjusted_spread]]&gt;0,"Trump","Clinton")</f>
        <v>Trump</v>
      </c>
      <c r="S46" s="14" t="b">
        <f>AND(Table1[[#This Row],[orig_outcome]]="Trump",Table1[[#This Row],[adjusted_outcome]]="Clinton")</f>
        <v>0</v>
      </c>
      <c r="T46" s="14" t="b">
        <f>AND(Table1[[#This Row],[orig_outcome]]="Clinton",Table1[[#This Row],[adjusted_outcome]]="Trump")</f>
        <v>0</v>
      </c>
      <c r="U46" s="14" t="str">
        <f>IF(Table1[[#This Row],[index]]=1,IF(Table1[[#This Row],[pickup_clinton]],Table1[[#This Row],[State]],""),IF(Table1[[#This Row],[pickup_clinton]],CONCATENATE(U45,IF(U45="","",","),Table1[[#This Row],[State]]),U45))</f>
        <v>Michigan</v>
      </c>
      <c r="V46" s="14" t="str">
        <f>IF(Table1[[#This Row],[index]]=1,IF(Table1[[#This Row],[pickup_trump]],Table1[[#This Row],[State]],""),IF(Table1[[#This Row],[pickup_trump]],CONCATENATE(V45,IF(V35="","",","),Table1[[#This Row],[State]]),V45))</f>
        <v/>
      </c>
      <c r="W46" s="22">
        <f>Table1[[#This Row],[adjusted_electors_trump]]+Table1[[#This Row],[adjusted_electors_clinton]]-Table1[[#This Row],[electoral_votes]]</f>
        <v>0</v>
      </c>
      <c r="Y46"/>
    </row>
    <row r="47" spans="2:25">
      <c r="B47" s="4" t="s">
        <v>42</v>
      </c>
      <c r="C47" s="9">
        <v>3</v>
      </c>
      <c r="D47" s="18">
        <v>93526</v>
      </c>
      <c r="E47" s="18">
        <v>216133</v>
      </c>
      <c r="F47" s="18">
        <v>21351</v>
      </c>
      <c r="G47" s="18">
        <v>3769</v>
      </c>
      <c r="H47" s="18">
        <f>ROW()-ROW(Table1[[#Headers],[index]])</f>
        <v>35</v>
      </c>
      <c r="I47" s="15">
        <f>Table1[[#This Row],[orig_vote_trump]]-Table1[[#This Row],[orig_vote_clinton]]</f>
        <v>122607</v>
      </c>
      <c r="J47" s="15">
        <f>IF(Table1[[#This Row],[orig_vote_clinton]]&gt;Table1[[#This Row],[orig_vote_trump]],Table1[[#This Row],[electoral_votes]],0)</f>
        <v>0</v>
      </c>
      <c r="K47" s="15">
        <f>IF(Table1[[#This Row],[orig_vote_trump]]&gt;Table1[[#This Row],[orig_vote_clinton]],Table1[[#This Row],[electoral_votes]],0)</f>
        <v>3</v>
      </c>
      <c r="L47" s="14">
        <f>Table1[[#This Row],[orig_vote_clinton]]+Table1[[#This Row],[orig_vote_stein]]*pct_stein_to_clinton+Table1[[#This Row],[orig_vote_johnson]]*pct_johnson_to_clinton</f>
        <v>109728.70000000001</v>
      </c>
      <c r="M47" s="14">
        <f>Table1[[#This Row],[orig_vote_trump]]+Table1[[#This Row],[orig_vote_stein]]*pct_stein_to_trump+Table1[[#This Row],[orig_vote_johnson]]*pct_johnson_to_trump</f>
        <v>225050.3</v>
      </c>
      <c r="N47" s="15">
        <f>Table1[[#This Row],[adjusted_vote_trump]]-Table1[[#This Row],[adjusted_vote_clinton]]</f>
        <v>115321.59999999998</v>
      </c>
      <c r="O47" s="15">
        <f>IF(Table1[[#This Row],[adjusted_vote_clinton]]&gt;Table1[[#This Row],[adjusted_vote_trump]],0,Table1[[#This Row],[electoral_votes]])</f>
        <v>3</v>
      </c>
      <c r="P47" s="14">
        <f>IF(Table1[[#This Row],[adjusted_vote_clinton]]&gt;Table1[[#This Row],[adjusted_vote_trump]],Table1[[#This Row],[electoral_votes]],0)</f>
        <v>0</v>
      </c>
      <c r="Q47" s="15" t="str">
        <f>IF(Table1[[#This Row],[orig_spread]]&gt;0,"Trump","Clinton")</f>
        <v>Trump</v>
      </c>
      <c r="R47" s="15" t="str">
        <f>IF(Table1[[#This Row],[adjusted_spread]]&gt;0,"Trump","Clinton")</f>
        <v>Trump</v>
      </c>
      <c r="S47" s="14" t="b">
        <f>AND(Table1[[#This Row],[orig_outcome]]="Trump",Table1[[#This Row],[adjusted_outcome]]="Clinton")</f>
        <v>0</v>
      </c>
      <c r="T47" s="14" t="b">
        <f>AND(Table1[[#This Row],[orig_outcome]]="Clinton",Table1[[#This Row],[adjusted_outcome]]="Trump")</f>
        <v>0</v>
      </c>
      <c r="U47" s="14" t="str">
        <f>IF(Table1[[#This Row],[index]]=1,IF(Table1[[#This Row],[pickup_clinton]],Table1[[#This Row],[State]],""),IF(Table1[[#This Row],[pickup_clinton]],CONCATENATE(U46,IF(U46="","",","),Table1[[#This Row],[State]]),U46))</f>
        <v>Michigan</v>
      </c>
      <c r="V47" s="14" t="str">
        <f>IF(Table1[[#This Row],[index]]=1,IF(Table1[[#This Row],[pickup_trump]],Table1[[#This Row],[State]],""),IF(Table1[[#This Row],[pickup_trump]],CONCATENATE(V46,IF(V36="","",","),Table1[[#This Row],[State]]),V46))</f>
        <v/>
      </c>
      <c r="W47" s="22">
        <f>Table1[[#This Row],[adjusted_electors_trump]]+Table1[[#This Row],[adjusted_electors_clinton]]-Table1[[#This Row],[electoral_votes]]</f>
        <v>0</v>
      </c>
      <c r="Y47"/>
    </row>
    <row r="48" spans="2:25">
      <c r="B48" s="4" t="s">
        <v>43</v>
      </c>
      <c r="C48" s="9">
        <v>18</v>
      </c>
      <c r="D48" s="18">
        <v>2317001</v>
      </c>
      <c r="E48" s="18">
        <v>2771984</v>
      </c>
      <c r="F48" s="18">
        <v>168599</v>
      </c>
      <c r="G48" s="18">
        <v>44310</v>
      </c>
      <c r="H48" s="18">
        <f>ROW()-ROW(Table1[[#Headers],[index]])</f>
        <v>36</v>
      </c>
      <c r="I48" s="15">
        <f>Table1[[#This Row],[orig_vote_trump]]-Table1[[#This Row],[orig_vote_clinton]]</f>
        <v>454983</v>
      </c>
      <c r="J48" s="15">
        <f>IF(Table1[[#This Row],[orig_vote_clinton]]&gt;Table1[[#This Row],[orig_vote_trump]],Table1[[#This Row],[electoral_votes]],0)</f>
        <v>0</v>
      </c>
      <c r="K48" s="15">
        <f>IF(Table1[[#This Row],[orig_vote_trump]]&gt;Table1[[#This Row],[orig_vote_clinton]],Table1[[#This Row],[electoral_votes]],0)</f>
        <v>18</v>
      </c>
      <c r="L48" s="14">
        <f>Table1[[#This Row],[orig_vote_clinton]]+Table1[[#This Row],[orig_vote_stein]]*pct_stein_to_clinton+Table1[[#This Row],[orig_vote_johnson]]*pct_johnson_to_clinton</f>
        <v>2458039.4</v>
      </c>
      <c r="M48" s="14">
        <f>Table1[[#This Row],[orig_vote_trump]]+Table1[[#This Row],[orig_vote_stein]]*pct_stein_to_trump+Table1[[#This Row],[orig_vote_johnson]]*pct_johnson_to_trump</f>
        <v>2843854.6</v>
      </c>
      <c r="N48" s="15">
        <f>Table1[[#This Row],[adjusted_vote_trump]]-Table1[[#This Row],[adjusted_vote_clinton]]</f>
        <v>385815.20000000019</v>
      </c>
      <c r="O48" s="15">
        <f>IF(Table1[[#This Row],[adjusted_vote_clinton]]&gt;Table1[[#This Row],[adjusted_vote_trump]],0,Table1[[#This Row],[electoral_votes]])</f>
        <v>18</v>
      </c>
      <c r="P48" s="14">
        <f>IF(Table1[[#This Row],[adjusted_vote_clinton]]&gt;Table1[[#This Row],[adjusted_vote_trump]],Table1[[#This Row],[electoral_votes]],0)</f>
        <v>0</v>
      </c>
      <c r="Q48" s="15" t="str">
        <f>IF(Table1[[#This Row],[orig_spread]]&gt;0,"Trump","Clinton")</f>
        <v>Trump</v>
      </c>
      <c r="R48" s="15" t="str">
        <f>IF(Table1[[#This Row],[adjusted_spread]]&gt;0,"Trump","Clinton")</f>
        <v>Trump</v>
      </c>
      <c r="S48" s="14" t="b">
        <f>AND(Table1[[#This Row],[orig_outcome]]="Trump",Table1[[#This Row],[adjusted_outcome]]="Clinton")</f>
        <v>0</v>
      </c>
      <c r="T48" s="14" t="b">
        <f>AND(Table1[[#This Row],[orig_outcome]]="Clinton",Table1[[#This Row],[adjusted_outcome]]="Trump")</f>
        <v>0</v>
      </c>
      <c r="U48" s="14" t="str">
        <f>IF(Table1[[#This Row],[index]]=1,IF(Table1[[#This Row],[pickup_clinton]],Table1[[#This Row],[State]],""),IF(Table1[[#This Row],[pickup_clinton]],CONCATENATE(U47,IF(U47="","",","),Table1[[#This Row],[State]]),U47))</f>
        <v>Michigan</v>
      </c>
      <c r="V48" s="14" t="str">
        <f>IF(Table1[[#This Row],[index]]=1,IF(Table1[[#This Row],[pickup_trump]],Table1[[#This Row],[State]],""),IF(Table1[[#This Row],[pickup_trump]],CONCATENATE(V47,IF(V37="","",","),Table1[[#This Row],[State]]),V47))</f>
        <v/>
      </c>
      <c r="W48" s="22">
        <f>Table1[[#This Row],[adjusted_electors_trump]]+Table1[[#This Row],[adjusted_electors_clinton]]-Table1[[#This Row],[electoral_votes]]</f>
        <v>0</v>
      </c>
      <c r="Y48"/>
    </row>
    <row r="49" spans="2:25">
      <c r="B49" s="4" t="s">
        <v>44</v>
      </c>
      <c r="C49" s="9">
        <v>7</v>
      </c>
      <c r="D49" s="18">
        <v>419788</v>
      </c>
      <c r="E49" s="18">
        <v>947934</v>
      </c>
      <c r="F49" s="18">
        <v>83334</v>
      </c>
      <c r="G49" s="10"/>
      <c r="H49" s="10">
        <f>ROW()-ROW(Table1[[#Headers],[index]])</f>
        <v>37</v>
      </c>
      <c r="I49" s="15">
        <f>Table1[[#This Row],[orig_vote_trump]]-Table1[[#This Row],[orig_vote_clinton]]</f>
        <v>528146</v>
      </c>
      <c r="J49" s="15">
        <f>IF(Table1[[#This Row],[orig_vote_clinton]]&gt;Table1[[#This Row],[orig_vote_trump]],Table1[[#This Row],[electoral_votes]],0)</f>
        <v>0</v>
      </c>
      <c r="K49" s="15">
        <f>IF(Table1[[#This Row],[orig_vote_trump]]&gt;Table1[[#This Row],[orig_vote_clinton]],Table1[[#This Row],[electoral_votes]],0)</f>
        <v>7</v>
      </c>
      <c r="L49" s="14">
        <f>Table1[[#This Row],[orig_vote_clinton]]+Table1[[#This Row],[orig_vote_stein]]*pct_stein_to_clinton+Table1[[#This Row],[orig_vote_johnson]]*pct_johnson_to_clinton</f>
        <v>469788.4</v>
      </c>
      <c r="M49" s="14">
        <f>Table1[[#This Row],[orig_vote_trump]]+Table1[[#This Row],[orig_vote_stein]]*pct_stein_to_trump+Table1[[#This Row],[orig_vote_johnson]]*pct_johnson_to_trump</f>
        <v>981267.6</v>
      </c>
      <c r="N49" s="15">
        <f>Table1[[#This Row],[adjusted_vote_trump]]-Table1[[#This Row],[adjusted_vote_clinton]]</f>
        <v>511479.19999999995</v>
      </c>
      <c r="O49" s="15">
        <f>IF(Table1[[#This Row],[adjusted_vote_clinton]]&gt;Table1[[#This Row],[adjusted_vote_trump]],0,Table1[[#This Row],[electoral_votes]])</f>
        <v>7</v>
      </c>
      <c r="P49" s="14">
        <f>IF(Table1[[#This Row],[adjusted_vote_clinton]]&gt;Table1[[#This Row],[adjusted_vote_trump]],Table1[[#This Row],[electoral_votes]],0)</f>
        <v>0</v>
      </c>
      <c r="Q49" s="15" t="str">
        <f>IF(Table1[[#This Row],[orig_spread]]&gt;0,"Trump","Clinton")</f>
        <v>Trump</v>
      </c>
      <c r="R49" s="15" t="str">
        <f>IF(Table1[[#This Row],[adjusted_spread]]&gt;0,"Trump","Clinton")</f>
        <v>Trump</v>
      </c>
      <c r="S49" s="14" t="b">
        <f>AND(Table1[[#This Row],[orig_outcome]]="Trump",Table1[[#This Row],[adjusted_outcome]]="Clinton")</f>
        <v>0</v>
      </c>
      <c r="T49" s="14" t="b">
        <f>AND(Table1[[#This Row],[orig_outcome]]="Clinton",Table1[[#This Row],[adjusted_outcome]]="Trump")</f>
        <v>0</v>
      </c>
      <c r="U49" s="14" t="str">
        <f>IF(Table1[[#This Row],[index]]=1,IF(Table1[[#This Row],[pickup_clinton]],Table1[[#This Row],[State]],""),IF(Table1[[#This Row],[pickup_clinton]],CONCATENATE(U48,IF(U48="","",","),Table1[[#This Row],[State]]),U48))</f>
        <v>Michigan</v>
      </c>
      <c r="V49" s="14" t="str">
        <f>IF(Table1[[#This Row],[index]]=1,IF(Table1[[#This Row],[pickup_trump]],Table1[[#This Row],[State]],""),IF(Table1[[#This Row],[pickup_trump]],CONCATENATE(V48,IF(V38="","",","),Table1[[#This Row],[State]]),V48))</f>
        <v/>
      </c>
      <c r="W49" s="22">
        <f>Table1[[#This Row],[adjusted_electors_trump]]+Table1[[#This Row],[adjusted_electors_clinton]]-Table1[[#This Row],[electoral_votes]]</f>
        <v>0</v>
      </c>
      <c r="Y49"/>
    </row>
    <row r="50" spans="2:25">
      <c r="B50" s="25" t="s">
        <v>45</v>
      </c>
      <c r="C50" s="24">
        <v>7</v>
      </c>
      <c r="D50" s="18">
        <v>934631</v>
      </c>
      <c r="E50" s="18">
        <v>742506</v>
      </c>
      <c r="F50" s="18">
        <v>86306</v>
      </c>
      <c r="G50" s="18">
        <v>45132</v>
      </c>
      <c r="H50" s="18">
        <f>ROW()-ROW(Table1[[#Headers],[index]])</f>
        <v>38</v>
      </c>
      <c r="I50" s="15">
        <f>Table1[[#This Row],[orig_vote_trump]]-Table1[[#This Row],[orig_vote_clinton]]</f>
        <v>-192125</v>
      </c>
      <c r="J50" s="15">
        <f>IF(Table1[[#This Row],[orig_vote_clinton]]&gt;Table1[[#This Row],[orig_vote_trump]],Table1[[#This Row],[electoral_votes]],0)</f>
        <v>7</v>
      </c>
      <c r="K50" s="15">
        <f>IF(Table1[[#This Row],[orig_vote_trump]]&gt;Table1[[#This Row],[orig_vote_clinton]],Table1[[#This Row],[electoral_votes]],0)</f>
        <v>0</v>
      </c>
      <c r="L50" s="14">
        <f>Table1[[#This Row],[orig_vote_clinton]]+Table1[[#This Row],[orig_vote_stein]]*pct_stein_to_clinton+Table1[[#This Row],[orig_vote_johnson]]*pct_johnson_to_clinton</f>
        <v>1027033.4</v>
      </c>
      <c r="M50" s="14">
        <f>Table1[[#This Row],[orig_vote_trump]]+Table1[[#This Row],[orig_vote_stein]]*pct_stein_to_trump+Table1[[#This Row],[orig_vote_johnson]]*pct_johnson_to_trump</f>
        <v>781541.6</v>
      </c>
      <c r="N50" s="15">
        <f>Table1[[#This Row],[adjusted_vote_trump]]-Table1[[#This Row],[adjusted_vote_clinton]]</f>
        <v>-245491.80000000005</v>
      </c>
      <c r="O50" s="15">
        <f>IF(Table1[[#This Row],[adjusted_vote_clinton]]&gt;Table1[[#This Row],[adjusted_vote_trump]],0,Table1[[#This Row],[electoral_votes]])</f>
        <v>0</v>
      </c>
      <c r="P50" s="14">
        <f>IF(Table1[[#This Row],[adjusted_vote_clinton]]&gt;Table1[[#This Row],[adjusted_vote_trump]],Table1[[#This Row],[electoral_votes]],0)</f>
        <v>7</v>
      </c>
      <c r="Q50" s="15" t="str">
        <f>IF(Table1[[#This Row],[orig_spread]]&gt;0,"Trump","Clinton")</f>
        <v>Clinton</v>
      </c>
      <c r="R50" s="15" t="str">
        <f>IF(Table1[[#This Row],[adjusted_spread]]&gt;0,"Trump","Clinton")</f>
        <v>Clinton</v>
      </c>
      <c r="S50" s="14" t="b">
        <f>AND(Table1[[#This Row],[orig_outcome]]="Trump",Table1[[#This Row],[adjusted_outcome]]="Clinton")</f>
        <v>0</v>
      </c>
      <c r="T50" s="14" t="b">
        <f>AND(Table1[[#This Row],[orig_outcome]]="Clinton",Table1[[#This Row],[adjusted_outcome]]="Trump")</f>
        <v>0</v>
      </c>
      <c r="U50" s="14" t="str">
        <f>IF(Table1[[#This Row],[index]]=1,IF(Table1[[#This Row],[pickup_clinton]],Table1[[#This Row],[State]],""),IF(Table1[[#This Row],[pickup_clinton]],CONCATENATE(U49,IF(U49="","",","),Table1[[#This Row],[State]]),U49))</f>
        <v>Michigan</v>
      </c>
      <c r="V50" s="14" t="str">
        <f>IF(Table1[[#This Row],[index]]=1,IF(Table1[[#This Row],[pickup_trump]],Table1[[#This Row],[State]],""),IF(Table1[[#This Row],[pickup_trump]],CONCATENATE(V49,IF(V39="","",","),Table1[[#This Row],[State]]),V49))</f>
        <v/>
      </c>
      <c r="W50" s="22">
        <f>Table1[[#This Row],[adjusted_electors_trump]]+Table1[[#This Row],[adjusted_electors_clinton]]-Table1[[#This Row],[electoral_votes]]</f>
        <v>0</v>
      </c>
      <c r="Y50"/>
    </row>
    <row r="51" spans="2:25">
      <c r="B51" s="4" t="s">
        <v>2</v>
      </c>
      <c r="C51" s="5">
        <v>20</v>
      </c>
      <c r="D51" s="6">
        <v>2844705</v>
      </c>
      <c r="E51" s="6">
        <v>2912941</v>
      </c>
      <c r="F51" s="6">
        <v>142653</v>
      </c>
      <c r="G51" s="6">
        <v>48912</v>
      </c>
      <c r="H51" s="6">
        <f>ROW()-ROW(Table1[[#Headers],[index]])</f>
        <v>39</v>
      </c>
      <c r="I51" s="15">
        <f>Table1[[#This Row],[orig_vote_trump]]-Table1[[#This Row],[orig_vote_clinton]]</f>
        <v>68236</v>
      </c>
      <c r="J51" s="15">
        <f>IF(Table1[[#This Row],[orig_vote_clinton]]&gt;Table1[[#This Row],[orig_vote_trump]],Table1[[#This Row],[electoral_votes]],0)</f>
        <v>0</v>
      </c>
      <c r="K51" s="15">
        <f>IF(Table1[[#This Row],[orig_vote_trump]]&gt;Table1[[#This Row],[orig_vote_clinton]],Table1[[#This Row],[electoral_votes]],0)</f>
        <v>20</v>
      </c>
      <c r="L51" s="14">
        <f>Table1[[#This Row],[orig_vote_clinton]]+Table1[[#This Row],[orig_vote_stein]]*pct_stein_to_clinton+Table1[[#This Row],[orig_vote_johnson]]*pct_johnson_to_clinton</f>
        <v>2974317.5999999996</v>
      </c>
      <c r="M51" s="14">
        <f>Table1[[#This Row],[orig_vote_trump]]+Table1[[#This Row],[orig_vote_stein]]*pct_stein_to_trump+Table1[[#This Row],[orig_vote_johnson]]*pct_johnson_to_trump</f>
        <v>2974893.4000000004</v>
      </c>
      <c r="N51" s="15">
        <f>Table1[[#This Row],[adjusted_vote_trump]]-Table1[[#This Row],[adjusted_vote_clinton]]</f>
        <v>575.80000000074506</v>
      </c>
      <c r="O51" s="15">
        <f>IF(Table1[[#This Row],[adjusted_vote_clinton]]&gt;Table1[[#This Row],[adjusted_vote_trump]],0,Table1[[#This Row],[electoral_votes]])</f>
        <v>20</v>
      </c>
      <c r="P51" s="14">
        <f>IF(Table1[[#This Row],[adjusted_vote_clinton]]&gt;Table1[[#This Row],[adjusted_vote_trump]],Table1[[#This Row],[electoral_votes]],0)</f>
        <v>0</v>
      </c>
      <c r="Q51" s="15" t="str">
        <f>IF(Table1[[#This Row],[orig_spread]]&gt;0,"Trump","Clinton")</f>
        <v>Trump</v>
      </c>
      <c r="R51" s="15" t="str">
        <f>IF(Table1[[#This Row],[adjusted_spread]]&gt;0,"Trump","Clinton")</f>
        <v>Trump</v>
      </c>
      <c r="S51" s="14" t="b">
        <f>AND(Table1[[#This Row],[orig_outcome]]="Trump",Table1[[#This Row],[adjusted_outcome]]="Clinton")</f>
        <v>0</v>
      </c>
      <c r="T51" s="14" t="b">
        <f>AND(Table1[[#This Row],[orig_outcome]]="Clinton",Table1[[#This Row],[adjusted_outcome]]="Trump")</f>
        <v>0</v>
      </c>
      <c r="U51" s="14" t="str">
        <f>IF(Table1[[#This Row],[index]]=1,IF(Table1[[#This Row],[pickup_clinton]],Table1[[#This Row],[State]],""),IF(Table1[[#This Row],[pickup_clinton]],CONCATENATE(U50,IF(U50="","",","),Table1[[#This Row],[State]]),U50))</f>
        <v>Michigan</v>
      </c>
      <c r="V51" s="14" t="str">
        <f>IF(Table1[[#This Row],[index]]=1,IF(Table1[[#This Row],[pickup_trump]],Table1[[#This Row],[State]],""),IF(Table1[[#This Row],[pickup_trump]],CONCATENATE(V50,IF(V40="","",","),Table1[[#This Row],[State]]),V50))</f>
        <v/>
      </c>
      <c r="W51" s="22">
        <f>Table1[[#This Row],[adjusted_electors_trump]]+Table1[[#This Row],[adjusted_electors_clinton]]-Table1[[#This Row],[electoral_votes]]</f>
        <v>0</v>
      </c>
      <c r="Y51"/>
    </row>
    <row r="52" spans="2:25">
      <c r="B52" s="25" t="s">
        <v>46</v>
      </c>
      <c r="C52" s="24">
        <v>4</v>
      </c>
      <c r="D52" s="18">
        <v>934631</v>
      </c>
      <c r="E52" s="18">
        <v>742506</v>
      </c>
      <c r="F52" s="18">
        <v>86306</v>
      </c>
      <c r="G52" s="18">
        <v>45132</v>
      </c>
      <c r="H52" s="18">
        <f>ROW()-ROW(Table1[[#Headers],[index]])</f>
        <v>40</v>
      </c>
      <c r="I52" s="15">
        <f>Table1[[#This Row],[orig_vote_trump]]-Table1[[#This Row],[orig_vote_clinton]]</f>
        <v>-192125</v>
      </c>
      <c r="J52" s="15">
        <f>IF(Table1[[#This Row],[orig_vote_clinton]]&gt;Table1[[#This Row],[orig_vote_trump]],Table1[[#This Row],[electoral_votes]],0)</f>
        <v>4</v>
      </c>
      <c r="K52" s="15">
        <f>IF(Table1[[#This Row],[orig_vote_trump]]&gt;Table1[[#This Row],[orig_vote_clinton]],Table1[[#This Row],[electoral_votes]],0)</f>
        <v>0</v>
      </c>
      <c r="L52" s="14">
        <f>Table1[[#This Row],[orig_vote_clinton]]+Table1[[#This Row],[orig_vote_stein]]*pct_stein_to_clinton+Table1[[#This Row],[orig_vote_johnson]]*pct_johnson_to_clinton</f>
        <v>1027033.4</v>
      </c>
      <c r="M52" s="14">
        <f>Table1[[#This Row],[orig_vote_trump]]+Table1[[#This Row],[orig_vote_stein]]*pct_stein_to_trump+Table1[[#This Row],[orig_vote_johnson]]*pct_johnson_to_trump</f>
        <v>781541.6</v>
      </c>
      <c r="N52" s="15">
        <f>Table1[[#This Row],[adjusted_vote_trump]]-Table1[[#This Row],[adjusted_vote_clinton]]</f>
        <v>-245491.80000000005</v>
      </c>
      <c r="O52" s="15">
        <f>IF(Table1[[#This Row],[adjusted_vote_clinton]]&gt;Table1[[#This Row],[adjusted_vote_trump]],0,Table1[[#This Row],[electoral_votes]])</f>
        <v>0</v>
      </c>
      <c r="P52" s="14">
        <f>IF(Table1[[#This Row],[adjusted_vote_clinton]]&gt;Table1[[#This Row],[adjusted_vote_trump]],Table1[[#This Row],[electoral_votes]],0)</f>
        <v>4</v>
      </c>
      <c r="Q52" s="15" t="str">
        <f>IF(Table1[[#This Row],[orig_spread]]&gt;0,"Trump","Clinton")</f>
        <v>Clinton</v>
      </c>
      <c r="R52" s="15" t="str">
        <f>IF(Table1[[#This Row],[adjusted_spread]]&gt;0,"Trump","Clinton")</f>
        <v>Clinton</v>
      </c>
      <c r="S52" s="14" t="b">
        <f>AND(Table1[[#This Row],[orig_outcome]]="Trump",Table1[[#This Row],[adjusted_outcome]]="Clinton")</f>
        <v>0</v>
      </c>
      <c r="T52" s="14" t="b">
        <f>AND(Table1[[#This Row],[orig_outcome]]="Clinton",Table1[[#This Row],[adjusted_outcome]]="Trump")</f>
        <v>0</v>
      </c>
      <c r="U52" s="14" t="str">
        <f>IF(Table1[[#This Row],[index]]=1,IF(Table1[[#This Row],[pickup_clinton]],Table1[[#This Row],[State]],""),IF(Table1[[#This Row],[pickup_clinton]],CONCATENATE(U51,IF(U51="","",","),Table1[[#This Row],[State]]),U51))</f>
        <v>Michigan</v>
      </c>
      <c r="V52" s="14" t="str">
        <f>IF(Table1[[#This Row],[index]]=1,IF(Table1[[#This Row],[pickup_trump]],Table1[[#This Row],[State]],""),IF(Table1[[#This Row],[pickup_trump]],CONCATENATE(V51,IF(V41="","",","),Table1[[#This Row],[State]]),V51))</f>
        <v/>
      </c>
      <c r="W52" s="22">
        <f>Table1[[#This Row],[adjusted_electors_trump]]+Table1[[#This Row],[adjusted_electors_clinton]]-Table1[[#This Row],[electoral_votes]]</f>
        <v>0</v>
      </c>
      <c r="Y52"/>
    </row>
    <row r="53" spans="2:25">
      <c r="B53" s="4" t="s">
        <v>48</v>
      </c>
      <c r="C53" s="9">
        <v>9</v>
      </c>
      <c r="D53" s="18">
        <v>849469</v>
      </c>
      <c r="E53" s="18">
        <v>1143611</v>
      </c>
      <c r="F53" s="18">
        <v>48715</v>
      </c>
      <c r="G53" s="18">
        <v>12917</v>
      </c>
      <c r="H53" s="18">
        <f>ROW()-ROW(Table1[[#Headers],[index]])</f>
        <v>41</v>
      </c>
      <c r="I53" s="15">
        <f>Table1[[#This Row],[orig_vote_trump]]-Table1[[#This Row],[orig_vote_clinton]]</f>
        <v>294142</v>
      </c>
      <c r="J53" s="15">
        <f>IF(Table1[[#This Row],[orig_vote_clinton]]&gt;Table1[[#This Row],[orig_vote_trump]],Table1[[#This Row],[electoral_votes]],0)</f>
        <v>0</v>
      </c>
      <c r="K53" s="15">
        <f>IF(Table1[[#This Row],[orig_vote_trump]]&gt;Table1[[#This Row],[orig_vote_clinton]],Table1[[#This Row],[electoral_votes]],0)</f>
        <v>9</v>
      </c>
      <c r="L53" s="14">
        <f>Table1[[#This Row],[orig_vote_clinton]]+Table1[[#This Row],[orig_vote_stein]]*pct_stein_to_clinton+Table1[[#This Row],[orig_vote_johnson]]*pct_johnson_to_clinton</f>
        <v>890323.3</v>
      </c>
      <c r="M53" s="14">
        <f>Table1[[#This Row],[orig_vote_trump]]+Table1[[#This Row],[orig_vote_stein]]*pct_stein_to_trump+Table1[[#This Row],[orig_vote_johnson]]*pct_johnson_to_trump</f>
        <v>1164388.7</v>
      </c>
      <c r="N53" s="15">
        <f>Table1[[#This Row],[adjusted_vote_trump]]-Table1[[#This Row],[adjusted_vote_clinton]]</f>
        <v>274065.39999999991</v>
      </c>
      <c r="O53" s="15">
        <f>IF(Table1[[#This Row],[adjusted_vote_clinton]]&gt;Table1[[#This Row],[adjusted_vote_trump]],0,Table1[[#This Row],[electoral_votes]])</f>
        <v>9</v>
      </c>
      <c r="P53" s="14">
        <f>IF(Table1[[#This Row],[adjusted_vote_clinton]]&gt;Table1[[#This Row],[adjusted_vote_trump]],Table1[[#This Row],[electoral_votes]],0)</f>
        <v>0</v>
      </c>
      <c r="Q53" s="15" t="str">
        <f>IF(Table1[[#This Row],[orig_spread]]&gt;0,"Trump","Clinton")</f>
        <v>Trump</v>
      </c>
      <c r="R53" s="15" t="str">
        <f>IF(Table1[[#This Row],[adjusted_spread]]&gt;0,"Trump","Clinton")</f>
        <v>Trump</v>
      </c>
      <c r="S53" s="14" t="b">
        <f>AND(Table1[[#This Row],[orig_outcome]]="Trump",Table1[[#This Row],[adjusted_outcome]]="Clinton")</f>
        <v>0</v>
      </c>
      <c r="T53" s="14" t="b">
        <f>AND(Table1[[#This Row],[orig_outcome]]="Clinton",Table1[[#This Row],[adjusted_outcome]]="Trump")</f>
        <v>0</v>
      </c>
      <c r="U53" s="14" t="str">
        <f>IF(Table1[[#This Row],[index]]=1,IF(Table1[[#This Row],[pickup_clinton]],Table1[[#This Row],[State]],""),IF(Table1[[#This Row],[pickup_clinton]],CONCATENATE(U52,IF(U52="","",","),Table1[[#This Row],[State]]),U52))</f>
        <v>Michigan</v>
      </c>
      <c r="V53" s="14" t="str">
        <f>IF(Table1[[#This Row],[index]]=1,IF(Table1[[#This Row],[pickup_trump]],Table1[[#This Row],[State]],""),IF(Table1[[#This Row],[pickup_trump]],CONCATENATE(V52,IF(V42="","",","),Table1[[#This Row],[State]]),V52))</f>
        <v/>
      </c>
      <c r="W53" s="22">
        <f>Table1[[#This Row],[adjusted_electors_trump]]+Table1[[#This Row],[adjusted_electors_clinton]]-Table1[[#This Row],[electoral_votes]]</f>
        <v>0</v>
      </c>
      <c r="Y53"/>
    </row>
    <row r="54" spans="2:25">
      <c r="B54" s="4" t="s">
        <v>47</v>
      </c>
      <c r="C54" s="9">
        <v>3</v>
      </c>
      <c r="D54" s="18">
        <v>117442</v>
      </c>
      <c r="E54" s="18">
        <v>227701</v>
      </c>
      <c r="F54" s="18">
        <v>20845</v>
      </c>
      <c r="G54" s="10"/>
      <c r="H54" s="10">
        <f>ROW()-ROW(Table1[[#Headers],[index]])</f>
        <v>42</v>
      </c>
      <c r="I54" s="15">
        <f>Table1[[#This Row],[orig_vote_trump]]-Table1[[#This Row],[orig_vote_clinton]]</f>
        <v>110259</v>
      </c>
      <c r="J54" s="15">
        <f>IF(Table1[[#This Row],[orig_vote_clinton]]&gt;Table1[[#This Row],[orig_vote_trump]],Table1[[#This Row],[electoral_votes]],0)</f>
        <v>0</v>
      </c>
      <c r="K54" s="15">
        <f>IF(Table1[[#This Row],[orig_vote_trump]]&gt;Table1[[#This Row],[orig_vote_clinton]],Table1[[#This Row],[electoral_votes]],0)</f>
        <v>3</v>
      </c>
      <c r="L54" s="14">
        <f>Table1[[#This Row],[orig_vote_clinton]]+Table1[[#This Row],[orig_vote_stein]]*pct_stein_to_clinton+Table1[[#This Row],[orig_vote_johnson]]*pct_johnson_to_clinton</f>
        <v>129949</v>
      </c>
      <c r="M54" s="14">
        <f>Table1[[#This Row],[orig_vote_trump]]+Table1[[#This Row],[orig_vote_stein]]*pct_stein_to_trump+Table1[[#This Row],[orig_vote_johnson]]*pct_johnson_to_trump</f>
        <v>236039</v>
      </c>
      <c r="N54" s="15">
        <f>Table1[[#This Row],[adjusted_vote_trump]]-Table1[[#This Row],[adjusted_vote_clinton]]</f>
        <v>106090</v>
      </c>
      <c r="O54" s="15">
        <f>IF(Table1[[#This Row],[adjusted_vote_clinton]]&gt;Table1[[#This Row],[adjusted_vote_trump]],0,Table1[[#This Row],[electoral_votes]])</f>
        <v>3</v>
      </c>
      <c r="P54" s="14">
        <f>IF(Table1[[#This Row],[adjusted_vote_clinton]]&gt;Table1[[#This Row],[adjusted_vote_trump]],Table1[[#This Row],[electoral_votes]],0)</f>
        <v>0</v>
      </c>
      <c r="Q54" s="15" t="str">
        <f>IF(Table1[[#This Row],[orig_spread]]&gt;0,"Trump","Clinton")</f>
        <v>Trump</v>
      </c>
      <c r="R54" s="15" t="str">
        <f>IF(Table1[[#This Row],[adjusted_spread]]&gt;0,"Trump","Clinton")</f>
        <v>Trump</v>
      </c>
      <c r="S54" s="14" t="b">
        <f>AND(Table1[[#This Row],[orig_outcome]]="Trump",Table1[[#This Row],[adjusted_outcome]]="Clinton")</f>
        <v>0</v>
      </c>
      <c r="T54" s="14" t="b">
        <f>AND(Table1[[#This Row],[orig_outcome]]="Clinton",Table1[[#This Row],[adjusted_outcome]]="Trump")</f>
        <v>0</v>
      </c>
      <c r="U54" s="14" t="str">
        <f>IF(Table1[[#This Row],[index]]=1,IF(Table1[[#This Row],[pickup_clinton]],Table1[[#This Row],[State]],""),IF(Table1[[#This Row],[pickup_clinton]],CONCATENATE(U53,IF(U53="","",","),Table1[[#This Row],[State]]),U53))</f>
        <v>Michigan</v>
      </c>
      <c r="V54" s="14" t="str">
        <f>IF(Table1[[#This Row],[index]]=1,IF(Table1[[#This Row],[pickup_trump]],Table1[[#This Row],[State]],""),IF(Table1[[#This Row],[pickup_trump]],CONCATENATE(V53,IF(V43="","",","),Table1[[#This Row],[State]]),V53))</f>
        <v/>
      </c>
      <c r="W54" s="22">
        <f>Table1[[#This Row],[adjusted_electors_trump]]+Table1[[#This Row],[adjusted_electors_clinton]]-Table1[[#This Row],[electoral_votes]]</f>
        <v>0</v>
      </c>
      <c r="Y54"/>
    </row>
    <row r="55" spans="2:25">
      <c r="B55" s="4" t="s">
        <v>49</v>
      </c>
      <c r="C55" s="9">
        <v>11</v>
      </c>
      <c r="D55" s="18">
        <v>867110</v>
      </c>
      <c r="E55" s="18">
        <v>1517402</v>
      </c>
      <c r="F55" s="18">
        <v>70084</v>
      </c>
      <c r="G55" s="18">
        <v>15919</v>
      </c>
      <c r="H55" s="18">
        <f>ROW()-ROW(Table1[[#Headers],[index]])</f>
        <v>43</v>
      </c>
      <c r="I55" s="15">
        <f>Table1[[#This Row],[orig_vote_trump]]-Table1[[#This Row],[orig_vote_clinton]]</f>
        <v>650292</v>
      </c>
      <c r="J55" s="15">
        <f>IF(Table1[[#This Row],[orig_vote_clinton]]&gt;Table1[[#This Row],[orig_vote_trump]],Table1[[#This Row],[electoral_votes]],0)</f>
        <v>0</v>
      </c>
      <c r="K55" s="15">
        <f>IF(Table1[[#This Row],[orig_vote_trump]]&gt;Table1[[#This Row],[orig_vote_clinton]],Table1[[#This Row],[electoral_votes]],0)</f>
        <v>11</v>
      </c>
      <c r="L55" s="14">
        <f>Table1[[#This Row],[orig_vote_clinton]]+Table1[[#This Row],[orig_vote_stein]]*pct_stein_to_clinton+Table1[[#This Row],[orig_vote_johnson]]*pct_johnson_to_clinton</f>
        <v>923487.5</v>
      </c>
      <c r="M55" s="14">
        <f>Table1[[#This Row],[orig_vote_trump]]+Table1[[#This Row],[orig_vote_stein]]*pct_stein_to_trump+Table1[[#This Row],[orig_vote_johnson]]*pct_johnson_to_trump</f>
        <v>1547027.5</v>
      </c>
      <c r="N55" s="15">
        <f>Table1[[#This Row],[adjusted_vote_trump]]-Table1[[#This Row],[adjusted_vote_clinton]]</f>
        <v>623540</v>
      </c>
      <c r="O55" s="15">
        <f>IF(Table1[[#This Row],[adjusted_vote_clinton]]&gt;Table1[[#This Row],[adjusted_vote_trump]],0,Table1[[#This Row],[electoral_votes]])</f>
        <v>11</v>
      </c>
      <c r="P55" s="14">
        <f>IF(Table1[[#This Row],[adjusted_vote_clinton]]&gt;Table1[[#This Row],[adjusted_vote_trump]],Table1[[#This Row],[electoral_votes]],0)</f>
        <v>0</v>
      </c>
      <c r="Q55" s="15" t="str">
        <f>IF(Table1[[#This Row],[orig_spread]]&gt;0,"Trump","Clinton")</f>
        <v>Trump</v>
      </c>
      <c r="R55" s="15" t="str">
        <f>IF(Table1[[#This Row],[adjusted_spread]]&gt;0,"Trump","Clinton")</f>
        <v>Trump</v>
      </c>
      <c r="S55" s="14" t="b">
        <f>AND(Table1[[#This Row],[orig_outcome]]="Trump",Table1[[#This Row],[adjusted_outcome]]="Clinton")</f>
        <v>0</v>
      </c>
      <c r="T55" s="14" t="b">
        <f>AND(Table1[[#This Row],[orig_outcome]]="Clinton",Table1[[#This Row],[adjusted_outcome]]="Trump")</f>
        <v>0</v>
      </c>
      <c r="U55" s="14" t="str">
        <f>IF(Table1[[#This Row],[index]]=1,IF(Table1[[#This Row],[pickup_clinton]],Table1[[#This Row],[State]],""),IF(Table1[[#This Row],[pickup_clinton]],CONCATENATE(U54,IF(U54="","",","),Table1[[#This Row],[State]]),U54))</f>
        <v>Michigan</v>
      </c>
      <c r="V55" s="14" t="str">
        <f>IF(Table1[[#This Row],[index]]=1,IF(Table1[[#This Row],[pickup_trump]],Table1[[#This Row],[State]],""),IF(Table1[[#This Row],[pickup_trump]],CONCATENATE(V54,IF(V44="","",","),Table1[[#This Row],[State]]),V54))</f>
        <v/>
      </c>
      <c r="W55" s="22">
        <f>Table1[[#This Row],[adjusted_electors_trump]]+Table1[[#This Row],[adjusted_electors_clinton]]-Table1[[#This Row],[electoral_votes]]</f>
        <v>0</v>
      </c>
      <c r="Y55"/>
    </row>
    <row r="56" spans="2:25">
      <c r="B56" s="4" t="s">
        <v>50</v>
      </c>
      <c r="C56" s="9">
        <v>38</v>
      </c>
      <c r="D56" s="18">
        <v>3867816</v>
      </c>
      <c r="E56" s="18">
        <v>4681590</v>
      </c>
      <c r="F56" s="18">
        <v>282524</v>
      </c>
      <c r="G56" s="18">
        <v>71307</v>
      </c>
      <c r="H56" s="18">
        <f>ROW()-ROW(Table1[[#Headers],[index]])</f>
        <v>44</v>
      </c>
      <c r="I56" s="15">
        <f>Table1[[#This Row],[orig_vote_trump]]-Table1[[#This Row],[orig_vote_clinton]]</f>
        <v>813774</v>
      </c>
      <c r="J56" s="15">
        <f>IF(Table1[[#This Row],[orig_vote_clinton]]&gt;Table1[[#This Row],[orig_vote_trump]],Table1[[#This Row],[electoral_votes]],0)</f>
        <v>0</v>
      </c>
      <c r="K56" s="15">
        <f>IF(Table1[[#This Row],[orig_vote_trump]]&gt;Table1[[#This Row],[orig_vote_clinton]],Table1[[#This Row],[electoral_votes]],0)</f>
        <v>38</v>
      </c>
      <c r="L56" s="14">
        <f>Table1[[#This Row],[orig_vote_clinton]]+Table1[[#This Row],[orig_vote_stein]]*pct_stein_to_clinton+Table1[[#This Row],[orig_vote_johnson]]*pct_johnson_to_clinton</f>
        <v>4101506.6999999997</v>
      </c>
      <c r="M56" s="14">
        <f>Table1[[#This Row],[orig_vote_trump]]+Table1[[#This Row],[orig_vote_stein]]*pct_stein_to_trump+Table1[[#This Row],[orig_vote_johnson]]*pct_johnson_to_trump</f>
        <v>4801730.3</v>
      </c>
      <c r="N56" s="15">
        <f>Table1[[#This Row],[adjusted_vote_trump]]-Table1[[#This Row],[adjusted_vote_clinton]]</f>
        <v>700223.60000000009</v>
      </c>
      <c r="O56" s="15">
        <f>IF(Table1[[#This Row],[adjusted_vote_clinton]]&gt;Table1[[#This Row],[adjusted_vote_trump]],0,Table1[[#This Row],[electoral_votes]])</f>
        <v>38</v>
      </c>
      <c r="P56" s="14">
        <f>IF(Table1[[#This Row],[adjusted_vote_clinton]]&gt;Table1[[#This Row],[adjusted_vote_trump]],Table1[[#This Row],[electoral_votes]],0)</f>
        <v>0</v>
      </c>
      <c r="Q56" s="15" t="str">
        <f>IF(Table1[[#This Row],[orig_spread]]&gt;0,"Trump","Clinton")</f>
        <v>Trump</v>
      </c>
      <c r="R56" s="15" t="str">
        <f>IF(Table1[[#This Row],[adjusted_spread]]&gt;0,"Trump","Clinton")</f>
        <v>Trump</v>
      </c>
      <c r="S56" s="14" t="b">
        <f>AND(Table1[[#This Row],[orig_outcome]]="Trump",Table1[[#This Row],[adjusted_outcome]]="Clinton")</f>
        <v>0</v>
      </c>
      <c r="T56" s="14" t="b">
        <f>AND(Table1[[#This Row],[orig_outcome]]="Clinton",Table1[[#This Row],[adjusted_outcome]]="Trump")</f>
        <v>0</v>
      </c>
      <c r="U56" s="14" t="str">
        <f>IF(Table1[[#This Row],[index]]=1,IF(Table1[[#This Row],[pickup_clinton]],Table1[[#This Row],[State]],""),IF(Table1[[#This Row],[pickup_clinton]],CONCATENATE(U55,IF(U55="","",","),Table1[[#This Row],[State]]),U55))</f>
        <v>Michigan</v>
      </c>
      <c r="V56" s="14" t="str">
        <f>IF(Table1[[#This Row],[index]]=1,IF(Table1[[#This Row],[pickup_trump]],Table1[[#This Row],[State]],""),IF(Table1[[#This Row],[pickup_trump]],CONCATENATE(V55,IF(V45="","",","),Table1[[#This Row],[State]]),V55))</f>
        <v/>
      </c>
      <c r="W56" s="22">
        <f>Table1[[#This Row],[adjusted_electors_trump]]+Table1[[#This Row],[adjusted_electors_clinton]]-Table1[[#This Row],[electoral_votes]]</f>
        <v>0</v>
      </c>
      <c r="Y56"/>
    </row>
    <row r="57" spans="2:25">
      <c r="B57" s="4" t="s">
        <v>51</v>
      </c>
      <c r="C57" s="9">
        <v>6</v>
      </c>
      <c r="D57" s="18">
        <v>222858</v>
      </c>
      <c r="E57" s="18">
        <v>375006</v>
      </c>
      <c r="F57" s="18">
        <v>222858</v>
      </c>
      <c r="G57" s="18">
        <v>5484</v>
      </c>
      <c r="H57" s="18">
        <f>ROW()-ROW(Table1[[#Headers],[index]])</f>
        <v>45</v>
      </c>
      <c r="I57" s="15">
        <f>Table1[[#This Row],[orig_vote_trump]]-Table1[[#This Row],[orig_vote_clinton]]</f>
        <v>152148</v>
      </c>
      <c r="J57" s="15">
        <f>IF(Table1[[#This Row],[orig_vote_clinton]]&gt;Table1[[#This Row],[orig_vote_trump]],Table1[[#This Row],[electoral_votes]],0)</f>
        <v>0</v>
      </c>
      <c r="K57" s="15">
        <f>IF(Table1[[#This Row],[orig_vote_trump]]&gt;Table1[[#This Row],[orig_vote_clinton]],Table1[[#This Row],[electoral_votes]],0)</f>
        <v>6</v>
      </c>
      <c r="L57" s="14">
        <f>Table1[[#This Row],[orig_vote_clinton]]+Table1[[#This Row],[orig_vote_stein]]*pct_stein_to_clinton+Table1[[#This Row],[orig_vote_johnson]]*pct_johnson_to_clinton</f>
        <v>361508.4</v>
      </c>
      <c r="M57" s="14">
        <f>Table1[[#This Row],[orig_vote_trump]]+Table1[[#This Row],[orig_vote_stein]]*pct_stein_to_trump+Table1[[#This Row],[orig_vote_johnson]]*pct_johnson_to_trump</f>
        <v>464697.60000000003</v>
      </c>
      <c r="N57" s="15">
        <f>Table1[[#This Row],[adjusted_vote_trump]]-Table1[[#This Row],[adjusted_vote_clinton]]</f>
        <v>103189.20000000001</v>
      </c>
      <c r="O57" s="15">
        <f>IF(Table1[[#This Row],[adjusted_vote_clinton]]&gt;Table1[[#This Row],[adjusted_vote_trump]],0,Table1[[#This Row],[electoral_votes]])</f>
        <v>6</v>
      </c>
      <c r="P57" s="14">
        <f>IF(Table1[[#This Row],[adjusted_vote_clinton]]&gt;Table1[[#This Row],[adjusted_vote_trump]],Table1[[#This Row],[electoral_votes]],0)</f>
        <v>0</v>
      </c>
      <c r="Q57" s="15" t="str">
        <f>IF(Table1[[#This Row],[orig_spread]]&gt;0,"Trump","Clinton")</f>
        <v>Trump</v>
      </c>
      <c r="R57" s="15" t="str">
        <f>IF(Table1[[#This Row],[adjusted_spread]]&gt;0,"Trump","Clinton")</f>
        <v>Trump</v>
      </c>
      <c r="S57" s="14" t="b">
        <f>AND(Table1[[#This Row],[orig_outcome]]="Trump",Table1[[#This Row],[adjusted_outcome]]="Clinton")</f>
        <v>0</v>
      </c>
      <c r="T57" s="14" t="b">
        <f>AND(Table1[[#This Row],[orig_outcome]]="Clinton",Table1[[#This Row],[adjusted_outcome]]="Trump")</f>
        <v>0</v>
      </c>
      <c r="U57" s="14" t="str">
        <f>IF(Table1[[#This Row],[index]]=1,IF(Table1[[#This Row],[pickup_clinton]],Table1[[#This Row],[State]],""),IF(Table1[[#This Row],[pickup_clinton]],CONCATENATE(U56,IF(U56="","",","),Table1[[#This Row],[State]]),U56))</f>
        <v>Michigan</v>
      </c>
      <c r="V57" s="14" t="str">
        <f>IF(Table1[[#This Row],[index]]=1,IF(Table1[[#This Row],[pickup_trump]],Table1[[#This Row],[State]],""),IF(Table1[[#This Row],[pickup_trump]],CONCATENATE(V56,IF(V46="","",","),Table1[[#This Row],[State]]),V56))</f>
        <v/>
      </c>
      <c r="W57" s="22">
        <f>Table1[[#This Row],[adjusted_electors_trump]]+Table1[[#This Row],[adjusted_electors_clinton]]-Table1[[#This Row],[electoral_votes]]</f>
        <v>0</v>
      </c>
      <c r="Y57"/>
    </row>
    <row r="58" spans="2:25">
      <c r="B58" s="25" t="s">
        <v>52</v>
      </c>
      <c r="C58" s="24">
        <v>3</v>
      </c>
      <c r="D58" s="18">
        <v>178072</v>
      </c>
      <c r="E58" s="18">
        <v>95027</v>
      </c>
      <c r="F58" s="18">
        <v>10041</v>
      </c>
      <c r="G58" s="18">
        <v>6742</v>
      </c>
      <c r="H58" s="18">
        <f>ROW()-ROW(Table1[[#Headers],[index]])</f>
        <v>46</v>
      </c>
      <c r="I58" s="15">
        <f>Table1[[#This Row],[orig_vote_trump]]-Table1[[#This Row],[orig_vote_clinton]]</f>
        <v>-83045</v>
      </c>
      <c r="J58" s="15">
        <f>IF(Table1[[#This Row],[orig_vote_clinton]]&gt;Table1[[#This Row],[orig_vote_trump]],Table1[[#This Row],[electoral_votes]],0)</f>
        <v>3</v>
      </c>
      <c r="K58" s="15">
        <f>IF(Table1[[#This Row],[orig_vote_trump]]&gt;Table1[[#This Row],[orig_vote_clinton]],Table1[[#This Row],[electoral_votes]],0)</f>
        <v>0</v>
      </c>
      <c r="L58" s="14">
        <f>Table1[[#This Row],[orig_vote_clinton]]+Table1[[#This Row],[orig_vote_stein]]*pct_stein_to_clinton+Table1[[#This Row],[orig_vote_johnson]]*pct_johnson_to_clinton</f>
        <v>190164.4</v>
      </c>
      <c r="M58" s="14">
        <f>Table1[[#This Row],[orig_vote_trump]]+Table1[[#This Row],[orig_vote_stein]]*pct_stein_to_trump+Table1[[#This Row],[orig_vote_johnson]]*pct_johnson_to_trump</f>
        <v>99717.599999999991</v>
      </c>
      <c r="N58" s="15">
        <f>Table1[[#This Row],[adjusted_vote_trump]]-Table1[[#This Row],[adjusted_vote_clinton]]</f>
        <v>-90446.8</v>
      </c>
      <c r="O58" s="15">
        <f>IF(Table1[[#This Row],[adjusted_vote_clinton]]&gt;Table1[[#This Row],[adjusted_vote_trump]],0,Table1[[#This Row],[electoral_votes]])</f>
        <v>0</v>
      </c>
      <c r="P58" s="14">
        <f>IF(Table1[[#This Row],[adjusted_vote_clinton]]&gt;Table1[[#This Row],[adjusted_vote_trump]],Table1[[#This Row],[electoral_votes]],0)</f>
        <v>3</v>
      </c>
      <c r="Q58" s="15" t="str">
        <f>IF(Table1[[#This Row],[orig_spread]]&gt;0,"Trump","Clinton")</f>
        <v>Clinton</v>
      </c>
      <c r="R58" s="15" t="str">
        <f>IF(Table1[[#This Row],[adjusted_spread]]&gt;0,"Trump","Clinton")</f>
        <v>Clinton</v>
      </c>
      <c r="S58" s="14" t="b">
        <f>AND(Table1[[#This Row],[orig_outcome]]="Trump",Table1[[#This Row],[adjusted_outcome]]="Clinton")</f>
        <v>0</v>
      </c>
      <c r="T58" s="14" t="b">
        <f>AND(Table1[[#This Row],[orig_outcome]]="Clinton",Table1[[#This Row],[adjusted_outcome]]="Trump")</f>
        <v>0</v>
      </c>
      <c r="U58" s="14" t="str">
        <f>IF(Table1[[#This Row],[index]]=1,IF(Table1[[#This Row],[pickup_clinton]],Table1[[#This Row],[State]],""),IF(Table1[[#This Row],[pickup_clinton]],CONCATENATE(U57,IF(U57="","",","),Table1[[#This Row],[State]]),U57))</f>
        <v>Michigan</v>
      </c>
      <c r="V58" s="14" t="str">
        <f>IF(Table1[[#This Row],[index]]=1,IF(Table1[[#This Row],[pickup_trump]],Table1[[#This Row],[State]],""),IF(Table1[[#This Row],[pickup_trump]],CONCATENATE(V57,IF(V47="","",","),Table1[[#This Row],[State]]),V57))</f>
        <v/>
      </c>
      <c r="W58" s="22">
        <f>Table1[[#This Row],[adjusted_electors_trump]]+Table1[[#This Row],[adjusted_electors_clinton]]-Table1[[#This Row],[electoral_votes]]</f>
        <v>0</v>
      </c>
      <c r="Y58"/>
    </row>
    <row r="59" spans="2:25">
      <c r="B59" s="25" t="s">
        <v>53</v>
      </c>
      <c r="C59" s="24">
        <v>13</v>
      </c>
      <c r="D59" s="18">
        <v>1916845</v>
      </c>
      <c r="E59" s="18">
        <v>1731156</v>
      </c>
      <c r="F59" s="18">
        <v>116600</v>
      </c>
      <c r="G59" s="18">
        <v>27272</v>
      </c>
      <c r="H59" s="18">
        <f>ROW()-ROW(Table1[[#Headers],[index]])</f>
        <v>47</v>
      </c>
      <c r="I59" s="15">
        <f>Table1[[#This Row],[orig_vote_trump]]-Table1[[#This Row],[orig_vote_clinton]]</f>
        <v>-185689</v>
      </c>
      <c r="J59" s="15">
        <f>IF(Table1[[#This Row],[orig_vote_clinton]]&gt;Table1[[#This Row],[orig_vote_trump]],Table1[[#This Row],[electoral_votes]],0)</f>
        <v>13</v>
      </c>
      <c r="K59" s="15">
        <f>IF(Table1[[#This Row],[orig_vote_trump]]&gt;Table1[[#This Row],[orig_vote_clinton]],Table1[[#This Row],[electoral_votes]],0)</f>
        <v>0</v>
      </c>
      <c r="L59" s="14">
        <f>Table1[[#This Row],[orig_vote_clinton]]+Table1[[#This Row],[orig_vote_stein]]*pct_stein_to_clinton+Table1[[#This Row],[orig_vote_johnson]]*pct_johnson_to_clinton</f>
        <v>2011349.8</v>
      </c>
      <c r="M59" s="14">
        <f>Table1[[#This Row],[orig_vote_trump]]+Table1[[#This Row],[orig_vote_stein]]*pct_stein_to_trump+Table1[[#This Row],[orig_vote_johnson]]*pct_johnson_to_trump</f>
        <v>1780523.2</v>
      </c>
      <c r="N59" s="15">
        <f>Table1[[#This Row],[adjusted_vote_trump]]-Table1[[#This Row],[adjusted_vote_clinton]]</f>
        <v>-230826.60000000009</v>
      </c>
      <c r="O59" s="15">
        <f>IF(Table1[[#This Row],[adjusted_vote_clinton]]&gt;Table1[[#This Row],[adjusted_vote_trump]],0,Table1[[#This Row],[electoral_votes]])</f>
        <v>0</v>
      </c>
      <c r="P59" s="14">
        <f>IF(Table1[[#This Row],[adjusted_vote_clinton]]&gt;Table1[[#This Row],[adjusted_vote_trump]],Table1[[#This Row],[electoral_votes]],0)</f>
        <v>13</v>
      </c>
      <c r="Q59" s="15" t="str">
        <f>IF(Table1[[#This Row],[orig_spread]]&gt;0,"Trump","Clinton")</f>
        <v>Clinton</v>
      </c>
      <c r="R59" s="15" t="str">
        <f>IF(Table1[[#This Row],[adjusted_spread]]&gt;0,"Trump","Clinton")</f>
        <v>Clinton</v>
      </c>
      <c r="S59" s="14" t="b">
        <f>AND(Table1[[#This Row],[orig_outcome]]="Trump",Table1[[#This Row],[adjusted_outcome]]="Clinton")</f>
        <v>0</v>
      </c>
      <c r="T59" s="14" t="b">
        <f>AND(Table1[[#This Row],[orig_outcome]]="Clinton",Table1[[#This Row],[adjusted_outcome]]="Trump")</f>
        <v>0</v>
      </c>
      <c r="U59" s="14" t="str">
        <f>IF(Table1[[#This Row],[index]]=1,IF(Table1[[#This Row],[pickup_clinton]],Table1[[#This Row],[State]],""),IF(Table1[[#This Row],[pickup_clinton]],CONCATENATE(U58,IF(U58="","",","),Table1[[#This Row],[State]]),U58))</f>
        <v>Michigan</v>
      </c>
      <c r="V59" s="14" t="str">
        <f>IF(Table1[[#This Row],[index]]=1,IF(Table1[[#This Row],[pickup_trump]],Table1[[#This Row],[State]],""),IF(Table1[[#This Row],[pickup_trump]],CONCATENATE(V58,IF(V48="","",","),Table1[[#This Row],[State]]),V58))</f>
        <v/>
      </c>
      <c r="W59" s="22">
        <f>Table1[[#This Row],[adjusted_electors_trump]]+Table1[[#This Row],[adjusted_electors_clinton]]-Table1[[#This Row],[electoral_votes]]</f>
        <v>0</v>
      </c>
      <c r="Y59"/>
    </row>
    <row r="60" spans="2:25">
      <c r="B60" s="25" t="s">
        <v>54</v>
      </c>
      <c r="C60" s="24">
        <v>12</v>
      </c>
      <c r="D60" s="18">
        <v>1207943</v>
      </c>
      <c r="E60" s="18">
        <v>827555</v>
      </c>
      <c r="F60" s="18">
        <v>91053</v>
      </c>
      <c r="G60" s="18">
        <v>30416</v>
      </c>
      <c r="H60" s="18">
        <f>ROW()-ROW(Table1[[#Headers],[index]])</f>
        <v>48</v>
      </c>
      <c r="I60" s="15">
        <f>Table1[[#This Row],[orig_vote_trump]]-Table1[[#This Row],[orig_vote_clinton]]</f>
        <v>-380388</v>
      </c>
      <c r="J60" s="15">
        <f>IF(Table1[[#This Row],[orig_vote_clinton]]&gt;Table1[[#This Row],[orig_vote_trump]],Table1[[#This Row],[electoral_votes]],0)</f>
        <v>12</v>
      </c>
      <c r="K60" s="15">
        <f>IF(Table1[[#This Row],[orig_vote_trump]]&gt;Table1[[#This Row],[orig_vote_clinton]],Table1[[#This Row],[electoral_votes]],0)</f>
        <v>0</v>
      </c>
      <c r="L60" s="14">
        <f>Table1[[#This Row],[orig_vote_clinton]]+Table1[[#This Row],[orig_vote_stein]]*pct_stein_to_clinton+Table1[[#This Row],[orig_vote_johnson]]*pct_johnson_to_clinton</f>
        <v>1289949.2</v>
      </c>
      <c r="M60" s="14">
        <f>Table1[[#This Row],[orig_vote_trump]]+Table1[[#This Row],[orig_vote_stein]]*pct_stein_to_trump+Table1[[#This Row],[orig_vote_johnson]]*pct_johnson_to_trump</f>
        <v>867017.79999999993</v>
      </c>
      <c r="N60" s="15">
        <f>Table1[[#This Row],[adjusted_vote_trump]]-Table1[[#This Row],[adjusted_vote_clinton]]</f>
        <v>-422931.4</v>
      </c>
      <c r="O60" s="15">
        <f>IF(Table1[[#This Row],[adjusted_vote_clinton]]&gt;Table1[[#This Row],[adjusted_vote_trump]],0,Table1[[#This Row],[electoral_votes]])</f>
        <v>0</v>
      </c>
      <c r="P60" s="14">
        <f>IF(Table1[[#This Row],[adjusted_vote_clinton]]&gt;Table1[[#This Row],[adjusted_vote_trump]],Table1[[#This Row],[electoral_votes]],0)</f>
        <v>12</v>
      </c>
      <c r="Q60" s="15" t="str">
        <f>IF(Table1[[#This Row],[orig_spread]]&gt;0,"Trump","Clinton")</f>
        <v>Clinton</v>
      </c>
      <c r="R60" s="15" t="str">
        <f>IF(Table1[[#This Row],[adjusted_spread]]&gt;0,"Trump","Clinton")</f>
        <v>Clinton</v>
      </c>
      <c r="S60" s="14" t="b">
        <f>AND(Table1[[#This Row],[orig_outcome]]="Trump",Table1[[#This Row],[adjusted_outcome]]="Clinton")</f>
        <v>0</v>
      </c>
      <c r="T60" s="14" t="b">
        <f>AND(Table1[[#This Row],[orig_outcome]]="Clinton",Table1[[#This Row],[adjusted_outcome]]="Trump")</f>
        <v>0</v>
      </c>
      <c r="U60" s="14" t="str">
        <f>IF(Table1[[#This Row],[index]]=1,IF(Table1[[#This Row],[pickup_clinton]],Table1[[#This Row],[State]],""),IF(Table1[[#This Row],[pickup_clinton]],CONCATENATE(U59,IF(U59="","",","),Table1[[#This Row],[State]]),U59))</f>
        <v>Michigan</v>
      </c>
      <c r="V60" s="14" t="str">
        <f>IF(Table1[[#This Row],[index]]=1,IF(Table1[[#This Row],[pickup_trump]],Table1[[#This Row],[State]],""),IF(Table1[[#This Row],[pickup_trump]],CONCATENATE(V59,IF(V49="","",","),Table1[[#This Row],[State]]),V59))</f>
        <v/>
      </c>
      <c r="W60" s="22">
        <f>Table1[[#This Row],[adjusted_electors_trump]]+Table1[[#This Row],[adjusted_electors_clinton]]-Table1[[#This Row],[electoral_votes]]</f>
        <v>0</v>
      </c>
      <c r="Y60"/>
    </row>
    <row r="61" spans="2:25">
      <c r="B61" s="4" t="s">
        <v>55</v>
      </c>
      <c r="C61" s="9">
        <v>5</v>
      </c>
      <c r="D61" s="18">
        <v>187457</v>
      </c>
      <c r="E61" s="18">
        <v>486198</v>
      </c>
      <c r="F61" s="18">
        <v>22798</v>
      </c>
      <c r="G61" s="18">
        <v>8000</v>
      </c>
      <c r="H61" s="18">
        <f>ROW()-ROW(Table1[[#Headers],[index]])</f>
        <v>49</v>
      </c>
      <c r="I61" s="15">
        <f>Table1[[#This Row],[orig_vote_trump]]-Table1[[#This Row],[orig_vote_clinton]]</f>
        <v>298741</v>
      </c>
      <c r="J61" s="15">
        <f>IF(Table1[[#This Row],[orig_vote_clinton]]&gt;Table1[[#This Row],[orig_vote_trump]],Table1[[#This Row],[electoral_votes]],0)</f>
        <v>0</v>
      </c>
      <c r="K61" s="15">
        <f>IF(Table1[[#This Row],[orig_vote_trump]]&gt;Table1[[#This Row],[orig_vote_clinton]],Table1[[#This Row],[electoral_votes]],0)</f>
        <v>5</v>
      </c>
      <c r="L61" s="14">
        <f>Table1[[#This Row],[orig_vote_clinton]]+Table1[[#This Row],[orig_vote_stein]]*pct_stein_to_clinton+Table1[[#This Row],[orig_vote_johnson]]*pct_johnson_to_clinton</f>
        <v>208335.8</v>
      </c>
      <c r="M61" s="14">
        <f>Table1[[#This Row],[orig_vote_trump]]+Table1[[#This Row],[orig_vote_stein]]*pct_stein_to_trump+Table1[[#This Row],[orig_vote_johnson]]*pct_johnson_to_trump</f>
        <v>496117.2</v>
      </c>
      <c r="N61" s="15">
        <f>Table1[[#This Row],[adjusted_vote_trump]]-Table1[[#This Row],[adjusted_vote_clinton]]</f>
        <v>287781.40000000002</v>
      </c>
      <c r="O61" s="15">
        <f>IF(Table1[[#This Row],[adjusted_vote_clinton]]&gt;Table1[[#This Row],[adjusted_vote_trump]],0,Table1[[#This Row],[electoral_votes]])</f>
        <v>5</v>
      </c>
      <c r="P61" s="14">
        <f>IF(Table1[[#This Row],[adjusted_vote_clinton]]&gt;Table1[[#This Row],[adjusted_vote_trump]],Table1[[#This Row],[electoral_votes]],0)</f>
        <v>0</v>
      </c>
      <c r="Q61" s="15" t="str">
        <f>IF(Table1[[#This Row],[orig_spread]]&gt;0,"Trump","Clinton")</f>
        <v>Trump</v>
      </c>
      <c r="R61" s="15" t="str">
        <f>IF(Table1[[#This Row],[adjusted_spread]]&gt;0,"Trump","Clinton")</f>
        <v>Trump</v>
      </c>
      <c r="S61" s="14" t="b">
        <f>AND(Table1[[#This Row],[orig_outcome]]="Trump",Table1[[#This Row],[adjusted_outcome]]="Clinton")</f>
        <v>0</v>
      </c>
      <c r="T61" s="14" t="b">
        <f>AND(Table1[[#This Row],[orig_outcome]]="Clinton",Table1[[#This Row],[adjusted_outcome]]="Trump")</f>
        <v>0</v>
      </c>
      <c r="U61" s="14" t="str">
        <f>IF(Table1[[#This Row],[index]]=1,IF(Table1[[#This Row],[pickup_clinton]],Table1[[#This Row],[State]],""),IF(Table1[[#This Row],[pickup_clinton]],CONCATENATE(U60,IF(U60="","",","),Table1[[#This Row],[State]]),U60))</f>
        <v>Michigan</v>
      </c>
      <c r="V61" s="14" t="str">
        <f>IF(Table1[[#This Row],[index]]=1,IF(Table1[[#This Row],[pickup_trump]],Table1[[#This Row],[State]],""),IF(Table1[[#This Row],[pickup_trump]],CONCATENATE(V60,IF(V50="","",","),Table1[[#This Row],[State]]),V60))</f>
        <v/>
      </c>
      <c r="W61" s="22">
        <f>Table1[[#This Row],[adjusted_electors_trump]]+Table1[[#This Row],[adjusted_electors_clinton]]-Table1[[#This Row],[electoral_votes]]</f>
        <v>0</v>
      </c>
      <c r="Y61"/>
    </row>
    <row r="62" spans="2:25">
      <c r="B62" s="25" t="s">
        <v>0</v>
      </c>
      <c r="C62" s="26">
        <v>10</v>
      </c>
      <c r="D62" s="16">
        <v>1382210</v>
      </c>
      <c r="E62" s="16">
        <v>1409467</v>
      </c>
      <c r="F62" s="18">
        <v>106442</v>
      </c>
      <c r="G62" s="18">
        <v>30980</v>
      </c>
      <c r="H62" s="18">
        <f>ROW()-ROW(Table1[[#Headers],[index]])</f>
        <v>50</v>
      </c>
      <c r="I62" s="15">
        <f>Table1[[#This Row],[orig_vote_trump]]-Table1[[#This Row],[orig_vote_clinton]]</f>
        <v>27257</v>
      </c>
      <c r="J62" s="15">
        <f>IF(Table1[[#This Row],[orig_vote_clinton]]&gt;Table1[[#This Row],[orig_vote_trump]],Table1[[#This Row],[electoral_votes]],0)</f>
        <v>0</v>
      </c>
      <c r="K62" s="15">
        <f>IF(Table1[[#This Row],[orig_vote_trump]]&gt;Table1[[#This Row],[orig_vote_clinton]],Table1[[#This Row],[electoral_votes]],0)</f>
        <v>10</v>
      </c>
      <c r="L62" s="14">
        <f>Table1[[#This Row],[orig_vote_clinton]]+Table1[[#This Row],[orig_vote_stein]]*pct_stein_to_clinton+Table1[[#This Row],[orig_vote_johnson]]*pct_johnson_to_clinton</f>
        <v>1473957.2</v>
      </c>
      <c r="M62" s="14">
        <f>Table1[[#This Row],[orig_vote_trump]]+Table1[[#This Row],[orig_vote_stein]]*pct_stein_to_trump+Table1[[#This Row],[orig_vote_johnson]]*pct_johnson_to_trump</f>
        <v>1455141.8</v>
      </c>
      <c r="N62" s="15">
        <f>Table1[[#This Row],[adjusted_vote_trump]]-Table1[[#This Row],[adjusted_vote_clinton]]</f>
        <v>-18815.399999999907</v>
      </c>
      <c r="O62" s="15">
        <f>IF(Table1[[#This Row],[adjusted_vote_clinton]]&gt;Table1[[#This Row],[adjusted_vote_trump]],0,Table1[[#This Row],[electoral_votes]])</f>
        <v>0</v>
      </c>
      <c r="P62" s="14">
        <f>IF(Table1[[#This Row],[adjusted_vote_clinton]]&gt;Table1[[#This Row],[adjusted_vote_trump]],Table1[[#This Row],[electoral_votes]],0)</f>
        <v>10</v>
      </c>
      <c r="Q62" s="15" t="str">
        <f>IF(Table1[[#This Row],[orig_spread]]&gt;0,"Trump","Clinton")</f>
        <v>Trump</v>
      </c>
      <c r="R62" s="15" t="str">
        <f>IF(Table1[[#This Row],[adjusted_spread]]&gt;0,"Trump","Clinton")</f>
        <v>Clinton</v>
      </c>
      <c r="S62" s="14" t="b">
        <f>AND(Table1[[#This Row],[orig_outcome]]="Trump",Table1[[#This Row],[adjusted_outcome]]="Clinton")</f>
        <v>1</v>
      </c>
      <c r="T62" s="14" t="b">
        <f>AND(Table1[[#This Row],[orig_outcome]]="Clinton",Table1[[#This Row],[adjusted_outcome]]="Trump")</f>
        <v>0</v>
      </c>
      <c r="U62" s="14" t="str">
        <f>IF(Table1[[#This Row],[index]]=1,IF(Table1[[#This Row],[pickup_clinton]],Table1[[#This Row],[State]],""),IF(Table1[[#This Row],[pickup_clinton]],CONCATENATE(U61,IF(U61="","",","),Table1[[#This Row],[State]]),U61))</f>
        <v>Michigan,Wisconsin</v>
      </c>
      <c r="V62" s="14" t="str">
        <f>IF(Table1[[#This Row],[index]]=1,IF(Table1[[#This Row],[pickup_trump]],Table1[[#This Row],[State]],""),IF(Table1[[#This Row],[pickup_trump]],CONCATENATE(V61,IF(V51="","",","),Table1[[#This Row],[State]]),V61))</f>
        <v/>
      </c>
      <c r="W62" s="22">
        <f>Table1[[#This Row],[adjusted_electors_trump]]+Table1[[#This Row],[adjusted_electors_clinton]]-Table1[[#This Row],[electoral_votes]]</f>
        <v>0</v>
      </c>
      <c r="Y62"/>
    </row>
    <row r="63" spans="2:25">
      <c r="B63" s="4" t="s">
        <v>56</v>
      </c>
      <c r="C63" s="9">
        <v>3</v>
      </c>
      <c r="D63" s="18">
        <v>55949</v>
      </c>
      <c r="E63" s="18">
        <v>174248</v>
      </c>
      <c r="F63" s="18">
        <v>13285</v>
      </c>
      <c r="G63" s="18">
        <v>2512</v>
      </c>
      <c r="H63" s="18">
        <f>ROW()-ROW(Table1[[#Headers],[index]])</f>
        <v>51</v>
      </c>
      <c r="I63" s="15">
        <f>Table1[[#This Row],[orig_vote_trump]]-Table1[[#This Row],[orig_vote_clinton]]</f>
        <v>118299</v>
      </c>
      <c r="J63" s="15">
        <f>IF(Table1[[#This Row],[orig_vote_clinton]]&gt;Table1[[#This Row],[orig_vote_trump]],Table1[[#This Row],[electoral_votes]],0)</f>
        <v>0</v>
      </c>
      <c r="K63" s="15">
        <f>IF(Table1[[#This Row],[orig_vote_trump]]&gt;Table1[[#This Row],[orig_vote_clinton]],Table1[[#This Row],[electoral_votes]],0)</f>
        <v>3</v>
      </c>
      <c r="L63" s="14">
        <f>Table1[[#This Row],[orig_vote_clinton]]+Table1[[#This Row],[orig_vote_stein]]*pct_stein_to_clinton+Table1[[#This Row],[orig_vote_johnson]]*pct_johnson_to_clinton</f>
        <v>66180.800000000003</v>
      </c>
      <c r="M63" s="14">
        <f>Table1[[#This Row],[orig_vote_trump]]+Table1[[#This Row],[orig_vote_stein]]*pct_stein_to_trump+Table1[[#This Row],[orig_vote_johnson]]*pct_johnson_to_trump</f>
        <v>179813.2</v>
      </c>
      <c r="N63" s="15">
        <f>Table1[[#This Row],[adjusted_vote_trump]]-Table1[[#This Row],[adjusted_vote_clinton]]</f>
        <v>113632.40000000001</v>
      </c>
      <c r="O63" s="15">
        <f>IF(Table1[[#This Row],[adjusted_vote_clinton]]&gt;Table1[[#This Row],[adjusted_vote_trump]],0,Table1[[#This Row],[electoral_votes]])</f>
        <v>3</v>
      </c>
      <c r="P63" s="14">
        <f>IF(Table1[[#This Row],[adjusted_vote_clinton]]&gt;Table1[[#This Row],[adjusted_vote_trump]],Table1[[#This Row],[electoral_votes]],0)</f>
        <v>0</v>
      </c>
      <c r="Q63" s="15" t="str">
        <f>IF(Table1[[#This Row],[orig_spread]]&gt;0,"Trump","Clinton")</f>
        <v>Trump</v>
      </c>
      <c r="R63" s="15" t="str">
        <f>IF(Table1[[#This Row],[adjusted_spread]]&gt;0,"Trump","Clinton")</f>
        <v>Trump</v>
      </c>
      <c r="S63" s="14" t="b">
        <f>AND(Table1[[#This Row],[orig_outcome]]="Trump",Table1[[#This Row],[adjusted_outcome]]="Clinton")</f>
        <v>0</v>
      </c>
      <c r="T63" s="14" t="b">
        <f>AND(Table1[[#This Row],[orig_outcome]]="Clinton",Table1[[#This Row],[adjusted_outcome]]="Trump")</f>
        <v>0</v>
      </c>
      <c r="U63" s="14" t="str">
        <f>IF(Table1[[#This Row],[index]]=1,IF(Table1[[#This Row],[pickup_clinton]],Table1[[#This Row],[State]],""),IF(Table1[[#This Row],[pickup_clinton]],CONCATENATE(U62,IF(U62="","",","),Table1[[#This Row],[State]]),U62))</f>
        <v>Michigan,Wisconsin</v>
      </c>
      <c r="V63" s="14" t="str">
        <f>IF(Table1[[#This Row],[index]]=1,IF(Table1[[#This Row],[pickup_trump]],Table1[[#This Row],[State]],""),IF(Table1[[#This Row],[pickup_trump]],CONCATENATE(V62,IF(V52="","",","),Table1[[#This Row],[State]]),V62))</f>
        <v/>
      </c>
      <c r="W63" s="22">
        <f>Table1[[#This Row],[adjusted_electors_trump]]+Table1[[#This Row],[adjusted_electors_clinton]]-Table1[[#This Row],[electoral_votes]]</f>
        <v>0</v>
      </c>
      <c r="Y63"/>
    </row>
    <row r="64" spans="2:25">
      <c r="U64" s="1" t="str">
        <f>""</f>
        <v/>
      </c>
    </row>
    <row r="65" spans="3:3">
      <c r="C65" s="29"/>
    </row>
    <row r="66" spans="3:3">
      <c r="C66" s="29"/>
    </row>
    <row r="67" spans="3:3">
      <c r="C67" s="29"/>
    </row>
    <row r="68" spans="3:3">
      <c r="C68" s="29"/>
    </row>
    <row r="69" spans="3:3">
      <c r="C69" s="29"/>
    </row>
    <row r="70" spans="3:3">
      <c r="C70" s="29"/>
    </row>
    <row r="71" spans="3:3">
      <c r="C71" s="29"/>
    </row>
    <row r="72" spans="3:3">
      <c r="C72" s="29"/>
    </row>
    <row r="73" spans="3:3">
      <c r="C73" s="29"/>
    </row>
    <row r="74" spans="3:3">
      <c r="C74" s="29"/>
    </row>
    <row r="75" spans="3:3">
      <c r="C75" s="29"/>
    </row>
    <row r="76" spans="3:3">
      <c r="C76" s="29"/>
    </row>
    <row r="77" spans="3:3">
      <c r="C77" s="29"/>
    </row>
    <row r="78" spans="3:3">
      <c r="C78" s="29"/>
    </row>
    <row r="79" spans="3:3">
      <c r="C79" s="29"/>
    </row>
    <row r="80" spans="3:3">
      <c r="C80" s="29"/>
    </row>
    <row r="81" spans="3:3">
      <c r="C81" s="29"/>
    </row>
  </sheetData>
  <mergeCells count="3">
    <mergeCell ref="G2:I2"/>
    <mergeCell ref="G3:I3"/>
    <mergeCell ref="G4:I4"/>
  </mergeCells>
  <conditionalFormatting sqref="C10:K10 O10:P10 S10:V10">
    <cfRule type="cellIs" dxfId="5" priority="53" operator="notEqual">
      <formula>0</formula>
    </cfRule>
  </conditionalFormatting>
  <conditionalFormatting sqref="D5:F5">
    <cfRule type="cellIs" dxfId="4" priority="51" operator="notEqual">
      <formula>0</formula>
    </cfRule>
  </conditionalFormatting>
  <conditionalFormatting sqref="B13:V63">
    <cfRule type="expression" dxfId="3" priority="48">
      <formula>$T13</formula>
    </cfRule>
    <cfRule type="expression" dxfId="2" priority="49">
      <formula>$S13</formula>
    </cfRule>
  </conditionalFormatting>
  <conditionalFormatting sqref="C10">
    <cfRule type="containsBlanks" dxfId="1" priority="57">
      <formula>LEN(TRIM(C10))=0</formula>
    </cfRule>
  </conditionalFormatting>
  <conditionalFormatting sqref="J7:K7">
    <cfRule type="cellIs" dxfId="0" priority="2" operator="notEqual">
      <formula>0</formula>
    </cfRule>
  </conditionalFormatting>
  <dataValidations count="1">
    <dataValidation type="decimal" allowBlank="1" showInputMessage="1" showErrorMessage="1" sqref="D3:E3">
      <formula1>0</formula1>
      <formula2>1</formula2>
    </dataValidation>
  </dataValidation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Iora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iora user</dc:creator>
  <cp:lastModifiedBy>iora user</cp:lastModifiedBy>
  <dcterms:created xsi:type="dcterms:W3CDTF">2016-11-10T01:39:46Z</dcterms:created>
  <dcterms:modified xsi:type="dcterms:W3CDTF">2016-11-10T09:50:31Z</dcterms:modified>
</cp:coreProperties>
</file>