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00" yWindow="40" windowWidth="31320" windowHeight="17000" tabRatio="500"/>
  </bookViews>
  <sheets>
    <sheet name="Main" sheetId="1" r:id="rId1"/>
  </sheets>
  <definedNames>
    <definedName name="adjusted_clinton_national">Main!$AJ$23</definedName>
    <definedName name="adjusted_electors_">Main!$J$23</definedName>
    <definedName name="adjusted_electors_clinton">Main!$F$12</definedName>
    <definedName name="adjusted_electors_clinton_with_johnson_only">Main!$Z$23</definedName>
    <definedName name="adjusted_electors_clinton_with_stein_only">Main!$Y$23</definedName>
    <definedName name="adjusted_electors_national_clinton">Main!$K$23</definedName>
    <definedName name="adjusted_electors_national_trump">Main!$J$23</definedName>
    <definedName name="adjusted_electors_trump">Main!$F$13</definedName>
    <definedName name="adjusted_spread_national">Main!$AS$23</definedName>
    <definedName name="adjusted_trump_national">Main!#REF!</definedName>
    <definedName name="clinton_national">Main!$D$3</definedName>
    <definedName name="johnson_national">Main!$F$3</definedName>
    <definedName name="johnson_split_needed">Main!$AU$23</definedName>
    <definedName name="orig_">Main!$I$25:$I$75</definedName>
    <definedName name="orig_clinton">Main!$D$4</definedName>
    <definedName name="orig_electors_clinton">Main!$J$25:$J$75</definedName>
    <definedName name="orig_electors_trump">Main!$K$25:$K$75</definedName>
    <definedName name="orig_johnson">Main!$F$4</definedName>
    <definedName name="orig_spread">Main!$I$4</definedName>
    <definedName name="orig_stein">Main!$G$4</definedName>
    <definedName name="orig_total">Main!$H$4</definedName>
    <definedName name="orig_trump">Main!$E$4</definedName>
    <definedName name="other_clinton">Main!#REF!</definedName>
    <definedName name="other_trump">Main!#REF!</definedName>
    <definedName name="pct_johnson_to_clinton">Main!$E$12</definedName>
    <definedName name="pct_johnson_to_trump">Main!$E$13</definedName>
    <definedName name="pct_stein_to_clinton">Main!$D$12</definedName>
    <definedName name="pct_stein_to_trump">Main!$D$13</definedName>
    <definedName name="raw">#REF!</definedName>
    <definedName name="spread_national">Main!$I$3</definedName>
    <definedName name="stein_national">Main!$G$3</definedName>
    <definedName name="stein_split_needed">Main!$AT$23</definedName>
    <definedName name="total_adjusted_clinton">Main!$I$12</definedName>
    <definedName name="total_adjusted_clinton_with_johnson_only">Main!$H$12</definedName>
    <definedName name="total_adjusted_clinton_with_stein_only">Main!$G$12</definedName>
    <definedName name="total_adjusted_spread">Main!$I$14</definedName>
    <definedName name="total_adjusted_spread_with_johnson_only">Main!$H$14</definedName>
    <definedName name="total_adjusted_spread_with_stein_only">Main!$G$14</definedName>
    <definedName name="total_adjusted_trump">Main!$I$13</definedName>
    <definedName name="total_adjusted_trump_with_johnson_only">Main!$H$13</definedName>
    <definedName name="total_adjusted_trump_with_stein_only">Main!$G$13</definedName>
    <definedName name="total_national">Main!$H$3</definedName>
    <definedName name="trump_national">Main!$E$3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1" l="1"/>
  <c r="R25" i="1"/>
  <c r="E13" i="1"/>
  <c r="O25" i="1"/>
  <c r="S25" i="1"/>
  <c r="W25" i="1"/>
  <c r="Z25" i="1"/>
  <c r="N26" i="1"/>
  <c r="R26" i="1"/>
  <c r="O26" i="1"/>
  <c r="S26" i="1"/>
  <c r="W26" i="1"/>
  <c r="Z26" i="1"/>
  <c r="N27" i="1"/>
  <c r="R27" i="1"/>
  <c r="O27" i="1"/>
  <c r="S27" i="1"/>
  <c r="W27" i="1"/>
  <c r="Z27" i="1"/>
  <c r="N28" i="1"/>
  <c r="R28" i="1"/>
  <c r="O28" i="1"/>
  <c r="S28" i="1"/>
  <c r="W28" i="1"/>
  <c r="Z28" i="1"/>
  <c r="N29" i="1"/>
  <c r="R29" i="1"/>
  <c r="O29" i="1"/>
  <c r="S29" i="1"/>
  <c r="W29" i="1"/>
  <c r="Z29" i="1"/>
  <c r="N30" i="1"/>
  <c r="R30" i="1"/>
  <c r="O30" i="1"/>
  <c r="S30" i="1"/>
  <c r="W30" i="1"/>
  <c r="Z30" i="1"/>
  <c r="N31" i="1"/>
  <c r="R31" i="1"/>
  <c r="O31" i="1"/>
  <c r="S31" i="1"/>
  <c r="W31" i="1"/>
  <c r="Z31" i="1"/>
  <c r="N32" i="1"/>
  <c r="R32" i="1"/>
  <c r="O32" i="1"/>
  <c r="S32" i="1"/>
  <c r="W32" i="1"/>
  <c r="Z32" i="1"/>
  <c r="N33" i="1"/>
  <c r="R33" i="1"/>
  <c r="O33" i="1"/>
  <c r="S33" i="1"/>
  <c r="W33" i="1"/>
  <c r="Z33" i="1"/>
  <c r="N34" i="1"/>
  <c r="R34" i="1"/>
  <c r="O34" i="1"/>
  <c r="S34" i="1"/>
  <c r="W34" i="1"/>
  <c r="Z34" i="1"/>
  <c r="N35" i="1"/>
  <c r="R35" i="1"/>
  <c r="O35" i="1"/>
  <c r="S35" i="1"/>
  <c r="W35" i="1"/>
  <c r="Z35" i="1"/>
  <c r="N36" i="1"/>
  <c r="R36" i="1"/>
  <c r="O36" i="1"/>
  <c r="S36" i="1"/>
  <c r="W36" i="1"/>
  <c r="Z36" i="1"/>
  <c r="N37" i="1"/>
  <c r="R37" i="1"/>
  <c r="O37" i="1"/>
  <c r="S37" i="1"/>
  <c r="W37" i="1"/>
  <c r="Z37" i="1"/>
  <c r="N38" i="1"/>
  <c r="R38" i="1"/>
  <c r="O38" i="1"/>
  <c r="S38" i="1"/>
  <c r="W38" i="1"/>
  <c r="Z38" i="1"/>
  <c r="N39" i="1"/>
  <c r="R39" i="1"/>
  <c r="O39" i="1"/>
  <c r="S39" i="1"/>
  <c r="W39" i="1"/>
  <c r="Z39" i="1"/>
  <c r="N40" i="1"/>
  <c r="R40" i="1"/>
  <c r="O40" i="1"/>
  <c r="S40" i="1"/>
  <c r="W40" i="1"/>
  <c r="Z40" i="1"/>
  <c r="N41" i="1"/>
  <c r="R41" i="1"/>
  <c r="O41" i="1"/>
  <c r="S41" i="1"/>
  <c r="W41" i="1"/>
  <c r="Z41" i="1"/>
  <c r="N42" i="1"/>
  <c r="R42" i="1"/>
  <c r="O42" i="1"/>
  <c r="S42" i="1"/>
  <c r="W42" i="1"/>
  <c r="Z42" i="1"/>
  <c r="N43" i="1"/>
  <c r="R43" i="1"/>
  <c r="O43" i="1"/>
  <c r="S43" i="1"/>
  <c r="W43" i="1"/>
  <c r="Z43" i="1"/>
  <c r="N44" i="1"/>
  <c r="R44" i="1"/>
  <c r="O44" i="1"/>
  <c r="S44" i="1"/>
  <c r="W44" i="1"/>
  <c r="Z44" i="1"/>
  <c r="N45" i="1"/>
  <c r="R45" i="1"/>
  <c r="O45" i="1"/>
  <c r="S45" i="1"/>
  <c r="W45" i="1"/>
  <c r="Z45" i="1"/>
  <c r="N46" i="1"/>
  <c r="R46" i="1"/>
  <c r="O46" i="1"/>
  <c r="S46" i="1"/>
  <c r="W46" i="1"/>
  <c r="Z46" i="1"/>
  <c r="N47" i="1"/>
  <c r="R47" i="1"/>
  <c r="O47" i="1"/>
  <c r="S47" i="1"/>
  <c r="W47" i="1"/>
  <c r="Z47" i="1"/>
  <c r="N48" i="1"/>
  <c r="R48" i="1"/>
  <c r="O48" i="1"/>
  <c r="S48" i="1"/>
  <c r="W48" i="1"/>
  <c r="Z48" i="1"/>
  <c r="N49" i="1"/>
  <c r="R49" i="1"/>
  <c r="O49" i="1"/>
  <c r="S49" i="1"/>
  <c r="W49" i="1"/>
  <c r="Z49" i="1"/>
  <c r="N50" i="1"/>
  <c r="R50" i="1"/>
  <c r="O50" i="1"/>
  <c r="S50" i="1"/>
  <c r="W50" i="1"/>
  <c r="Z50" i="1"/>
  <c r="N51" i="1"/>
  <c r="R51" i="1"/>
  <c r="O51" i="1"/>
  <c r="S51" i="1"/>
  <c r="W51" i="1"/>
  <c r="Z51" i="1"/>
  <c r="N52" i="1"/>
  <c r="R52" i="1"/>
  <c r="O52" i="1"/>
  <c r="S52" i="1"/>
  <c r="W52" i="1"/>
  <c r="Z52" i="1"/>
  <c r="N53" i="1"/>
  <c r="R53" i="1"/>
  <c r="O53" i="1"/>
  <c r="S53" i="1"/>
  <c r="W53" i="1"/>
  <c r="Z53" i="1"/>
  <c r="N54" i="1"/>
  <c r="R54" i="1"/>
  <c r="O54" i="1"/>
  <c r="S54" i="1"/>
  <c r="W54" i="1"/>
  <c r="Z54" i="1"/>
  <c r="N55" i="1"/>
  <c r="R55" i="1"/>
  <c r="O55" i="1"/>
  <c r="S55" i="1"/>
  <c r="W55" i="1"/>
  <c r="Z55" i="1"/>
  <c r="N56" i="1"/>
  <c r="R56" i="1"/>
  <c r="O56" i="1"/>
  <c r="S56" i="1"/>
  <c r="W56" i="1"/>
  <c r="Z56" i="1"/>
  <c r="N57" i="1"/>
  <c r="R57" i="1"/>
  <c r="O57" i="1"/>
  <c r="S57" i="1"/>
  <c r="W57" i="1"/>
  <c r="Z57" i="1"/>
  <c r="N58" i="1"/>
  <c r="R58" i="1"/>
  <c r="O58" i="1"/>
  <c r="S58" i="1"/>
  <c r="W58" i="1"/>
  <c r="Z58" i="1"/>
  <c r="N59" i="1"/>
  <c r="R59" i="1"/>
  <c r="O59" i="1"/>
  <c r="S59" i="1"/>
  <c r="W59" i="1"/>
  <c r="Z59" i="1"/>
  <c r="N60" i="1"/>
  <c r="R60" i="1"/>
  <c r="O60" i="1"/>
  <c r="S60" i="1"/>
  <c r="W60" i="1"/>
  <c r="Z60" i="1"/>
  <c r="N61" i="1"/>
  <c r="R61" i="1"/>
  <c r="O61" i="1"/>
  <c r="S61" i="1"/>
  <c r="W61" i="1"/>
  <c r="Z61" i="1"/>
  <c r="N62" i="1"/>
  <c r="R62" i="1"/>
  <c r="O62" i="1"/>
  <c r="S62" i="1"/>
  <c r="W62" i="1"/>
  <c r="Z62" i="1"/>
  <c r="N63" i="1"/>
  <c r="R63" i="1"/>
  <c r="O63" i="1"/>
  <c r="S63" i="1"/>
  <c r="W63" i="1"/>
  <c r="Z63" i="1"/>
  <c r="N64" i="1"/>
  <c r="R64" i="1"/>
  <c r="O64" i="1"/>
  <c r="S64" i="1"/>
  <c r="W64" i="1"/>
  <c r="Z64" i="1"/>
  <c r="N65" i="1"/>
  <c r="R65" i="1"/>
  <c r="O65" i="1"/>
  <c r="S65" i="1"/>
  <c r="W65" i="1"/>
  <c r="Z65" i="1"/>
  <c r="N66" i="1"/>
  <c r="R66" i="1"/>
  <c r="O66" i="1"/>
  <c r="S66" i="1"/>
  <c r="W66" i="1"/>
  <c r="Z66" i="1"/>
  <c r="N67" i="1"/>
  <c r="R67" i="1"/>
  <c r="O67" i="1"/>
  <c r="S67" i="1"/>
  <c r="W67" i="1"/>
  <c r="Z67" i="1"/>
  <c r="N68" i="1"/>
  <c r="R68" i="1"/>
  <c r="O68" i="1"/>
  <c r="S68" i="1"/>
  <c r="W68" i="1"/>
  <c r="Z68" i="1"/>
  <c r="N69" i="1"/>
  <c r="R69" i="1"/>
  <c r="O69" i="1"/>
  <c r="S69" i="1"/>
  <c r="W69" i="1"/>
  <c r="Z69" i="1"/>
  <c r="N70" i="1"/>
  <c r="R70" i="1"/>
  <c r="O70" i="1"/>
  <c r="S70" i="1"/>
  <c r="W70" i="1"/>
  <c r="Z70" i="1"/>
  <c r="N71" i="1"/>
  <c r="R71" i="1"/>
  <c r="O71" i="1"/>
  <c r="S71" i="1"/>
  <c r="W71" i="1"/>
  <c r="Z71" i="1"/>
  <c r="N72" i="1"/>
  <c r="R72" i="1"/>
  <c r="O72" i="1"/>
  <c r="S72" i="1"/>
  <c r="W72" i="1"/>
  <c r="Z72" i="1"/>
  <c r="N73" i="1"/>
  <c r="R73" i="1"/>
  <c r="O73" i="1"/>
  <c r="S73" i="1"/>
  <c r="W73" i="1"/>
  <c r="Z73" i="1"/>
  <c r="N74" i="1"/>
  <c r="R74" i="1"/>
  <c r="O74" i="1"/>
  <c r="S74" i="1"/>
  <c r="W74" i="1"/>
  <c r="Z74" i="1"/>
  <c r="N75" i="1"/>
  <c r="R75" i="1"/>
  <c r="O75" i="1"/>
  <c r="S75" i="1"/>
  <c r="W75" i="1"/>
  <c r="Z75" i="1"/>
  <c r="Z23" i="1"/>
  <c r="AI25" i="1"/>
  <c r="AK25" i="1"/>
  <c r="AN25" i="1" a="1"/>
  <c r="AN25" i="1"/>
  <c r="AP25" i="1" a="1"/>
  <c r="AP25" i="1"/>
  <c r="AR25" i="1"/>
  <c r="AT25" i="1"/>
  <c r="AI26" i="1"/>
  <c r="AK26" i="1"/>
  <c r="AN26" i="1" a="1"/>
  <c r="AN26" i="1"/>
  <c r="AP26" i="1" a="1"/>
  <c r="AP26" i="1"/>
  <c r="AR26" i="1"/>
  <c r="AT26" i="1"/>
  <c r="AI27" i="1"/>
  <c r="AK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N27" i="1" a="1"/>
  <c r="AN27" i="1"/>
  <c r="AP27" i="1" a="1"/>
  <c r="AP27" i="1"/>
  <c r="AR27" i="1"/>
  <c r="AT27" i="1"/>
  <c r="AN28" i="1" a="1"/>
  <c r="AN28" i="1"/>
  <c r="AP28" i="1" a="1"/>
  <c r="AP28" i="1"/>
  <c r="AR28" i="1"/>
  <c r="AT28" i="1"/>
  <c r="AN29" i="1" a="1"/>
  <c r="AN29" i="1"/>
  <c r="AP29" i="1" a="1"/>
  <c r="AP29" i="1"/>
  <c r="AR29" i="1"/>
  <c r="AT29" i="1"/>
  <c r="AN30" i="1" a="1"/>
  <c r="AN30" i="1"/>
  <c r="AP30" i="1" a="1"/>
  <c r="AP30" i="1"/>
  <c r="AR30" i="1"/>
  <c r="AT30" i="1"/>
  <c r="AN31" i="1" a="1"/>
  <c r="AN31" i="1"/>
  <c r="AP31" i="1" a="1"/>
  <c r="AP31" i="1"/>
  <c r="AR31" i="1"/>
  <c r="AT31" i="1"/>
  <c r="AN32" i="1" a="1"/>
  <c r="AN32" i="1"/>
  <c r="AP32" i="1" a="1"/>
  <c r="AP32" i="1"/>
  <c r="AR32" i="1"/>
  <c r="AT32" i="1"/>
  <c r="AN33" i="1" a="1"/>
  <c r="AN33" i="1"/>
  <c r="AP33" i="1" a="1"/>
  <c r="AP33" i="1"/>
  <c r="AR33" i="1"/>
  <c r="AT33" i="1"/>
  <c r="AN34" i="1" a="1"/>
  <c r="AN34" i="1"/>
  <c r="AP34" i="1" a="1"/>
  <c r="AP34" i="1"/>
  <c r="AR34" i="1"/>
  <c r="AT34" i="1"/>
  <c r="AN35" i="1" a="1"/>
  <c r="AN35" i="1"/>
  <c r="AP35" i="1" a="1"/>
  <c r="AP35" i="1"/>
  <c r="AR35" i="1"/>
  <c r="AT35" i="1"/>
  <c r="AN36" i="1" a="1"/>
  <c r="AN36" i="1"/>
  <c r="AP36" i="1" a="1"/>
  <c r="AP36" i="1"/>
  <c r="AR36" i="1"/>
  <c r="AT36" i="1"/>
  <c r="AN37" i="1" a="1"/>
  <c r="AN37" i="1"/>
  <c r="AP37" i="1" a="1"/>
  <c r="AP37" i="1"/>
  <c r="AR37" i="1"/>
  <c r="AT37" i="1"/>
  <c r="AN38" i="1" a="1"/>
  <c r="AN38" i="1"/>
  <c r="AP38" i="1" a="1"/>
  <c r="AP38" i="1"/>
  <c r="AR38" i="1"/>
  <c r="AT38" i="1"/>
  <c r="AN39" i="1" a="1"/>
  <c r="AN39" i="1"/>
  <c r="AP39" i="1" a="1"/>
  <c r="AP39" i="1"/>
  <c r="AR39" i="1"/>
  <c r="AT39" i="1"/>
  <c r="AN40" i="1" a="1"/>
  <c r="AN40" i="1"/>
  <c r="AP40" i="1" a="1"/>
  <c r="AP40" i="1"/>
  <c r="AR40" i="1"/>
  <c r="AT40" i="1"/>
  <c r="AN41" i="1" a="1"/>
  <c r="AN41" i="1"/>
  <c r="AP41" i="1" a="1"/>
  <c r="AP41" i="1"/>
  <c r="AR41" i="1"/>
  <c r="AT41" i="1"/>
  <c r="AN42" i="1" a="1"/>
  <c r="AN42" i="1"/>
  <c r="AP42" i="1" a="1"/>
  <c r="AP42" i="1"/>
  <c r="AR42" i="1"/>
  <c r="AT42" i="1"/>
  <c r="AN43" i="1" a="1"/>
  <c r="AN43" i="1"/>
  <c r="AP43" i="1" a="1"/>
  <c r="AP43" i="1"/>
  <c r="AR43" i="1"/>
  <c r="AT43" i="1"/>
  <c r="AN44" i="1" a="1"/>
  <c r="AN44" i="1"/>
  <c r="AP44" i="1" a="1"/>
  <c r="AP44" i="1"/>
  <c r="AR44" i="1"/>
  <c r="AT44" i="1"/>
  <c r="AN45" i="1" a="1"/>
  <c r="AN45" i="1"/>
  <c r="AP45" i="1" a="1"/>
  <c r="AP45" i="1"/>
  <c r="AR45" i="1"/>
  <c r="AT45" i="1"/>
  <c r="AN46" i="1" a="1"/>
  <c r="AN46" i="1"/>
  <c r="AP46" i="1" a="1"/>
  <c r="AP46" i="1"/>
  <c r="AR46" i="1"/>
  <c r="AT46" i="1"/>
  <c r="AN47" i="1" a="1"/>
  <c r="AN47" i="1"/>
  <c r="AP47" i="1" a="1"/>
  <c r="AP47" i="1"/>
  <c r="AR47" i="1"/>
  <c r="AT47" i="1"/>
  <c r="AN48" i="1" a="1"/>
  <c r="AN48" i="1"/>
  <c r="AP48" i="1" a="1"/>
  <c r="AP48" i="1"/>
  <c r="AR48" i="1"/>
  <c r="AT48" i="1"/>
  <c r="AN49" i="1" a="1"/>
  <c r="AN49" i="1"/>
  <c r="AP49" i="1" a="1"/>
  <c r="AP49" i="1"/>
  <c r="AR49" i="1"/>
  <c r="AT49" i="1"/>
  <c r="AN50" i="1" a="1"/>
  <c r="AN50" i="1"/>
  <c r="AP50" i="1" a="1"/>
  <c r="AP50" i="1"/>
  <c r="AR50" i="1"/>
  <c r="AT50" i="1"/>
  <c r="AN51" i="1" a="1"/>
  <c r="AN51" i="1"/>
  <c r="AP51" i="1" a="1"/>
  <c r="AP51" i="1"/>
  <c r="AR51" i="1"/>
  <c r="AT51" i="1"/>
  <c r="AN52" i="1" a="1"/>
  <c r="AN52" i="1"/>
  <c r="AP52" i="1" a="1"/>
  <c r="AP52" i="1"/>
  <c r="AR52" i="1"/>
  <c r="AT52" i="1"/>
  <c r="AN53" i="1" a="1"/>
  <c r="AN53" i="1"/>
  <c r="AP53" i="1" a="1"/>
  <c r="AP53" i="1"/>
  <c r="AR53" i="1"/>
  <c r="AT53" i="1"/>
  <c r="AN54" i="1" a="1"/>
  <c r="AN54" i="1"/>
  <c r="AP54" i="1" a="1"/>
  <c r="AP54" i="1"/>
  <c r="AR54" i="1"/>
  <c r="AT54" i="1"/>
  <c r="AN55" i="1" a="1"/>
  <c r="AN55" i="1"/>
  <c r="AP55" i="1" a="1"/>
  <c r="AP55" i="1"/>
  <c r="AR55" i="1"/>
  <c r="AT55" i="1"/>
  <c r="AN56" i="1" a="1"/>
  <c r="AN56" i="1"/>
  <c r="AP56" i="1" a="1"/>
  <c r="AP56" i="1"/>
  <c r="AR56" i="1"/>
  <c r="AT56" i="1"/>
  <c r="AN57" i="1" a="1"/>
  <c r="AN57" i="1"/>
  <c r="AP57" i="1" a="1"/>
  <c r="AP57" i="1"/>
  <c r="AR57" i="1"/>
  <c r="AT57" i="1"/>
  <c r="AN58" i="1" a="1"/>
  <c r="AN58" i="1"/>
  <c r="AP58" i="1" a="1"/>
  <c r="AP58" i="1"/>
  <c r="AR58" i="1"/>
  <c r="AT58" i="1"/>
  <c r="AN59" i="1" a="1"/>
  <c r="AN59" i="1"/>
  <c r="AP59" i="1" a="1"/>
  <c r="AP59" i="1"/>
  <c r="AR59" i="1"/>
  <c r="AT59" i="1"/>
  <c r="AN60" i="1" a="1"/>
  <c r="AN60" i="1"/>
  <c r="AP60" i="1" a="1"/>
  <c r="AP60" i="1"/>
  <c r="AR60" i="1"/>
  <c r="AT60" i="1"/>
  <c r="AN61" i="1" a="1"/>
  <c r="AN61" i="1"/>
  <c r="AP61" i="1" a="1"/>
  <c r="AP61" i="1"/>
  <c r="AR61" i="1"/>
  <c r="AT61" i="1"/>
  <c r="AN62" i="1" a="1"/>
  <c r="AN62" i="1"/>
  <c r="AP62" i="1" a="1"/>
  <c r="AP62" i="1"/>
  <c r="AR62" i="1"/>
  <c r="AT62" i="1"/>
  <c r="AN63" i="1" a="1"/>
  <c r="AN63" i="1"/>
  <c r="AP63" i="1" a="1"/>
  <c r="AP63" i="1"/>
  <c r="AR63" i="1"/>
  <c r="AT63" i="1"/>
  <c r="AN64" i="1" a="1"/>
  <c r="AN64" i="1"/>
  <c r="AP64" i="1" a="1"/>
  <c r="AP64" i="1"/>
  <c r="AR64" i="1"/>
  <c r="AT64" i="1"/>
  <c r="AN65" i="1" a="1"/>
  <c r="AN65" i="1"/>
  <c r="AP65" i="1" a="1"/>
  <c r="AP65" i="1"/>
  <c r="AR65" i="1"/>
  <c r="AT65" i="1"/>
  <c r="AN66" i="1" a="1"/>
  <c r="AN66" i="1"/>
  <c r="AP66" i="1" a="1"/>
  <c r="AP66" i="1"/>
  <c r="AR66" i="1"/>
  <c r="AT66" i="1"/>
  <c r="AN67" i="1" a="1"/>
  <c r="AN67" i="1"/>
  <c r="AP67" i="1" a="1"/>
  <c r="AP67" i="1"/>
  <c r="AR67" i="1"/>
  <c r="AT67" i="1"/>
  <c r="AN68" i="1" a="1"/>
  <c r="AN68" i="1"/>
  <c r="AP68" i="1" a="1"/>
  <c r="AP68" i="1"/>
  <c r="AR68" i="1"/>
  <c r="AT68" i="1"/>
  <c r="AN69" i="1" a="1"/>
  <c r="AN69" i="1"/>
  <c r="AP69" i="1" a="1"/>
  <c r="AP69" i="1"/>
  <c r="AR69" i="1"/>
  <c r="AT69" i="1"/>
  <c r="AN70" i="1" a="1"/>
  <c r="AN70" i="1"/>
  <c r="AP70" i="1" a="1"/>
  <c r="AP70" i="1"/>
  <c r="AR70" i="1"/>
  <c r="AT70" i="1"/>
  <c r="AN71" i="1" a="1"/>
  <c r="AN71" i="1"/>
  <c r="AP71" i="1" a="1"/>
  <c r="AP71" i="1"/>
  <c r="AR71" i="1"/>
  <c r="AT71" i="1"/>
  <c r="AN72" i="1" a="1"/>
  <c r="AN72" i="1"/>
  <c r="AP72" i="1" a="1"/>
  <c r="AP72" i="1"/>
  <c r="AR72" i="1"/>
  <c r="AT72" i="1"/>
  <c r="AN73" i="1" a="1"/>
  <c r="AN73" i="1"/>
  <c r="AP73" i="1" a="1"/>
  <c r="AP73" i="1"/>
  <c r="AR73" i="1"/>
  <c r="AT73" i="1"/>
  <c r="AN74" i="1" a="1"/>
  <c r="AN74" i="1"/>
  <c r="AP74" i="1" a="1"/>
  <c r="AP74" i="1"/>
  <c r="AR74" i="1"/>
  <c r="AT74" i="1"/>
  <c r="AN75" i="1" a="1"/>
  <c r="AN75" i="1"/>
  <c r="AP75" i="1" a="1"/>
  <c r="AP75" i="1"/>
  <c r="AR75" i="1"/>
  <c r="AT75" i="1"/>
  <c r="AT23" i="1" a="1"/>
  <c r="AT23" i="1"/>
  <c r="D10" i="1"/>
  <c r="L25" i="1"/>
  <c r="P25" i="1"/>
  <c r="D13" i="1"/>
  <c r="M25" i="1"/>
  <c r="Q25" i="1"/>
  <c r="V25" i="1"/>
  <c r="Y25" i="1"/>
  <c r="L26" i="1"/>
  <c r="P26" i="1"/>
  <c r="M26" i="1"/>
  <c r="Q26" i="1"/>
  <c r="V26" i="1"/>
  <c r="Y26" i="1"/>
  <c r="L27" i="1"/>
  <c r="P27" i="1"/>
  <c r="M27" i="1"/>
  <c r="Q27" i="1"/>
  <c r="V27" i="1"/>
  <c r="Y27" i="1"/>
  <c r="L28" i="1"/>
  <c r="P28" i="1"/>
  <c r="M28" i="1"/>
  <c r="Q28" i="1"/>
  <c r="V28" i="1"/>
  <c r="Y28" i="1"/>
  <c r="L29" i="1"/>
  <c r="P29" i="1"/>
  <c r="M29" i="1"/>
  <c r="Q29" i="1"/>
  <c r="V29" i="1"/>
  <c r="Y29" i="1"/>
  <c r="L30" i="1"/>
  <c r="P30" i="1"/>
  <c r="M30" i="1"/>
  <c r="Q30" i="1"/>
  <c r="V30" i="1"/>
  <c r="Y30" i="1"/>
  <c r="L31" i="1"/>
  <c r="P31" i="1"/>
  <c r="M31" i="1"/>
  <c r="Q31" i="1"/>
  <c r="V31" i="1"/>
  <c r="Y31" i="1"/>
  <c r="L32" i="1"/>
  <c r="P32" i="1"/>
  <c r="M32" i="1"/>
  <c r="Q32" i="1"/>
  <c r="V32" i="1"/>
  <c r="Y32" i="1"/>
  <c r="L33" i="1"/>
  <c r="P33" i="1"/>
  <c r="M33" i="1"/>
  <c r="Q33" i="1"/>
  <c r="V33" i="1"/>
  <c r="Y33" i="1"/>
  <c r="L34" i="1"/>
  <c r="P34" i="1"/>
  <c r="M34" i="1"/>
  <c r="Q34" i="1"/>
  <c r="V34" i="1"/>
  <c r="Y34" i="1"/>
  <c r="L35" i="1"/>
  <c r="P35" i="1"/>
  <c r="M35" i="1"/>
  <c r="Q35" i="1"/>
  <c r="V35" i="1"/>
  <c r="Y35" i="1"/>
  <c r="L36" i="1"/>
  <c r="P36" i="1"/>
  <c r="M36" i="1"/>
  <c r="Q36" i="1"/>
  <c r="V36" i="1"/>
  <c r="Y36" i="1"/>
  <c r="L37" i="1"/>
  <c r="P37" i="1"/>
  <c r="M37" i="1"/>
  <c r="Q37" i="1"/>
  <c r="V37" i="1"/>
  <c r="Y37" i="1"/>
  <c r="L38" i="1"/>
  <c r="P38" i="1"/>
  <c r="M38" i="1"/>
  <c r="Q38" i="1"/>
  <c r="V38" i="1"/>
  <c r="Y38" i="1"/>
  <c r="L39" i="1"/>
  <c r="P39" i="1"/>
  <c r="M39" i="1"/>
  <c r="Q39" i="1"/>
  <c r="V39" i="1"/>
  <c r="Y39" i="1"/>
  <c r="L40" i="1"/>
  <c r="P40" i="1"/>
  <c r="M40" i="1"/>
  <c r="Q40" i="1"/>
  <c r="V40" i="1"/>
  <c r="Y40" i="1"/>
  <c r="L41" i="1"/>
  <c r="P41" i="1"/>
  <c r="M41" i="1"/>
  <c r="Q41" i="1"/>
  <c r="V41" i="1"/>
  <c r="Y41" i="1"/>
  <c r="L42" i="1"/>
  <c r="P42" i="1"/>
  <c r="M42" i="1"/>
  <c r="Q42" i="1"/>
  <c r="V42" i="1"/>
  <c r="Y42" i="1"/>
  <c r="L43" i="1"/>
  <c r="P43" i="1"/>
  <c r="M43" i="1"/>
  <c r="Q43" i="1"/>
  <c r="V43" i="1"/>
  <c r="Y43" i="1"/>
  <c r="L44" i="1"/>
  <c r="P44" i="1"/>
  <c r="M44" i="1"/>
  <c r="Q44" i="1"/>
  <c r="V44" i="1"/>
  <c r="Y44" i="1"/>
  <c r="L45" i="1"/>
  <c r="P45" i="1"/>
  <c r="M45" i="1"/>
  <c r="Q45" i="1"/>
  <c r="V45" i="1"/>
  <c r="Y45" i="1"/>
  <c r="L46" i="1"/>
  <c r="P46" i="1"/>
  <c r="M46" i="1"/>
  <c r="Q46" i="1"/>
  <c r="V46" i="1"/>
  <c r="Y46" i="1"/>
  <c r="L47" i="1"/>
  <c r="P47" i="1"/>
  <c r="M47" i="1"/>
  <c r="Q47" i="1"/>
  <c r="V47" i="1"/>
  <c r="Y47" i="1"/>
  <c r="L48" i="1"/>
  <c r="P48" i="1"/>
  <c r="M48" i="1"/>
  <c r="Q48" i="1"/>
  <c r="V48" i="1"/>
  <c r="Y48" i="1"/>
  <c r="L49" i="1"/>
  <c r="P49" i="1"/>
  <c r="M49" i="1"/>
  <c r="Q49" i="1"/>
  <c r="V49" i="1"/>
  <c r="Y49" i="1"/>
  <c r="L50" i="1"/>
  <c r="P50" i="1"/>
  <c r="M50" i="1"/>
  <c r="Q50" i="1"/>
  <c r="V50" i="1"/>
  <c r="Y50" i="1"/>
  <c r="L51" i="1"/>
  <c r="P51" i="1"/>
  <c r="M51" i="1"/>
  <c r="Q51" i="1"/>
  <c r="V51" i="1"/>
  <c r="Y51" i="1"/>
  <c r="L52" i="1"/>
  <c r="P52" i="1"/>
  <c r="M52" i="1"/>
  <c r="Q52" i="1"/>
  <c r="V52" i="1"/>
  <c r="Y52" i="1"/>
  <c r="L53" i="1"/>
  <c r="P53" i="1"/>
  <c r="M53" i="1"/>
  <c r="Q53" i="1"/>
  <c r="V53" i="1"/>
  <c r="Y53" i="1"/>
  <c r="L54" i="1"/>
  <c r="P54" i="1"/>
  <c r="M54" i="1"/>
  <c r="Q54" i="1"/>
  <c r="V54" i="1"/>
  <c r="Y54" i="1"/>
  <c r="L55" i="1"/>
  <c r="P55" i="1"/>
  <c r="M55" i="1"/>
  <c r="Q55" i="1"/>
  <c r="V55" i="1"/>
  <c r="Y55" i="1"/>
  <c r="L56" i="1"/>
  <c r="P56" i="1"/>
  <c r="M56" i="1"/>
  <c r="Q56" i="1"/>
  <c r="V56" i="1"/>
  <c r="Y56" i="1"/>
  <c r="L57" i="1"/>
  <c r="P57" i="1"/>
  <c r="M57" i="1"/>
  <c r="Q57" i="1"/>
  <c r="V57" i="1"/>
  <c r="Y57" i="1"/>
  <c r="L58" i="1"/>
  <c r="P58" i="1"/>
  <c r="M58" i="1"/>
  <c r="Q58" i="1"/>
  <c r="V58" i="1"/>
  <c r="Y58" i="1"/>
  <c r="L59" i="1"/>
  <c r="P59" i="1"/>
  <c r="M59" i="1"/>
  <c r="Q59" i="1"/>
  <c r="V59" i="1"/>
  <c r="Y59" i="1"/>
  <c r="L60" i="1"/>
  <c r="P60" i="1"/>
  <c r="M60" i="1"/>
  <c r="Q60" i="1"/>
  <c r="V60" i="1"/>
  <c r="Y60" i="1"/>
  <c r="L61" i="1"/>
  <c r="P61" i="1"/>
  <c r="M61" i="1"/>
  <c r="Q61" i="1"/>
  <c r="V61" i="1"/>
  <c r="Y61" i="1"/>
  <c r="L62" i="1"/>
  <c r="P62" i="1"/>
  <c r="M62" i="1"/>
  <c r="Q62" i="1"/>
  <c r="V62" i="1"/>
  <c r="Y62" i="1"/>
  <c r="L63" i="1"/>
  <c r="P63" i="1"/>
  <c r="M63" i="1"/>
  <c r="Q63" i="1"/>
  <c r="V63" i="1"/>
  <c r="Y63" i="1"/>
  <c r="L64" i="1"/>
  <c r="P64" i="1"/>
  <c r="M64" i="1"/>
  <c r="Q64" i="1"/>
  <c r="V64" i="1"/>
  <c r="Y64" i="1"/>
  <c r="L65" i="1"/>
  <c r="P65" i="1"/>
  <c r="M65" i="1"/>
  <c r="Q65" i="1"/>
  <c r="V65" i="1"/>
  <c r="Y65" i="1"/>
  <c r="L66" i="1"/>
  <c r="P66" i="1"/>
  <c r="M66" i="1"/>
  <c r="Q66" i="1"/>
  <c r="V66" i="1"/>
  <c r="Y66" i="1"/>
  <c r="L67" i="1"/>
  <c r="P67" i="1"/>
  <c r="M67" i="1"/>
  <c r="Q67" i="1"/>
  <c r="V67" i="1"/>
  <c r="Y67" i="1"/>
  <c r="L68" i="1"/>
  <c r="P68" i="1"/>
  <c r="M68" i="1"/>
  <c r="Q68" i="1"/>
  <c r="V68" i="1"/>
  <c r="Y68" i="1"/>
  <c r="L69" i="1"/>
  <c r="P69" i="1"/>
  <c r="M69" i="1"/>
  <c r="Q69" i="1"/>
  <c r="V69" i="1"/>
  <c r="Y69" i="1"/>
  <c r="L70" i="1"/>
  <c r="P70" i="1"/>
  <c r="M70" i="1"/>
  <c r="Q70" i="1"/>
  <c r="V70" i="1"/>
  <c r="Y70" i="1"/>
  <c r="L71" i="1"/>
  <c r="P71" i="1"/>
  <c r="M71" i="1"/>
  <c r="Q71" i="1"/>
  <c r="V71" i="1"/>
  <c r="Y71" i="1"/>
  <c r="L72" i="1"/>
  <c r="P72" i="1"/>
  <c r="M72" i="1"/>
  <c r="Q72" i="1"/>
  <c r="V72" i="1"/>
  <c r="Y72" i="1"/>
  <c r="L73" i="1"/>
  <c r="P73" i="1"/>
  <c r="M73" i="1"/>
  <c r="Q73" i="1"/>
  <c r="V73" i="1"/>
  <c r="Y73" i="1"/>
  <c r="L74" i="1"/>
  <c r="P74" i="1"/>
  <c r="M74" i="1"/>
  <c r="Q74" i="1"/>
  <c r="V74" i="1"/>
  <c r="Y74" i="1"/>
  <c r="L75" i="1"/>
  <c r="P75" i="1"/>
  <c r="M75" i="1"/>
  <c r="Q75" i="1"/>
  <c r="V75" i="1"/>
  <c r="Y75" i="1"/>
  <c r="Y23" i="1"/>
  <c r="AJ25" i="1"/>
  <c r="AL25" i="1"/>
  <c r="AO25" i="1" a="1"/>
  <c r="AO25" i="1"/>
  <c r="AQ25" i="1" a="1"/>
  <c r="AQ25" i="1"/>
  <c r="AS25" i="1"/>
  <c r="AU25" i="1"/>
  <c r="AJ26" i="1"/>
  <c r="AL26" i="1"/>
  <c r="AO26" i="1" a="1"/>
  <c r="AO26" i="1"/>
  <c r="AQ26" i="1" a="1"/>
  <c r="AQ26" i="1"/>
  <c r="AS26" i="1"/>
  <c r="AU26" i="1"/>
  <c r="AJ27" i="1"/>
  <c r="AL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O27" i="1" a="1"/>
  <c r="AO27" i="1"/>
  <c r="AQ27" i="1" a="1"/>
  <c r="AQ27" i="1"/>
  <c r="AS27" i="1"/>
  <c r="AU27" i="1"/>
  <c r="AO28" i="1" a="1"/>
  <c r="AO28" i="1"/>
  <c r="AQ28" i="1" a="1"/>
  <c r="AQ28" i="1"/>
  <c r="AS28" i="1"/>
  <c r="AU28" i="1"/>
  <c r="AO29" i="1" a="1"/>
  <c r="AO29" i="1"/>
  <c r="AQ29" i="1" a="1"/>
  <c r="AQ29" i="1"/>
  <c r="AS29" i="1"/>
  <c r="AU29" i="1"/>
  <c r="AO30" i="1" a="1"/>
  <c r="AO30" i="1"/>
  <c r="AQ30" i="1" a="1"/>
  <c r="AQ30" i="1"/>
  <c r="AS30" i="1"/>
  <c r="AU30" i="1"/>
  <c r="AO31" i="1" a="1"/>
  <c r="AO31" i="1"/>
  <c r="AQ31" i="1" a="1"/>
  <c r="AQ31" i="1"/>
  <c r="AS31" i="1"/>
  <c r="AU31" i="1"/>
  <c r="AO32" i="1" a="1"/>
  <c r="AO32" i="1"/>
  <c r="AQ32" i="1" a="1"/>
  <c r="AQ32" i="1"/>
  <c r="AS32" i="1"/>
  <c r="AU32" i="1"/>
  <c r="AO33" i="1" a="1"/>
  <c r="AO33" i="1"/>
  <c r="AQ33" i="1" a="1"/>
  <c r="AQ33" i="1"/>
  <c r="AS33" i="1"/>
  <c r="AU33" i="1"/>
  <c r="AO34" i="1" a="1"/>
  <c r="AO34" i="1"/>
  <c r="AQ34" i="1" a="1"/>
  <c r="AQ34" i="1"/>
  <c r="AS34" i="1"/>
  <c r="AU34" i="1"/>
  <c r="AO35" i="1" a="1"/>
  <c r="AO35" i="1"/>
  <c r="AQ35" i="1" a="1"/>
  <c r="AQ35" i="1"/>
  <c r="AS35" i="1"/>
  <c r="AU35" i="1"/>
  <c r="AO36" i="1" a="1"/>
  <c r="AO36" i="1"/>
  <c r="AQ36" i="1" a="1"/>
  <c r="AQ36" i="1"/>
  <c r="AS36" i="1"/>
  <c r="AU36" i="1"/>
  <c r="AO37" i="1" a="1"/>
  <c r="AO37" i="1"/>
  <c r="AQ37" i="1" a="1"/>
  <c r="AQ37" i="1"/>
  <c r="AS37" i="1"/>
  <c r="AU37" i="1"/>
  <c r="AO38" i="1" a="1"/>
  <c r="AO38" i="1"/>
  <c r="AQ38" i="1" a="1"/>
  <c r="AQ38" i="1"/>
  <c r="AS38" i="1"/>
  <c r="AU38" i="1"/>
  <c r="AO39" i="1" a="1"/>
  <c r="AO39" i="1"/>
  <c r="AQ39" i="1" a="1"/>
  <c r="AQ39" i="1"/>
  <c r="AS39" i="1"/>
  <c r="AU39" i="1"/>
  <c r="AO40" i="1" a="1"/>
  <c r="AO40" i="1"/>
  <c r="AQ40" i="1" a="1"/>
  <c r="AQ40" i="1"/>
  <c r="AS40" i="1"/>
  <c r="AU40" i="1"/>
  <c r="AO41" i="1" a="1"/>
  <c r="AO41" i="1"/>
  <c r="AQ41" i="1" a="1"/>
  <c r="AQ41" i="1"/>
  <c r="AS41" i="1"/>
  <c r="AU41" i="1"/>
  <c r="AO42" i="1" a="1"/>
  <c r="AO42" i="1"/>
  <c r="AQ42" i="1" a="1"/>
  <c r="AQ42" i="1"/>
  <c r="AS42" i="1"/>
  <c r="AU42" i="1"/>
  <c r="AO43" i="1" a="1"/>
  <c r="AO43" i="1"/>
  <c r="AQ43" i="1" a="1"/>
  <c r="AQ43" i="1"/>
  <c r="AS43" i="1"/>
  <c r="AU43" i="1"/>
  <c r="AO44" i="1" a="1"/>
  <c r="AO44" i="1"/>
  <c r="AQ44" i="1" a="1"/>
  <c r="AQ44" i="1"/>
  <c r="AS44" i="1"/>
  <c r="AU44" i="1"/>
  <c r="AO45" i="1" a="1"/>
  <c r="AO45" i="1"/>
  <c r="AQ45" i="1" a="1"/>
  <c r="AQ45" i="1"/>
  <c r="AS45" i="1"/>
  <c r="AU45" i="1"/>
  <c r="AO46" i="1" a="1"/>
  <c r="AO46" i="1"/>
  <c r="AQ46" i="1" a="1"/>
  <c r="AQ46" i="1"/>
  <c r="AS46" i="1"/>
  <c r="AU46" i="1"/>
  <c r="AO47" i="1" a="1"/>
  <c r="AO47" i="1"/>
  <c r="AQ47" i="1" a="1"/>
  <c r="AQ47" i="1"/>
  <c r="AS47" i="1"/>
  <c r="AU47" i="1"/>
  <c r="AO48" i="1" a="1"/>
  <c r="AO48" i="1"/>
  <c r="AQ48" i="1" a="1"/>
  <c r="AQ48" i="1"/>
  <c r="AS48" i="1"/>
  <c r="AU48" i="1"/>
  <c r="AO49" i="1" a="1"/>
  <c r="AO49" i="1"/>
  <c r="AQ49" i="1" a="1"/>
  <c r="AQ49" i="1"/>
  <c r="AS49" i="1"/>
  <c r="AU49" i="1"/>
  <c r="AO50" i="1" a="1"/>
  <c r="AO50" i="1"/>
  <c r="AQ50" i="1" a="1"/>
  <c r="AQ50" i="1"/>
  <c r="AS50" i="1"/>
  <c r="AU50" i="1"/>
  <c r="AO51" i="1" a="1"/>
  <c r="AO51" i="1"/>
  <c r="AQ51" i="1" a="1"/>
  <c r="AQ51" i="1"/>
  <c r="AS51" i="1"/>
  <c r="AU51" i="1"/>
  <c r="AO52" i="1" a="1"/>
  <c r="AO52" i="1"/>
  <c r="AQ52" i="1" a="1"/>
  <c r="AQ52" i="1"/>
  <c r="AS52" i="1"/>
  <c r="AU52" i="1"/>
  <c r="AO53" i="1" a="1"/>
  <c r="AO53" i="1"/>
  <c r="AQ53" i="1" a="1"/>
  <c r="AQ53" i="1"/>
  <c r="AS53" i="1"/>
  <c r="AU53" i="1"/>
  <c r="AO54" i="1" a="1"/>
  <c r="AO54" i="1"/>
  <c r="AQ54" i="1" a="1"/>
  <c r="AQ54" i="1"/>
  <c r="AS54" i="1"/>
  <c r="AU54" i="1"/>
  <c r="AO55" i="1" a="1"/>
  <c r="AO55" i="1"/>
  <c r="AQ55" i="1" a="1"/>
  <c r="AQ55" i="1"/>
  <c r="AS55" i="1"/>
  <c r="AU55" i="1"/>
  <c r="AO56" i="1" a="1"/>
  <c r="AO56" i="1"/>
  <c r="AQ56" i="1" a="1"/>
  <c r="AQ56" i="1"/>
  <c r="AS56" i="1"/>
  <c r="AU56" i="1"/>
  <c r="AO57" i="1" a="1"/>
  <c r="AO57" i="1"/>
  <c r="AQ57" i="1" a="1"/>
  <c r="AQ57" i="1"/>
  <c r="AS57" i="1"/>
  <c r="AU57" i="1"/>
  <c r="AO58" i="1" a="1"/>
  <c r="AO58" i="1"/>
  <c r="AQ58" i="1" a="1"/>
  <c r="AQ58" i="1"/>
  <c r="AS58" i="1"/>
  <c r="AU58" i="1"/>
  <c r="AO59" i="1" a="1"/>
  <c r="AO59" i="1"/>
  <c r="AQ59" i="1" a="1"/>
  <c r="AQ59" i="1"/>
  <c r="AS59" i="1"/>
  <c r="AU59" i="1"/>
  <c r="AO60" i="1" a="1"/>
  <c r="AO60" i="1"/>
  <c r="AQ60" i="1" a="1"/>
  <c r="AQ60" i="1"/>
  <c r="AS60" i="1"/>
  <c r="AU60" i="1"/>
  <c r="AO61" i="1" a="1"/>
  <c r="AO61" i="1"/>
  <c r="AQ61" i="1" a="1"/>
  <c r="AQ61" i="1"/>
  <c r="AS61" i="1"/>
  <c r="AU61" i="1"/>
  <c r="AO62" i="1" a="1"/>
  <c r="AO62" i="1"/>
  <c r="AQ62" i="1" a="1"/>
  <c r="AQ62" i="1"/>
  <c r="AS62" i="1"/>
  <c r="AU62" i="1"/>
  <c r="AO63" i="1" a="1"/>
  <c r="AO63" i="1"/>
  <c r="AQ63" i="1" a="1"/>
  <c r="AQ63" i="1"/>
  <c r="AS63" i="1"/>
  <c r="AU63" i="1"/>
  <c r="AO64" i="1" a="1"/>
  <c r="AO64" i="1"/>
  <c r="AQ64" i="1" a="1"/>
  <c r="AQ64" i="1"/>
  <c r="AS64" i="1"/>
  <c r="AU64" i="1"/>
  <c r="AO65" i="1" a="1"/>
  <c r="AO65" i="1"/>
  <c r="AQ65" i="1" a="1"/>
  <c r="AQ65" i="1"/>
  <c r="AS65" i="1"/>
  <c r="AU65" i="1"/>
  <c r="AO66" i="1" a="1"/>
  <c r="AO66" i="1"/>
  <c r="AQ66" i="1" a="1"/>
  <c r="AQ66" i="1"/>
  <c r="AS66" i="1"/>
  <c r="AU66" i="1"/>
  <c r="AO67" i="1" a="1"/>
  <c r="AO67" i="1"/>
  <c r="AQ67" i="1" a="1"/>
  <c r="AQ67" i="1"/>
  <c r="AS67" i="1"/>
  <c r="AU67" i="1"/>
  <c r="AO68" i="1" a="1"/>
  <c r="AO68" i="1"/>
  <c r="AQ68" i="1" a="1"/>
  <c r="AQ68" i="1"/>
  <c r="AS68" i="1"/>
  <c r="AU68" i="1"/>
  <c r="AO69" i="1" a="1"/>
  <c r="AO69" i="1"/>
  <c r="AQ69" i="1" a="1"/>
  <c r="AQ69" i="1"/>
  <c r="AS69" i="1"/>
  <c r="AU69" i="1"/>
  <c r="AO70" i="1" a="1"/>
  <c r="AO70" i="1"/>
  <c r="AQ70" i="1" a="1"/>
  <c r="AQ70" i="1"/>
  <c r="AS70" i="1"/>
  <c r="AU70" i="1"/>
  <c r="AO71" i="1" a="1"/>
  <c r="AO71" i="1"/>
  <c r="AQ71" i="1" a="1"/>
  <c r="AQ71" i="1"/>
  <c r="AS71" i="1"/>
  <c r="AU71" i="1"/>
  <c r="AO72" i="1" a="1"/>
  <c r="AO72" i="1"/>
  <c r="AQ72" i="1" a="1"/>
  <c r="AQ72" i="1"/>
  <c r="AS72" i="1"/>
  <c r="AU72" i="1"/>
  <c r="AO73" i="1" a="1"/>
  <c r="AO73" i="1"/>
  <c r="AQ73" i="1" a="1"/>
  <c r="AQ73" i="1"/>
  <c r="AS73" i="1"/>
  <c r="AU73" i="1"/>
  <c r="AO74" i="1" a="1"/>
  <c r="AO74" i="1"/>
  <c r="AQ74" i="1" a="1"/>
  <c r="AQ74" i="1"/>
  <c r="AS74" i="1"/>
  <c r="AU74" i="1"/>
  <c r="AO75" i="1" a="1"/>
  <c r="AO75" i="1"/>
  <c r="AQ75" i="1" a="1"/>
  <c r="AQ75" i="1"/>
  <c r="AS75" i="1"/>
  <c r="AU75" i="1"/>
  <c r="AU23" i="1" a="1"/>
  <c r="AU23" i="1"/>
  <c r="E10" i="1"/>
  <c r="I3" i="1"/>
  <c r="T25" i="1"/>
  <c r="U25" i="1"/>
  <c r="X25" i="1"/>
  <c r="AA25" i="1"/>
  <c r="T26" i="1"/>
  <c r="U26" i="1"/>
  <c r="X26" i="1"/>
  <c r="AA26" i="1"/>
  <c r="T27" i="1"/>
  <c r="U27" i="1"/>
  <c r="X27" i="1"/>
  <c r="AA27" i="1"/>
  <c r="T28" i="1"/>
  <c r="U28" i="1"/>
  <c r="X28" i="1"/>
  <c r="AA28" i="1"/>
  <c r="T29" i="1"/>
  <c r="U29" i="1"/>
  <c r="X29" i="1"/>
  <c r="AA29" i="1"/>
  <c r="T30" i="1"/>
  <c r="U30" i="1"/>
  <c r="X30" i="1"/>
  <c r="AA30" i="1"/>
  <c r="T31" i="1"/>
  <c r="U31" i="1"/>
  <c r="X31" i="1"/>
  <c r="AA31" i="1"/>
  <c r="T32" i="1"/>
  <c r="U32" i="1"/>
  <c r="X32" i="1"/>
  <c r="AA32" i="1"/>
  <c r="T33" i="1"/>
  <c r="U33" i="1"/>
  <c r="X33" i="1"/>
  <c r="AA33" i="1"/>
  <c r="T34" i="1"/>
  <c r="U34" i="1"/>
  <c r="X34" i="1"/>
  <c r="AA34" i="1"/>
  <c r="T35" i="1"/>
  <c r="U35" i="1"/>
  <c r="X35" i="1"/>
  <c r="AA35" i="1"/>
  <c r="T36" i="1"/>
  <c r="U36" i="1"/>
  <c r="X36" i="1"/>
  <c r="AA36" i="1"/>
  <c r="T37" i="1"/>
  <c r="U37" i="1"/>
  <c r="X37" i="1"/>
  <c r="AA37" i="1"/>
  <c r="T38" i="1"/>
  <c r="U38" i="1"/>
  <c r="X38" i="1"/>
  <c r="AA38" i="1"/>
  <c r="T39" i="1"/>
  <c r="U39" i="1"/>
  <c r="X39" i="1"/>
  <c r="AA39" i="1"/>
  <c r="T40" i="1"/>
  <c r="U40" i="1"/>
  <c r="X40" i="1"/>
  <c r="AA40" i="1"/>
  <c r="T41" i="1"/>
  <c r="U41" i="1"/>
  <c r="X41" i="1"/>
  <c r="AA41" i="1"/>
  <c r="T42" i="1"/>
  <c r="U42" i="1"/>
  <c r="X42" i="1"/>
  <c r="AA42" i="1"/>
  <c r="T43" i="1"/>
  <c r="U43" i="1"/>
  <c r="X43" i="1"/>
  <c r="AA43" i="1"/>
  <c r="T44" i="1"/>
  <c r="U44" i="1"/>
  <c r="X44" i="1"/>
  <c r="AA44" i="1"/>
  <c r="T45" i="1"/>
  <c r="U45" i="1"/>
  <c r="X45" i="1"/>
  <c r="AA45" i="1"/>
  <c r="T46" i="1"/>
  <c r="U46" i="1"/>
  <c r="X46" i="1"/>
  <c r="AA46" i="1"/>
  <c r="T47" i="1"/>
  <c r="U47" i="1"/>
  <c r="X47" i="1"/>
  <c r="AA47" i="1"/>
  <c r="T48" i="1"/>
  <c r="U48" i="1"/>
  <c r="X48" i="1"/>
  <c r="AA48" i="1"/>
  <c r="T49" i="1"/>
  <c r="U49" i="1"/>
  <c r="X49" i="1"/>
  <c r="AA49" i="1"/>
  <c r="T50" i="1"/>
  <c r="U50" i="1"/>
  <c r="X50" i="1"/>
  <c r="AA50" i="1"/>
  <c r="T51" i="1"/>
  <c r="U51" i="1"/>
  <c r="X51" i="1"/>
  <c r="AA51" i="1"/>
  <c r="T52" i="1"/>
  <c r="U52" i="1"/>
  <c r="X52" i="1"/>
  <c r="AA52" i="1"/>
  <c r="T53" i="1"/>
  <c r="U53" i="1"/>
  <c r="X53" i="1"/>
  <c r="AA53" i="1"/>
  <c r="T54" i="1"/>
  <c r="U54" i="1"/>
  <c r="X54" i="1"/>
  <c r="AA54" i="1"/>
  <c r="T55" i="1"/>
  <c r="U55" i="1"/>
  <c r="X55" i="1"/>
  <c r="AA55" i="1"/>
  <c r="T56" i="1"/>
  <c r="U56" i="1"/>
  <c r="X56" i="1"/>
  <c r="AA56" i="1"/>
  <c r="T57" i="1"/>
  <c r="U57" i="1"/>
  <c r="X57" i="1"/>
  <c r="AA57" i="1"/>
  <c r="T58" i="1"/>
  <c r="U58" i="1"/>
  <c r="X58" i="1"/>
  <c r="AA58" i="1"/>
  <c r="T59" i="1"/>
  <c r="U59" i="1"/>
  <c r="X59" i="1"/>
  <c r="AA59" i="1"/>
  <c r="T60" i="1"/>
  <c r="U60" i="1"/>
  <c r="X60" i="1"/>
  <c r="AA60" i="1"/>
  <c r="T61" i="1"/>
  <c r="U61" i="1"/>
  <c r="X61" i="1"/>
  <c r="AA61" i="1"/>
  <c r="T62" i="1"/>
  <c r="U62" i="1"/>
  <c r="X62" i="1"/>
  <c r="AA62" i="1"/>
  <c r="T63" i="1"/>
  <c r="U63" i="1"/>
  <c r="X63" i="1"/>
  <c r="AA63" i="1"/>
  <c r="T64" i="1"/>
  <c r="U64" i="1"/>
  <c r="X64" i="1"/>
  <c r="AA64" i="1"/>
  <c r="T65" i="1"/>
  <c r="U65" i="1"/>
  <c r="X65" i="1"/>
  <c r="AA65" i="1"/>
  <c r="T66" i="1"/>
  <c r="U66" i="1"/>
  <c r="X66" i="1"/>
  <c r="AA66" i="1"/>
  <c r="T67" i="1"/>
  <c r="U67" i="1"/>
  <c r="X67" i="1"/>
  <c r="AA67" i="1"/>
  <c r="T68" i="1"/>
  <c r="U68" i="1"/>
  <c r="X68" i="1"/>
  <c r="AA68" i="1"/>
  <c r="T69" i="1"/>
  <c r="U69" i="1"/>
  <c r="X69" i="1"/>
  <c r="AA69" i="1"/>
  <c r="T70" i="1"/>
  <c r="U70" i="1"/>
  <c r="X70" i="1"/>
  <c r="AA70" i="1"/>
  <c r="T71" i="1"/>
  <c r="U71" i="1"/>
  <c r="X71" i="1"/>
  <c r="AA71" i="1"/>
  <c r="T72" i="1"/>
  <c r="U72" i="1"/>
  <c r="X72" i="1"/>
  <c r="AA72" i="1"/>
  <c r="T73" i="1"/>
  <c r="U73" i="1"/>
  <c r="X73" i="1"/>
  <c r="AA73" i="1"/>
  <c r="T74" i="1"/>
  <c r="U74" i="1"/>
  <c r="X74" i="1"/>
  <c r="AA74" i="1"/>
  <c r="T75" i="1"/>
  <c r="U75" i="1"/>
  <c r="X75" i="1"/>
  <c r="AA75" i="1"/>
  <c r="F12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D76" i="1"/>
  <c r="AB75" i="1"/>
  <c r="AX75" i="1"/>
  <c r="AV75" i="1"/>
  <c r="AM75" i="1"/>
  <c r="H75" i="1"/>
  <c r="I75" i="1"/>
  <c r="AC75" i="1"/>
  <c r="AD75" i="1"/>
  <c r="AF75" i="1"/>
  <c r="H74" i="1"/>
  <c r="I74" i="1"/>
  <c r="AC74" i="1"/>
  <c r="AD74" i="1"/>
  <c r="AF74" i="1"/>
  <c r="H73" i="1"/>
  <c r="I73" i="1"/>
  <c r="AC73" i="1"/>
  <c r="AD73" i="1"/>
  <c r="AF73" i="1"/>
  <c r="H72" i="1"/>
  <c r="I72" i="1"/>
  <c r="AC72" i="1"/>
  <c r="AD72" i="1"/>
  <c r="AF72" i="1"/>
  <c r="H71" i="1"/>
  <c r="I71" i="1"/>
  <c r="AC71" i="1"/>
  <c r="AD71" i="1"/>
  <c r="AF71" i="1"/>
  <c r="H70" i="1"/>
  <c r="I70" i="1"/>
  <c r="AC70" i="1"/>
  <c r="AD70" i="1"/>
  <c r="AF70" i="1"/>
  <c r="H69" i="1"/>
  <c r="I69" i="1"/>
  <c r="AC69" i="1"/>
  <c r="AD69" i="1"/>
  <c r="AF69" i="1"/>
  <c r="H68" i="1"/>
  <c r="I68" i="1"/>
  <c r="AC68" i="1"/>
  <c r="AD68" i="1"/>
  <c r="AF68" i="1"/>
  <c r="H67" i="1"/>
  <c r="I67" i="1"/>
  <c r="AC67" i="1"/>
  <c r="AD67" i="1"/>
  <c r="AF67" i="1"/>
  <c r="H66" i="1"/>
  <c r="I66" i="1"/>
  <c r="AC66" i="1"/>
  <c r="AD66" i="1"/>
  <c r="AF66" i="1"/>
  <c r="H65" i="1"/>
  <c r="I65" i="1"/>
  <c r="AC65" i="1"/>
  <c r="AD65" i="1"/>
  <c r="AF65" i="1"/>
  <c r="H64" i="1"/>
  <c r="I64" i="1"/>
  <c r="AC64" i="1"/>
  <c r="AD64" i="1"/>
  <c r="AF64" i="1"/>
  <c r="H63" i="1"/>
  <c r="I63" i="1"/>
  <c r="AC63" i="1"/>
  <c r="AD63" i="1"/>
  <c r="AF63" i="1"/>
  <c r="H62" i="1"/>
  <c r="I62" i="1"/>
  <c r="AC62" i="1"/>
  <c r="AD62" i="1"/>
  <c r="AF62" i="1"/>
  <c r="H61" i="1"/>
  <c r="I61" i="1"/>
  <c r="AC61" i="1"/>
  <c r="AD61" i="1"/>
  <c r="AF61" i="1"/>
  <c r="H60" i="1"/>
  <c r="I60" i="1"/>
  <c r="AC60" i="1"/>
  <c r="AD60" i="1"/>
  <c r="AF60" i="1"/>
  <c r="H59" i="1"/>
  <c r="I59" i="1"/>
  <c r="AC59" i="1"/>
  <c r="AD59" i="1"/>
  <c r="AF59" i="1"/>
  <c r="H58" i="1"/>
  <c r="I58" i="1"/>
  <c r="AC58" i="1"/>
  <c r="AD58" i="1"/>
  <c r="AF58" i="1"/>
  <c r="H57" i="1"/>
  <c r="I57" i="1"/>
  <c r="AC57" i="1"/>
  <c r="AD57" i="1"/>
  <c r="AF57" i="1"/>
  <c r="H56" i="1"/>
  <c r="I56" i="1"/>
  <c r="AC56" i="1"/>
  <c r="AD56" i="1"/>
  <c r="AF56" i="1"/>
  <c r="H55" i="1"/>
  <c r="I55" i="1"/>
  <c r="AC55" i="1"/>
  <c r="AD55" i="1"/>
  <c r="AF55" i="1"/>
  <c r="H54" i="1"/>
  <c r="I54" i="1"/>
  <c r="AC54" i="1"/>
  <c r="AD54" i="1"/>
  <c r="AF54" i="1"/>
  <c r="H53" i="1"/>
  <c r="I53" i="1"/>
  <c r="AC53" i="1"/>
  <c r="AD53" i="1"/>
  <c r="AF53" i="1"/>
  <c r="H52" i="1"/>
  <c r="I52" i="1"/>
  <c r="AC52" i="1"/>
  <c r="AD52" i="1"/>
  <c r="AF52" i="1"/>
  <c r="H51" i="1"/>
  <c r="I51" i="1"/>
  <c r="AC51" i="1"/>
  <c r="AD51" i="1"/>
  <c r="AF51" i="1"/>
  <c r="H50" i="1"/>
  <c r="I50" i="1"/>
  <c r="AC50" i="1"/>
  <c r="AD50" i="1"/>
  <c r="AF50" i="1"/>
  <c r="H49" i="1"/>
  <c r="I49" i="1"/>
  <c r="AC49" i="1"/>
  <c r="AD49" i="1"/>
  <c r="AF49" i="1"/>
  <c r="H48" i="1"/>
  <c r="I48" i="1"/>
  <c r="AC48" i="1"/>
  <c r="AD48" i="1"/>
  <c r="AF48" i="1"/>
  <c r="H47" i="1"/>
  <c r="I47" i="1"/>
  <c r="AC47" i="1"/>
  <c r="AD47" i="1"/>
  <c r="AF47" i="1"/>
  <c r="H46" i="1"/>
  <c r="I46" i="1"/>
  <c r="AC46" i="1"/>
  <c r="AD46" i="1"/>
  <c r="AF46" i="1"/>
  <c r="H45" i="1"/>
  <c r="I45" i="1"/>
  <c r="AC45" i="1"/>
  <c r="AD45" i="1"/>
  <c r="AF45" i="1"/>
  <c r="H44" i="1"/>
  <c r="I44" i="1"/>
  <c r="AC44" i="1"/>
  <c r="AD44" i="1"/>
  <c r="AF44" i="1"/>
  <c r="H43" i="1"/>
  <c r="I43" i="1"/>
  <c r="AC43" i="1"/>
  <c r="AD43" i="1"/>
  <c r="AF43" i="1"/>
  <c r="H42" i="1"/>
  <c r="I42" i="1"/>
  <c r="AC42" i="1"/>
  <c r="AD42" i="1"/>
  <c r="AF42" i="1"/>
  <c r="H41" i="1"/>
  <c r="I41" i="1"/>
  <c r="AC41" i="1"/>
  <c r="AD41" i="1"/>
  <c r="AF41" i="1"/>
  <c r="H40" i="1"/>
  <c r="I40" i="1"/>
  <c r="AC40" i="1"/>
  <c r="AD40" i="1"/>
  <c r="AF40" i="1"/>
  <c r="H39" i="1"/>
  <c r="I39" i="1"/>
  <c r="AC39" i="1"/>
  <c r="AD39" i="1"/>
  <c r="AF39" i="1"/>
  <c r="H38" i="1"/>
  <c r="I38" i="1"/>
  <c r="AC38" i="1"/>
  <c r="AD38" i="1"/>
  <c r="AF38" i="1"/>
  <c r="H37" i="1"/>
  <c r="I37" i="1"/>
  <c r="AC37" i="1"/>
  <c r="AD37" i="1"/>
  <c r="AF37" i="1"/>
  <c r="H36" i="1"/>
  <c r="I36" i="1"/>
  <c r="AC36" i="1"/>
  <c r="AD36" i="1"/>
  <c r="AF36" i="1"/>
  <c r="H35" i="1"/>
  <c r="I35" i="1"/>
  <c r="AC35" i="1"/>
  <c r="AD35" i="1"/>
  <c r="AF35" i="1"/>
  <c r="H34" i="1"/>
  <c r="I34" i="1"/>
  <c r="AC34" i="1"/>
  <c r="AD34" i="1"/>
  <c r="AF34" i="1"/>
  <c r="H33" i="1"/>
  <c r="I33" i="1"/>
  <c r="AC33" i="1"/>
  <c r="AD33" i="1"/>
  <c r="AF33" i="1"/>
  <c r="H32" i="1"/>
  <c r="I32" i="1"/>
  <c r="AC32" i="1"/>
  <c r="AD32" i="1"/>
  <c r="AF32" i="1"/>
  <c r="H31" i="1"/>
  <c r="I31" i="1"/>
  <c r="AC31" i="1"/>
  <c r="AD31" i="1"/>
  <c r="AF31" i="1"/>
  <c r="H30" i="1"/>
  <c r="I30" i="1"/>
  <c r="AC30" i="1"/>
  <c r="AD30" i="1"/>
  <c r="AF30" i="1"/>
  <c r="H29" i="1"/>
  <c r="I29" i="1"/>
  <c r="AC29" i="1"/>
  <c r="AD29" i="1"/>
  <c r="AF29" i="1"/>
  <c r="H28" i="1"/>
  <c r="I28" i="1"/>
  <c r="AC28" i="1"/>
  <c r="AD28" i="1"/>
  <c r="AF28" i="1"/>
  <c r="H27" i="1"/>
  <c r="I27" i="1"/>
  <c r="AC27" i="1"/>
  <c r="AD27" i="1"/>
  <c r="AF27" i="1"/>
  <c r="H26" i="1"/>
  <c r="I26" i="1"/>
  <c r="AC26" i="1"/>
  <c r="AD26" i="1"/>
  <c r="AF26" i="1"/>
  <c r="H25" i="1"/>
  <c r="I25" i="1"/>
  <c r="AC25" i="1"/>
  <c r="AD25" i="1"/>
  <c r="AF25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K75" i="1"/>
  <c r="J75" i="1"/>
  <c r="AB74" i="1"/>
  <c r="AX74" i="1"/>
  <c r="AV74" i="1"/>
  <c r="AM74" i="1"/>
  <c r="K74" i="1"/>
  <c r="J74" i="1"/>
  <c r="AB73" i="1"/>
  <c r="AX73" i="1"/>
  <c r="AV73" i="1"/>
  <c r="AM73" i="1"/>
  <c r="K73" i="1"/>
  <c r="J73" i="1"/>
  <c r="AB72" i="1"/>
  <c r="AX72" i="1"/>
  <c r="AV72" i="1"/>
  <c r="AM72" i="1"/>
  <c r="K72" i="1"/>
  <c r="J72" i="1"/>
  <c r="AB71" i="1"/>
  <c r="AX71" i="1"/>
  <c r="AV71" i="1"/>
  <c r="AM71" i="1"/>
  <c r="K71" i="1"/>
  <c r="J71" i="1"/>
  <c r="AB70" i="1"/>
  <c r="AX70" i="1"/>
  <c r="AV70" i="1"/>
  <c r="AM70" i="1"/>
  <c r="K70" i="1"/>
  <c r="J70" i="1"/>
  <c r="AB69" i="1"/>
  <c r="AX69" i="1"/>
  <c r="AV69" i="1"/>
  <c r="AM69" i="1"/>
  <c r="K69" i="1"/>
  <c r="J69" i="1"/>
  <c r="AB68" i="1"/>
  <c r="AX68" i="1"/>
  <c r="AV68" i="1"/>
  <c r="AM68" i="1"/>
  <c r="K68" i="1"/>
  <c r="J68" i="1"/>
  <c r="AB67" i="1"/>
  <c r="AX67" i="1"/>
  <c r="AV67" i="1"/>
  <c r="AM67" i="1"/>
  <c r="K67" i="1"/>
  <c r="J67" i="1"/>
  <c r="AB66" i="1"/>
  <c r="AX66" i="1"/>
  <c r="AV66" i="1"/>
  <c r="AM66" i="1"/>
  <c r="K66" i="1"/>
  <c r="J66" i="1"/>
  <c r="AB65" i="1"/>
  <c r="AX65" i="1"/>
  <c r="AV65" i="1"/>
  <c r="AM65" i="1"/>
  <c r="K65" i="1"/>
  <c r="J65" i="1"/>
  <c r="AB64" i="1"/>
  <c r="AX64" i="1"/>
  <c r="AV64" i="1"/>
  <c r="AM64" i="1"/>
  <c r="K64" i="1"/>
  <c r="J64" i="1"/>
  <c r="AB63" i="1"/>
  <c r="AX63" i="1"/>
  <c r="AV63" i="1"/>
  <c r="AM63" i="1"/>
  <c r="K63" i="1"/>
  <c r="J63" i="1"/>
  <c r="AB62" i="1"/>
  <c r="AX62" i="1"/>
  <c r="AV62" i="1"/>
  <c r="AM62" i="1"/>
  <c r="K62" i="1"/>
  <c r="J62" i="1"/>
  <c r="AB61" i="1"/>
  <c r="AX61" i="1"/>
  <c r="AV61" i="1"/>
  <c r="AM61" i="1"/>
  <c r="K61" i="1"/>
  <c r="J61" i="1"/>
  <c r="AB60" i="1"/>
  <c r="AX60" i="1"/>
  <c r="AV60" i="1"/>
  <c r="AM60" i="1"/>
  <c r="K60" i="1"/>
  <c r="J60" i="1"/>
  <c r="AB59" i="1"/>
  <c r="AX59" i="1"/>
  <c r="AV59" i="1"/>
  <c r="AM59" i="1"/>
  <c r="K59" i="1"/>
  <c r="J59" i="1"/>
  <c r="AB58" i="1"/>
  <c r="AX58" i="1"/>
  <c r="AV58" i="1"/>
  <c r="AM58" i="1"/>
  <c r="K58" i="1"/>
  <c r="J58" i="1"/>
  <c r="AB57" i="1"/>
  <c r="AX57" i="1"/>
  <c r="AV57" i="1"/>
  <c r="AM57" i="1"/>
  <c r="K57" i="1"/>
  <c r="J57" i="1"/>
  <c r="AB56" i="1"/>
  <c r="AX56" i="1"/>
  <c r="AV56" i="1"/>
  <c r="AM56" i="1"/>
  <c r="K56" i="1"/>
  <c r="J56" i="1"/>
  <c r="AB55" i="1"/>
  <c r="AX55" i="1"/>
  <c r="AV55" i="1"/>
  <c r="AM55" i="1"/>
  <c r="K55" i="1"/>
  <c r="J55" i="1"/>
  <c r="AB54" i="1"/>
  <c r="AX54" i="1"/>
  <c r="AV54" i="1"/>
  <c r="AM54" i="1"/>
  <c r="K54" i="1"/>
  <c r="J54" i="1"/>
  <c r="AB53" i="1"/>
  <c r="AX53" i="1"/>
  <c r="AV53" i="1"/>
  <c r="AM53" i="1"/>
  <c r="K53" i="1"/>
  <c r="J53" i="1"/>
  <c r="AB52" i="1"/>
  <c r="AX52" i="1"/>
  <c r="AV52" i="1"/>
  <c r="AM52" i="1"/>
  <c r="K52" i="1"/>
  <c r="J52" i="1"/>
  <c r="AB51" i="1"/>
  <c r="AX51" i="1"/>
  <c r="AV51" i="1"/>
  <c r="AM51" i="1"/>
  <c r="K51" i="1"/>
  <c r="J51" i="1"/>
  <c r="AB50" i="1"/>
  <c r="AX50" i="1"/>
  <c r="AV50" i="1"/>
  <c r="AM50" i="1"/>
  <c r="K50" i="1"/>
  <c r="J50" i="1"/>
  <c r="AB49" i="1"/>
  <c r="AX49" i="1"/>
  <c r="AV49" i="1"/>
  <c r="AM49" i="1"/>
  <c r="K49" i="1"/>
  <c r="J49" i="1"/>
  <c r="AB48" i="1"/>
  <c r="AX48" i="1"/>
  <c r="AV48" i="1"/>
  <c r="AM48" i="1"/>
  <c r="K48" i="1"/>
  <c r="J48" i="1"/>
  <c r="AB47" i="1"/>
  <c r="AX47" i="1"/>
  <c r="AV47" i="1"/>
  <c r="AM47" i="1"/>
  <c r="K47" i="1"/>
  <c r="J47" i="1"/>
  <c r="AB46" i="1"/>
  <c r="AX46" i="1"/>
  <c r="AV46" i="1"/>
  <c r="AM46" i="1"/>
  <c r="K46" i="1"/>
  <c r="J46" i="1"/>
  <c r="AB45" i="1"/>
  <c r="AX45" i="1"/>
  <c r="AV45" i="1"/>
  <c r="AM45" i="1"/>
  <c r="K45" i="1"/>
  <c r="J45" i="1"/>
  <c r="AB44" i="1"/>
  <c r="AX44" i="1"/>
  <c r="AV44" i="1"/>
  <c r="AM44" i="1"/>
  <c r="K44" i="1"/>
  <c r="J44" i="1"/>
  <c r="AB43" i="1"/>
  <c r="AX43" i="1"/>
  <c r="AV43" i="1"/>
  <c r="AM43" i="1"/>
  <c r="K43" i="1"/>
  <c r="J43" i="1"/>
  <c r="AB42" i="1"/>
  <c r="AX42" i="1"/>
  <c r="AV42" i="1"/>
  <c r="AM42" i="1"/>
  <c r="K42" i="1"/>
  <c r="J42" i="1"/>
  <c r="AB41" i="1"/>
  <c r="AX41" i="1"/>
  <c r="AV41" i="1"/>
  <c r="AM41" i="1"/>
  <c r="K41" i="1"/>
  <c r="J41" i="1"/>
  <c r="AB40" i="1"/>
  <c r="AX40" i="1"/>
  <c r="AV40" i="1"/>
  <c r="AM40" i="1"/>
  <c r="K40" i="1"/>
  <c r="J40" i="1"/>
  <c r="AB39" i="1"/>
  <c r="AX39" i="1"/>
  <c r="AV39" i="1"/>
  <c r="AM39" i="1"/>
  <c r="K39" i="1"/>
  <c r="J39" i="1"/>
  <c r="AB38" i="1"/>
  <c r="AX38" i="1"/>
  <c r="AV38" i="1"/>
  <c r="AM38" i="1"/>
  <c r="K38" i="1"/>
  <c r="J38" i="1"/>
  <c r="AB37" i="1"/>
  <c r="AX37" i="1"/>
  <c r="AV37" i="1"/>
  <c r="AM37" i="1"/>
  <c r="K37" i="1"/>
  <c r="J37" i="1"/>
  <c r="AB36" i="1"/>
  <c r="AX36" i="1"/>
  <c r="AV36" i="1"/>
  <c r="AM36" i="1"/>
  <c r="K36" i="1"/>
  <c r="J36" i="1"/>
  <c r="AB35" i="1"/>
  <c r="AX35" i="1"/>
  <c r="AV35" i="1"/>
  <c r="AM35" i="1"/>
  <c r="K35" i="1"/>
  <c r="J35" i="1"/>
  <c r="AB34" i="1"/>
  <c r="AX34" i="1"/>
  <c r="AV34" i="1"/>
  <c r="AM34" i="1"/>
  <c r="K34" i="1"/>
  <c r="J34" i="1"/>
  <c r="AB33" i="1"/>
  <c r="AX33" i="1"/>
  <c r="AV33" i="1"/>
  <c r="AM33" i="1"/>
  <c r="K33" i="1"/>
  <c r="J33" i="1"/>
  <c r="AB32" i="1"/>
  <c r="AX32" i="1"/>
  <c r="AV32" i="1"/>
  <c r="AM32" i="1"/>
  <c r="K32" i="1"/>
  <c r="J32" i="1"/>
  <c r="AB31" i="1"/>
  <c r="AX31" i="1"/>
  <c r="AV31" i="1"/>
  <c r="AM31" i="1"/>
  <c r="K31" i="1"/>
  <c r="J31" i="1"/>
  <c r="AB30" i="1"/>
  <c r="AX30" i="1"/>
  <c r="AV30" i="1"/>
  <c r="AM30" i="1"/>
  <c r="K30" i="1"/>
  <c r="J30" i="1"/>
  <c r="AB29" i="1"/>
  <c r="AX29" i="1"/>
  <c r="AV29" i="1"/>
  <c r="AM29" i="1"/>
  <c r="K29" i="1"/>
  <c r="J29" i="1"/>
  <c r="AB28" i="1"/>
  <c r="AX28" i="1"/>
  <c r="AV28" i="1"/>
  <c r="AM28" i="1"/>
  <c r="K28" i="1"/>
  <c r="J28" i="1"/>
  <c r="AB27" i="1"/>
  <c r="AX27" i="1"/>
  <c r="AV27" i="1"/>
  <c r="AM27" i="1"/>
  <c r="K27" i="1"/>
  <c r="J27" i="1"/>
  <c r="AB26" i="1"/>
  <c r="AX26" i="1"/>
  <c r="AV26" i="1"/>
  <c r="AM26" i="1"/>
  <c r="K26" i="1"/>
  <c r="J26" i="1"/>
  <c r="AB25" i="1"/>
  <c r="AX25" i="1"/>
  <c r="AV25" i="1"/>
  <c r="AM25" i="1"/>
  <c r="K25" i="1"/>
  <c r="J25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I12" i="1"/>
  <c r="I13" i="1"/>
  <c r="I14" i="1"/>
  <c r="X22" i="1"/>
  <c r="H12" i="1"/>
  <c r="H13" i="1"/>
  <c r="H14" i="1"/>
  <c r="W22" i="1"/>
  <c r="G12" i="1"/>
  <c r="G13" i="1"/>
  <c r="G14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H4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V20" i="1" a="1"/>
  <c r="V20" i="1"/>
  <c r="I19" i="1"/>
  <c r="H19" i="1"/>
  <c r="G19" i="1"/>
  <c r="F13" i="1"/>
  <c r="F14" i="1"/>
  <c r="F19" i="1"/>
  <c r="E14" i="1"/>
  <c r="E19" i="1"/>
  <c r="D14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  <c r="D8" i="1"/>
  <c r="D7" i="1"/>
  <c r="I4" i="1"/>
  <c r="H3" i="1"/>
</calcChain>
</file>

<file path=xl/sharedStrings.xml><?xml version="1.0" encoding="utf-8"?>
<sst xmlns="http://schemas.openxmlformats.org/spreadsheetml/2006/main" count="130" uniqueCount="125">
  <si>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</si>
  <si>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</si>
  <si>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</si>
  <si>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</si>
  <si>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</si>
  <si>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</si>
  <si>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</si>
  <si>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</si>
  <si>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</si>
  <si>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</si>
  <si>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</si>
  <si>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</si>
  <si>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</si>
  <si>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</si>
  <si>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</si>
  <si>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</si>
  <si>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</si>
  <si>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</si>
  <si>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</si>
  <si>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</si>
  <si>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</si>
  <si>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</si>
  <si>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</si>
  <si>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</si>
  <si>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</si>
  <si>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</si>
  <si>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</si>
  <si>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</si>
  <si>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</si>
  <si>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</si>
  <si>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</si>
  <si>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</si>
  <si>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</si>
  <si>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</si>
  <si>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</si>
  <si>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</si>
  <si>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</si>
  <si>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</si>
  <si>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</si>
  <si>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</si>
  <si>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</si>
  <si>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</si>
  <si>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</si>
  <si>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</si>
  <si>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</si>
  <si>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</si>
  <si>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</si>
  <si>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</si>
  <si>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</si>
  <si>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</si>
  <si>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</si>
  <si>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</si>
  <si>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</si>
  <si>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</si>
  <si>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</si>
  <si>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</si>
  <si>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</si>
  <si>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</si>
  <si>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</si>
  <si>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</si>
  <si>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</si>
  <si>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</si>
  <si>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</si>
  <si>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</si>
  <si>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</si>
  <si>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</si>
  <si>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</si>
  <si>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</si>
  <si>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</si>
  <si>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</si>
  <si>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</si>
  <si>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</si>
  <si>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</si>
  <si>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</si>
  <si>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</si>
  <si>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</si>
  <si>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</si>
  <si>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</si>
  <si>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adjusted_outcome</t>
  </si>
  <si>
    <t>index</t>
  </si>
  <si>
    <t>stein_split_needed</t>
  </si>
  <si>
    <t>states_clinton_added</t>
  </si>
  <si>
    <t>states_clinton_lost</t>
  </si>
  <si>
    <t>johnson_split_needed</t>
  </si>
  <si>
    <t>stein_votes_to_clinton</t>
  </si>
  <si>
    <t>stein_votes_to_trump</t>
  </si>
  <si>
    <t>johnson_votes_to_clinton</t>
  </si>
  <si>
    <t>johnson_votes_to_trump</t>
  </si>
  <si>
    <t>in_play</t>
  </si>
  <si>
    <t>in_play_stein</t>
  </si>
  <si>
    <t>in_play_johnson</t>
  </si>
  <si>
    <t>check_stein_split_needed</t>
  </si>
  <si>
    <t>check_johnson_split_needed</t>
  </si>
  <si>
    <t>adjusted_vote_clinton_with_stein_only</t>
  </si>
  <si>
    <t>adjusted_vote_trump_with_stein_only</t>
  </si>
  <si>
    <t>adjusted_vote_clinton_with_johnson_only</t>
  </si>
  <si>
    <t>adjusted_vote_trump_with_johnson_only</t>
  </si>
  <si>
    <t>adjusted_spread_with_stein_only</t>
  </si>
  <si>
    <t>adjusted_spread_with_johnson_only</t>
  </si>
  <si>
    <t>Adjusted Votes With Stein Only</t>
  </si>
  <si>
    <t>Adjusted Votes With Johnson Only</t>
  </si>
  <si>
    <t>Spread</t>
  </si>
  <si>
    <t>Adjusted Votes With Both</t>
  </si>
  <si>
    <t>Check Clinton</t>
  </si>
  <si>
    <t>Check Trump</t>
  </si>
  <si>
    <t>Check Spread</t>
  </si>
  <si>
    <t>Total</t>
  </si>
  <si>
    <t>Check Overall</t>
  </si>
  <si>
    <t>Flipped States</t>
  </si>
  <si>
    <t>electors_with_split_stein</t>
  </si>
  <si>
    <t>electors_with_split_johnson</t>
  </si>
  <si>
    <t>`</t>
  </si>
  <si>
    <t>stein_split_needed_pure</t>
  </si>
  <si>
    <t>Min Percent Needed --&gt;</t>
  </si>
  <si>
    <t>#</t>
  </si>
  <si>
    <t>johnson_split_needed_pure</t>
  </si>
  <si>
    <t>adjusted_electors_clinton_with_stein_only</t>
  </si>
  <si>
    <t>adjusted_electors_clinton_with_johnson_only</t>
  </si>
  <si>
    <t xml:space="preserve">Checks --&gt;    </t>
  </si>
  <si>
    <t xml:space="preserve">Expected Totals -&gt;    </t>
  </si>
  <si>
    <t xml:space="preserve">Totals --&gt;    </t>
  </si>
  <si>
    <t>electors_with_split_stein_added</t>
  </si>
  <si>
    <t>electors_with_split_stein_dropped</t>
  </si>
  <si>
    <t>electors_with_split_johnson_added</t>
  </si>
  <si>
    <t>electors_with_split_johnson_dropped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</si>
</sst>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>
      <alignment horizontal="right" vertical="center"/>
    </xf>
    <xf numFmtId="0" fontId="7" fillId="5" borderId="1" xfId="0" applyNumberFormat="1" applyFont="1" applyFill="1" applyBorder="1" applyAlignment="1">
      <alignment horizontal="right"/>
    </xf>
    <xf numFmtId="0" fontId="7" fillId="5" borderId="1" xfId="1" applyNumberFormat="1" applyFont="1" applyFill="1" applyBorder="1" applyAlignment="1">
      <alignment horizontal="right"/>
    </xf>
    <xf numFmtId="0" fontId="4" fillId="5" borderId="1" xfId="1" applyNumberFormat="1" applyFont="1" applyFill="1" applyBorder="1" applyAlignment="1">
      <alignment horizontal="right"/>
    </xf>
    <xf numFmtId="10" fontId="1" fillId="5" borderId="1" xfId="2" applyNumberFormat="1" applyFill="1" applyBorder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/>
    </xf>
    <xf numFmtId="43" fontId="8" fillId="6" borderId="4" xfId="1" quotePrefix="1" applyFont="1" applyFill="1" applyBorder="1" applyAlignment="1">
      <alignment horizontal="center"/>
    </xf>
    <xf numFmtId="0" fontId="0" fillId="5" borderId="1" xfId="2" applyNumberFormat="1" applyFont="1" applyFill="1" applyBorder="1" applyAlignment="1">
      <alignment horizontal="center"/>
    </xf>
    <xf numFmtId="164" fontId="12" fillId="7" borderId="1" xfId="1" applyNumberFormat="1" applyFont="1" applyFill="1" applyBorder="1" applyAlignment="1">
      <alignment horizontal="center"/>
    </xf>
    <xf numFmtId="164" fontId="12" fillId="7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0" fillId="5" borderId="1" xfId="0" applyNumberFormat="1" applyFill="1" applyBorder="1" applyAlignment="1"/>
    <xf numFmtId="0" fontId="0" fillId="5" borderId="1" xfId="0" applyFill="1" applyBorder="1" applyAlignment="1"/>
    <xf numFmtId="165" fontId="8" fillId="6" borderId="1" xfId="1" applyNumberFormat="1" applyFont="1" applyFill="1" applyBorder="1" applyAlignment="1">
      <alignment horizontal="center"/>
    </xf>
    <xf numFmtId="43" fontId="8" fillId="9" borderId="4" xfId="1" applyFont="1" applyFill="1" applyBorder="1" applyAlignment="1">
      <alignment horizontal="center"/>
    </xf>
    <xf numFmtId="43" fontId="8" fillId="9" borderId="4" xfId="1" quotePrefix="1" applyFont="1" applyFill="1" applyBorder="1" applyAlignment="1">
      <alignment horizontal="center"/>
    </xf>
    <xf numFmtId="164" fontId="8" fillId="9" borderId="4" xfId="1" applyNumberFormat="1" applyFont="1" applyFill="1" applyBorder="1" applyAlignment="1">
      <alignment horizontal="center"/>
    </xf>
    <xf numFmtId="164" fontId="0" fillId="5" borderId="1" xfId="1" quotePrefix="1" applyNumberFormat="1" applyFont="1" applyFill="1" applyBorder="1" applyAlignment="1">
      <alignment horizontal="center"/>
    </xf>
    <xf numFmtId="10" fontId="0" fillId="5" borderId="1" xfId="2" quotePrefix="1" applyNumberFormat="1" applyFont="1" applyFill="1" applyBorder="1" applyAlignment="1">
      <alignment horizontal="center"/>
    </xf>
    <xf numFmtId="10" fontId="12" fillId="7" borderId="0" xfId="2" applyNumberFormat="1" applyFont="1" applyFill="1" applyAlignment="1">
      <alignment horizontal="center"/>
    </xf>
    <xf numFmtId="164" fontId="1" fillId="6" borderId="1" xfId="1" quotePrefix="1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9" fontId="0" fillId="4" borderId="1" xfId="2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5" borderId="1" xfId="2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</cellXfs>
  <cellStyles count="77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Normal" xfId="0" builtinId="0"/>
    <cellStyle name="Percent" xfId="2" builtinId="5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4:AX75" totalsRowShown="0" headerRowDxfId="53" dataDxfId="51" headerRowBorderDxfId="52" tableBorderDxfId="50" totalsRowBorderDxfId="49">
  <tableColumns count="49">
    <tableColumn id="1" name="State" dataDxfId="48"/>
    <tableColumn id="2" name="electoral_votes" dataDxfId="47" dataCellStyle="Comma"/>
    <tableColumn id="3" name="orig_vote_clinton" dataDxfId="46" dataCellStyle="Comma"/>
    <tableColumn id="4" name="orig_vote_trump" dataDxfId="45" dataCellStyle="Comma"/>
    <tableColumn id="5" name="orig_vote_johnson" dataDxfId="44" dataCellStyle="Comma"/>
    <tableColumn id="6" name="orig_vote_stein" dataDxfId="43" dataCellStyle="Comma"/>
    <tableColumn id="16" name="index" dataDxfId="42">
      <calculatedColumnFormula>ROW()-ROW(Table1[[#Headers],[index]])</calculatedColumnFormula>
    </tableColumn>
    <tableColumn id="13" name="orig_spread" dataDxfId="41" dataCellStyle="Comma">
      <calculatedColumnFormula>Table1[[#This Row],[orig_vote_clinton]]-Table1[[#This Row],[orig_vote_trump]]</calculatedColumnFormula>
    </tableColumn>
    <tableColumn id="18" name="orig_electors_clinton" dataDxfId="40" dataCellStyle="Comma">
      <calculatedColumnFormula>IF(Table1[[#This Row],[orig_spread]]&gt;0,Table1[[#This Row],[electoral_votes]],0)</calculatedColumnFormula>
    </tableColumn>
    <tableColumn id="17" name="orig_electors_trump" dataDxfId="39" dataCellStyle="Comma">
      <calculatedColumnFormula>IF(Table1[[#This Row],[orig_spread]]&lt;0,Table1[[#This Row],[electoral_votes]],0)</calculatedColumnFormula>
    </tableColumn>
    <tableColumn id="26" name="stein_votes_to_clinton" dataDxfId="38" dataCellStyle="Comma">
      <calculatedColumnFormula>pct_stein_to_clinton*Table1[[#This Row],[orig_vote_stein]]</calculatedColumnFormula>
    </tableColumn>
    <tableColumn id="27" name="stein_votes_to_trump" dataDxfId="37" dataCellStyle="Comma">
      <calculatedColumnFormula>pct_stein_to_trump*Table1[[#This Row],[orig_vote_stein]]</calculatedColumnFormula>
    </tableColumn>
    <tableColumn id="28" name="johnson_votes_to_clinton" dataDxfId="36" dataCellStyle="Comma">
      <calculatedColumnFormula>pct_johnson_to_clinton*Table1[[#This Row],[orig_vote_johnson]]</calculatedColumnFormula>
    </tableColumn>
    <tableColumn id="29" name="johnson_votes_to_trump" dataDxfId="35" dataCellStyle="Comma">
      <calculatedColumnFormula>pct_johnson_to_trump*Table1[[#This Row],[orig_vote_johnson]]</calculatedColumnFormula>
    </tableColumn>
    <tableColumn id="30" name="adjusted_vote_clinton_with_stein_only" dataDxfId="34" dataCellStyle="Comma">
      <calculatedColumnFormula>Table1[[#This Row],[orig_vote_clinton]]+Table1[[#This Row],[stein_votes_to_clinton]]</calculatedColumnFormula>
    </tableColumn>
    <tableColumn id="31" name="adjusted_vote_trump_with_stein_only" dataDxfId="33" dataCellStyle="Comma">
      <calculatedColumnFormula>Table1[[#This Row],[orig_vote_trump]]+Table1[[#This Row],[stein_votes_to_trump]]</calculatedColumnFormula>
    </tableColumn>
    <tableColumn id="33" name="adjusted_vote_clinton_with_johnson_only" dataDxfId="32" dataCellStyle="Comma">
      <calculatedColumnFormula>Table1[[#This Row],[orig_vote_clinton]]+Table1[[#This Row],[johnson_votes_to_clinton]]</calculatedColumnFormula>
    </tableColumn>
    <tableColumn id="32" name="adjusted_vote_trump_with_johnson_only" dataDxfId="31" dataCellStyle="Comma">
      <calculatedColumnFormula>Table1[[#This Row],[orig_vote_trump]]+Table1[[#This Row],[johnson_votes_to_trump]]</calculatedColumnFormula>
    </tableColumn>
    <tableColumn id="7" name="adjusted_vote_clinton" dataDxfId="30" dataCellStyle="Comma">
      <calculatedColumnFormula>Table1[[#This Row],[orig_vote_clinton]]+Table1[[#This Row],[stein_votes_to_clinton]]+Table1[[#This Row],[johnson_votes_to_clinton]]</calculatedColumnFormula>
    </tableColumn>
    <tableColumn id="8" name="adjusted_vote_trump" dataDxfId="29" dataCellStyle="Comma">
      <calculatedColumnFormula>Table1[[#This Row],[orig_vote_trump]]+Table1[[#This Row],[stein_votes_to_trump]]+Table1[[#This Row],[johnson_votes_to_trump]]</calculatedColumnFormula>
    </tableColumn>
    <tableColumn id="35" name="adjusted_spread_with_stein_only" dataDxfId="28" dataCellStyle="Comma">
      <calculatedColumnFormula>Table1[[#This Row],[adjusted_vote_clinton_with_stein_only]]-Table1[[#This Row],[adjusted_vote_trump_with_stein_only]]</calculatedColumnFormula>
    </tableColumn>
    <tableColumn id="34" name="adjusted_spread_with_johnson_only" dataDxfId="27" dataCellStyle="Comma">
      <calculatedColumnFormula>Table1[[#This Row],[adjusted_vote_clinton_with_johnson_only]]-Table1[[#This Row],[adjusted_vote_trump_with_johnson_only]]</calculatedColumnFormula>
    </tableColumn>
    <tableColumn id="14" name="adjusted_spread" dataDxfId="26" dataCellStyle="Comma">
      <calculatedColumnFormula>Table1[[#This Row],[adjusted_vote_clinton]]-Table1[[#This Row],[adjusted_vote_trump]]</calculatedColumnFormula>
    </tableColumn>
    <tableColumn id="53" name="adjusted_electors_clinton_with_stein_only" dataDxfId="25" dataCellStyle="Comma">
      <calculatedColumnFormula>IF(Table1[[#This Row],[adjusted_spread_with_stein_only]]&gt;0,Table1[[#This Row],[electoral_votes]],0)</calculatedColumnFormula>
    </tableColumn>
    <tableColumn id="54" name="adjusted_electors_clinton_with_johnson_only" dataDxfId="24" dataCellStyle="Comma">
      <calculatedColumnFormula>IF(Table1[[#This Row],[adjusted_spread_with_johnson_only]]&gt;0,Table1[[#This Row],[electoral_votes]],0)</calculatedColumnFormula>
    </tableColumn>
    <tableColumn id="10" name="adjusted_electors_clinton" dataDxfId="23" dataCellStyle="Comma">
      <calculatedColumnFormula>IF(Table1[[#This Row],[adjusted_spread]]&gt;0,Table1[[#This Row],[electoral_votes]],0)</calculatedColumnFormula>
    </tableColumn>
    <tableColumn id="11" name="adjusted_electors_trump" dataDxfId="22" dataCellStyle="Comma">
      <calculatedColumnFormula>IF(Table1[[#This Row],[adjusted_spread]]&lt;0,Table1[[#This Row],[electoral_votes]],0)</calculatedColumnFormula>
    </tableColumn>
    <tableColumn id="21" name="orig_outcome" dataDxfId="21" dataCellStyle="Comma">
      <calculatedColumnFormula>IF(Table1[[#This Row],[orig_spread]]&lt;0,"Trump",IF(Table1[[#This Row],[orig_spread]]&gt;0,"Clinton",""))</calculatedColumnFormula>
    </tableColumn>
    <tableColumn id="23" name="adjusted_outcome" dataDxfId="20" dataCellStyle="Comma">
      <calculatedColumnFormula>IF(Table1[[#This Row],[adjusted_spread]]&lt;0,"Trump",IF(Table1[[#This Row],[adjusted_spread]]&gt;0,"Clinton",""))</calculatedColumnFormula>
    </tableColumn>
    <tableColumn id="20" name="pickup_clinton" dataDxfId="19" dataCellStyle="Comma">
      <calculatedColumnFormula>AND(Table1[[#This Row],[orig_outcome]]="Trump",Table1[[#This Row],[adjusted_outcome]]="Clinton")</calculatedColumnFormula>
    </tableColumn>
    <tableColumn id="19" name="pickup_trump" dataDxfId="18" dataCellStyle="Comma">
      <calculatedColumnFormula>AND(Table1[[#This Row],[orig_outcome]]="Clinton",Table1[[#This Row],[adjusted_outcome]]="Trump")</calculatedColumnFormula>
    </tableColumn>
    <tableColumn id="15" name="states_clinton_added" dataDxfId="17" dataCellStyle="Comma">
      <calculatedColumnFormula>IF(Table1[[#This Row],[index]]=1,IF(Table1[[#This Row],[pickup_clinton]],Table1[[#This Row],[State]],""),IF(Table1[[#This Row],[pickup_clinton]],CONCATENATE(AG24,IF(AG24="","",","),Table1[[#This Row],[State]]),AG24))</calculatedColumnFormula>
    </tableColumn>
    <tableColumn id="9" name="states_clinton_lost" dataDxfId="16" dataCellStyle="Comma">
      <calculatedColumnFormula>IF(Table1[[#This Row],[index]]=1,IF(Table1[[#This Row],[pickup_trump]],Table1[[#This Row],[State]],""),IF(Table1[[#This Row],[pickup_trump]],CONCATENATE(AH24,IF(W11="","",","),Table1[[#This Row],[State]]),AH24))</calculatedColumnFormula>
    </tableColumn>
    <tableColumn id="36" name="stein_split_needed_pure" dataDxfId="15">
      <calculatedColumnFormula>IF(Table1[[#This Row],[orig_vote_stein]]=0,"",(1-Table1[[#This Row],[adjusted_spread_with_johnson_only]]/Table1[[#This Row],[orig_vote_stein]])/2)</calculatedColumnFormula>
    </tableColumn>
    <tableColumn id="49" name="johnson_split_needed_pure" dataDxfId="14" dataCellStyle="Percent">
      <calculatedColumnFormula>(1-Table1[[#This Row],[adjusted_spread_with_stein_only]]/Table1[[#This Row],[orig_vote_johnson]])/2</calculatedColumnFormula>
    </tableColumn>
    <tableColumn id="40" name="in_play_stein" dataDxfId="13" dataCellStyle="Percent">
      <calculatedColumnFormula>AND(Table1[[#This Row],[stein_split_needed_pure]]&gt;=0,Table1[[#This Row],[stein_split_needed_pure]]&lt;=1)</calculatedColumnFormula>
    </tableColumn>
    <tableColumn id="39" name="in_play_johnson" dataDxfId="12" dataCellStyle="Percent">
      <calculatedColumnFormula>AND(Table1[[#This Row],[johnson_split_needed_pure]]&gt;=0,Table1[[#This Row],[johnson_split_needed_pure]]&lt;=1)</calculatedColumnFormula>
    </tableColumn>
    <tableColumn id="38" name="in_play" dataDxfId="11" dataCellStyle="Percent">
      <calculatedColumnFormula>OR(Table1[[#This Row],[in_play_stein]],Table1[[#This Row],[in_play_johnson]])</calculatedColumnFormula>
    </tableColumn>
    <tableColumn id="37" name="electors_with_split_stein_added" dataDxfId="10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41" name="electors_with_split_johnson_added" dataDxfId="9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25" name="electors_with_split_stein_dropped" dataDxfId="8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42" name="electors_with_split_johnson_dropped" dataDxfId="7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24" name="electors_with_split_stein" dataDxfId="6" dataCellStyle="Comma">
      <calculatedColumnFormula array="1">adjusted_electors_clinton_with_johnson_only+IF(NOT(Table1[[#This Row],[in_play_stein]]), 0,IF(Table1[[#This Row],[stein_split_needed_pure]]&gt;0.5, SUM(IF(Table1[stein_split_needed_pure]&lt;=Table1[[#This Row],[stein_split_needed_pure]], Table1[electoral_votes], 0)), 0))</calculatedColumnFormula>
    </tableColumn>
    <tableColumn id="51" name="electors_with_split_johnson" dataDxfId="5" dataCellStyle="Comma">
      <calculatedColumnFormula>adjusted_electors_clinton_with_johnson_only+Table1[[#This Row],[electors_with_split_stein_added]]+Table1[[#This Row],[electors_with_split_stein_dropped]]</calculatedColumnFormula>
    </tableColumn>
    <tableColumn id="48" name="stein_split_needed" dataDxfId="4" dataCellStyle="Percent">
      <calculatedColumnFormula>IF(AND(Table1[[#This Row],[in_play_stein]],Table1[[#This Row],[electors_with_split_stein]]&gt;=270),Table1[[#This Row],[stein_split_needed_pure]],"")</calculatedColumnFormula>
    </tableColumn>
    <tableColumn id="52" name="johnson_split_needed" dataDxfId="3" dataCellStyle="Percent">
      <calculatedColumnFormula array="1">IF(AND(#REF!,Table1[[#This Row],[electors_with_split_stein]]&gt;=270),Table1[[#This Row],[stein_split_needed_pure]],"")</calculatedColumnFormula>
    </tableColumn>
    <tableColumn id="43" name="check_stein_split_needed" dataDxfId="2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44" name="check_johnson_split_needed" dataDxfId="1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12" name="check_electors" dataDxfId="0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76"/>
  <sheetViews>
    <sheetView tabSelected="1" topLeftCell="A8" workbookViewId="0">
      <selection activeCell="C32" sqref="C32"/>
    </sheetView>
  </sheetViews>
  <sheetFormatPr baseColWidth="10" defaultColWidth="37" defaultRowHeight="15" x14ac:dyDescent="0"/>
  <cols>
    <col min="1" max="1" width="7.6640625" customWidth="1"/>
    <col min="2" max="2" width="38.33203125" customWidth="1"/>
    <col min="3" max="9" width="37" style="1"/>
    <col min="15" max="15" width="37" style="1"/>
    <col min="22" max="24" width="37" style="1"/>
    <col min="25" max="25" width="37.1640625" style="1" bestFit="1" customWidth="1"/>
    <col min="26" max="26" width="39.83203125" style="1" bestFit="1" customWidth="1"/>
    <col min="27" max="27" width="37" style="1"/>
    <col min="29" max="31" width="37" style="1"/>
    <col min="34" max="34" width="37" style="1"/>
    <col min="35" max="35" width="37" customWidth="1"/>
    <col min="36" max="36" width="37" customWidth="1" collapsed="1"/>
    <col min="37" max="37" width="37" style="1"/>
    <col min="39" max="44" width="37" customWidth="1"/>
    <col min="49" max="49" width="37" customWidth="1"/>
    <col min="53" max="53" width="37" customWidth="1"/>
    <col min="55" max="55" width="37" style="1"/>
    <col min="57" max="58" width="37" style="1"/>
  </cols>
  <sheetData>
    <row r="1" spans="3:58">
      <c r="J1" s="1"/>
      <c r="K1" s="1"/>
      <c r="L1" s="1"/>
      <c r="M1" s="1"/>
      <c r="N1" s="1"/>
      <c r="P1" s="1"/>
      <c r="Q1" s="1"/>
      <c r="R1" s="1"/>
      <c r="S1" s="1"/>
      <c r="T1" s="1"/>
      <c r="V1"/>
      <c r="W1"/>
      <c r="X1"/>
      <c r="Y1"/>
      <c r="Z1"/>
      <c r="AA1"/>
      <c r="AC1"/>
      <c r="AD1"/>
      <c r="AE1"/>
      <c r="AH1"/>
      <c r="AI1" s="1"/>
      <c r="AJ1" s="1"/>
      <c r="AK1"/>
      <c r="AN1" s="1"/>
      <c r="AO1" s="1"/>
      <c r="AP1" s="1"/>
      <c r="AQ1" s="1"/>
      <c r="AR1" s="1"/>
      <c r="AS1" s="1"/>
      <c r="AT1" s="1"/>
      <c r="BC1"/>
      <c r="BE1"/>
      <c r="BF1"/>
    </row>
    <row r="2" spans="3:58">
      <c r="D2" s="2" t="s">
        <v>4</v>
      </c>
      <c r="E2" s="2" t="s">
        <v>5</v>
      </c>
      <c r="F2" s="2" t="s">
        <v>6</v>
      </c>
      <c r="G2" s="24" t="s">
        <v>7</v>
      </c>
      <c r="H2" s="6" t="s">
        <v>106</v>
      </c>
      <c r="I2" s="6" t="s">
        <v>101</v>
      </c>
      <c r="L2" s="1"/>
      <c r="M2" s="1"/>
      <c r="N2" s="1"/>
      <c r="P2" s="1"/>
      <c r="Q2" s="1"/>
      <c r="R2" s="1"/>
      <c r="S2" s="1"/>
      <c r="T2" s="1"/>
      <c r="V2"/>
      <c r="W2"/>
      <c r="X2"/>
      <c r="Y2"/>
      <c r="Z2"/>
      <c r="AA2"/>
      <c r="AC2"/>
      <c r="AD2"/>
      <c r="AE2"/>
      <c r="AH2"/>
      <c r="AI2" s="1"/>
      <c r="AJ2" s="1"/>
      <c r="AK2"/>
      <c r="AN2" s="1"/>
      <c r="AO2" s="1"/>
      <c r="AP2" s="1"/>
      <c r="AQ2" s="1"/>
      <c r="AR2" s="1"/>
      <c r="AS2" s="1"/>
      <c r="AT2" s="1"/>
      <c r="BC2"/>
      <c r="BE2"/>
      <c r="BF2"/>
    </row>
    <row r="3" spans="3:58">
      <c r="C3" s="2" t="s">
        <v>59</v>
      </c>
      <c r="D3" s="13">
        <v>63382634</v>
      </c>
      <c r="E3" s="13">
        <v>62291077</v>
      </c>
      <c r="F3" s="14">
        <v>4500237</v>
      </c>
      <c r="G3" s="14">
        <v>1327599</v>
      </c>
      <c r="H3" s="38">
        <f>SUM(D3:G3)</f>
        <v>131501547</v>
      </c>
      <c r="I3" s="38">
        <f>D3-E3</f>
        <v>1091557</v>
      </c>
      <c r="L3" s="1"/>
      <c r="M3" s="1"/>
      <c r="N3" s="1"/>
      <c r="P3" s="1"/>
      <c r="Q3" s="1"/>
      <c r="R3" s="1"/>
      <c r="S3" s="1"/>
      <c r="T3" s="1"/>
      <c r="V3"/>
      <c r="W3"/>
      <c r="X3"/>
      <c r="Y3"/>
      <c r="Z3"/>
      <c r="AA3"/>
      <c r="AC3"/>
      <c r="AD3"/>
      <c r="AE3"/>
      <c r="AH3"/>
      <c r="AI3" s="1"/>
      <c r="AJ3" s="1"/>
      <c r="AK3"/>
      <c r="AN3" s="1"/>
      <c r="AO3" s="1"/>
      <c r="AP3" s="1"/>
      <c r="AQ3" s="1"/>
      <c r="AR3" s="1"/>
      <c r="AS3" s="1"/>
      <c r="AT3" s="1"/>
      <c r="BC3"/>
      <c r="BE3"/>
      <c r="BF3"/>
    </row>
    <row r="4" spans="3:58">
      <c r="C4" s="2" t="s">
        <v>60</v>
      </c>
      <c r="D4" s="15">
        <v>233</v>
      </c>
      <c r="E4" s="15">
        <v>305</v>
      </c>
      <c r="F4" s="15">
        <v>0</v>
      </c>
      <c r="G4" s="15">
        <v>0</v>
      </c>
      <c r="H4" s="39">
        <f>SUM(D4:G4)</f>
        <v>538</v>
      </c>
      <c r="I4" s="38">
        <f>D4-E4</f>
        <v>-72</v>
      </c>
      <c r="L4" s="1"/>
      <c r="M4" s="1"/>
      <c r="N4" s="1"/>
      <c r="P4" s="1"/>
      <c r="Q4" s="1"/>
      <c r="R4" s="1"/>
      <c r="S4" s="1"/>
      <c r="T4" s="1"/>
      <c r="V4"/>
      <c r="W4"/>
      <c r="X4"/>
      <c r="Y4"/>
      <c r="Z4"/>
      <c r="AA4"/>
      <c r="AC4"/>
      <c r="AD4"/>
      <c r="AE4"/>
      <c r="AH4"/>
      <c r="AI4" s="1"/>
      <c r="AJ4" s="1"/>
      <c r="AK4"/>
      <c r="AN4" s="1"/>
      <c r="AO4" s="1"/>
      <c r="AP4" s="1"/>
      <c r="AQ4" s="1"/>
      <c r="AR4" s="1"/>
      <c r="AS4" s="1"/>
      <c r="AT4" s="1"/>
      <c r="BC4"/>
      <c r="BE4"/>
      <c r="BF4"/>
    </row>
    <row r="5" spans="3:58">
      <c r="J5" s="1"/>
      <c r="K5" s="1"/>
      <c r="L5" s="1"/>
      <c r="M5" s="1"/>
      <c r="N5" s="1"/>
      <c r="P5" s="1"/>
      <c r="Q5" s="1"/>
      <c r="R5" s="1"/>
      <c r="S5" s="1"/>
      <c r="T5" s="1"/>
      <c r="V5"/>
      <c r="W5"/>
      <c r="X5"/>
      <c r="Y5"/>
      <c r="Z5"/>
      <c r="AA5"/>
      <c r="AC5"/>
      <c r="AD5"/>
      <c r="AE5"/>
      <c r="AH5"/>
      <c r="AI5" s="1"/>
      <c r="AJ5" s="1"/>
      <c r="AK5"/>
      <c r="AN5" s="1"/>
      <c r="AO5" s="1"/>
      <c r="AP5" s="1"/>
      <c r="AQ5" s="1"/>
      <c r="AR5" s="1"/>
      <c r="AS5" s="1"/>
      <c r="AT5" s="1"/>
      <c r="BC5"/>
      <c r="BE5"/>
      <c r="BF5"/>
    </row>
    <row r="6" spans="3:58">
      <c r="D6" s="52" t="s">
        <v>108</v>
      </c>
      <c r="E6" s="52"/>
      <c r="F6" s="52"/>
      <c r="J6" s="1"/>
      <c r="K6" s="1"/>
      <c r="L6" s="1"/>
      <c r="M6" s="1"/>
      <c r="N6" s="1"/>
      <c r="P6" s="1"/>
      <c r="Q6" s="1"/>
      <c r="R6" s="1"/>
      <c r="S6" s="1"/>
      <c r="T6" s="1"/>
      <c r="V6"/>
      <c r="W6"/>
      <c r="X6"/>
      <c r="Y6"/>
      <c r="Z6"/>
      <c r="AA6"/>
      <c r="AC6"/>
      <c r="AD6"/>
      <c r="AE6"/>
      <c r="AH6"/>
      <c r="AI6" s="1"/>
      <c r="AJ6" s="1"/>
      <c r="AK6"/>
      <c r="AN6" s="1"/>
      <c r="AO6" s="1"/>
      <c r="AP6" s="1"/>
      <c r="AQ6" s="1"/>
      <c r="AR6" s="1"/>
      <c r="AS6" s="1"/>
      <c r="AT6" s="1"/>
      <c r="BC6"/>
      <c r="BE6"/>
      <c r="BF6"/>
    </row>
    <row r="7" spans="3:58">
      <c r="C7" s="24" t="s">
        <v>4</v>
      </c>
      <c r="D7" s="53" t="str">
        <f>AG75</f>
        <v/>
      </c>
      <c r="E7" s="53"/>
      <c r="F7" s="53"/>
      <c r="J7" s="1"/>
      <c r="K7" s="1"/>
      <c r="L7" s="1"/>
      <c r="M7" s="1"/>
      <c r="N7" s="1"/>
      <c r="P7" s="1"/>
      <c r="Q7" s="1"/>
      <c r="R7" s="1"/>
      <c r="S7" s="1"/>
      <c r="T7" s="1"/>
      <c r="V7"/>
      <c r="W7"/>
      <c r="X7"/>
      <c r="Y7"/>
      <c r="Z7"/>
      <c r="AA7"/>
      <c r="AC7"/>
      <c r="AD7"/>
      <c r="AE7"/>
      <c r="AH7"/>
      <c r="AI7" s="1"/>
      <c r="AJ7" s="1"/>
      <c r="AK7"/>
      <c r="AN7" s="1"/>
      <c r="AO7" s="1"/>
      <c r="AP7" s="1"/>
      <c r="AQ7" s="1"/>
      <c r="AR7" s="1"/>
      <c r="AS7" s="1"/>
      <c r="AT7" s="1"/>
      <c r="BC7"/>
      <c r="BE7"/>
      <c r="BF7"/>
    </row>
    <row r="8" spans="3:58">
      <c r="C8" s="24" t="s">
        <v>5</v>
      </c>
      <c r="D8" s="53" t="str">
        <f>AH75</f>
        <v/>
      </c>
      <c r="E8" s="53"/>
      <c r="F8" s="53"/>
      <c r="J8" s="1"/>
      <c r="K8" s="1"/>
      <c r="L8" s="1"/>
      <c r="M8" s="1"/>
      <c r="N8" s="1"/>
      <c r="P8" s="1"/>
      <c r="Q8" s="1"/>
      <c r="R8" s="1"/>
      <c r="S8" s="1"/>
      <c r="T8" s="1"/>
      <c r="V8"/>
      <c r="W8"/>
      <c r="X8"/>
      <c r="Y8"/>
      <c r="Z8"/>
      <c r="AA8"/>
      <c r="AC8"/>
      <c r="AD8"/>
      <c r="AE8"/>
      <c r="AH8"/>
      <c r="AI8" s="1"/>
      <c r="AJ8" s="1"/>
      <c r="AK8"/>
      <c r="AN8" s="1"/>
      <c r="AO8" s="1"/>
      <c r="AP8" s="1"/>
      <c r="AQ8" s="1"/>
      <c r="AR8" s="1"/>
      <c r="AS8" s="1"/>
      <c r="AT8" s="1"/>
      <c r="BC8"/>
      <c r="BE8"/>
      <c r="BF8"/>
    </row>
    <row r="9" spans="3:58">
      <c r="J9" s="1"/>
      <c r="K9" s="1"/>
      <c r="L9" s="1"/>
      <c r="M9" s="1"/>
      <c r="N9" s="1"/>
      <c r="P9" s="1"/>
      <c r="Q9" s="1"/>
      <c r="R9" s="1"/>
      <c r="S9" s="1"/>
      <c r="T9" s="1"/>
      <c r="V9"/>
      <c r="W9"/>
      <c r="X9"/>
      <c r="Y9"/>
      <c r="Z9"/>
      <c r="AA9"/>
      <c r="AC9"/>
      <c r="AD9"/>
      <c r="AE9"/>
      <c r="AH9"/>
      <c r="AI9" s="1"/>
      <c r="AJ9" s="1"/>
      <c r="AK9"/>
      <c r="AN9" s="1"/>
      <c r="AO9" s="1"/>
      <c r="AP9" s="1"/>
      <c r="AQ9" s="1"/>
      <c r="AR9" s="1"/>
      <c r="AS9" s="1"/>
      <c r="AT9" s="1"/>
      <c r="BC9"/>
      <c r="BE9"/>
      <c r="BF9"/>
    </row>
    <row r="10" spans="3:58">
      <c r="C10" s="24" t="s">
        <v>113</v>
      </c>
      <c r="D10" s="46" t="str">
        <f>IF(stein_split_needed="","",stein_split_needed)</f>
        <v/>
      </c>
      <c r="E10" s="46">
        <f>IF(johnson_split_needed="","",johnson_split_needed)</f>
        <v>0.73916777074439377</v>
      </c>
      <c r="J10" s="1"/>
      <c r="K10" s="1"/>
      <c r="L10" s="1"/>
      <c r="M10" s="1"/>
      <c r="N10" s="1"/>
      <c r="P10" s="1"/>
      <c r="Q10" s="1"/>
      <c r="R10" s="1"/>
      <c r="S10" s="1"/>
      <c r="T10" s="1"/>
      <c r="V10"/>
      <c r="W10"/>
      <c r="X10"/>
      <c r="Y10"/>
      <c r="Z10"/>
      <c r="AA10"/>
      <c r="AC10"/>
      <c r="AD10"/>
      <c r="AE10"/>
      <c r="AH10"/>
      <c r="AI10" s="1"/>
      <c r="AJ10" s="1"/>
      <c r="AK10"/>
      <c r="AN10" s="1"/>
      <c r="AO10" s="1"/>
      <c r="AP10" s="1"/>
      <c r="AQ10" s="1"/>
      <c r="AR10" s="1"/>
      <c r="AS10" s="1"/>
      <c r="AT10" s="1"/>
      <c r="BC10"/>
      <c r="BE10"/>
      <c r="BF10"/>
    </row>
    <row r="11" spans="3:58">
      <c r="C11" s="24" t="s">
        <v>114</v>
      </c>
      <c r="D11" s="24" t="s">
        <v>57</v>
      </c>
      <c r="E11" s="24" t="s">
        <v>58</v>
      </c>
      <c r="F11" s="24" t="s">
        <v>10</v>
      </c>
      <c r="G11" s="6" t="s">
        <v>99</v>
      </c>
      <c r="H11" s="37" t="s">
        <v>100</v>
      </c>
      <c r="I11" s="5" t="s">
        <v>102</v>
      </c>
      <c r="Q11" s="1"/>
      <c r="R11" s="1"/>
      <c r="S11" s="1"/>
      <c r="T11" s="1"/>
      <c r="V11"/>
      <c r="W11"/>
      <c r="X11"/>
      <c r="Y11"/>
      <c r="Z11"/>
      <c r="AA11"/>
      <c r="AC11"/>
      <c r="AD11"/>
      <c r="AE11"/>
      <c r="AH11"/>
      <c r="AI11" s="1"/>
      <c r="AK11"/>
      <c r="AR11" s="1"/>
      <c r="AS11" s="1"/>
      <c r="AT11" s="1"/>
      <c r="BC11"/>
      <c r="BE11"/>
      <c r="BF11"/>
    </row>
    <row r="12" spans="3:58">
      <c r="C12" s="2" t="s">
        <v>4</v>
      </c>
      <c r="D12" s="8">
        <v>0.5</v>
      </c>
      <c r="E12" s="49">
        <v>0.5</v>
      </c>
      <c r="F12" s="10">
        <f>SUM(Table1[adjusted_electors_clinton])</f>
        <v>233</v>
      </c>
      <c r="G12" s="35">
        <f>clinton_national+pct_stein_to_clinton*stein_national</f>
        <v>64046433.5</v>
      </c>
      <c r="H12" s="35">
        <f>clinton_national+pct_johnson_to_clinton*johnson_national</f>
        <v>65632752.5</v>
      </c>
      <c r="I12" s="35">
        <f>clinton_national+pct_stein_to_clinton*stein_national+pct_johnson_to_clinton*johnson_national</f>
        <v>66296552</v>
      </c>
      <c r="Q12" s="1"/>
      <c r="R12" s="1"/>
      <c r="S12" s="1"/>
      <c r="T12" s="1"/>
      <c r="V12"/>
      <c r="W12"/>
      <c r="X12"/>
      <c r="Y12"/>
      <c r="Z12"/>
      <c r="AA12"/>
      <c r="AC12"/>
      <c r="AD12"/>
      <c r="AE12"/>
      <c r="AH12"/>
      <c r="AI12" s="1"/>
      <c r="AK12"/>
      <c r="AR12" s="1"/>
      <c r="AS12" s="1"/>
      <c r="AT12" s="1"/>
      <c r="BC12"/>
      <c r="BE12"/>
      <c r="BF12"/>
    </row>
    <row r="13" spans="3:58">
      <c r="C13" s="2" t="s">
        <v>5</v>
      </c>
      <c r="D13" s="9">
        <f>1-pct_stein_to_clinton</f>
        <v>0.5</v>
      </c>
      <c r="E13" s="9">
        <f>1-pct_johnson_to_clinton</f>
        <v>0.5</v>
      </c>
      <c r="F13" s="10">
        <f>SUM(Table1[adjusted_electors_trump])</f>
        <v>305</v>
      </c>
      <c r="G13" s="36">
        <f>trump_national+pct_stein_to_trump*stein_national</f>
        <v>62954876.5</v>
      </c>
      <c r="H13" s="35">
        <f>trump_national+pct_johnson_to_trump*johnson_national</f>
        <v>64541195.5</v>
      </c>
      <c r="I13" s="35">
        <f>trump_national+pct_stein_to_trump*stein_national+pct_johnson_to_trump*johnson_national</f>
        <v>65204995</v>
      </c>
      <c r="Q13" s="1"/>
      <c r="R13" s="1"/>
      <c r="S13" s="1"/>
      <c r="T13" s="1"/>
      <c r="V13"/>
      <c r="W13"/>
      <c r="X13"/>
      <c r="Y13"/>
      <c r="Z13"/>
      <c r="AA13"/>
      <c r="AC13"/>
      <c r="AD13"/>
      <c r="AE13"/>
      <c r="AH13"/>
      <c r="AI13" s="1"/>
      <c r="AK13"/>
      <c r="AR13" s="1"/>
      <c r="AS13" s="1"/>
      <c r="AT13" s="1"/>
      <c r="BC13"/>
      <c r="BE13"/>
      <c r="BF13"/>
    </row>
    <row r="14" spans="3:58">
      <c r="C14" s="24" t="s">
        <v>101</v>
      </c>
      <c r="D14" s="9">
        <f t="shared" ref="D14:I14" si="0">D12-D13</f>
        <v>0</v>
      </c>
      <c r="E14" s="9">
        <f t="shared" si="0"/>
        <v>0</v>
      </c>
      <c r="F14" s="34">
        <f t="shared" si="0"/>
        <v>-72</v>
      </c>
      <c r="G14" s="11">
        <f t="shared" si="0"/>
        <v>1091557</v>
      </c>
      <c r="H14" s="11">
        <f t="shared" si="0"/>
        <v>1091557</v>
      </c>
      <c r="I14" s="11">
        <f t="shared" si="0"/>
        <v>1091557</v>
      </c>
      <c r="Q14" s="1"/>
      <c r="R14" s="1"/>
      <c r="S14" s="1"/>
      <c r="T14" s="1"/>
      <c r="V14"/>
      <c r="W14"/>
      <c r="X14"/>
      <c r="Y14"/>
      <c r="Z14"/>
      <c r="AA14"/>
      <c r="AC14"/>
      <c r="AD14"/>
      <c r="AE14"/>
      <c r="AH14"/>
      <c r="AI14" s="1"/>
      <c r="AK14"/>
      <c r="AR14" s="1"/>
      <c r="AS14" s="1"/>
      <c r="AT14" s="1"/>
      <c r="BC14"/>
      <c r="BE14"/>
      <c r="BF14"/>
    </row>
    <row r="15" spans="3:58">
      <c r="C15"/>
      <c r="D15"/>
      <c r="E15"/>
      <c r="F15"/>
      <c r="G15"/>
      <c r="H15"/>
      <c r="I15"/>
      <c r="Q15" s="1"/>
      <c r="R15" s="1"/>
      <c r="S15" s="1"/>
      <c r="T15" s="1"/>
      <c r="V15"/>
      <c r="W15"/>
      <c r="X15"/>
      <c r="Y15"/>
      <c r="Z15"/>
      <c r="AA15"/>
      <c r="AC15"/>
      <c r="AD15"/>
      <c r="AE15"/>
      <c r="AH15"/>
      <c r="AI15" s="1"/>
      <c r="AK15"/>
      <c r="AR15" s="1"/>
      <c r="AS15" s="1"/>
      <c r="AT15" s="1"/>
      <c r="BC15"/>
      <c r="BE15"/>
      <c r="BF15"/>
    </row>
    <row r="16" spans="3:58">
      <c r="C16" s="2" t="s">
        <v>107</v>
      </c>
      <c r="D16" s="17">
        <f>SUM(D12:D13)-1</f>
        <v>0</v>
      </c>
      <c r="E16" s="17">
        <f>SUM(E12:E13)-1</f>
        <v>0</v>
      </c>
      <c r="F16" s="17">
        <f>SUM(F12:F13)-orig_total</f>
        <v>0</v>
      </c>
      <c r="G16" s="17">
        <f>SUM(G12:G13)-clinton_national-trump_national-stein_national</f>
        <v>0</v>
      </c>
      <c r="H16" s="17">
        <f>SUM(H12:H13)-clinton_national-trump_national-johnson_national</f>
        <v>0</v>
      </c>
      <c r="I16" s="17">
        <f>SUM(I12:I13)-clinton_national-trump_national-johnson_national-stein_national</f>
        <v>0</v>
      </c>
      <c r="L16" s="1"/>
      <c r="M16" s="1"/>
      <c r="N16" s="1"/>
      <c r="P16" s="1"/>
      <c r="Q16" s="1"/>
      <c r="R16" s="1"/>
      <c r="S16" s="1"/>
      <c r="T16" s="1"/>
      <c r="V16"/>
      <c r="W16"/>
      <c r="X16"/>
      <c r="Y16"/>
      <c r="Z16"/>
      <c r="AA16"/>
      <c r="AC16"/>
      <c r="AD16"/>
      <c r="AE16"/>
      <c r="AH16"/>
      <c r="AI16" s="1"/>
      <c r="AJ16" s="1"/>
      <c r="AK16"/>
      <c r="AN16" s="1"/>
      <c r="AO16" s="1"/>
      <c r="AP16" s="1"/>
      <c r="AQ16" s="1"/>
      <c r="AR16" s="1"/>
      <c r="AS16" s="1"/>
      <c r="AT16" s="1"/>
      <c r="BC16"/>
      <c r="BE16"/>
      <c r="BF16"/>
    </row>
    <row r="17" spans="2:58">
      <c r="C17" s="24" t="s">
        <v>103</v>
      </c>
      <c r="D17" s="17">
        <f>IF(AND(D13&gt;=0,D13&lt;=1),0,9999)</f>
        <v>0</v>
      </c>
      <c r="E17" s="17">
        <f>IF(AND(E13&gt;=0,E13&lt;=1),0,9999)</f>
        <v>0</v>
      </c>
      <c r="F17" s="17">
        <f>IF(AND(F13&gt;0,F13&lt;orig_total),0,9999)</f>
        <v>0</v>
      </c>
      <c r="G17" s="33">
        <f>(total_adjusted_clinton_with_stein_only-clinton_national)/stein_national-pct_stein_to_clinton</f>
        <v>0</v>
      </c>
      <c r="H17" s="33">
        <f>(total_adjusted_clinton_with_johnson_only-clinton_national)/johnson_national-pct_johnson_to_clinton</f>
        <v>0</v>
      </c>
      <c r="I17" s="33">
        <f>total_adjusted_clinton-(total_adjusted_clinton_with_stein_only-clinton_national)-(total_adjusted_clinton_with_johnson_only-clinton_national)-clinton_national</f>
        <v>0</v>
      </c>
      <c r="L17" s="1"/>
      <c r="M17" s="1"/>
      <c r="N17" s="1"/>
      <c r="P17" s="1"/>
      <c r="Q17" s="1"/>
      <c r="R17" s="1"/>
      <c r="S17" s="1"/>
      <c r="T17" s="1"/>
      <c r="V17"/>
      <c r="W17"/>
      <c r="X17"/>
      <c r="Y17"/>
      <c r="Z17"/>
      <c r="AA17"/>
      <c r="AC17"/>
      <c r="AD17"/>
      <c r="AE17"/>
      <c r="AH17"/>
      <c r="AI17" s="1"/>
      <c r="AJ17" s="1"/>
      <c r="AK17"/>
      <c r="AN17" s="1"/>
      <c r="AO17" s="1"/>
      <c r="AP17" s="1"/>
      <c r="AQ17" s="1"/>
      <c r="AR17" s="1"/>
      <c r="AS17" s="1"/>
      <c r="AT17" s="1"/>
      <c r="AU17" s="31"/>
      <c r="BC17"/>
      <c r="BE17"/>
      <c r="BF17"/>
    </row>
    <row r="18" spans="2:58">
      <c r="C18" s="24" t="s">
        <v>104</v>
      </c>
      <c r="D18" s="40">
        <f>D12+D13-1</f>
        <v>0</v>
      </c>
      <c r="E18" s="40">
        <f>E12+E13-1</f>
        <v>0</v>
      </c>
      <c r="F18" s="40">
        <f>F12+F13-orig_total</f>
        <v>0</v>
      </c>
      <c r="G18" s="33">
        <f>(total_adjusted_trump_with_stein_only-trump_national)/stein_national-pct_stein_to_trump</f>
        <v>0</v>
      </c>
      <c r="H18" s="33">
        <f>(total_adjusted_trump_with_johnson_only-trump_national)/johnson_national-pct_johnson_to_trump</f>
        <v>0</v>
      </c>
      <c r="I18" s="33">
        <f>total_adjusted_trump-(total_adjusted_trump_with_stein_only-trump_national)-(total_adjusted_trump_with_johnson_only-trump_national)-trump_national</f>
        <v>0</v>
      </c>
      <c r="L18" s="1"/>
      <c r="M18" s="1"/>
      <c r="N18" s="1"/>
      <c r="P18" s="1"/>
      <c r="Q18" s="1"/>
      <c r="R18" s="1"/>
      <c r="S18" s="1"/>
      <c r="T18" s="1"/>
      <c r="V18"/>
      <c r="W18"/>
      <c r="X18"/>
      <c r="Y18"/>
      <c r="Z18"/>
      <c r="AA18"/>
      <c r="AC18"/>
      <c r="AD18"/>
      <c r="AE18"/>
      <c r="AH18"/>
      <c r="AI18" s="1"/>
      <c r="AJ18" s="1"/>
      <c r="AK18"/>
      <c r="AN18" s="1"/>
      <c r="AO18" s="1"/>
      <c r="AP18" s="1"/>
      <c r="AQ18" s="1"/>
      <c r="AR18" s="1"/>
      <c r="AS18" s="1"/>
      <c r="AT18" s="1"/>
      <c r="BC18"/>
      <c r="BE18"/>
      <c r="BF18"/>
    </row>
    <row r="19" spans="2:58">
      <c r="C19" s="24" t="s">
        <v>105</v>
      </c>
      <c r="D19" s="17">
        <f t="shared" ref="D19:I19" si="1">(D12-D13)-D14</f>
        <v>0</v>
      </c>
      <c r="E19" s="17">
        <f t="shared" si="1"/>
        <v>0</v>
      </c>
      <c r="F19" s="17">
        <f t="shared" si="1"/>
        <v>0</v>
      </c>
      <c r="G19" s="17">
        <f t="shared" si="1"/>
        <v>0</v>
      </c>
      <c r="H19" s="17">
        <f t="shared" si="1"/>
        <v>0</v>
      </c>
      <c r="I19" s="17">
        <f t="shared" si="1"/>
        <v>0</v>
      </c>
      <c r="L19" s="1"/>
      <c r="M19" s="1"/>
      <c r="N19" s="1"/>
      <c r="P19" s="1"/>
      <c r="Q19" s="1"/>
      <c r="V19"/>
      <c r="W19"/>
      <c r="AA19"/>
      <c r="AC19"/>
      <c r="AD19"/>
      <c r="AE19"/>
      <c r="AH19"/>
      <c r="AI19" s="1"/>
      <c r="AJ19" s="1"/>
      <c r="AK19"/>
      <c r="AN19" s="1"/>
      <c r="AO19" s="1"/>
      <c r="AP19" s="1"/>
      <c r="AQ19" s="1"/>
      <c r="AR19" s="50"/>
      <c r="AS19" s="1"/>
      <c r="AT19" s="1"/>
      <c r="BC19"/>
      <c r="BE19"/>
      <c r="BF19"/>
    </row>
    <row r="20" spans="2:58">
      <c r="J20" s="1"/>
      <c r="L20" s="1"/>
      <c r="M20" s="1"/>
      <c r="N20" s="1"/>
      <c r="P20" s="1"/>
      <c r="Q20" s="1"/>
      <c r="V20" t="str">
        <f t="array" ref="V20">CONCATENATE(Table1[states_clinton_added])</f>
        <v/>
      </c>
      <c r="W20"/>
      <c r="AA20"/>
      <c r="AC20"/>
      <c r="AD20"/>
      <c r="AE20"/>
      <c r="AH20"/>
      <c r="AI20" s="1"/>
      <c r="AJ20" s="1"/>
      <c r="AK20"/>
      <c r="AN20" s="1"/>
      <c r="AO20" s="1"/>
      <c r="AP20" s="1"/>
      <c r="AQ20" s="1"/>
      <c r="AR20" s="50"/>
      <c r="AS20" s="1"/>
      <c r="AT20" s="1"/>
      <c r="BC20"/>
      <c r="BE20"/>
      <c r="BF20"/>
    </row>
    <row r="21" spans="2:58">
      <c r="B21" s="48" t="s">
        <v>118</v>
      </c>
      <c r="C21" s="21">
        <f>C23-C22</f>
        <v>0</v>
      </c>
      <c r="D21" s="21">
        <f t="shared" ref="D21:X21" si="2">D23-D22</f>
        <v>0</v>
      </c>
      <c r="E21" s="21">
        <f t="shared" si="2"/>
        <v>0</v>
      </c>
      <c r="F21" s="21">
        <f t="shared" si="2"/>
        <v>0</v>
      </c>
      <c r="G21" s="21">
        <f t="shared" si="2"/>
        <v>0</v>
      </c>
      <c r="H21" s="21">
        <f t="shared" si="2"/>
        <v>0</v>
      </c>
      <c r="I21" s="21">
        <f t="shared" si="2"/>
        <v>0</v>
      </c>
      <c r="J21" s="21">
        <f t="shared" si="2"/>
        <v>0</v>
      </c>
      <c r="K21" s="21">
        <f t="shared" si="2"/>
        <v>0</v>
      </c>
      <c r="L21" s="21">
        <f t="shared" si="2"/>
        <v>0</v>
      </c>
      <c r="M21" s="21">
        <f t="shared" si="2"/>
        <v>0</v>
      </c>
      <c r="N21" s="21">
        <f t="shared" si="2"/>
        <v>0</v>
      </c>
      <c r="O21" s="21">
        <f t="shared" si="2"/>
        <v>0</v>
      </c>
      <c r="P21" s="21">
        <f t="shared" si="2"/>
        <v>0</v>
      </c>
      <c r="Q21" s="21">
        <f t="shared" si="2"/>
        <v>0</v>
      </c>
      <c r="R21" s="21">
        <f t="shared" si="2"/>
        <v>0</v>
      </c>
      <c r="S21" s="21">
        <f t="shared" si="2"/>
        <v>0</v>
      </c>
      <c r="T21" s="21">
        <f t="shared" si="2"/>
        <v>0</v>
      </c>
      <c r="U21" s="21">
        <f t="shared" si="2"/>
        <v>0</v>
      </c>
      <c r="V21" s="21">
        <f t="shared" si="2"/>
        <v>0</v>
      </c>
      <c r="W21" s="21">
        <f t="shared" si="2"/>
        <v>0</v>
      </c>
      <c r="X21" s="21">
        <f t="shared" si="2"/>
        <v>0</v>
      </c>
      <c r="Y21"/>
      <c r="Z21"/>
      <c r="AA21"/>
      <c r="AC21"/>
      <c r="AD21"/>
      <c r="AE21"/>
      <c r="AH21"/>
      <c r="AI21" s="1"/>
      <c r="AJ21" s="1"/>
      <c r="AK21"/>
      <c r="AN21" s="1"/>
      <c r="AO21" s="1"/>
      <c r="AP21" s="1"/>
      <c r="AQ21" s="1"/>
      <c r="AR21" s="1"/>
      <c r="AS21" s="1"/>
      <c r="AT21" s="1"/>
      <c r="BC21"/>
      <c r="BE21"/>
      <c r="BF21"/>
    </row>
    <row r="22" spans="2:58">
      <c r="B22" s="48" t="s">
        <v>119</v>
      </c>
      <c r="C22" s="43">
        <f>orig_total</f>
        <v>538</v>
      </c>
      <c r="D22" s="41">
        <f>clinton_national</f>
        <v>63382634</v>
      </c>
      <c r="E22" s="41">
        <f>trump_national</f>
        <v>62291077</v>
      </c>
      <c r="F22" s="41">
        <f>johnson_national</f>
        <v>4500237</v>
      </c>
      <c r="G22" s="41">
        <f>stein_national</f>
        <v>1327599</v>
      </c>
      <c r="H22" s="41">
        <f>51*52/2</f>
        <v>1326</v>
      </c>
      <c r="I22" s="41">
        <f>spread_national</f>
        <v>1091557</v>
      </c>
      <c r="J22" s="41">
        <f>orig_clinton</f>
        <v>233</v>
      </c>
      <c r="K22" s="41">
        <f>orig_trump</f>
        <v>305</v>
      </c>
      <c r="L22" s="41">
        <f>total_adjusted_clinton_with_stein_only-clinton_national</f>
        <v>663799.5</v>
      </c>
      <c r="M22" s="41">
        <f>total_adjusted_trump_with_stein_only-trump_national</f>
        <v>663799.5</v>
      </c>
      <c r="N22" s="41">
        <f>total_adjusted_clinton_with_johnson_only-clinton_national</f>
        <v>2250118.5</v>
      </c>
      <c r="O22" s="41">
        <f>total_adjusted_trump_with_johnson_only-trump_national</f>
        <v>2250118.5</v>
      </c>
      <c r="P22" s="41">
        <f>total_adjusted_clinton_with_stein_only</f>
        <v>64046433.5</v>
      </c>
      <c r="Q22" s="41">
        <f>total_adjusted_trump_with_stein_only</f>
        <v>62954876.5</v>
      </c>
      <c r="R22" s="41">
        <f>total_adjusted_clinton_with_johnson_only</f>
        <v>65632752.5</v>
      </c>
      <c r="S22" s="41">
        <f>total_adjusted_trump_with_johnson_only</f>
        <v>64541195.5</v>
      </c>
      <c r="T22" s="42">
        <f>total_adjusted_clinton</f>
        <v>66296552</v>
      </c>
      <c r="U22" s="42">
        <f>total_adjusted_trump</f>
        <v>65204995</v>
      </c>
      <c r="V22" s="42">
        <f>total_adjusted_spread_with_stein_only</f>
        <v>1091557</v>
      </c>
      <c r="W22" s="42">
        <f>total_adjusted_spread_with_johnson_only</f>
        <v>1091557</v>
      </c>
      <c r="X22" s="42">
        <f>total_adjusted_spread</f>
        <v>1091557</v>
      </c>
      <c r="Y22"/>
      <c r="Z22"/>
      <c r="AA22"/>
      <c r="AC22"/>
      <c r="AD22"/>
      <c r="AE22"/>
      <c r="AH22"/>
      <c r="AI22" s="1"/>
      <c r="AJ22" s="1"/>
      <c r="AK22"/>
      <c r="AN22" s="1"/>
      <c r="AO22" s="1"/>
      <c r="AP22" s="1"/>
      <c r="AQ22" s="1"/>
      <c r="AR22" s="1"/>
      <c r="AS22" s="1"/>
      <c r="AT22" s="1"/>
      <c r="BC22"/>
      <c r="BE22"/>
      <c r="BF22"/>
    </row>
    <row r="23" spans="2:58">
      <c r="B23" s="48" t="s">
        <v>120</v>
      </c>
      <c r="C23" s="22">
        <f t="shared" ref="C23:I23" si="3">SUM(C$25:C$75)</f>
        <v>538</v>
      </c>
      <c r="D23" s="22">
        <f t="shared" si="3"/>
        <v>63382634</v>
      </c>
      <c r="E23" s="22">
        <f t="shared" si="3"/>
        <v>62291077</v>
      </c>
      <c r="F23" s="22">
        <f t="shared" si="3"/>
        <v>4500237</v>
      </c>
      <c r="G23" s="22">
        <f t="shared" si="3"/>
        <v>1327599</v>
      </c>
      <c r="H23" s="22">
        <f t="shared" si="3"/>
        <v>1326</v>
      </c>
      <c r="I23" s="22">
        <f t="shared" si="3"/>
        <v>1091557</v>
      </c>
      <c r="J23" s="22">
        <f t="shared" ref="J23:Z23" si="4">SUM(J$25:J$75)</f>
        <v>233</v>
      </c>
      <c r="K23" s="22">
        <f t="shared" si="4"/>
        <v>305</v>
      </c>
      <c r="L23" s="22">
        <f t="shared" si="4"/>
        <v>663799.5</v>
      </c>
      <c r="M23" s="22">
        <f t="shared" si="4"/>
        <v>663799.5</v>
      </c>
      <c r="N23" s="22">
        <f t="shared" si="4"/>
        <v>2250118.5</v>
      </c>
      <c r="O23" s="22">
        <f t="shared" si="4"/>
        <v>2250118.5</v>
      </c>
      <c r="P23" s="22">
        <f t="shared" si="4"/>
        <v>64046433.5</v>
      </c>
      <c r="Q23" s="22">
        <f t="shared" si="4"/>
        <v>62954876.5</v>
      </c>
      <c r="R23" s="22">
        <f t="shared" si="4"/>
        <v>65632752.5</v>
      </c>
      <c r="S23" s="22">
        <f t="shared" si="4"/>
        <v>64541195.5</v>
      </c>
      <c r="T23" s="22">
        <f t="shared" si="4"/>
        <v>66296552</v>
      </c>
      <c r="U23" s="22">
        <f t="shared" si="4"/>
        <v>65204995</v>
      </c>
      <c r="V23" s="22">
        <f t="shared" si="4"/>
        <v>1091557</v>
      </c>
      <c r="W23" s="22">
        <f t="shared" si="4"/>
        <v>1091557</v>
      </c>
      <c r="X23" s="22">
        <f t="shared" si="4"/>
        <v>1091557</v>
      </c>
      <c r="Y23" s="22">
        <f t="shared" si="4"/>
        <v>233</v>
      </c>
      <c r="Z23" s="22">
        <f t="shared" si="4"/>
        <v>233</v>
      </c>
      <c r="AA23"/>
      <c r="AC23"/>
      <c r="AD23"/>
      <c r="AE23"/>
      <c r="AH23"/>
      <c r="AI23" s="1"/>
      <c r="AJ23" s="1"/>
      <c r="AK23"/>
      <c r="AN23" s="1"/>
      <c r="AO23" s="1"/>
      <c r="AP23" s="1"/>
      <c r="AQ23" s="1"/>
      <c r="AR23" s="1"/>
      <c r="AS23" s="1"/>
      <c r="AT23" s="46" t="str">
        <f t="array" ref="AT23">IF(COUNT(Table1[stein_split_needed])&gt;0,MIN(Table1[stein_split_needed]),"")</f>
        <v/>
      </c>
      <c r="AU23" s="46">
        <f t="array" ref="AU23">IF(COUNT(Table1[johnson_split_needed])&gt;0,MIN(Table1[johnson_split_needed]),"")</f>
        <v>0.73916777074439377</v>
      </c>
      <c r="BC23"/>
      <c r="BE23"/>
      <c r="BF23"/>
    </row>
    <row r="24" spans="2:58">
      <c r="B24" s="5" t="s">
        <v>11</v>
      </c>
      <c r="C24" s="2" t="s">
        <v>76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79</v>
      </c>
      <c r="I24" s="2" t="s">
        <v>71</v>
      </c>
      <c r="J24" s="2" t="s">
        <v>62</v>
      </c>
      <c r="K24" s="2" t="s">
        <v>63</v>
      </c>
      <c r="L24" s="23" t="s">
        <v>84</v>
      </c>
      <c r="M24" s="23" t="s">
        <v>85</v>
      </c>
      <c r="N24" s="23" t="s">
        <v>86</v>
      </c>
      <c r="O24" s="23" t="s">
        <v>87</v>
      </c>
      <c r="P24" s="23" t="s">
        <v>93</v>
      </c>
      <c r="Q24" s="23" t="s">
        <v>94</v>
      </c>
      <c r="R24" s="23" t="s">
        <v>95</v>
      </c>
      <c r="S24" s="23" t="s">
        <v>96</v>
      </c>
      <c r="T24" s="2" t="s">
        <v>61</v>
      </c>
      <c r="U24" s="2" t="s">
        <v>64</v>
      </c>
      <c r="V24" s="6" t="s">
        <v>97</v>
      </c>
      <c r="W24" s="6" t="s">
        <v>98</v>
      </c>
      <c r="X24" s="6" t="s">
        <v>65</v>
      </c>
      <c r="Y24" s="6" t="s">
        <v>116</v>
      </c>
      <c r="Z24" s="6" t="s">
        <v>117</v>
      </c>
      <c r="AA24" s="6" t="s">
        <v>67</v>
      </c>
      <c r="AB24" s="6" t="s">
        <v>66</v>
      </c>
      <c r="AC24" s="2" t="s">
        <v>77</v>
      </c>
      <c r="AD24" s="6" t="s">
        <v>78</v>
      </c>
      <c r="AE24" s="6" t="s">
        <v>68</v>
      </c>
      <c r="AF24" s="6" t="s">
        <v>69</v>
      </c>
      <c r="AG24" s="6" t="s">
        <v>81</v>
      </c>
      <c r="AH24" s="6" t="s">
        <v>82</v>
      </c>
      <c r="AI24" s="23" t="s">
        <v>112</v>
      </c>
      <c r="AJ24" s="24" t="s">
        <v>115</v>
      </c>
      <c r="AK24" s="23" t="s">
        <v>89</v>
      </c>
      <c r="AL24" s="23" t="s">
        <v>90</v>
      </c>
      <c r="AM24" s="23" t="s">
        <v>88</v>
      </c>
      <c r="AN24" s="32" t="s">
        <v>121</v>
      </c>
      <c r="AO24" s="32" t="s">
        <v>123</v>
      </c>
      <c r="AP24" s="32" t="s">
        <v>122</v>
      </c>
      <c r="AQ24" s="32" t="s">
        <v>124</v>
      </c>
      <c r="AR24" s="24" t="s">
        <v>109</v>
      </c>
      <c r="AS24" s="24" t="s">
        <v>110</v>
      </c>
      <c r="AT24" s="24" t="s">
        <v>80</v>
      </c>
      <c r="AU24" s="24" t="s">
        <v>83</v>
      </c>
      <c r="AV24" s="6" t="s">
        <v>91</v>
      </c>
      <c r="AW24" s="6" t="s">
        <v>92</v>
      </c>
      <c r="AX24" s="6" t="s">
        <v>70</v>
      </c>
      <c r="BC24"/>
      <c r="BE24"/>
      <c r="BF24"/>
    </row>
    <row r="25" spans="2:58">
      <c r="B25" s="3" t="s">
        <v>12</v>
      </c>
      <c r="C25" s="4">
        <v>9</v>
      </c>
      <c r="D25" s="13">
        <v>718084</v>
      </c>
      <c r="E25" s="13">
        <v>1306925</v>
      </c>
      <c r="F25" s="13">
        <v>43869</v>
      </c>
      <c r="G25" s="13">
        <v>9287</v>
      </c>
      <c r="H25" s="25">
        <f>ROW()-ROW(Table1[[#Headers],[index]])</f>
        <v>1</v>
      </c>
      <c r="I25" s="12">
        <f>Table1[[#This Row],[orig_vote_clinton]]-Table1[[#This Row],[orig_vote_trump]]</f>
        <v>-588841</v>
      </c>
      <c r="J25" s="12">
        <f>IF(Table1[[#This Row],[orig_spread]]&gt;0,Table1[[#This Row],[electoral_votes]],0)</f>
        <v>0</v>
      </c>
      <c r="K25" s="12">
        <f>IF(Table1[[#This Row],[orig_spread]]&lt;0,Table1[[#This Row],[electoral_votes]],0)</f>
        <v>9</v>
      </c>
      <c r="L25" s="12">
        <f>pct_stein_to_clinton*Table1[[#This Row],[orig_vote_stein]]</f>
        <v>4643.5</v>
      </c>
      <c r="M25" s="12">
        <f>pct_stein_to_trump*Table1[[#This Row],[orig_vote_stein]]</f>
        <v>4643.5</v>
      </c>
      <c r="N25" s="12">
        <f>pct_johnson_to_clinton*Table1[[#This Row],[orig_vote_johnson]]</f>
        <v>21934.5</v>
      </c>
      <c r="O25" s="12">
        <f>pct_johnson_to_trump*Table1[[#This Row],[orig_vote_johnson]]</f>
        <v>21934.5</v>
      </c>
      <c r="P25" s="12">
        <f>Table1[[#This Row],[orig_vote_clinton]]+Table1[[#This Row],[stein_votes_to_clinton]]</f>
        <v>722727.5</v>
      </c>
      <c r="Q25" s="12">
        <f>Table1[[#This Row],[orig_vote_trump]]+Table1[[#This Row],[stein_votes_to_trump]]</f>
        <v>1311568.5</v>
      </c>
      <c r="R25" s="12">
        <f>Table1[[#This Row],[orig_vote_clinton]]+Table1[[#This Row],[johnson_votes_to_clinton]]</f>
        <v>740018.5</v>
      </c>
      <c r="S25" s="12">
        <f>Table1[[#This Row],[orig_vote_trump]]+Table1[[#This Row],[johnson_votes_to_trump]]</f>
        <v>1328859.5</v>
      </c>
      <c r="T25" s="11">
        <f>Table1[[#This Row],[orig_vote_clinton]]+Table1[[#This Row],[stein_votes_to_clinton]]+Table1[[#This Row],[johnson_votes_to_clinton]]</f>
        <v>744662</v>
      </c>
      <c r="U25" s="11">
        <f>Table1[[#This Row],[orig_vote_trump]]+Table1[[#This Row],[stein_votes_to_trump]]+Table1[[#This Row],[johnson_votes_to_trump]]</f>
        <v>1333503</v>
      </c>
      <c r="V25" s="11">
        <f>Table1[[#This Row],[adjusted_vote_clinton_with_stein_only]]-Table1[[#This Row],[adjusted_vote_trump_with_stein_only]]</f>
        <v>-588841</v>
      </c>
      <c r="W25" s="11">
        <f>Table1[[#This Row],[adjusted_vote_clinton_with_johnson_only]]-Table1[[#This Row],[adjusted_vote_trump_with_johnson_only]]</f>
        <v>-588841</v>
      </c>
      <c r="X25" s="12">
        <f>Table1[[#This Row],[adjusted_vote_clinton]]-Table1[[#This Row],[adjusted_vote_trump]]</f>
        <v>-588841</v>
      </c>
      <c r="Y25" s="12">
        <f>IF(Table1[[#This Row],[adjusted_spread_with_stein_only]]&gt;0,Table1[[#This Row],[electoral_votes]],0)</f>
        <v>0</v>
      </c>
      <c r="Z25" s="12">
        <f>IF(Table1[[#This Row],[adjusted_spread_with_johnson_only]]&gt;0,Table1[[#This Row],[electoral_votes]],0)</f>
        <v>0</v>
      </c>
      <c r="AA25" s="11">
        <f>IF(Table1[[#This Row],[adjusted_spread]]&gt;0,Table1[[#This Row],[electoral_votes]],0)</f>
        <v>0</v>
      </c>
      <c r="AB25" s="12">
        <f>IF(Table1[[#This Row],[adjusted_spread]]&lt;0,Table1[[#This Row],[electoral_votes]],0)</f>
        <v>9</v>
      </c>
      <c r="AC25" s="12" t="str">
        <f>IF(Table1[[#This Row],[orig_spread]]&lt;0,"Trump",IF(Table1[[#This Row],[orig_spread]]&gt;0,"Clinton",""))</f>
        <v>Trump</v>
      </c>
      <c r="AD25" s="12" t="str">
        <f>IF(Table1[[#This Row],[adjusted_spread]]&lt;0,"Trump",IF(Table1[[#This Row],[adjusted_spread]]&gt;0,"Clinton",""))</f>
        <v>Trump</v>
      </c>
      <c r="AE25" s="11" t="b">
        <f>AND(Table1[[#This Row],[orig_outcome]]="Trump",Table1[[#This Row],[adjusted_outcome]]="Clinton")</f>
        <v>0</v>
      </c>
      <c r="AF25" s="11" t="b">
        <f>AND(Table1[[#This Row],[orig_outcome]]="Clinton",Table1[[#This Row],[adjusted_outcome]]="Trump")</f>
        <v>0</v>
      </c>
      <c r="AG25" s="11" t="str">
        <f>IF(Table1[[#This Row],[index]]=1,IF(Table1[[#This Row],[pickup_clinton]],Table1[[#This Row],[State]],""),IF(Table1[[#This Row],[pickup_clinton]],CONCATENATE(AG24,IF(AG24="","",","),Table1[[#This Row],[State]]),AG24))</f>
        <v/>
      </c>
      <c r="AH25" s="11" t="str">
        <f>IF(Table1[[#This Row],[index]]=1,IF(Table1[[#This Row],[pickup_trump]],Table1[[#This Row],[State]],""),IF(Table1[[#This Row],[pickup_trump]],CONCATENATE(AH24,IF(W11="","",","),Table1[[#This Row],[State]]),AH24))</f>
        <v/>
      </c>
      <c r="AI25" s="30">
        <f>IF(Table1[[#This Row],[orig_vote_stein]]=0,"",(1-Table1[[#This Row],[adjusted_spread_with_johnson_only]]/Table1[[#This Row],[orig_vote_stein]])/2)</f>
        <v>32.202433509206415</v>
      </c>
      <c r="AJ25" s="30">
        <f>(1-Table1[[#This Row],[adjusted_spread_with_stein_only]]/Table1[[#This Row],[orig_vote_johnson]])/2</f>
        <v>7.2113565387859309</v>
      </c>
      <c r="AK25" s="30" t="b">
        <f>AND(Table1[[#This Row],[stein_split_needed_pure]]&gt;=0,Table1[[#This Row],[stein_split_needed_pure]]&lt;=1)</f>
        <v>0</v>
      </c>
      <c r="AL25" s="30" t="b">
        <f>AND(Table1[[#This Row],[johnson_split_needed_pure]]&gt;=0,Table1[[#This Row],[johnson_split_needed_pure]]&lt;=1)</f>
        <v>0</v>
      </c>
      <c r="AM25" s="30" t="b">
        <f>OR(Table1[[#This Row],[in_play_stein]],Table1[[#This Row],[in_play_johnson]])</f>
        <v>0</v>
      </c>
      <c r="AN25" s="51">
        <f t="array" ref="AN2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5" s="51">
        <f t="array" ref="AO2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5" s="51">
        <f t="array" ref="AP2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5" s="51">
        <f t="array" ref="AQ2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5" s="44">
        <f>adjusted_electors_clinton_with_johnson_only+Table1[[#This Row],[electors_with_split_stein_added]]+Table1[[#This Row],[electors_with_split_stein_dropped]]</f>
        <v>233</v>
      </c>
      <c r="AS25" s="44">
        <f>adjusted_electors_clinton_with_stein_only+Table1[[#This Row],[electors_with_split_johnson_added]]+Table1[[#This Row],[electors_with_split_johnson_dropped]]</f>
        <v>233</v>
      </c>
      <c r="AT25" s="45" t="str">
        <f>IF(AND(Table1[[#This Row],[in_play_stein]],Table1[[#This Row],[electors_with_split_stein]]&gt;=270),Table1[[#This Row],[stein_split_needed_pure]],"")</f>
        <v/>
      </c>
      <c r="AU25" s="45" t="str">
        <f>IF(AND(Table1[[#This Row],[in_play_johnson]],Table1[[#This Row],[electors_with_split_johnson]]&gt;=270),Table1[[#This Row],[johnson_split_needed_pure]],"")</f>
        <v/>
      </c>
      <c r="AV2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5" s="16">
        <f>Table1[[#This Row],[adjusted_electors_trump]]+Table1[[#This Row],[adjusted_electors_clinton]]-Table1[[#This Row],[electoral_votes]]</f>
        <v>0</v>
      </c>
      <c r="BC25"/>
      <c r="BE25"/>
      <c r="BF25"/>
    </row>
    <row r="26" spans="2:58">
      <c r="B26" s="3" t="s">
        <v>13</v>
      </c>
      <c r="C26" s="7">
        <v>3</v>
      </c>
      <c r="D26" s="13">
        <v>93007</v>
      </c>
      <c r="E26" s="13">
        <v>130415</v>
      </c>
      <c r="F26" s="13">
        <v>14593</v>
      </c>
      <c r="G26" s="13">
        <v>4445</v>
      </c>
      <c r="H26" s="25">
        <f>ROW()-ROW(Table1[[#Headers],[index]])</f>
        <v>2</v>
      </c>
      <c r="I26" s="12">
        <f>Table1[[#This Row],[orig_vote_clinton]]-Table1[[#This Row],[orig_vote_trump]]</f>
        <v>-37408</v>
      </c>
      <c r="J26" s="12">
        <f>IF(Table1[[#This Row],[orig_spread]]&gt;0,Table1[[#This Row],[electoral_votes]],0)</f>
        <v>0</v>
      </c>
      <c r="K26" s="12">
        <f>IF(Table1[[#This Row],[orig_spread]]&lt;0,Table1[[#This Row],[electoral_votes]],0)</f>
        <v>3</v>
      </c>
      <c r="L26" s="12">
        <f>pct_stein_to_clinton*Table1[[#This Row],[orig_vote_stein]]</f>
        <v>2222.5</v>
      </c>
      <c r="M26" s="12">
        <f>pct_stein_to_trump*Table1[[#This Row],[orig_vote_stein]]</f>
        <v>2222.5</v>
      </c>
      <c r="N26" s="12">
        <f>pct_johnson_to_clinton*Table1[[#This Row],[orig_vote_johnson]]</f>
        <v>7296.5</v>
      </c>
      <c r="O26" s="12">
        <f>pct_johnson_to_trump*Table1[[#This Row],[orig_vote_johnson]]</f>
        <v>7296.5</v>
      </c>
      <c r="P26" s="12">
        <f>Table1[[#This Row],[orig_vote_clinton]]+Table1[[#This Row],[stein_votes_to_clinton]]</f>
        <v>95229.5</v>
      </c>
      <c r="Q26" s="12">
        <f>Table1[[#This Row],[orig_vote_trump]]+Table1[[#This Row],[stein_votes_to_trump]]</f>
        <v>132637.5</v>
      </c>
      <c r="R26" s="12">
        <f>Table1[[#This Row],[orig_vote_clinton]]+Table1[[#This Row],[johnson_votes_to_clinton]]</f>
        <v>100303.5</v>
      </c>
      <c r="S26" s="12">
        <f>Table1[[#This Row],[orig_vote_trump]]+Table1[[#This Row],[johnson_votes_to_trump]]</f>
        <v>137711.5</v>
      </c>
      <c r="T26" s="11">
        <f>Table1[[#This Row],[orig_vote_clinton]]+Table1[[#This Row],[stein_votes_to_clinton]]+Table1[[#This Row],[johnson_votes_to_clinton]]</f>
        <v>102526</v>
      </c>
      <c r="U26" s="11">
        <f>Table1[[#This Row],[orig_vote_trump]]+Table1[[#This Row],[stein_votes_to_trump]]+Table1[[#This Row],[johnson_votes_to_trump]]</f>
        <v>139934</v>
      </c>
      <c r="V26" s="11">
        <f>Table1[[#This Row],[adjusted_vote_clinton_with_stein_only]]-Table1[[#This Row],[adjusted_vote_trump_with_stein_only]]</f>
        <v>-37408</v>
      </c>
      <c r="W26" s="11">
        <f>Table1[[#This Row],[adjusted_vote_clinton_with_johnson_only]]-Table1[[#This Row],[adjusted_vote_trump_with_johnson_only]]</f>
        <v>-37408</v>
      </c>
      <c r="X26" s="12">
        <f>Table1[[#This Row],[adjusted_vote_clinton]]-Table1[[#This Row],[adjusted_vote_trump]]</f>
        <v>-37408</v>
      </c>
      <c r="Y26" s="12">
        <f>IF(Table1[[#This Row],[adjusted_spread_with_stein_only]]&gt;0,Table1[[#This Row],[electoral_votes]],0)</f>
        <v>0</v>
      </c>
      <c r="Z26" s="12">
        <f>IF(Table1[[#This Row],[adjusted_spread_with_johnson_only]]&gt;0,Table1[[#This Row],[electoral_votes]],0)</f>
        <v>0</v>
      </c>
      <c r="AA26" s="11">
        <f>IF(Table1[[#This Row],[adjusted_spread]]&gt;0,Table1[[#This Row],[electoral_votes]],0)</f>
        <v>0</v>
      </c>
      <c r="AB26" s="12">
        <f>IF(Table1[[#This Row],[adjusted_spread]]&lt;0,Table1[[#This Row],[electoral_votes]],0)</f>
        <v>3</v>
      </c>
      <c r="AC26" s="12" t="str">
        <f>IF(Table1[[#This Row],[orig_spread]]&lt;0,"Trump",IF(Table1[[#This Row],[orig_spread]]&gt;0,"Clinton",""))</f>
        <v>Trump</v>
      </c>
      <c r="AD26" s="12" t="str">
        <f>IF(Table1[[#This Row],[adjusted_spread]]&lt;0,"Trump",IF(Table1[[#This Row],[adjusted_spread]]&gt;0,"Clinton",""))</f>
        <v>Trump</v>
      </c>
      <c r="AE26" s="11" t="b">
        <f>AND(Table1[[#This Row],[orig_outcome]]="Trump",Table1[[#This Row],[adjusted_outcome]]="Clinton")</f>
        <v>0</v>
      </c>
      <c r="AF26" s="11" t="b">
        <f>AND(Table1[[#This Row],[orig_outcome]]="Clinton",Table1[[#This Row],[adjusted_outcome]]="Trump")</f>
        <v>0</v>
      </c>
      <c r="AG26" s="11" t="str">
        <f>IF(Table1[[#This Row],[index]]=1,IF(Table1[[#This Row],[pickup_clinton]],Table1[[#This Row],[State]],""),IF(Table1[[#This Row],[pickup_clinton]],CONCATENATE(AG25,IF(AG25="","",","),Table1[[#This Row],[State]]),AG25))</f>
        <v/>
      </c>
      <c r="AH26" s="11" t="str">
        <f>IF(Table1[[#This Row],[index]]=1,IF(Table1[[#This Row],[pickup_trump]],Table1[[#This Row],[State]],""),IF(Table1[[#This Row],[pickup_trump]],CONCATENATE(AH25,IF(W12="","",","),Table1[[#This Row],[State]]),AH25))</f>
        <v/>
      </c>
      <c r="AI26" s="30">
        <f>IF(Table1[[#This Row],[orig_vote_stein]]=0,"",(1-Table1[[#This Row],[adjusted_spread_with_johnson_only]]/Table1[[#This Row],[orig_vote_stein]])/2)</f>
        <v>4.7078740157480317</v>
      </c>
      <c r="AJ26" s="30">
        <f>(1-Table1[[#This Row],[adjusted_spread_with_stein_only]]/Table1[[#This Row],[orig_vote_johnson]])/2</f>
        <v>1.7817104091002536</v>
      </c>
      <c r="AK26" s="30" t="b">
        <f>AND(Table1[[#This Row],[stein_split_needed_pure]]&gt;=0,Table1[[#This Row],[stein_split_needed_pure]]&lt;=1)</f>
        <v>0</v>
      </c>
      <c r="AL26" s="30" t="b">
        <f>AND(Table1[[#This Row],[johnson_split_needed_pure]]&gt;=0,Table1[[#This Row],[johnson_split_needed_pure]]&lt;=1)</f>
        <v>0</v>
      </c>
      <c r="AM26" s="30" t="b">
        <f>OR(Table1[[#This Row],[in_play_stein]],Table1[[#This Row],[in_play_johnson]])</f>
        <v>0</v>
      </c>
      <c r="AN26" s="51">
        <f t="array" ref="AN2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6" s="51">
        <f t="array" ref="AO2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6" s="51">
        <f t="array" ref="AP2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6" s="51">
        <f t="array" ref="AQ2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6" s="44">
        <f>adjusted_electors_clinton_with_johnson_only+Table1[[#This Row],[electors_with_split_stein_added]]+Table1[[#This Row],[electors_with_split_stein_dropped]]</f>
        <v>233</v>
      </c>
      <c r="AS26" s="44">
        <f>adjusted_electors_clinton_with_stein_only+Table1[[#This Row],[electors_with_split_johnson_added]]+Table1[[#This Row],[electors_with_split_johnson_dropped]]</f>
        <v>233</v>
      </c>
      <c r="AT26" s="30" t="str">
        <f>IF(AND(Table1[[#This Row],[in_play_stein]],Table1[[#This Row],[electors_with_split_stein]]&gt;=270),Table1[[#This Row],[stein_split_needed_pure]],"")</f>
        <v/>
      </c>
      <c r="AU26" s="45" t="str">
        <f>IF(AND(Table1[[#This Row],[in_play_johnson]],Table1[[#This Row],[electors_with_split_johnson]]&gt;=270),Table1[[#This Row],[johnson_split_needed_pure]],"")</f>
        <v/>
      </c>
      <c r="AV2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6" s="16">
        <f>Table1[[#This Row],[adjusted_electors_trump]]+Table1[[#This Row],[adjusted_electors_clinton]]-Table1[[#This Row],[electoral_votes]]</f>
        <v>0</v>
      </c>
      <c r="BC26"/>
      <c r="BD26" t="s">
        <v>111</v>
      </c>
      <c r="BE26"/>
      <c r="BF26"/>
    </row>
    <row r="27" spans="2:58">
      <c r="B27" s="3" t="s">
        <v>14</v>
      </c>
      <c r="C27" s="7">
        <v>11</v>
      </c>
      <c r="D27" s="13">
        <v>936250</v>
      </c>
      <c r="E27" s="13">
        <v>1021154</v>
      </c>
      <c r="F27" s="13">
        <v>80151</v>
      </c>
      <c r="G27" s="13">
        <v>25255</v>
      </c>
      <c r="H27" s="25">
        <f>ROW()-ROW(Table1[[#Headers],[index]])</f>
        <v>3</v>
      </c>
      <c r="I27" s="12">
        <f>Table1[[#This Row],[orig_vote_clinton]]-Table1[[#This Row],[orig_vote_trump]]</f>
        <v>-84904</v>
      </c>
      <c r="J27" s="12">
        <f>IF(Table1[[#This Row],[orig_spread]]&gt;0,Table1[[#This Row],[electoral_votes]],0)</f>
        <v>0</v>
      </c>
      <c r="K27" s="12">
        <f>IF(Table1[[#This Row],[orig_spread]]&lt;0,Table1[[#This Row],[electoral_votes]],0)</f>
        <v>11</v>
      </c>
      <c r="L27" s="12">
        <f>pct_stein_to_clinton*Table1[[#This Row],[orig_vote_stein]]</f>
        <v>12627.5</v>
      </c>
      <c r="M27" s="12">
        <f>pct_stein_to_trump*Table1[[#This Row],[orig_vote_stein]]</f>
        <v>12627.5</v>
      </c>
      <c r="N27" s="12">
        <f>pct_johnson_to_clinton*Table1[[#This Row],[orig_vote_johnson]]</f>
        <v>40075.5</v>
      </c>
      <c r="O27" s="12">
        <f>pct_johnson_to_trump*Table1[[#This Row],[orig_vote_johnson]]</f>
        <v>40075.5</v>
      </c>
      <c r="P27" s="12">
        <f>Table1[[#This Row],[orig_vote_clinton]]+Table1[[#This Row],[stein_votes_to_clinton]]</f>
        <v>948877.5</v>
      </c>
      <c r="Q27" s="12">
        <f>Table1[[#This Row],[orig_vote_trump]]+Table1[[#This Row],[stein_votes_to_trump]]</f>
        <v>1033781.5</v>
      </c>
      <c r="R27" s="12">
        <f>Table1[[#This Row],[orig_vote_clinton]]+Table1[[#This Row],[johnson_votes_to_clinton]]</f>
        <v>976325.5</v>
      </c>
      <c r="S27" s="12">
        <f>Table1[[#This Row],[orig_vote_trump]]+Table1[[#This Row],[johnson_votes_to_trump]]</f>
        <v>1061229.5</v>
      </c>
      <c r="T27" s="11">
        <f>Table1[[#This Row],[orig_vote_clinton]]+Table1[[#This Row],[stein_votes_to_clinton]]+Table1[[#This Row],[johnson_votes_to_clinton]]</f>
        <v>988953</v>
      </c>
      <c r="U27" s="11">
        <f>Table1[[#This Row],[orig_vote_trump]]+Table1[[#This Row],[stein_votes_to_trump]]+Table1[[#This Row],[johnson_votes_to_trump]]</f>
        <v>1073857</v>
      </c>
      <c r="V27" s="11">
        <f>Table1[[#This Row],[adjusted_vote_clinton_with_stein_only]]-Table1[[#This Row],[adjusted_vote_trump_with_stein_only]]</f>
        <v>-84904</v>
      </c>
      <c r="W27" s="11">
        <f>Table1[[#This Row],[adjusted_vote_clinton_with_johnson_only]]-Table1[[#This Row],[adjusted_vote_trump_with_johnson_only]]</f>
        <v>-84904</v>
      </c>
      <c r="X27" s="12">
        <f>Table1[[#This Row],[adjusted_vote_clinton]]-Table1[[#This Row],[adjusted_vote_trump]]</f>
        <v>-84904</v>
      </c>
      <c r="Y27" s="12">
        <f>IF(Table1[[#This Row],[adjusted_spread_with_stein_only]]&gt;0,Table1[[#This Row],[electoral_votes]],0)</f>
        <v>0</v>
      </c>
      <c r="Z27" s="12">
        <f>IF(Table1[[#This Row],[adjusted_spread_with_johnson_only]]&gt;0,Table1[[#This Row],[electoral_votes]],0)</f>
        <v>0</v>
      </c>
      <c r="AA27" s="11">
        <f>IF(Table1[[#This Row],[adjusted_spread]]&gt;0,Table1[[#This Row],[electoral_votes]],0)</f>
        <v>0</v>
      </c>
      <c r="AB27" s="12">
        <f>IF(Table1[[#This Row],[adjusted_spread]]&lt;0,Table1[[#This Row],[electoral_votes]],0)</f>
        <v>11</v>
      </c>
      <c r="AC27" s="12" t="str">
        <f>IF(Table1[[#This Row],[orig_spread]]&lt;0,"Trump",IF(Table1[[#This Row],[orig_spread]]&gt;0,"Clinton",""))</f>
        <v>Trump</v>
      </c>
      <c r="AD27" s="12" t="str">
        <f>IF(Table1[[#This Row],[adjusted_spread]]&lt;0,"Trump",IF(Table1[[#This Row],[adjusted_spread]]&gt;0,"Clinton",""))</f>
        <v>Trump</v>
      </c>
      <c r="AE27" s="11" t="b">
        <f>AND(Table1[[#This Row],[orig_outcome]]="Trump",Table1[[#This Row],[adjusted_outcome]]="Clinton")</f>
        <v>0</v>
      </c>
      <c r="AF27" s="11" t="b">
        <f>AND(Table1[[#This Row],[orig_outcome]]="Clinton",Table1[[#This Row],[adjusted_outcome]]="Trump")</f>
        <v>0</v>
      </c>
      <c r="AG27" s="11" t="str">
        <f>IF(Table1[[#This Row],[index]]=1,IF(Table1[[#This Row],[pickup_clinton]],Table1[[#This Row],[State]],""),IF(Table1[[#This Row],[pickup_clinton]],CONCATENATE(AG26,IF(AG26="","",","),Table1[[#This Row],[State]]),AG26))</f>
        <v/>
      </c>
      <c r="AH27" s="11" t="str">
        <f>IF(Table1[[#This Row],[index]]=1,IF(Table1[[#This Row],[pickup_trump]],Table1[[#This Row],[State]],""),IF(Table1[[#This Row],[pickup_trump]],CONCATENATE(AH26,IF(W13="","",","),Table1[[#This Row],[State]]),AH26))</f>
        <v/>
      </c>
      <c r="AI27" s="30">
        <f>IF(Table1[[#This Row],[orig_vote_stein]]=0,"",(1-Table1[[#This Row],[adjusted_spread_with_johnson_only]]/Table1[[#This Row],[orig_vote_stein]])/2)</f>
        <v>2.1809344684220946</v>
      </c>
      <c r="AJ27" s="30">
        <f>(1-Table1[[#This Row],[adjusted_spread_with_stein_only]]/Table1[[#This Row],[orig_vote_johnson]])/2</f>
        <v>1.0296502850868985</v>
      </c>
      <c r="AK27" s="30" t="b">
        <f>AND(Table1[[#This Row],[stein_split_needed_pure]]&gt;=0,Table1[[#This Row],[stein_split_needed_pure]]&lt;=1)</f>
        <v>0</v>
      </c>
      <c r="AL27" s="30" t="b">
        <f>AND(Table1[[#This Row],[johnson_split_needed_pure]]&gt;=0,Table1[[#This Row],[johnson_split_needed_pure]]&lt;=1)</f>
        <v>0</v>
      </c>
      <c r="AM27" s="30" t="b">
        <f>OR(Table1[[#This Row],[in_play_stein]],Table1[[#This Row],[in_play_johnson]])</f>
        <v>0</v>
      </c>
      <c r="AN27" s="51">
        <f t="array" ref="AN2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7" s="51">
        <f t="array" ref="AO2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7" s="51">
        <f t="array" ref="AP2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7" s="51">
        <f t="array" ref="AQ2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7" s="44">
        <f>adjusted_electors_clinton_with_johnson_only+Table1[[#This Row],[electors_with_split_stein_added]]+Table1[[#This Row],[electors_with_split_stein_dropped]]</f>
        <v>233</v>
      </c>
      <c r="AS27" s="44">
        <f>adjusted_electors_clinton_with_stein_only+Table1[[#This Row],[electors_with_split_johnson_added]]+Table1[[#This Row],[electors_with_split_johnson_dropped]]</f>
        <v>233</v>
      </c>
      <c r="AT27" s="30" t="str">
        <f>IF(AND(Table1[[#This Row],[in_play_stein]],Table1[[#This Row],[electors_with_split_stein]]&gt;=270),Table1[[#This Row],[stein_split_needed_pure]],"")</f>
        <v/>
      </c>
      <c r="AU27" s="45" t="str">
        <f>IF(AND(Table1[[#This Row],[in_play_johnson]],Table1[[#This Row],[electors_with_split_johnson]]&gt;=270),Table1[[#This Row],[johnson_split_needed_pure]],"")</f>
        <v/>
      </c>
      <c r="AV2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7" s="16">
        <f>Table1[[#This Row],[adjusted_electors_trump]]+Table1[[#This Row],[adjusted_electors_clinton]]-Table1[[#This Row],[electoral_votes]]</f>
        <v>0</v>
      </c>
      <c r="BC27"/>
      <c r="BE27"/>
      <c r="BF27"/>
    </row>
    <row r="28" spans="2:58">
      <c r="B28" s="3" t="s">
        <v>15</v>
      </c>
      <c r="C28" s="7">
        <v>6</v>
      </c>
      <c r="D28" s="13">
        <v>378729</v>
      </c>
      <c r="E28" s="13">
        <v>677904</v>
      </c>
      <c r="F28" s="13">
        <v>29518</v>
      </c>
      <c r="G28" s="13">
        <v>9837</v>
      </c>
      <c r="H28" s="27">
        <f>ROW()-ROW(Table1[[#Headers],[index]])</f>
        <v>4</v>
      </c>
      <c r="I28" s="12">
        <f>Table1[[#This Row],[orig_vote_clinton]]-Table1[[#This Row],[orig_vote_trump]]</f>
        <v>-299175</v>
      </c>
      <c r="J28" s="12">
        <f>IF(Table1[[#This Row],[orig_spread]]&gt;0,Table1[[#This Row],[electoral_votes]],0)</f>
        <v>0</v>
      </c>
      <c r="K28" s="12">
        <f>IF(Table1[[#This Row],[orig_spread]]&lt;0,Table1[[#This Row],[electoral_votes]],0)</f>
        <v>6</v>
      </c>
      <c r="L28" s="12">
        <f>pct_stein_to_clinton*Table1[[#This Row],[orig_vote_stein]]</f>
        <v>4918.5</v>
      </c>
      <c r="M28" s="12">
        <f>pct_stein_to_trump*Table1[[#This Row],[orig_vote_stein]]</f>
        <v>4918.5</v>
      </c>
      <c r="N28" s="12">
        <f>pct_johnson_to_clinton*Table1[[#This Row],[orig_vote_johnson]]</f>
        <v>14759</v>
      </c>
      <c r="O28" s="12">
        <f>pct_johnson_to_trump*Table1[[#This Row],[orig_vote_johnson]]</f>
        <v>14759</v>
      </c>
      <c r="P28" s="12">
        <f>Table1[[#This Row],[orig_vote_clinton]]+Table1[[#This Row],[stein_votes_to_clinton]]</f>
        <v>383647.5</v>
      </c>
      <c r="Q28" s="12">
        <f>Table1[[#This Row],[orig_vote_trump]]+Table1[[#This Row],[stein_votes_to_trump]]</f>
        <v>682822.5</v>
      </c>
      <c r="R28" s="12">
        <f>Table1[[#This Row],[orig_vote_clinton]]+Table1[[#This Row],[johnson_votes_to_clinton]]</f>
        <v>393488</v>
      </c>
      <c r="S28" s="12">
        <f>Table1[[#This Row],[orig_vote_trump]]+Table1[[#This Row],[johnson_votes_to_trump]]</f>
        <v>692663</v>
      </c>
      <c r="T28" s="11">
        <f>Table1[[#This Row],[orig_vote_clinton]]+Table1[[#This Row],[stein_votes_to_clinton]]+Table1[[#This Row],[johnson_votes_to_clinton]]</f>
        <v>398406.5</v>
      </c>
      <c r="U28" s="11">
        <f>Table1[[#This Row],[orig_vote_trump]]+Table1[[#This Row],[stein_votes_to_trump]]+Table1[[#This Row],[johnson_votes_to_trump]]</f>
        <v>697581.5</v>
      </c>
      <c r="V28" s="11">
        <f>Table1[[#This Row],[adjusted_vote_clinton_with_stein_only]]-Table1[[#This Row],[adjusted_vote_trump_with_stein_only]]</f>
        <v>-299175</v>
      </c>
      <c r="W28" s="11">
        <f>Table1[[#This Row],[adjusted_vote_clinton_with_johnson_only]]-Table1[[#This Row],[adjusted_vote_trump_with_johnson_only]]</f>
        <v>-299175</v>
      </c>
      <c r="X28" s="12">
        <f>Table1[[#This Row],[adjusted_vote_clinton]]-Table1[[#This Row],[adjusted_vote_trump]]</f>
        <v>-299175</v>
      </c>
      <c r="Y28" s="12">
        <f>IF(Table1[[#This Row],[adjusted_spread_with_stein_only]]&gt;0,Table1[[#This Row],[electoral_votes]],0)</f>
        <v>0</v>
      </c>
      <c r="Z28" s="12">
        <f>IF(Table1[[#This Row],[adjusted_spread_with_johnson_only]]&gt;0,Table1[[#This Row],[electoral_votes]],0)</f>
        <v>0</v>
      </c>
      <c r="AA28" s="11">
        <f>IF(Table1[[#This Row],[adjusted_spread]]&gt;0,Table1[[#This Row],[electoral_votes]],0)</f>
        <v>0</v>
      </c>
      <c r="AB28" s="12">
        <f>IF(Table1[[#This Row],[adjusted_spread]]&lt;0,Table1[[#This Row],[electoral_votes]],0)</f>
        <v>6</v>
      </c>
      <c r="AC28" s="12" t="str">
        <f>IF(Table1[[#This Row],[orig_spread]]&lt;0,"Trump",IF(Table1[[#This Row],[orig_spread]]&gt;0,"Clinton",""))</f>
        <v>Trump</v>
      </c>
      <c r="AD28" s="12" t="str">
        <f>IF(Table1[[#This Row],[adjusted_spread]]&lt;0,"Trump",IF(Table1[[#This Row],[adjusted_spread]]&gt;0,"Clinton",""))</f>
        <v>Trump</v>
      </c>
      <c r="AE28" s="11" t="b">
        <f>AND(Table1[[#This Row],[orig_outcome]]="Trump",Table1[[#This Row],[adjusted_outcome]]="Clinton")</f>
        <v>0</v>
      </c>
      <c r="AF28" s="11" t="b">
        <f>AND(Table1[[#This Row],[orig_outcome]]="Clinton",Table1[[#This Row],[adjusted_outcome]]="Trump")</f>
        <v>0</v>
      </c>
      <c r="AG28" s="11" t="str">
        <f>IF(Table1[[#This Row],[index]]=1,IF(Table1[[#This Row],[pickup_clinton]],Table1[[#This Row],[State]],""),IF(Table1[[#This Row],[pickup_clinton]],CONCATENATE(AG27,IF(AG27="","",","),Table1[[#This Row],[State]]),AG27))</f>
        <v/>
      </c>
      <c r="AH28" s="11" t="str">
        <f>IF(Table1[[#This Row],[index]]=1,IF(Table1[[#This Row],[pickup_trump]],Table1[[#This Row],[State]],""),IF(Table1[[#This Row],[pickup_trump]],CONCATENATE(AH27,IF(W16="","",","),Table1[[#This Row],[State]]),AH27))</f>
        <v/>
      </c>
      <c r="AI28" s="30">
        <f>IF(Table1[[#This Row],[orig_vote_stein]]=0,"",(1-Table1[[#This Row],[adjusted_spread_with_johnson_only]]/Table1[[#This Row],[orig_vote_stein]])/2)</f>
        <v>15.706617871302226</v>
      </c>
      <c r="AJ28" s="30">
        <f>(1-Table1[[#This Row],[adjusted_spread_with_stein_only]]/Table1[[#This Row],[orig_vote_johnson]])/2</f>
        <v>5.5676705738871197</v>
      </c>
      <c r="AK28" s="30" t="b">
        <f>AND(Table1[[#This Row],[stein_split_needed_pure]]&gt;=0,Table1[[#This Row],[stein_split_needed_pure]]&lt;=1)</f>
        <v>0</v>
      </c>
      <c r="AL28" s="30" t="b">
        <f>AND(Table1[[#This Row],[johnson_split_needed_pure]]&gt;=0,Table1[[#This Row],[johnson_split_needed_pure]]&lt;=1)</f>
        <v>0</v>
      </c>
      <c r="AM28" s="30" t="b">
        <f>OR(Table1[[#This Row],[in_play_stein]],Table1[[#This Row],[in_play_johnson]])</f>
        <v>0</v>
      </c>
      <c r="AN28" s="51">
        <f t="array" ref="AN2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8" s="51">
        <f t="array" ref="AO2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8" s="51">
        <f t="array" ref="AP2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8" s="51">
        <f t="array" ref="AQ2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8" s="44">
        <f>adjusted_electors_clinton_with_johnson_only+Table1[[#This Row],[electors_with_split_stein_added]]+Table1[[#This Row],[electors_with_split_stein_dropped]]</f>
        <v>233</v>
      </c>
      <c r="AS28" s="44">
        <f>adjusted_electors_clinton_with_stein_only+Table1[[#This Row],[electors_with_split_johnson_added]]+Table1[[#This Row],[electors_with_split_johnson_dropped]]</f>
        <v>233</v>
      </c>
      <c r="AT28" s="30" t="str">
        <f>IF(AND(Table1[[#This Row],[in_play_stein]],Table1[[#This Row],[electors_with_split_stein]]&gt;=270),Table1[[#This Row],[stein_split_needed_pure]],"")</f>
        <v/>
      </c>
      <c r="AU28" s="45" t="str">
        <f>IF(AND(Table1[[#This Row],[in_play_johnson]],Table1[[#This Row],[electors_with_split_johnson]]&gt;=270),Table1[[#This Row],[johnson_split_needed_pure]],"")</f>
        <v/>
      </c>
      <c r="AV2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8" s="16">
        <f>Table1[[#This Row],[adjusted_electors_trump]]+Table1[[#This Row],[adjusted_electors_clinton]]-Table1[[#This Row],[electoral_votes]]</f>
        <v>0</v>
      </c>
      <c r="BC28"/>
      <c r="BE28"/>
      <c r="BF28"/>
    </row>
    <row r="29" spans="2:58">
      <c r="B29" s="3" t="s">
        <v>16</v>
      </c>
      <c r="C29" s="7">
        <v>55</v>
      </c>
      <c r="D29" s="13">
        <v>7230699</v>
      </c>
      <c r="E29" s="13">
        <v>3841134</v>
      </c>
      <c r="F29" s="13">
        <v>394239</v>
      </c>
      <c r="G29" s="13">
        <v>215694</v>
      </c>
      <c r="H29" s="27">
        <f>ROW()-ROW(Table1[[#Headers],[index]])</f>
        <v>5</v>
      </c>
      <c r="I29" s="12">
        <f>Table1[[#This Row],[orig_vote_clinton]]-Table1[[#This Row],[orig_vote_trump]]</f>
        <v>3389565</v>
      </c>
      <c r="J29" s="12">
        <f>IF(Table1[[#This Row],[orig_spread]]&gt;0,Table1[[#This Row],[electoral_votes]],0)</f>
        <v>55</v>
      </c>
      <c r="K29" s="12">
        <f>IF(Table1[[#This Row],[orig_spread]]&lt;0,Table1[[#This Row],[electoral_votes]],0)</f>
        <v>0</v>
      </c>
      <c r="L29" s="12">
        <f>pct_stein_to_clinton*Table1[[#This Row],[orig_vote_stein]]</f>
        <v>107847</v>
      </c>
      <c r="M29" s="12">
        <f>pct_stein_to_trump*Table1[[#This Row],[orig_vote_stein]]</f>
        <v>107847</v>
      </c>
      <c r="N29" s="12">
        <f>pct_johnson_to_clinton*Table1[[#This Row],[orig_vote_johnson]]</f>
        <v>197119.5</v>
      </c>
      <c r="O29" s="12">
        <f>pct_johnson_to_trump*Table1[[#This Row],[orig_vote_johnson]]</f>
        <v>197119.5</v>
      </c>
      <c r="P29" s="12">
        <f>Table1[[#This Row],[orig_vote_clinton]]+Table1[[#This Row],[stein_votes_to_clinton]]</f>
        <v>7338546</v>
      </c>
      <c r="Q29" s="12">
        <f>Table1[[#This Row],[orig_vote_trump]]+Table1[[#This Row],[stein_votes_to_trump]]</f>
        <v>3948981</v>
      </c>
      <c r="R29" s="12">
        <f>Table1[[#This Row],[orig_vote_clinton]]+Table1[[#This Row],[johnson_votes_to_clinton]]</f>
        <v>7427818.5</v>
      </c>
      <c r="S29" s="12">
        <f>Table1[[#This Row],[orig_vote_trump]]+Table1[[#This Row],[johnson_votes_to_trump]]</f>
        <v>4038253.5</v>
      </c>
      <c r="T29" s="11">
        <f>Table1[[#This Row],[orig_vote_clinton]]+Table1[[#This Row],[stein_votes_to_clinton]]+Table1[[#This Row],[johnson_votes_to_clinton]]</f>
        <v>7535665.5</v>
      </c>
      <c r="U29" s="11">
        <f>Table1[[#This Row],[orig_vote_trump]]+Table1[[#This Row],[stein_votes_to_trump]]+Table1[[#This Row],[johnson_votes_to_trump]]</f>
        <v>4146100.5</v>
      </c>
      <c r="V29" s="11">
        <f>Table1[[#This Row],[adjusted_vote_clinton_with_stein_only]]-Table1[[#This Row],[adjusted_vote_trump_with_stein_only]]</f>
        <v>3389565</v>
      </c>
      <c r="W29" s="11">
        <f>Table1[[#This Row],[adjusted_vote_clinton_with_johnson_only]]-Table1[[#This Row],[adjusted_vote_trump_with_johnson_only]]</f>
        <v>3389565</v>
      </c>
      <c r="X29" s="12">
        <f>Table1[[#This Row],[adjusted_vote_clinton]]-Table1[[#This Row],[adjusted_vote_trump]]</f>
        <v>3389565</v>
      </c>
      <c r="Y29" s="12">
        <f>IF(Table1[[#This Row],[adjusted_spread_with_stein_only]]&gt;0,Table1[[#This Row],[electoral_votes]],0)</f>
        <v>55</v>
      </c>
      <c r="Z29" s="12">
        <f>IF(Table1[[#This Row],[adjusted_spread_with_johnson_only]]&gt;0,Table1[[#This Row],[electoral_votes]],0)</f>
        <v>55</v>
      </c>
      <c r="AA29" s="11">
        <f>IF(Table1[[#This Row],[adjusted_spread]]&gt;0,Table1[[#This Row],[electoral_votes]],0)</f>
        <v>55</v>
      </c>
      <c r="AB29" s="12">
        <f>IF(Table1[[#This Row],[adjusted_spread]]&lt;0,Table1[[#This Row],[electoral_votes]],0)</f>
        <v>0</v>
      </c>
      <c r="AC29" s="12" t="str">
        <f>IF(Table1[[#This Row],[orig_spread]]&lt;0,"Trump",IF(Table1[[#This Row],[orig_spread]]&gt;0,"Clinton",""))</f>
        <v>Clinton</v>
      </c>
      <c r="AD29" s="12" t="str">
        <f>IF(Table1[[#This Row],[adjusted_spread]]&lt;0,"Trump",IF(Table1[[#This Row],[adjusted_spread]]&gt;0,"Clinton",""))</f>
        <v>Clinton</v>
      </c>
      <c r="AE29" s="11" t="b">
        <f>AND(Table1[[#This Row],[orig_outcome]]="Trump",Table1[[#This Row],[adjusted_outcome]]="Clinton")</f>
        <v>0</v>
      </c>
      <c r="AF29" s="11" t="b">
        <f>AND(Table1[[#This Row],[orig_outcome]]="Clinton",Table1[[#This Row],[adjusted_outcome]]="Trump")</f>
        <v>0</v>
      </c>
      <c r="AG29" s="11" t="str">
        <f>IF(Table1[[#This Row],[index]]=1,IF(Table1[[#This Row],[pickup_clinton]],Table1[[#This Row],[State]],""),IF(Table1[[#This Row],[pickup_clinton]],CONCATENATE(AG28,IF(AG28="","",","),Table1[[#This Row],[State]]),AG28))</f>
        <v/>
      </c>
      <c r="AH29" s="11" t="str">
        <f>IF(Table1[[#This Row],[index]]=1,IF(Table1[[#This Row],[pickup_trump]],Table1[[#This Row],[State]],""),IF(Table1[[#This Row],[pickup_trump]],CONCATENATE(AH28,IF(W17="","",","),Table1[[#This Row],[State]]),AH28))</f>
        <v/>
      </c>
      <c r="AI29" s="30">
        <f>IF(Table1[[#This Row],[orig_vote_stein]]=0,"",(1-Table1[[#This Row],[adjusted_spread_with_johnson_only]]/Table1[[#This Row],[orig_vote_stein]])/2)</f>
        <v>-7.3573465186792397</v>
      </c>
      <c r="AJ29" s="30">
        <f>(1-Table1[[#This Row],[adjusted_spread_with_stein_only]]/Table1[[#This Row],[orig_vote_johnson]])/2</f>
        <v>-3.7988707357719553</v>
      </c>
      <c r="AK29" s="30" t="b">
        <f>AND(Table1[[#This Row],[stein_split_needed_pure]]&gt;=0,Table1[[#This Row],[stein_split_needed_pure]]&lt;=1)</f>
        <v>0</v>
      </c>
      <c r="AL29" s="30" t="b">
        <f>AND(Table1[[#This Row],[johnson_split_needed_pure]]&gt;=0,Table1[[#This Row],[johnson_split_needed_pure]]&lt;=1)</f>
        <v>0</v>
      </c>
      <c r="AM29" s="30" t="b">
        <f>OR(Table1[[#This Row],[in_play_stein]],Table1[[#This Row],[in_play_johnson]])</f>
        <v>0</v>
      </c>
      <c r="AN29" s="51">
        <f t="array" ref="AN2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9" s="51">
        <f t="array" ref="AO2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9" s="51">
        <f t="array" ref="AP2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9" s="51">
        <f t="array" ref="AQ2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9" s="44">
        <f>adjusted_electors_clinton_with_johnson_only+Table1[[#This Row],[electors_with_split_stein_added]]+Table1[[#This Row],[electors_with_split_stein_dropped]]</f>
        <v>233</v>
      </c>
      <c r="AS29" s="44">
        <f>adjusted_electors_clinton_with_stein_only+Table1[[#This Row],[electors_with_split_johnson_added]]+Table1[[#This Row],[electors_with_split_johnson_dropped]]</f>
        <v>233</v>
      </c>
      <c r="AT29" s="30" t="str">
        <f>IF(AND(Table1[[#This Row],[in_play_stein]],Table1[[#This Row],[electors_with_split_stein]]&gt;=270),Table1[[#This Row],[stein_split_needed_pure]],"")</f>
        <v/>
      </c>
      <c r="AU29" s="45" t="str">
        <f>IF(AND(Table1[[#This Row],[in_play_johnson]],Table1[[#This Row],[electors_with_split_johnson]]&gt;=270),Table1[[#This Row],[johnson_split_needed_pure]],"")</f>
        <v/>
      </c>
      <c r="AV2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9" s="16">
        <f>Table1[[#This Row],[adjusted_electors_trump]]+Table1[[#This Row],[adjusted_electors_clinton]]-Table1[[#This Row],[electoral_votes]]</f>
        <v>0</v>
      </c>
      <c r="BC29"/>
      <c r="BE29"/>
      <c r="BF29"/>
    </row>
    <row r="30" spans="2:58">
      <c r="B30" s="3" t="s">
        <v>17</v>
      </c>
      <c r="C30" s="7">
        <v>9</v>
      </c>
      <c r="D30" s="13">
        <v>1212209</v>
      </c>
      <c r="E30" s="13">
        <v>1137455</v>
      </c>
      <c r="F30" s="13">
        <v>129451</v>
      </c>
      <c r="G30" s="13">
        <v>33147</v>
      </c>
      <c r="H30" s="27">
        <f>ROW()-ROW(Table1[[#Headers],[index]])</f>
        <v>6</v>
      </c>
      <c r="I30" s="12">
        <f>Table1[[#This Row],[orig_vote_clinton]]-Table1[[#This Row],[orig_vote_trump]]</f>
        <v>74754</v>
      </c>
      <c r="J30" s="12">
        <f>IF(Table1[[#This Row],[orig_spread]]&gt;0,Table1[[#This Row],[electoral_votes]],0)</f>
        <v>9</v>
      </c>
      <c r="K30" s="12">
        <f>IF(Table1[[#This Row],[orig_spread]]&lt;0,Table1[[#This Row],[electoral_votes]],0)</f>
        <v>0</v>
      </c>
      <c r="L30" s="12">
        <f>pct_stein_to_clinton*Table1[[#This Row],[orig_vote_stein]]</f>
        <v>16573.5</v>
      </c>
      <c r="M30" s="12">
        <f>pct_stein_to_trump*Table1[[#This Row],[orig_vote_stein]]</f>
        <v>16573.5</v>
      </c>
      <c r="N30" s="12">
        <f>pct_johnson_to_clinton*Table1[[#This Row],[orig_vote_johnson]]</f>
        <v>64725.5</v>
      </c>
      <c r="O30" s="12">
        <f>pct_johnson_to_trump*Table1[[#This Row],[orig_vote_johnson]]</f>
        <v>64725.5</v>
      </c>
      <c r="P30" s="12">
        <f>Table1[[#This Row],[orig_vote_clinton]]+Table1[[#This Row],[stein_votes_to_clinton]]</f>
        <v>1228782.5</v>
      </c>
      <c r="Q30" s="12">
        <f>Table1[[#This Row],[orig_vote_trump]]+Table1[[#This Row],[stein_votes_to_trump]]</f>
        <v>1154028.5</v>
      </c>
      <c r="R30" s="12">
        <f>Table1[[#This Row],[orig_vote_clinton]]+Table1[[#This Row],[johnson_votes_to_clinton]]</f>
        <v>1276934.5</v>
      </c>
      <c r="S30" s="12">
        <f>Table1[[#This Row],[orig_vote_trump]]+Table1[[#This Row],[johnson_votes_to_trump]]</f>
        <v>1202180.5</v>
      </c>
      <c r="T30" s="11">
        <f>Table1[[#This Row],[orig_vote_clinton]]+Table1[[#This Row],[stein_votes_to_clinton]]+Table1[[#This Row],[johnson_votes_to_clinton]]</f>
        <v>1293508</v>
      </c>
      <c r="U30" s="11">
        <f>Table1[[#This Row],[orig_vote_trump]]+Table1[[#This Row],[stein_votes_to_trump]]+Table1[[#This Row],[johnson_votes_to_trump]]</f>
        <v>1218754</v>
      </c>
      <c r="V30" s="11">
        <f>Table1[[#This Row],[adjusted_vote_clinton_with_stein_only]]-Table1[[#This Row],[adjusted_vote_trump_with_stein_only]]</f>
        <v>74754</v>
      </c>
      <c r="W30" s="11">
        <f>Table1[[#This Row],[adjusted_vote_clinton_with_johnson_only]]-Table1[[#This Row],[adjusted_vote_trump_with_johnson_only]]</f>
        <v>74754</v>
      </c>
      <c r="X30" s="12">
        <f>Table1[[#This Row],[adjusted_vote_clinton]]-Table1[[#This Row],[adjusted_vote_trump]]</f>
        <v>74754</v>
      </c>
      <c r="Y30" s="12">
        <f>IF(Table1[[#This Row],[adjusted_spread_with_stein_only]]&gt;0,Table1[[#This Row],[electoral_votes]],0)</f>
        <v>9</v>
      </c>
      <c r="Z30" s="12">
        <f>IF(Table1[[#This Row],[adjusted_spread_with_johnson_only]]&gt;0,Table1[[#This Row],[electoral_votes]],0)</f>
        <v>9</v>
      </c>
      <c r="AA30" s="11">
        <f>IF(Table1[[#This Row],[adjusted_spread]]&gt;0,Table1[[#This Row],[electoral_votes]],0)</f>
        <v>9</v>
      </c>
      <c r="AB30" s="12">
        <f>IF(Table1[[#This Row],[adjusted_spread]]&lt;0,Table1[[#This Row],[electoral_votes]],0)</f>
        <v>0</v>
      </c>
      <c r="AC30" s="12" t="str">
        <f>IF(Table1[[#This Row],[orig_spread]]&lt;0,"Trump",IF(Table1[[#This Row],[orig_spread]]&gt;0,"Clinton",""))</f>
        <v>Clinton</v>
      </c>
      <c r="AD30" s="12" t="str">
        <f>IF(Table1[[#This Row],[adjusted_spread]]&lt;0,"Trump",IF(Table1[[#This Row],[adjusted_spread]]&gt;0,"Clinton",""))</f>
        <v>Clinton</v>
      </c>
      <c r="AE30" s="11" t="b">
        <f>AND(Table1[[#This Row],[orig_outcome]]="Trump",Table1[[#This Row],[adjusted_outcome]]="Clinton")</f>
        <v>0</v>
      </c>
      <c r="AF30" s="11" t="b">
        <f>AND(Table1[[#This Row],[orig_outcome]]="Clinton",Table1[[#This Row],[adjusted_outcome]]="Trump")</f>
        <v>0</v>
      </c>
      <c r="AG30" s="11" t="str">
        <f>IF(Table1[[#This Row],[index]]=1,IF(Table1[[#This Row],[pickup_clinton]],Table1[[#This Row],[State]],""),IF(Table1[[#This Row],[pickup_clinton]],CONCATENATE(AG29,IF(AG29="","",","),Table1[[#This Row],[State]]),AG29))</f>
        <v/>
      </c>
      <c r="AH30" s="11" t="str">
        <f>IF(Table1[[#This Row],[index]]=1,IF(Table1[[#This Row],[pickup_trump]],Table1[[#This Row],[State]],""),IF(Table1[[#This Row],[pickup_trump]],CONCATENATE(AH29,IF(W18="","",","),Table1[[#This Row],[State]]),AH29))</f>
        <v/>
      </c>
      <c r="AI30" s="30">
        <f>IF(Table1[[#This Row],[orig_vote_stein]]=0,"",(1-Table1[[#This Row],[adjusted_spread_with_johnson_only]]/Table1[[#This Row],[orig_vote_stein]])/2)</f>
        <v>-0.62761335867499324</v>
      </c>
      <c r="AJ30" s="30">
        <f>(1-Table1[[#This Row],[adjusted_spread_with_stein_only]]/Table1[[#This Row],[orig_vote_johnson]])/2</f>
        <v>0.2112652663942341</v>
      </c>
      <c r="AK30" s="30" t="b">
        <f>AND(Table1[[#This Row],[stein_split_needed_pure]]&gt;=0,Table1[[#This Row],[stein_split_needed_pure]]&lt;=1)</f>
        <v>0</v>
      </c>
      <c r="AL30" s="30" t="b">
        <f>AND(Table1[[#This Row],[johnson_split_needed_pure]]&gt;=0,Table1[[#This Row],[johnson_split_needed_pure]]&lt;=1)</f>
        <v>1</v>
      </c>
      <c r="AM30" s="30" t="b">
        <f>OR(Table1[[#This Row],[in_play_stein]],Table1[[#This Row],[in_play_johnson]])</f>
        <v>1</v>
      </c>
      <c r="AN30" s="51">
        <f t="array" ref="AN3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0" s="51">
        <f t="array" ref="AO3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0" s="51">
        <f t="array" ref="AP3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0" s="51">
        <f t="array" ref="AQ3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-28</v>
      </c>
      <c r="AR30" s="44">
        <f>adjusted_electors_clinton_with_johnson_only+Table1[[#This Row],[electors_with_split_stein_added]]+Table1[[#This Row],[electors_with_split_stein_dropped]]</f>
        <v>233</v>
      </c>
      <c r="AS30" s="44">
        <f>adjusted_electors_clinton_with_stein_only+Table1[[#This Row],[electors_with_split_johnson_added]]+Table1[[#This Row],[electors_with_split_johnson_dropped]]</f>
        <v>205</v>
      </c>
      <c r="AT30" s="30" t="str">
        <f>IF(AND(Table1[[#This Row],[in_play_stein]],Table1[[#This Row],[electors_with_split_stein]]&gt;=270),Table1[[#This Row],[stein_split_needed_pure]],"")</f>
        <v/>
      </c>
      <c r="AU30" s="45" t="str">
        <f>IF(AND(Table1[[#This Row],[in_play_johnson]],Table1[[#This Row],[electors_with_split_johnson]]&gt;=270),Table1[[#This Row],[johnson_split_needed_pure]],"")</f>
        <v/>
      </c>
      <c r="AV3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0" s="16">
        <f>Table1[[#This Row],[adjusted_electors_trump]]+Table1[[#This Row],[adjusted_electors_clinton]]-Table1[[#This Row],[electoral_votes]]</f>
        <v>0</v>
      </c>
      <c r="BC30"/>
      <c r="BE30"/>
      <c r="BF30"/>
    </row>
    <row r="31" spans="2:58">
      <c r="B31" s="3" t="s">
        <v>18</v>
      </c>
      <c r="C31" s="7">
        <v>7</v>
      </c>
      <c r="D31" s="13">
        <v>884432</v>
      </c>
      <c r="E31" s="13">
        <v>668266</v>
      </c>
      <c r="F31" s="13">
        <v>48051</v>
      </c>
      <c r="G31" s="13">
        <v>22793</v>
      </c>
      <c r="H31" s="27">
        <f>ROW()-ROW(Table1[[#Headers],[index]])</f>
        <v>7</v>
      </c>
      <c r="I31" s="12">
        <f>Table1[[#This Row],[orig_vote_clinton]]-Table1[[#This Row],[orig_vote_trump]]</f>
        <v>216166</v>
      </c>
      <c r="J31" s="12">
        <f>IF(Table1[[#This Row],[orig_spread]]&gt;0,Table1[[#This Row],[electoral_votes]],0)</f>
        <v>7</v>
      </c>
      <c r="K31" s="12">
        <f>IF(Table1[[#This Row],[orig_spread]]&lt;0,Table1[[#This Row],[electoral_votes]],0)</f>
        <v>0</v>
      </c>
      <c r="L31" s="12">
        <f>pct_stein_to_clinton*Table1[[#This Row],[orig_vote_stein]]</f>
        <v>11396.5</v>
      </c>
      <c r="M31" s="12">
        <f>pct_stein_to_trump*Table1[[#This Row],[orig_vote_stein]]</f>
        <v>11396.5</v>
      </c>
      <c r="N31" s="12">
        <f>pct_johnson_to_clinton*Table1[[#This Row],[orig_vote_johnson]]</f>
        <v>24025.5</v>
      </c>
      <c r="O31" s="12">
        <f>pct_johnson_to_trump*Table1[[#This Row],[orig_vote_johnson]]</f>
        <v>24025.5</v>
      </c>
      <c r="P31" s="12">
        <f>Table1[[#This Row],[orig_vote_clinton]]+Table1[[#This Row],[stein_votes_to_clinton]]</f>
        <v>895828.5</v>
      </c>
      <c r="Q31" s="12">
        <f>Table1[[#This Row],[orig_vote_trump]]+Table1[[#This Row],[stein_votes_to_trump]]</f>
        <v>679662.5</v>
      </c>
      <c r="R31" s="12">
        <f>Table1[[#This Row],[orig_vote_clinton]]+Table1[[#This Row],[johnson_votes_to_clinton]]</f>
        <v>908457.5</v>
      </c>
      <c r="S31" s="12">
        <f>Table1[[#This Row],[orig_vote_trump]]+Table1[[#This Row],[johnson_votes_to_trump]]</f>
        <v>692291.5</v>
      </c>
      <c r="T31" s="11">
        <f>Table1[[#This Row],[orig_vote_clinton]]+Table1[[#This Row],[stein_votes_to_clinton]]+Table1[[#This Row],[johnson_votes_to_clinton]]</f>
        <v>919854</v>
      </c>
      <c r="U31" s="11">
        <f>Table1[[#This Row],[orig_vote_trump]]+Table1[[#This Row],[stein_votes_to_trump]]+Table1[[#This Row],[johnson_votes_to_trump]]</f>
        <v>703688</v>
      </c>
      <c r="V31" s="11">
        <f>Table1[[#This Row],[adjusted_vote_clinton_with_stein_only]]-Table1[[#This Row],[adjusted_vote_trump_with_stein_only]]</f>
        <v>216166</v>
      </c>
      <c r="W31" s="11">
        <f>Table1[[#This Row],[adjusted_vote_clinton_with_johnson_only]]-Table1[[#This Row],[adjusted_vote_trump_with_johnson_only]]</f>
        <v>216166</v>
      </c>
      <c r="X31" s="12">
        <f>Table1[[#This Row],[adjusted_vote_clinton]]-Table1[[#This Row],[adjusted_vote_trump]]</f>
        <v>216166</v>
      </c>
      <c r="Y31" s="12">
        <f>IF(Table1[[#This Row],[adjusted_spread_with_stein_only]]&gt;0,Table1[[#This Row],[electoral_votes]],0)</f>
        <v>7</v>
      </c>
      <c r="Z31" s="12">
        <f>IF(Table1[[#This Row],[adjusted_spread_with_johnson_only]]&gt;0,Table1[[#This Row],[electoral_votes]],0)</f>
        <v>7</v>
      </c>
      <c r="AA31" s="11">
        <f>IF(Table1[[#This Row],[adjusted_spread]]&gt;0,Table1[[#This Row],[electoral_votes]],0)</f>
        <v>7</v>
      </c>
      <c r="AB31" s="12">
        <f>IF(Table1[[#This Row],[adjusted_spread]]&lt;0,Table1[[#This Row],[electoral_votes]],0)</f>
        <v>0</v>
      </c>
      <c r="AC31" s="12" t="str">
        <f>IF(Table1[[#This Row],[orig_spread]]&lt;0,"Trump",IF(Table1[[#This Row],[orig_spread]]&gt;0,"Clinton",""))</f>
        <v>Clinton</v>
      </c>
      <c r="AD31" s="12" t="str">
        <f>IF(Table1[[#This Row],[adjusted_spread]]&lt;0,"Trump",IF(Table1[[#This Row],[adjusted_spread]]&gt;0,"Clinton",""))</f>
        <v>Clinton</v>
      </c>
      <c r="AE31" s="11" t="b">
        <f>AND(Table1[[#This Row],[orig_outcome]]="Trump",Table1[[#This Row],[adjusted_outcome]]="Clinton")</f>
        <v>0</v>
      </c>
      <c r="AF31" s="11" t="b">
        <f>AND(Table1[[#This Row],[orig_outcome]]="Clinton",Table1[[#This Row],[adjusted_outcome]]="Trump")</f>
        <v>0</v>
      </c>
      <c r="AG31" s="11" t="str">
        <f>IF(Table1[[#This Row],[index]]=1,IF(Table1[[#This Row],[pickup_clinton]],Table1[[#This Row],[State]],""),IF(Table1[[#This Row],[pickup_clinton]],CONCATENATE(AG30,IF(AG30="","",","),Table1[[#This Row],[State]]),AG30))</f>
        <v/>
      </c>
      <c r="AH31" s="11" t="str">
        <f>IF(Table1[[#This Row],[index]]=1,IF(Table1[[#This Row],[pickup_trump]],Table1[[#This Row],[State]],""),IF(Table1[[#This Row],[pickup_trump]],CONCATENATE(AH30,IF(W19="","",","),Table1[[#This Row],[State]]),AH30))</f>
        <v/>
      </c>
      <c r="AI31" s="30">
        <f>IF(Table1[[#This Row],[orig_vote_stein]]=0,"",(1-Table1[[#This Row],[adjusted_spread_with_johnson_only]]/Table1[[#This Row],[orig_vote_stein]])/2)</f>
        <v>-4.24193831439477</v>
      </c>
      <c r="AJ31" s="30">
        <f>(1-Table1[[#This Row],[adjusted_spread_with_stein_only]]/Table1[[#This Row],[orig_vote_johnson]])/2</f>
        <v>-1.7493392437202138</v>
      </c>
      <c r="AK31" s="30" t="b">
        <f>AND(Table1[[#This Row],[stein_split_needed_pure]]&gt;=0,Table1[[#This Row],[stein_split_needed_pure]]&lt;=1)</f>
        <v>0</v>
      </c>
      <c r="AL31" s="30" t="b">
        <f>AND(Table1[[#This Row],[johnson_split_needed_pure]]&gt;=0,Table1[[#This Row],[johnson_split_needed_pure]]&lt;=1)</f>
        <v>0</v>
      </c>
      <c r="AM31" s="30" t="b">
        <f>OR(Table1[[#This Row],[in_play_stein]],Table1[[#This Row],[in_play_johnson]])</f>
        <v>0</v>
      </c>
      <c r="AN31" s="51">
        <f t="array" ref="AN3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1" s="51">
        <f t="array" ref="AO3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1" s="51">
        <f t="array" ref="AP3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1" s="51">
        <f t="array" ref="AQ3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1" s="44">
        <f>adjusted_electors_clinton_with_johnson_only+Table1[[#This Row],[electors_with_split_stein_added]]+Table1[[#This Row],[electors_with_split_stein_dropped]]</f>
        <v>233</v>
      </c>
      <c r="AS31" s="44">
        <f>adjusted_electors_clinton_with_stein_only+Table1[[#This Row],[electors_with_split_johnson_added]]+Table1[[#This Row],[electors_with_split_johnson_dropped]]</f>
        <v>233</v>
      </c>
      <c r="AT31" s="30" t="str">
        <f>IF(AND(Table1[[#This Row],[in_play_stein]],Table1[[#This Row],[electors_with_split_stein]]&gt;=270),Table1[[#This Row],[stein_split_needed_pure]],"")</f>
        <v/>
      </c>
      <c r="AU31" s="45" t="str">
        <f>IF(AND(Table1[[#This Row],[in_play_johnson]],Table1[[#This Row],[electors_with_split_johnson]]&gt;=270),Table1[[#This Row],[johnson_split_needed_pure]],"")</f>
        <v/>
      </c>
      <c r="AV3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1" s="16">
        <f>Table1[[#This Row],[adjusted_electors_trump]]+Table1[[#This Row],[adjusted_electors_clinton]]-Table1[[#This Row],[electoral_votes]]</f>
        <v>0</v>
      </c>
      <c r="BC31"/>
      <c r="BE31"/>
      <c r="BF31"/>
    </row>
    <row r="32" spans="2:58">
      <c r="B32" s="3" t="s">
        <v>56</v>
      </c>
      <c r="C32" s="7">
        <v>3</v>
      </c>
      <c r="D32" s="13">
        <v>260223</v>
      </c>
      <c r="E32" s="13">
        <v>11553</v>
      </c>
      <c r="F32" s="13">
        <v>4501</v>
      </c>
      <c r="G32" s="13">
        <v>3995</v>
      </c>
      <c r="H32" s="27">
        <f>ROW()-ROW(Table1[[#Headers],[index]])</f>
        <v>8</v>
      </c>
      <c r="I32" s="12">
        <f>Table1[[#This Row],[orig_vote_clinton]]-Table1[[#This Row],[orig_vote_trump]]</f>
        <v>248670</v>
      </c>
      <c r="J32" s="12">
        <f>IF(Table1[[#This Row],[orig_spread]]&gt;0,Table1[[#This Row],[electoral_votes]],0)</f>
        <v>3</v>
      </c>
      <c r="K32" s="12">
        <f>IF(Table1[[#This Row],[orig_spread]]&lt;0,Table1[[#This Row],[electoral_votes]],0)</f>
        <v>0</v>
      </c>
      <c r="L32" s="12">
        <f>pct_stein_to_clinton*Table1[[#This Row],[orig_vote_stein]]</f>
        <v>1997.5</v>
      </c>
      <c r="M32" s="12">
        <f>pct_stein_to_trump*Table1[[#This Row],[orig_vote_stein]]</f>
        <v>1997.5</v>
      </c>
      <c r="N32" s="12">
        <f>pct_johnson_to_clinton*Table1[[#This Row],[orig_vote_johnson]]</f>
        <v>2250.5</v>
      </c>
      <c r="O32" s="12">
        <f>pct_johnson_to_trump*Table1[[#This Row],[orig_vote_johnson]]</f>
        <v>2250.5</v>
      </c>
      <c r="P32" s="12">
        <f>Table1[[#This Row],[orig_vote_clinton]]+Table1[[#This Row],[stein_votes_to_clinton]]</f>
        <v>262220.5</v>
      </c>
      <c r="Q32" s="12">
        <f>Table1[[#This Row],[orig_vote_trump]]+Table1[[#This Row],[stein_votes_to_trump]]</f>
        <v>13550.5</v>
      </c>
      <c r="R32" s="12">
        <f>Table1[[#This Row],[orig_vote_clinton]]+Table1[[#This Row],[johnson_votes_to_clinton]]</f>
        <v>262473.5</v>
      </c>
      <c r="S32" s="12">
        <f>Table1[[#This Row],[orig_vote_trump]]+Table1[[#This Row],[johnson_votes_to_trump]]</f>
        <v>13803.5</v>
      </c>
      <c r="T32" s="11">
        <f>Table1[[#This Row],[orig_vote_clinton]]+Table1[[#This Row],[stein_votes_to_clinton]]+Table1[[#This Row],[johnson_votes_to_clinton]]</f>
        <v>264471</v>
      </c>
      <c r="U32" s="11">
        <f>Table1[[#This Row],[orig_vote_trump]]+Table1[[#This Row],[stein_votes_to_trump]]+Table1[[#This Row],[johnson_votes_to_trump]]</f>
        <v>15801</v>
      </c>
      <c r="V32" s="11">
        <f>Table1[[#This Row],[adjusted_vote_clinton_with_stein_only]]-Table1[[#This Row],[adjusted_vote_trump_with_stein_only]]</f>
        <v>248670</v>
      </c>
      <c r="W32" s="11">
        <f>Table1[[#This Row],[adjusted_vote_clinton_with_johnson_only]]-Table1[[#This Row],[adjusted_vote_trump_with_johnson_only]]</f>
        <v>248670</v>
      </c>
      <c r="X32" s="12">
        <f>Table1[[#This Row],[adjusted_vote_clinton]]-Table1[[#This Row],[adjusted_vote_trump]]</f>
        <v>248670</v>
      </c>
      <c r="Y32" s="12">
        <f>IF(Table1[[#This Row],[adjusted_spread_with_stein_only]]&gt;0,Table1[[#This Row],[electoral_votes]],0)</f>
        <v>3</v>
      </c>
      <c r="Z32" s="12">
        <f>IF(Table1[[#This Row],[adjusted_spread_with_johnson_only]]&gt;0,Table1[[#This Row],[electoral_votes]],0)</f>
        <v>3</v>
      </c>
      <c r="AA32" s="11">
        <f>IF(Table1[[#This Row],[adjusted_spread]]&gt;0,Table1[[#This Row],[electoral_votes]],0)</f>
        <v>3</v>
      </c>
      <c r="AB32" s="12">
        <f>IF(Table1[[#This Row],[adjusted_spread]]&lt;0,Table1[[#This Row],[electoral_votes]],0)</f>
        <v>0</v>
      </c>
      <c r="AC32" s="12" t="str">
        <f>IF(Table1[[#This Row],[orig_spread]]&lt;0,"Trump",IF(Table1[[#This Row],[orig_spread]]&gt;0,"Clinton",""))</f>
        <v>Clinton</v>
      </c>
      <c r="AD32" s="12" t="str">
        <f>IF(Table1[[#This Row],[adjusted_spread]]&lt;0,"Trump",IF(Table1[[#This Row],[adjusted_spread]]&gt;0,"Clinton",""))</f>
        <v>Clinton</v>
      </c>
      <c r="AE32" s="11" t="b">
        <f>AND(Table1[[#This Row],[orig_outcome]]="Trump",Table1[[#This Row],[adjusted_outcome]]="Clinton")</f>
        <v>0</v>
      </c>
      <c r="AF32" s="11" t="b">
        <f>AND(Table1[[#This Row],[orig_outcome]]="Clinton",Table1[[#This Row],[adjusted_outcome]]="Trump")</f>
        <v>0</v>
      </c>
      <c r="AG32" s="11" t="str">
        <f>IF(Table1[[#This Row],[index]]=1,IF(Table1[[#This Row],[pickup_clinton]],Table1[[#This Row],[State]],""),IF(Table1[[#This Row],[pickup_clinton]],CONCATENATE(AG31,IF(AG31="","",","),Table1[[#This Row],[State]]),AG31))</f>
        <v/>
      </c>
      <c r="AH32" s="11" t="str">
        <f>IF(Table1[[#This Row],[index]]=1,IF(Table1[[#This Row],[pickup_trump]],Table1[[#This Row],[State]],""),IF(Table1[[#This Row],[pickup_trump]],CONCATENATE(AH31,IF(W20="","",","),Table1[[#This Row],[State]]),AH31))</f>
        <v/>
      </c>
      <c r="AI32" s="30">
        <f>IF(Table1[[#This Row],[orig_vote_stein]]=0,"",(1-Table1[[#This Row],[adjusted_spread_with_johnson_only]]/Table1[[#This Row],[orig_vote_stein]])/2)</f>
        <v>-30.622653316645806</v>
      </c>
      <c r="AJ32" s="30">
        <f>(1-Table1[[#This Row],[adjusted_spread_with_stein_only]]/Table1[[#This Row],[orig_vote_johnson]])/2</f>
        <v>-27.123861364141302</v>
      </c>
      <c r="AK32" s="30" t="b">
        <f>AND(Table1[[#This Row],[stein_split_needed_pure]]&gt;=0,Table1[[#This Row],[stein_split_needed_pure]]&lt;=1)</f>
        <v>0</v>
      </c>
      <c r="AL32" s="30" t="b">
        <f>AND(Table1[[#This Row],[johnson_split_needed_pure]]&gt;=0,Table1[[#This Row],[johnson_split_needed_pure]]&lt;=1)</f>
        <v>0</v>
      </c>
      <c r="AM32" s="30" t="b">
        <f>OR(Table1[[#This Row],[in_play_stein]],Table1[[#This Row],[in_play_johnson]])</f>
        <v>0</v>
      </c>
      <c r="AN32" s="51">
        <f t="array" ref="AN3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2" s="51">
        <f t="array" ref="AO3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2" s="51">
        <f t="array" ref="AP3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2" s="51">
        <f t="array" ref="AQ3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2" s="44">
        <f>adjusted_electors_clinton_with_johnson_only+Table1[[#This Row],[electors_with_split_stein_added]]+Table1[[#This Row],[electors_with_split_stein_dropped]]</f>
        <v>233</v>
      </c>
      <c r="AS32" s="44">
        <f>adjusted_electors_clinton_with_stein_only+Table1[[#This Row],[electors_with_split_johnson_added]]+Table1[[#This Row],[electors_with_split_johnson_dropped]]</f>
        <v>233</v>
      </c>
      <c r="AT32" s="30" t="str">
        <f>IF(AND(Table1[[#This Row],[in_play_stein]],Table1[[#This Row],[electors_with_split_stein]]&gt;=270),Table1[[#This Row],[stein_split_needed_pure]],"")</f>
        <v/>
      </c>
      <c r="AU32" s="45" t="str">
        <f>IF(AND(Table1[[#This Row],[in_play_johnson]],Table1[[#This Row],[electors_with_split_johnson]]&gt;=270),Table1[[#This Row],[johnson_split_needed_pure]],"")</f>
        <v/>
      </c>
      <c r="AV3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2" s="16">
        <f>Table1[[#This Row],[adjusted_electors_trump]]+Table1[[#This Row],[adjusted_electors_clinton]]-Table1[[#This Row],[electoral_votes]]</f>
        <v>0</v>
      </c>
      <c r="BC32"/>
      <c r="BE32"/>
      <c r="BF32"/>
    </row>
    <row r="33" spans="2:58">
      <c r="B33" s="3" t="s">
        <v>19</v>
      </c>
      <c r="C33" s="7">
        <v>3</v>
      </c>
      <c r="D33" s="13">
        <v>235581</v>
      </c>
      <c r="E33" s="13">
        <v>185103</v>
      </c>
      <c r="F33" s="13">
        <v>14751</v>
      </c>
      <c r="G33" s="13">
        <v>6100</v>
      </c>
      <c r="H33" s="27">
        <f>ROW()-ROW(Table1[[#Headers],[index]])</f>
        <v>9</v>
      </c>
      <c r="I33" s="12">
        <f>Table1[[#This Row],[orig_vote_clinton]]-Table1[[#This Row],[orig_vote_trump]]</f>
        <v>50478</v>
      </c>
      <c r="J33" s="12">
        <f>IF(Table1[[#This Row],[orig_spread]]&gt;0,Table1[[#This Row],[electoral_votes]],0)</f>
        <v>3</v>
      </c>
      <c r="K33" s="12">
        <f>IF(Table1[[#This Row],[orig_spread]]&lt;0,Table1[[#This Row],[electoral_votes]],0)</f>
        <v>0</v>
      </c>
      <c r="L33" s="12">
        <f>pct_stein_to_clinton*Table1[[#This Row],[orig_vote_stein]]</f>
        <v>3050</v>
      </c>
      <c r="M33" s="12">
        <f>pct_stein_to_trump*Table1[[#This Row],[orig_vote_stein]]</f>
        <v>3050</v>
      </c>
      <c r="N33" s="12">
        <f>pct_johnson_to_clinton*Table1[[#This Row],[orig_vote_johnson]]</f>
        <v>7375.5</v>
      </c>
      <c r="O33" s="12">
        <f>pct_johnson_to_trump*Table1[[#This Row],[orig_vote_johnson]]</f>
        <v>7375.5</v>
      </c>
      <c r="P33" s="12">
        <f>Table1[[#This Row],[orig_vote_clinton]]+Table1[[#This Row],[stein_votes_to_clinton]]</f>
        <v>238631</v>
      </c>
      <c r="Q33" s="12">
        <f>Table1[[#This Row],[orig_vote_trump]]+Table1[[#This Row],[stein_votes_to_trump]]</f>
        <v>188153</v>
      </c>
      <c r="R33" s="12">
        <f>Table1[[#This Row],[orig_vote_clinton]]+Table1[[#This Row],[johnson_votes_to_clinton]]</f>
        <v>242956.5</v>
      </c>
      <c r="S33" s="12">
        <f>Table1[[#This Row],[orig_vote_trump]]+Table1[[#This Row],[johnson_votes_to_trump]]</f>
        <v>192478.5</v>
      </c>
      <c r="T33" s="11">
        <f>Table1[[#This Row],[orig_vote_clinton]]+Table1[[#This Row],[stein_votes_to_clinton]]+Table1[[#This Row],[johnson_votes_to_clinton]]</f>
        <v>246006.5</v>
      </c>
      <c r="U33" s="11">
        <f>Table1[[#This Row],[orig_vote_trump]]+Table1[[#This Row],[stein_votes_to_trump]]+Table1[[#This Row],[johnson_votes_to_trump]]</f>
        <v>195528.5</v>
      </c>
      <c r="V33" s="11">
        <f>Table1[[#This Row],[adjusted_vote_clinton_with_stein_only]]-Table1[[#This Row],[adjusted_vote_trump_with_stein_only]]</f>
        <v>50478</v>
      </c>
      <c r="W33" s="11">
        <f>Table1[[#This Row],[adjusted_vote_clinton_with_johnson_only]]-Table1[[#This Row],[adjusted_vote_trump_with_johnson_only]]</f>
        <v>50478</v>
      </c>
      <c r="X33" s="12">
        <f>Table1[[#This Row],[adjusted_vote_clinton]]-Table1[[#This Row],[adjusted_vote_trump]]</f>
        <v>50478</v>
      </c>
      <c r="Y33" s="12">
        <f>IF(Table1[[#This Row],[adjusted_spread_with_stein_only]]&gt;0,Table1[[#This Row],[electoral_votes]],0)</f>
        <v>3</v>
      </c>
      <c r="Z33" s="12">
        <f>IF(Table1[[#This Row],[adjusted_spread_with_johnson_only]]&gt;0,Table1[[#This Row],[electoral_votes]],0)</f>
        <v>3</v>
      </c>
      <c r="AA33" s="11">
        <f>IF(Table1[[#This Row],[adjusted_spread]]&gt;0,Table1[[#This Row],[electoral_votes]],0)</f>
        <v>3</v>
      </c>
      <c r="AB33" s="12">
        <f>IF(Table1[[#This Row],[adjusted_spread]]&lt;0,Table1[[#This Row],[electoral_votes]],0)</f>
        <v>0</v>
      </c>
      <c r="AC33" s="12" t="str">
        <f>IF(Table1[[#This Row],[orig_spread]]&lt;0,"Trump",IF(Table1[[#This Row],[orig_spread]]&gt;0,"Clinton",""))</f>
        <v>Clinton</v>
      </c>
      <c r="AD33" s="12" t="str">
        <f>IF(Table1[[#This Row],[adjusted_spread]]&lt;0,"Trump",IF(Table1[[#This Row],[adjusted_spread]]&gt;0,"Clinton",""))</f>
        <v>Clinton</v>
      </c>
      <c r="AE33" s="11" t="b">
        <f>AND(Table1[[#This Row],[orig_outcome]]="Trump",Table1[[#This Row],[adjusted_outcome]]="Clinton")</f>
        <v>0</v>
      </c>
      <c r="AF33" s="11" t="b">
        <f>AND(Table1[[#This Row],[orig_outcome]]="Clinton",Table1[[#This Row],[adjusted_outcome]]="Trump")</f>
        <v>0</v>
      </c>
      <c r="AG33" s="11" t="str">
        <f>IF(Table1[[#This Row],[index]]=1,IF(Table1[[#This Row],[pickup_clinton]],Table1[[#This Row],[State]],""),IF(Table1[[#This Row],[pickup_clinton]],CONCATENATE(AG32,IF(AG32="","",","),Table1[[#This Row],[State]]),AG32))</f>
        <v/>
      </c>
      <c r="AH33" s="11" t="str">
        <f>IF(Table1[[#This Row],[index]]=1,IF(Table1[[#This Row],[pickup_trump]],Table1[[#This Row],[State]],""),IF(Table1[[#This Row],[pickup_trump]],CONCATENATE(AH32,IF(W21="","",","),Table1[[#This Row],[State]]),AH32))</f>
        <v/>
      </c>
      <c r="AI33" s="30">
        <f>IF(Table1[[#This Row],[orig_vote_stein]]=0,"",(1-Table1[[#This Row],[adjusted_spread_with_johnson_only]]/Table1[[#This Row],[orig_vote_stein]])/2)</f>
        <v>-3.6375409836065575</v>
      </c>
      <c r="AJ33" s="30">
        <f>(1-Table1[[#This Row],[adjusted_spread_with_stein_only]]/Table1[[#This Row],[orig_vote_johnson]])/2</f>
        <v>-1.2110026438885499</v>
      </c>
      <c r="AK33" s="30" t="b">
        <f>AND(Table1[[#This Row],[stein_split_needed_pure]]&gt;=0,Table1[[#This Row],[stein_split_needed_pure]]&lt;=1)</f>
        <v>0</v>
      </c>
      <c r="AL33" s="30" t="b">
        <f>AND(Table1[[#This Row],[johnson_split_needed_pure]]&gt;=0,Table1[[#This Row],[johnson_split_needed_pure]]&lt;=1)</f>
        <v>0</v>
      </c>
      <c r="AM33" s="30" t="b">
        <f>OR(Table1[[#This Row],[in_play_stein]],Table1[[#This Row],[in_play_johnson]])</f>
        <v>0</v>
      </c>
      <c r="AN33" s="51">
        <f t="array" ref="AN3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3" s="51">
        <f t="array" ref="AO3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3" s="51">
        <f t="array" ref="AP3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3" s="51">
        <f t="array" ref="AQ3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3" s="44">
        <f>adjusted_electors_clinton_with_johnson_only+Table1[[#This Row],[electors_with_split_stein_added]]+Table1[[#This Row],[electors_with_split_stein_dropped]]</f>
        <v>233</v>
      </c>
      <c r="AS33" s="44">
        <f>adjusted_electors_clinton_with_stein_only+Table1[[#This Row],[electors_with_split_johnson_added]]+Table1[[#This Row],[electors_with_split_johnson_dropped]]</f>
        <v>233</v>
      </c>
      <c r="AT33" s="30" t="str">
        <f>IF(AND(Table1[[#This Row],[in_play_stein]],Table1[[#This Row],[electors_with_split_stein]]&gt;=270),Table1[[#This Row],[stein_split_needed_pure]],"")</f>
        <v/>
      </c>
      <c r="AU33" s="45" t="str">
        <f>IF(AND(Table1[[#This Row],[in_play_johnson]],Table1[[#This Row],[electors_with_split_johnson]]&gt;=270),Table1[[#This Row],[johnson_split_needed_pure]],"")</f>
        <v/>
      </c>
      <c r="AV3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3" s="16">
        <f>Table1[[#This Row],[adjusted_electors_trump]]+Table1[[#This Row],[adjusted_electors_clinton]]-Table1[[#This Row],[electoral_votes]]</f>
        <v>0</v>
      </c>
      <c r="BC33"/>
      <c r="BE33"/>
      <c r="BF33"/>
    </row>
    <row r="34" spans="2:58">
      <c r="B34" s="3" t="s">
        <v>3</v>
      </c>
      <c r="C34" s="4">
        <v>29</v>
      </c>
      <c r="D34" s="13">
        <v>4485745</v>
      </c>
      <c r="E34" s="13">
        <v>4605515</v>
      </c>
      <c r="F34" s="13">
        <v>206007</v>
      </c>
      <c r="G34" s="13">
        <v>64019</v>
      </c>
      <c r="H34" s="28">
        <f>ROW()-ROW(Table1[[#Headers],[index]])</f>
        <v>10</v>
      </c>
      <c r="I34" s="12">
        <f>Table1[[#This Row],[orig_vote_clinton]]-Table1[[#This Row],[orig_vote_trump]]</f>
        <v>-119770</v>
      </c>
      <c r="J34" s="12">
        <f>IF(Table1[[#This Row],[orig_spread]]&gt;0,Table1[[#This Row],[electoral_votes]],0)</f>
        <v>0</v>
      </c>
      <c r="K34" s="12">
        <f>IF(Table1[[#This Row],[orig_spread]]&lt;0,Table1[[#This Row],[electoral_votes]],0)</f>
        <v>29</v>
      </c>
      <c r="L34" s="12">
        <f>pct_stein_to_clinton*Table1[[#This Row],[orig_vote_stein]]</f>
        <v>32009.5</v>
      </c>
      <c r="M34" s="12">
        <f>pct_stein_to_trump*Table1[[#This Row],[orig_vote_stein]]</f>
        <v>32009.5</v>
      </c>
      <c r="N34" s="12">
        <f>pct_johnson_to_clinton*Table1[[#This Row],[orig_vote_johnson]]</f>
        <v>103003.5</v>
      </c>
      <c r="O34" s="12">
        <f>pct_johnson_to_trump*Table1[[#This Row],[orig_vote_johnson]]</f>
        <v>103003.5</v>
      </c>
      <c r="P34" s="12">
        <f>Table1[[#This Row],[orig_vote_clinton]]+Table1[[#This Row],[stein_votes_to_clinton]]</f>
        <v>4517754.5</v>
      </c>
      <c r="Q34" s="12">
        <f>Table1[[#This Row],[orig_vote_trump]]+Table1[[#This Row],[stein_votes_to_trump]]</f>
        <v>4637524.5</v>
      </c>
      <c r="R34" s="12">
        <f>Table1[[#This Row],[orig_vote_clinton]]+Table1[[#This Row],[johnson_votes_to_clinton]]</f>
        <v>4588748.5</v>
      </c>
      <c r="S34" s="12">
        <f>Table1[[#This Row],[orig_vote_trump]]+Table1[[#This Row],[johnson_votes_to_trump]]</f>
        <v>4708518.5</v>
      </c>
      <c r="T34" s="11">
        <f>Table1[[#This Row],[orig_vote_clinton]]+Table1[[#This Row],[stein_votes_to_clinton]]+Table1[[#This Row],[johnson_votes_to_clinton]]</f>
        <v>4620758</v>
      </c>
      <c r="U34" s="11">
        <f>Table1[[#This Row],[orig_vote_trump]]+Table1[[#This Row],[stein_votes_to_trump]]+Table1[[#This Row],[johnson_votes_to_trump]]</f>
        <v>4740528</v>
      </c>
      <c r="V34" s="11">
        <f>Table1[[#This Row],[adjusted_vote_clinton_with_stein_only]]-Table1[[#This Row],[adjusted_vote_trump_with_stein_only]]</f>
        <v>-119770</v>
      </c>
      <c r="W34" s="11">
        <f>Table1[[#This Row],[adjusted_vote_clinton_with_johnson_only]]-Table1[[#This Row],[adjusted_vote_trump_with_johnson_only]]</f>
        <v>-119770</v>
      </c>
      <c r="X34" s="12">
        <f>Table1[[#This Row],[adjusted_vote_clinton]]-Table1[[#This Row],[adjusted_vote_trump]]</f>
        <v>-119770</v>
      </c>
      <c r="Y34" s="12">
        <f>IF(Table1[[#This Row],[adjusted_spread_with_stein_only]]&gt;0,Table1[[#This Row],[electoral_votes]],0)</f>
        <v>0</v>
      </c>
      <c r="Z34" s="12">
        <f>IF(Table1[[#This Row],[adjusted_spread_with_johnson_only]]&gt;0,Table1[[#This Row],[electoral_votes]],0)</f>
        <v>0</v>
      </c>
      <c r="AA34" s="11">
        <f>IF(Table1[[#This Row],[adjusted_spread]]&gt;0,Table1[[#This Row],[electoral_votes]],0)</f>
        <v>0</v>
      </c>
      <c r="AB34" s="12">
        <f>IF(Table1[[#This Row],[adjusted_spread]]&lt;0,Table1[[#This Row],[electoral_votes]],0)</f>
        <v>29</v>
      </c>
      <c r="AC34" s="12" t="str">
        <f>IF(Table1[[#This Row],[orig_spread]]&lt;0,"Trump",IF(Table1[[#This Row],[orig_spread]]&gt;0,"Clinton",""))</f>
        <v>Trump</v>
      </c>
      <c r="AD34" s="12" t="str">
        <f>IF(Table1[[#This Row],[adjusted_spread]]&lt;0,"Trump",IF(Table1[[#This Row],[adjusted_spread]]&gt;0,"Clinton",""))</f>
        <v>Trump</v>
      </c>
      <c r="AE34" s="11" t="b">
        <f>AND(Table1[[#This Row],[orig_outcome]]="Trump",Table1[[#This Row],[adjusted_outcome]]="Clinton")</f>
        <v>0</v>
      </c>
      <c r="AF34" s="11" t="b">
        <f>AND(Table1[[#This Row],[orig_outcome]]="Clinton",Table1[[#This Row],[adjusted_outcome]]="Trump")</f>
        <v>0</v>
      </c>
      <c r="AG34" s="11" t="str">
        <f>IF(Table1[[#This Row],[index]]=1,IF(Table1[[#This Row],[pickup_clinton]],Table1[[#This Row],[State]],""),IF(Table1[[#This Row],[pickup_clinton]],CONCATENATE(AG33,IF(AG33="","",","),Table1[[#This Row],[State]]),AG33))</f>
        <v/>
      </c>
      <c r="AH34" s="11" t="str">
        <f>IF(Table1[[#This Row],[index]]=1,IF(Table1[[#This Row],[pickup_trump]],Table1[[#This Row],[State]],""),IF(Table1[[#This Row],[pickup_trump]],CONCATENATE(AH33,IF(W23="","",","),Table1[[#This Row],[State]]),AH33))</f>
        <v/>
      </c>
      <c r="AI34" s="30">
        <f>IF(Table1[[#This Row],[orig_vote_stein]]=0,"",(1-Table1[[#This Row],[adjusted_spread_with_johnson_only]]/Table1[[#This Row],[orig_vote_stein]])/2)</f>
        <v>1.4354254205782659</v>
      </c>
      <c r="AJ34" s="30">
        <f>(1-Table1[[#This Row],[adjusted_spread_with_stein_only]]/Table1[[#This Row],[orig_vote_johnson]])/2</f>
        <v>0.790694005543501</v>
      </c>
      <c r="AK34" s="30" t="b">
        <f>AND(Table1[[#This Row],[stein_split_needed_pure]]&gt;=0,Table1[[#This Row],[stein_split_needed_pure]]&lt;=1)</f>
        <v>0</v>
      </c>
      <c r="AL34" s="30" t="b">
        <f>AND(Table1[[#This Row],[johnson_split_needed_pure]]&gt;=0,Table1[[#This Row],[johnson_split_needed_pure]]&lt;=1)</f>
        <v>1</v>
      </c>
      <c r="AM34" s="30" t="b">
        <f>OR(Table1[[#This Row],[in_play_stein]],Table1[[#This Row],[in_play_johnson]])</f>
        <v>1</v>
      </c>
      <c r="AN34" s="51">
        <f t="array" ref="AN3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4" s="51">
        <f t="array" ref="AO3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75</v>
      </c>
      <c r="AP34" s="51">
        <f t="array" ref="AP3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4" s="51">
        <f t="array" ref="AQ3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4" s="44">
        <f>adjusted_electors_clinton_with_johnson_only+Table1[[#This Row],[electors_with_split_stein_added]]+Table1[[#This Row],[electors_with_split_stein_dropped]]</f>
        <v>233</v>
      </c>
      <c r="AS34" s="44">
        <f>adjusted_electors_clinton_with_stein_only+Table1[[#This Row],[electors_with_split_johnson_added]]+Table1[[#This Row],[electors_with_split_johnson_dropped]]</f>
        <v>308</v>
      </c>
      <c r="AT34" s="30" t="str">
        <f>IF(AND(Table1[[#This Row],[in_play_stein]],Table1[[#This Row],[electors_with_split_stein]]&gt;=270),Table1[[#This Row],[stein_split_needed_pure]],"")</f>
        <v/>
      </c>
      <c r="AU34" s="45">
        <f>IF(AND(Table1[[#This Row],[in_play_johnson]],Table1[[#This Row],[electors_with_split_johnson]]&gt;=270),Table1[[#This Row],[johnson_split_needed_pure]],"")</f>
        <v>0.790694005543501</v>
      </c>
      <c r="AV3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4" s="16">
        <f>Table1[[#This Row],[adjusted_electors_trump]]+Table1[[#This Row],[adjusted_electors_clinton]]-Table1[[#This Row],[electoral_votes]]</f>
        <v>0</v>
      </c>
      <c r="BC34"/>
      <c r="BE34"/>
      <c r="BF34"/>
    </row>
    <row r="35" spans="2:58">
      <c r="B35" s="3" t="s">
        <v>20</v>
      </c>
      <c r="C35" s="7">
        <v>16</v>
      </c>
      <c r="D35" s="13">
        <v>1837300</v>
      </c>
      <c r="E35" s="13">
        <v>2068623</v>
      </c>
      <c r="F35" s="13">
        <v>123641</v>
      </c>
      <c r="G35" s="13">
        <v>0</v>
      </c>
      <c r="H35" s="28">
        <f>ROW()-ROW(Table1[[#Headers],[index]])</f>
        <v>11</v>
      </c>
      <c r="I35" s="12">
        <f>Table1[[#This Row],[orig_vote_clinton]]-Table1[[#This Row],[orig_vote_trump]]</f>
        <v>-231323</v>
      </c>
      <c r="J35" s="12">
        <f>IF(Table1[[#This Row],[orig_spread]]&gt;0,Table1[[#This Row],[electoral_votes]],0)</f>
        <v>0</v>
      </c>
      <c r="K35" s="12">
        <f>IF(Table1[[#This Row],[orig_spread]]&lt;0,Table1[[#This Row],[electoral_votes]],0)</f>
        <v>16</v>
      </c>
      <c r="L35" s="12">
        <f>pct_stein_to_clinton*Table1[[#This Row],[orig_vote_stein]]</f>
        <v>0</v>
      </c>
      <c r="M35" s="12">
        <f>pct_stein_to_trump*Table1[[#This Row],[orig_vote_stein]]</f>
        <v>0</v>
      </c>
      <c r="N35" s="12">
        <f>pct_johnson_to_clinton*Table1[[#This Row],[orig_vote_johnson]]</f>
        <v>61820.5</v>
      </c>
      <c r="O35" s="12">
        <f>pct_johnson_to_trump*Table1[[#This Row],[orig_vote_johnson]]</f>
        <v>61820.5</v>
      </c>
      <c r="P35" s="12">
        <f>Table1[[#This Row],[orig_vote_clinton]]+Table1[[#This Row],[stein_votes_to_clinton]]</f>
        <v>1837300</v>
      </c>
      <c r="Q35" s="12">
        <f>Table1[[#This Row],[orig_vote_trump]]+Table1[[#This Row],[stein_votes_to_trump]]</f>
        <v>2068623</v>
      </c>
      <c r="R35" s="12">
        <f>Table1[[#This Row],[orig_vote_clinton]]+Table1[[#This Row],[johnson_votes_to_clinton]]</f>
        <v>1899120.5</v>
      </c>
      <c r="S35" s="12">
        <f>Table1[[#This Row],[orig_vote_trump]]+Table1[[#This Row],[johnson_votes_to_trump]]</f>
        <v>2130443.5</v>
      </c>
      <c r="T35" s="11">
        <f>Table1[[#This Row],[orig_vote_clinton]]+Table1[[#This Row],[stein_votes_to_clinton]]+Table1[[#This Row],[johnson_votes_to_clinton]]</f>
        <v>1899120.5</v>
      </c>
      <c r="U35" s="11">
        <f>Table1[[#This Row],[orig_vote_trump]]+Table1[[#This Row],[stein_votes_to_trump]]+Table1[[#This Row],[johnson_votes_to_trump]]</f>
        <v>2130443.5</v>
      </c>
      <c r="V35" s="11">
        <f>Table1[[#This Row],[adjusted_vote_clinton_with_stein_only]]-Table1[[#This Row],[adjusted_vote_trump_with_stein_only]]</f>
        <v>-231323</v>
      </c>
      <c r="W35" s="11">
        <f>Table1[[#This Row],[adjusted_vote_clinton_with_johnson_only]]-Table1[[#This Row],[adjusted_vote_trump_with_johnson_only]]</f>
        <v>-231323</v>
      </c>
      <c r="X35" s="12">
        <f>Table1[[#This Row],[adjusted_vote_clinton]]-Table1[[#This Row],[adjusted_vote_trump]]</f>
        <v>-231323</v>
      </c>
      <c r="Y35" s="12">
        <f>IF(Table1[[#This Row],[adjusted_spread_with_stein_only]]&gt;0,Table1[[#This Row],[electoral_votes]],0)</f>
        <v>0</v>
      </c>
      <c r="Z35" s="12">
        <f>IF(Table1[[#This Row],[adjusted_spread_with_johnson_only]]&gt;0,Table1[[#This Row],[electoral_votes]],0)</f>
        <v>0</v>
      </c>
      <c r="AA35" s="11">
        <f>IF(Table1[[#This Row],[adjusted_spread]]&gt;0,Table1[[#This Row],[electoral_votes]],0)</f>
        <v>0</v>
      </c>
      <c r="AB35" s="12">
        <f>IF(Table1[[#This Row],[adjusted_spread]]&lt;0,Table1[[#This Row],[electoral_votes]],0)</f>
        <v>16</v>
      </c>
      <c r="AC35" s="12" t="str">
        <f>IF(Table1[[#This Row],[orig_spread]]&lt;0,"Trump",IF(Table1[[#This Row],[orig_spread]]&gt;0,"Clinton",""))</f>
        <v>Trump</v>
      </c>
      <c r="AD35" s="12" t="str">
        <f>IF(Table1[[#This Row],[adjusted_spread]]&lt;0,"Trump",IF(Table1[[#This Row],[adjusted_spread]]&gt;0,"Clinton",""))</f>
        <v>Trump</v>
      </c>
      <c r="AE35" s="11" t="b">
        <f>AND(Table1[[#This Row],[orig_outcome]]="Trump",Table1[[#This Row],[adjusted_outcome]]="Clinton")</f>
        <v>0</v>
      </c>
      <c r="AF35" s="11" t="b">
        <f>AND(Table1[[#This Row],[orig_outcome]]="Clinton",Table1[[#This Row],[adjusted_outcome]]="Trump")</f>
        <v>0</v>
      </c>
      <c r="AG35" s="11" t="str">
        <f>IF(Table1[[#This Row],[index]]=1,IF(Table1[[#This Row],[pickup_clinton]],Table1[[#This Row],[State]],""),IF(Table1[[#This Row],[pickup_clinton]],CONCATENATE(AG34,IF(AG34="","",","),Table1[[#This Row],[State]]),AG34))</f>
        <v/>
      </c>
      <c r="AH35" s="11" t="str">
        <f>IF(Table1[[#This Row],[index]]=1,IF(Table1[[#This Row],[pickup_trump]],Table1[[#This Row],[State]],""),IF(Table1[[#This Row],[pickup_trump]],CONCATENATE(AH34,IF(AH24="","",","),Table1[[#This Row],[State]]),AH34))</f>
        <v/>
      </c>
      <c r="AI35" s="30" t="str">
        <f>IF(Table1[[#This Row],[orig_vote_stein]]=0,"",(1-Table1[[#This Row],[adjusted_spread_with_johnson_only]]/Table1[[#This Row],[orig_vote_stein]])/2)</f>
        <v/>
      </c>
      <c r="AJ35" s="30">
        <f>(1-Table1[[#This Row],[adjusted_spread_with_stein_only]]/Table1[[#This Row],[orig_vote_johnson]])/2</f>
        <v>1.4354623466325895</v>
      </c>
      <c r="AK35" s="30" t="b">
        <f>AND(Table1[[#This Row],[stein_split_needed_pure]]&gt;=0,Table1[[#This Row],[stein_split_needed_pure]]&lt;=1)</f>
        <v>0</v>
      </c>
      <c r="AL35" s="30" t="b">
        <f>AND(Table1[[#This Row],[johnson_split_needed_pure]]&gt;=0,Table1[[#This Row],[johnson_split_needed_pure]]&lt;=1)</f>
        <v>0</v>
      </c>
      <c r="AM35" s="30" t="b">
        <f>OR(Table1[[#This Row],[in_play_stein]],Table1[[#This Row],[in_play_johnson]])</f>
        <v>0</v>
      </c>
      <c r="AN35" s="51">
        <f t="array" ref="AN3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5" s="51">
        <f t="array" ref="AO3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5" s="51">
        <f t="array" ref="AP3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5" s="51">
        <f t="array" ref="AQ3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5" s="44">
        <f>adjusted_electors_clinton_with_johnson_only+Table1[[#This Row],[electors_with_split_stein_added]]+Table1[[#This Row],[electors_with_split_stein_dropped]]</f>
        <v>233</v>
      </c>
      <c r="AS35" s="44">
        <f>adjusted_electors_clinton_with_stein_only+Table1[[#This Row],[electors_with_split_johnson_added]]+Table1[[#This Row],[electors_with_split_johnson_dropped]]</f>
        <v>233</v>
      </c>
      <c r="AT35" s="30" t="str">
        <f>IF(AND(Table1[[#This Row],[in_play_stein]],Table1[[#This Row],[electors_with_split_stein]]&gt;=270),Table1[[#This Row],[stein_split_needed_pure]],"")</f>
        <v/>
      </c>
      <c r="AU35" s="45" t="str">
        <f>IF(AND(Table1[[#This Row],[in_play_johnson]],Table1[[#This Row],[electors_with_split_johnson]]&gt;=270),Table1[[#This Row],[johnson_split_needed_pure]],"")</f>
        <v/>
      </c>
      <c r="AV35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5" s="16">
        <f>Table1[[#This Row],[adjusted_electors_trump]]+Table1[[#This Row],[adjusted_electors_clinton]]-Table1[[#This Row],[electoral_votes]]</f>
        <v>0</v>
      </c>
      <c r="BC35"/>
      <c r="BE35"/>
      <c r="BF35"/>
    </row>
    <row r="36" spans="2:58">
      <c r="B36" s="3" t="s">
        <v>21</v>
      </c>
      <c r="C36" s="7">
        <v>4</v>
      </c>
      <c r="D36" s="13">
        <v>266827</v>
      </c>
      <c r="E36" s="13">
        <v>128815</v>
      </c>
      <c r="F36" s="13">
        <v>15949</v>
      </c>
      <c r="G36" s="13">
        <v>12727</v>
      </c>
      <c r="H36" s="25">
        <f>ROW()-ROW(Table1[[#Headers],[index]])</f>
        <v>12</v>
      </c>
      <c r="I36" s="12">
        <f>Table1[[#This Row],[orig_vote_clinton]]-Table1[[#This Row],[orig_vote_trump]]</f>
        <v>138012</v>
      </c>
      <c r="J36" s="12">
        <f>IF(Table1[[#This Row],[orig_spread]]&gt;0,Table1[[#This Row],[electoral_votes]],0)</f>
        <v>4</v>
      </c>
      <c r="K36" s="12">
        <f>IF(Table1[[#This Row],[orig_spread]]&lt;0,Table1[[#This Row],[electoral_votes]],0)</f>
        <v>0</v>
      </c>
      <c r="L36" s="12">
        <f>pct_stein_to_clinton*Table1[[#This Row],[orig_vote_stein]]</f>
        <v>6363.5</v>
      </c>
      <c r="M36" s="12">
        <f>pct_stein_to_trump*Table1[[#This Row],[orig_vote_stein]]</f>
        <v>6363.5</v>
      </c>
      <c r="N36" s="12">
        <f>pct_johnson_to_clinton*Table1[[#This Row],[orig_vote_johnson]]</f>
        <v>7974.5</v>
      </c>
      <c r="O36" s="12">
        <f>pct_johnson_to_trump*Table1[[#This Row],[orig_vote_johnson]]</f>
        <v>7974.5</v>
      </c>
      <c r="P36" s="12">
        <f>Table1[[#This Row],[orig_vote_clinton]]+Table1[[#This Row],[stein_votes_to_clinton]]</f>
        <v>273190.5</v>
      </c>
      <c r="Q36" s="12">
        <f>Table1[[#This Row],[orig_vote_trump]]+Table1[[#This Row],[stein_votes_to_trump]]</f>
        <v>135178.5</v>
      </c>
      <c r="R36" s="12">
        <f>Table1[[#This Row],[orig_vote_clinton]]+Table1[[#This Row],[johnson_votes_to_clinton]]</f>
        <v>274801.5</v>
      </c>
      <c r="S36" s="12">
        <f>Table1[[#This Row],[orig_vote_trump]]+Table1[[#This Row],[johnson_votes_to_trump]]</f>
        <v>136789.5</v>
      </c>
      <c r="T36" s="11">
        <f>Table1[[#This Row],[orig_vote_clinton]]+Table1[[#This Row],[stein_votes_to_clinton]]+Table1[[#This Row],[johnson_votes_to_clinton]]</f>
        <v>281165</v>
      </c>
      <c r="U36" s="11">
        <f>Table1[[#This Row],[orig_vote_trump]]+Table1[[#This Row],[stein_votes_to_trump]]+Table1[[#This Row],[johnson_votes_to_trump]]</f>
        <v>143153</v>
      </c>
      <c r="V36" s="11">
        <f>Table1[[#This Row],[adjusted_vote_clinton_with_stein_only]]-Table1[[#This Row],[adjusted_vote_trump_with_stein_only]]</f>
        <v>138012</v>
      </c>
      <c r="W36" s="11">
        <f>Table1[[#This Row],[adjusted_vote_clinton_with_johnson_only]]-Table1[[#This Row],[adjusted_vote_trump_with_johnson_only]]</f>
        <v>138012</v>
      </c>
      <c r="X36" s="12">
        <f>Table1[[#This Row],[adjusted_vote_clinton]]-Table1[[#This Row],[adjusted_vote_trump]]</f>
        <v>138012</v>
      </c>
      <c r="Y36" s="12">
        <f>IF(Table1[[#This Row],[adjusted_spread_with_stein_only]]&gt;0,Table1[[#This Row],[electoral_votes]],0)</f>
        <v>4</v>
      </c>
      <c r="Z36" s="12">
        <f>IF(Table1[[#This Row],[adjusted_spread_with_johnson_only]]&gt;0,Table1[[#This Row],[electoral_votes]],0)</f>
        <v>4</v>
      </c>
      <c r="AA36" s="11">
        <f>IF(Table1[[#This Row],[adjusted_spread]]&gt;0,Table1[[#This Row],[electoral_votes]],0)</f>
        <v>4</v>
      </c>
      <c r="AB36" s="12">
        <f>IF(Table1[[#This Row],[adjusted_spread]]&lt;0,Table1[[#This Row],[electoral_votes]],0)</f>
        <v>0</v>
      </c>
      <c r="AC36" s="12" t="str">
        <f>IF(Table1[[#This Row],[orig_spread]]&lt;0,"Trump",IF(Table1[[#This Row],[orig_spread]]&gt;0,"Clinton",""))</f>
        <v>Clinton</v>
      </c>
      <c r="AD36" s="12" t="str">
        <f>IF(Table1[[#This Row],[adjusted_spread]]&lt;0,"Trump",IF(Table1[[#This Row],[adjusted_spread]]&gt;0,"Clinton",""))</f>
        <v>Clinton</v>
      </c>
      <c r="AE36" s="11" t="b">
        <f>AND(Table1[[#This Row],[orig_outcome]]="Trump",Table1[[#This Row],[adjusted_outcome]]="Clinton")</f>
        <v>0</v>
      </c>
      <c r="AF36" s="11" t="b">
        <f>AND(Table1[[#This Row],[orig_outcome]]="Clinton",Table1[[#This Row],[adjusted_outcome]]="Trump")</f>
        <v>0</v>
      </c>
      <c r="AG36" s="11" t="str">
        <f>IF(Table1[[#This Row],[index]]=1,IF(Table1[[#This Row],[pickup_clinton]],Table1[[#This Row],[State]],""),IF(Table1[[#This Row],[pickup_clinton]],CONCATENATE(AG35,IF(AG35="","",","),Table1[[#This Row],[State]]),AG35))</f>
        <v/>
      </c>
      <c r="AH36" s="11" t="str">
        <f>IF(Table1[[#This Row],[index]]=1,IF(Table1[[#This Row],[pickup_trump]],Table1[[#This Row],[State]],""),IF(Table1[[#This Row],[pickup_trump]],CONCATENATE(AH35,IF(AH25="","",","),Table1[[#This Row],[State]]),AH35))</f>
        <v/>
      </c>
      <c r="AI36" s="30">
        <f>IF(Table1[[#This Row],[orig_vote_stein]]=0,"",(1-Table1[[#This Row],[adjusted_spread_with_johnson_only]]/Table1[[#This Row],[orig_vote_stein]])/2)</f>
        <v>-4.9220161860611302</v>
      </c>
      <c r="AJ36" s="30">
        <f>(1-Table1[[#This Row],[adjusted_spread_with_stein_only]]/Table1[[#This Row],[orig_vote_johnson]])/2</f>
        <v>-3.8266662486676282</v>
      </c>
      <c r="AK36" s="30" t="b">
        <f>AND(Table1[[#This Row],[stein_split_needed_pure]]&gt;=0,Table1[[#This Row],[stein_split_needed_pure]]&lt;=1)</f>
        <v>0</v>
      </c>
      <c r="AL36" s="30" t="b">
        <f>AND(Table1[[#This Row],[johnson_split_needed_pure]]&gt;=0,Table1[[#This Row],[johnson_split_needed_pure]]&lt;=1)</f>
        <v>0</v>
      </c>
      <c r="AM36" s="30" t="b">
        <f>OR(Table1[[#This Row],[in_play_stein]],Table1[[#This Row],[in_play_johnson]])</f>
        <v>0</v>
      </c>
      <c r="AN36" s="51">
        <f t="array" ref="AN3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6" s="51">
        <f t="array" ref="AO3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6" s="51">
        <f t="array" ref="AP3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6" s="51">
        <f t="array" ref="AQ3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6" s="44">
        <f>adjusted_electors_clinton_with_johnson_only+Table1[[#This Row],[electors_with_split_stein_added]]+Table1[[#This Row],[electors_with_split_stein_dropped]]</f>
        <v>233</v>
      </c>
      <c r="AS36" s="44">
        <f>adjusted_electors_clinton_with_stein_only+Table1[[#This Row],[electors_with_split_johnson_added]]+Table1[[#This Row],[electors_with_split_johnson_dropped]]</f>
        <v>233</v>
      </c>
      <c r="AT36" s="30" t="str">
        <f>IF(AND(Table1[[#This Row],[in_play_stein]],Table1[[#This Row],[electors_with_split_stein]]&gt;=270),Table1[[#This Row],[stein_split_needed_pure]],"")</f>
        <v/>
      </c>
      <c r="AU36" s="45" t="str">
        <f>IF(AND(Table1[[#This Row],[in_play_johnson]],Table1[[#This Row],[electors_with_split_johnson]]&gt;=270),Table1[[#This Row],[johnson_split_needed_pure]],"")</f>
        <v/>
      </c>
      <c r="AV3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6" s="16">
        <f>Table1[[#This Row],[adjusted_electors_trump]]+Table1[[#This Row],[adjusted_electors_clinton]]-Table1[[#This Row],[electoral_votes]]</f>
        <v>0</v>
      </c>
      <c r="BC36"/>
      <c r="BE36"/>
      <c r="BF36"/>
    </row>
    <row r="37" spans="2:58">
      <c r="B37" s="3" t="s">
        <v>22</v>
      </c>
      <c r="C37" s="7">
        <v>4</v>
      </c>
      <c r="D37" s="13">
        <v>189677</v>
      </c>
      <c r="E37" s="13">
        <v>407199</v>
      </c>
      <c r="F37" s="13">
        <v>28256</v>
      </c>
      <c r="G37" s="13">
        <v>8464</v>
      </c>
      <c r="H37" s="25">
        <f>ROW()-ROW(Table1[[#Headers],[index]])</f>
        <v>13</v>
      </c>
      <c r="I37" s="12">
        <f>Table1[[#This Row],[orig_vote_clinton]]-Table1[[#This Row],[orig_vote_trump]]</f>
        <v>-217522</v>
      </c>
      <c r="J37" s="12">
        <f>IF(Table1[[#This Row],[orig_spread]]&gt;0,Table1[[#This Row],[electoral_votes]],0)</f>
        <v>0</v>
      </c>
      <c r="K37" s="12">
        <f>IF(Table1[[#This Row],[orig_spread]]&lt;0,Table1[[#This Row],[electoral_votes]],0)</f>
        <v>4</v>
      </c>
      <c r="L37" s="12">
        <f>pct_stein_to_clinton*Table1[[#This Row],[orig_vote_stein]]</f>
        <v>4232</v>
      </c>
      <c r="M37" s="12">
        <f>pct_stein_to_trump*Table1[[#This Row],[orig_vote_stein]]</f>
        <v>4232</v>
      </c>
      <c r="N37" s="12">
        <f>pct_johnson_to_clinton*Table1[[#This Row],[orig_vote_johnson]]</f>
        <v>14128</v>
      </c>
      <c r="O37" s="12">
        <f>pct_johnson_to_trump*Table1[[#This Row],[orig_vote_johnson]]</f>
        <v>14128</v>
      </c>
      <c r="P37" s="12">
        <f>Table1[[#This Row],[orig_vote_clinton]]+Table1[[#This Row],[stein_votes_to_clinton]]</f>
        <v>193909</v>
      </c>
      <c r="Q37" s="12">
        <f>Table1[[#This Row],[orig_vote_trump]]+Table1[[#This Row],[stein_votes_to_trump]]</f>
        <v>411431</v>
      </c>
      <c r="R37" s="12">
        <f>Table1[[#This Row],[orig_vote_clinton]]+Table1[[#This Row],[johnson_votes_to_clinton]]</f>
        <v>203805</v>
      </c>
      <c r="S37" s="12">
        <f>Table1[[#This Row],[orig_vote_trump]]+Table1[[#This Row],[johnson_votes_to_trump]]</f>
        <v>421327</v>
      </c>
      <c r="T37" s="11">
        <f>Table1[[#This Row],[orig_vote_clinton]]+Table1[[#This Row],[stein_votes_to_clinton]]+Table1[[#This Row],[johnson_votes_to_clinton]]</f>
        <v>208037</v>
      </c>
      <c r="U37" s="11">
        <f>Table1[[#This Row],[orig_vote_trump]]+Table1[[#This Row],[stein_votes_to_trump]]+Table1[[#This Row],[johnson_votes_to_trump]]</f>
        <v>425559</v>
      </c>
      <c r="V37" s="11">
        <f>Table1[[#This Row],[adjusted_vote_clinton_with_stein_only]]-Table1[[#This Row],[adjusted_vote_trump_with_stein_only]]</f>
        <v>-217522</v>
      </c>
      <c r="W37" s="11">
        <f>Table1[[#This Row],[adjusted_vote_clinton_with_johnson_only]]-Table1[[#This Row],[adjusted_vote_trump_with_johnson_only]]</f>
        <v>-217522</v>
      </c>
      <c r="X37" s="12">
        <f>Table1[[#This Row],[adjusted_vote_clinton]]-Table1[[#This Row],[adjusted_vote_trump]]</f>
        <v>-217522</v>
      </c>
      <c r="Y37" s="12">
        <f>IF(Table1[[#This Row],[adjusted_spread_with_stein_only]]&gt;0,Table1[[#This Row],[electoral_votes]],0)</f>
        <v>0</v>
      </c>
      <c r="Z37" s="12">
        <f>IF(Table1[[#This Row],[adjusted_spread_with_johnson_only]]&gt;0,Table1[[#This Row],[electoral_votes]],0)</f>
        <v>0</v>
      </c>
      <c r="AA37" s="11">
        <f>IF(Table1[[#This Row],[adjusted_spread]]&gt;0,Table1[[#This Row],[electoral_votes]],0)</f>
        <v>0</v>
      </c>
      <c r="AB37" s="12">
        <f>IF(Table1[[#This Row],[adjusted_spread]]&lt;0,Table1[[#This Row],[electoral_votes]],0)</f>
        <v>4</v>
      </c>
      <c r="AC37" s="12" t="str">
        <f>IF(Table1[[#This Row],[orig_spread]]&lt;0,"Trump",IF(Table1[[#This Row],[orig_spread]]&gt;0,"Clinton",""))</f>
        <v>Trump</v>
      </c>
      <c r="AD37" s="12" t="str">
        <f>IF(Table1[[#This Row],[adjusted_spread]]&lt;0,"Trump",IF(Table1[[#This Row],[adjusted_spread]]&gt;0,"Clinton",""))</f>
        <v>Trump</v>
      </c>
      <c r="AE37" s="11" t="b">
        <f>AND(Table1[[#This Row],[orig_outcome]]="Trump",Table1[[#This Row],[adjusted_outcome]]="Clinton")</f>
        <v>0</v>
      </c>
      <c r="AF37" s="11" t="b">
        <f>AND(Table1[[#This Row],[orig_outcome]]="Clinton",Table1[[#This Row],[adjusted_outcome]]="Trump")</f>
        <v>0</v>
      </c>
      <c r="AG37" s="11" t="str">
        <f>IF(Table1[[#This Row],[index]]=1,IF(Table1[[#This Row],[pickup_clinton]],Table1[[#This Row],[State]],""),IF(Table1[[#This Row],[pickup_clinton]],CONCATENATE(AG36,IF(AG36="","",","),Table1[[#This Row],[State]]),AG36))</f>
        <v/>
      </c>
      <c r="AH37" s="11" t="str">
        <f>IF(Table1[[#This Row],[index]]=1,IF(Table1[[#This Row],[pickup_trump]],Table1[[#This Row],[State]],""),IF(Table1[[#This Row],[pickup_trump]],CONCATENATE(AH36,IF(AH26="","",","),Table1[[#This Row],[State]]),AH36))</f>
        <v/>
      </c>
      <c r="AI37" s="30">
        <f>IF(Table1[[#This Row],[orig_vote_stein]]=0,"",(1-Table1[[#This Row],[adjusted_spread_with_johnson_only]]/Table1[[#This Row],[orig_vote_stein]])/2)</f>
        <v>13.349834593572778</v>
      </c>
      <c r="AJ37" s="30">
        <f>(1-Table1[[#This Row],[adjusted_spread_with_stein_only]]/Table1[[#This Row],[orig_vote_johnson]])/2</f>
        <v>4.3491293884484712</v>
      </c>
      <c r="AK37" s="30" t="b">
        <f>AND(Table1[[#This Row],[stein_split_needed_pure]]&gt;=0,Table1[[#This Row],[stein_split_needed_pure]]&lt;=1)</f>
        <v>0</v>
      </c>
      <c r="AL37" s="30" t="b">
        <f>AND(Table1[[#This Row],[johnson_split_needed_pure]]&gt;=0,Table1[[#This Row],[johnson_split_needed_pure]]&lt;=1)</f>
        <v>0</v>
      </c>
      <c r="AM37" s="30" t="b">
        <f>OR(Table1[[#This Row],[in_play_stein]],Table1[[#This Row],[in_play_johnson]])</f>
        <v>0</v>
      </c>
      <c r="AN37" s="51">
        <f t="array" ref="AN3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7" s="51">
        <f t="array" ref="AO3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7" s="51">
        <f t="array" ref="AP3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7" s="51">
        <f t="array" ref="AQ3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7" s="44">
        <f>adjusted_electors_clinton_with_johnson_only+Table1[[#This Row],[electors_with_split_stein_added]]+Table1[[#This Row],[electors_with_split_stein_dropped]]</f>
        <v>233</v>
      </c>
      <c r="AS37" s="44">
        <f>adjusted_electors_clinton_with_stein_only+Table1[[#This Row],[electors_with_split_johnson_added]]+Table1[[#This Row],[electors_with_split_johnson_dropped]]</f>
        <v>233</v>
      </c>
      <c r="AT37" s="30" t="str">
        <f>IF(AND(Table1[[#This Row],[in_play_stein]],Table1[[#This Row],[electors_with_split_stein]]&gt;=270),Table1[[#This Row],[stein_split_needed_pure]],"")</f>
        <v/>
      </c>
      <c r="AU37" s="45" t="str">
        <f>IF(AND(Table1[[#This Row],[in_play_johnson]],Table1[[#This Row],[electors_with_split_johnson]]&gt;=270),Table1[[#This Row],[johnson_split_needed_pure]],"")</f>
        <v/>
      </c>
      <c r="AV3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7" s="16">
        <f>Table1[[#This Row],[adjusted_electors_trump]]+Table1[[#This Row],[adjusted_electors_clinton]]-Table1[[#This Row],[electoral_votes]]</f>
        <v>0</v>
      </c>
      <c r="BC37"/>
      <c r="BE37"/>
      <c r="BF37"/>
    </row>
    <row r="38" spans="2:58">
      <c r="B38" s="3" t="s">
        <v>23</v>
      </c>
      <c r="C38" s="7">
        <v>20</v>
      </c>
      <c r="D38" s="13">
        <v>2977498</v>
      </c>
      <c r="E38" s="13">
        <v>2118179</v>
      </c>
      <c r="F38" s="13">
        <v>204491</v>
      </c>
      <c r="G38" s="13">
        <v>74112</v>
      </c>
      <c r="H38" s="25">
        <f>ROW()-ROW(Table1[[#Headers],[index]])</f>
        <v>14</v>
      </c>
      <c r="I38" s="12">
        <f>Table1[[#This Row],[orig_vote_clinton]]-Table1[[#This Row],[orig_vote_trump]]</f>
        <v>859319</v>
      </c>
      <c r="J38" s="12">
        <f>IF(Table1[[#This Row],[orig_spread]]&gt;0,Table1[[#This Row],[electoral_votes]],0)</f>
        <v>20</v>
      </c>
      <c r="K38" s="12">
        <f>IF(Table1[[#This Row],[orig_spread]]&lt;0,Table1[[#This Row],[electoral_votes]],0)</f>
        <v>0</v>
      </c>
      <c r="L38" s="12">
        <f>pct_stein_to_clinton*Table1[[#This Row],[orig_vote_stein]]</f>
        <v>37056</v>
      </c>
      <c r="M38" s="12">
        <f>pct_stein_to_trump*Table1[[#This Row],[orig_vote_stein]]</f>
        <v>37056</v>
      </c>
      <c r="N38" s="12">
        <f>pct_johnson_to_clinton*Table1[[#This Row],[orig_vote_johnson]]</f>
        <v>102245.5</v>
      </c>
      <c r="O38" s="12">
        <f>pct_johnson_to_trump*Table1[[#This Row],[orig_vote_johnson]]</f>
        <v>102245.5</v>
      </c>
      <c r="P38" s="12">
        <f>Table1[[#This Row],[orig_vote_clinton]]+Table1[[#This Row],[stein_votes_to_clinton]]</f>
        <v>3014554</v>
      </c>
      <c r="Q38" s="12">
        <f>Table1[[#This Row],[orig_vote_trump]]+Table1[[#This Row],[stein_votes_to_trump]]</f>
        <v>2155235</v>
      </c>
      <c r="R38" s="12">
        <f>Table1[[#This Row],[orig_vote_clinton]]+Table1[[#This Row],[johnson_votes_to_clinton]]</f>
        <v>3079743.5</v>
      </c>
      <c r="S38" s="12">
        <f>Table1[[#This Row],[orig_vote_trump]]+Table1[[#This Row],[johnson_votes_to_trump]]</f>
        <v>2220424.5</v>
      </c>
      <c r="T38" s="11">
        <f>Table1[[#This Row],[orig_vote_clinton]]+Table1[[#This Row],[stein_votes_to_clinton]]+Table1[[#This Row],[johnson_votes_to_clinton]]</f>
        <v>3116799.5</v>
      </c>
      <c r="U38" s="11">
        <f>Table1[[#This Row],[orig_vote_trump]]+Table1[[#This Row],[stein_votes_to_trump]]+Table1[[#This Row],[johnson_votes_to_trump]]</f>
        <v>2257480.5</v>
      </c>
      <c r="V38" s="11">
        <f>Table1[[#This Row],[adjusted_vote_clinton_with_stein_only]]-Table1[[#This Row],[adjusted_vote_trump_with_stein_only]]</f>
        <v>859319</v>
      </c>
      <c r="W38" s="11">
        <f>Table1[[#This Row],[adjusted_vote_clinton_with_johnson_only]]-Table1[[#This Row],[adjusted_vote_trump_with_johnson_only]]</f>
        <v>859319</v>
      </c>
      <c r="X38" s="12">
        <f>Table1[[#This Row],[adjusted_vote_clinton]]-Table1[[#This Row],[adjusted_vote_trump]]</f>
        <v>859319</v>
      </c>
      <c r="Y38" s="12">
        <f>IF(Table1[[#This Row],[adjusted_spread_with_stein_only]]&gt;0,Table1[[#This Row],[electoral_votes]],0)</f>
        <v>20</v>
      </c>
      <c r="Z38" s="12">
        <f>IF(Table1[[#This Row],[adjusted_spread_with_johnson_only]]&gt;0,Table1[[#This Row],[electoral_votes]],0)</f>
        <v>20</v>
      </c>
      <c r="AA38" s="11">
        <f>IF(Table1[[#This Row],[adjusted_spread]]&gt;0,Table1[[#This Row],[electoral_votes]],0)</f>
        <v>20</v>
      </c>
      <c r="AB38" s="12">
        <f>IF(Table1[[#This Row],[adjusted_spread]]&lt;0,Table1[[#This Row],[electoral_votes]],0)</f>
        <v>0</v>
      </c>
      <c r="AC38" s="12" t="str">
        <f>IF(Table1[[#This Row],[orig_spread]]&lt;0,"Trump",IF(Table1[[#This Row],[orig_spread]]&gt;0,"Clinton",""))</f>
        <v>Clinton</v>
      </c>
      <c r="AD38" s="12" t="str">
        <f>IF(Table1[[#This Row],[adjusted_spread]]&lt;0,"Trump",IF(Table1[[#This Row],[adjusted_spread]]&gt;0,"Clinton",""))</f>
        <v>Clinton</v>
      </c>
      <c r="AE38" s="11" t="b">
        <f>AND(Table1[[#This Row],[orig_outcome]]="Trump",Table1[[#This Row],[adjusted_outcome]]="Clinton")</f>
        <v>0</v>
      </c>
      <c r="AF38" s="11" t="b">
        <f>AND(Table1[[#This Row],[orig_outcome]]="Clinton",Table1[[#This Row],[adjusted_outcome]]="Trump")</f>
        <v>0</v>
      </c>
      <c r="AG38" s="11" t="str">
        <f>IF(Table1[[#This Row],[index]]=1,IF(Table1[[#This Row],[pickup_clinton]],Table1[[#This Row],[State]],""),IF(Table1[[#This Row],[pickup_clinton]],CONCATENATE(AG37,IF(AG37="","",","),Table1[[#This Row],[State]]),AG37))</f>
        <v/>
      </c>
      <c r="AH38" s="11" t="str">
        <f>IF(Table1[[#This Row],[index]]=1,IF(Table1[[#This Row],[pickup_trump]],Table1[[#This Row],[State]],""),IF(Table1[[#This Row],[pickup_trump]],CONCATENATE(AH37,IF(AH27="","",","),Table1[[#This Row],[State]]),AH37))</f>
        <v/>
      </c>
      <c r="AI38" s="30">
        <f>IF(Table1[[#This Row],[orig_vote_stein]]=0,"",(1-Table1[[#This Row],[adjusted_spread_with_johnson_only]]/Table1[[#This Row],[orig_vote_stein]])/2)</f>
        <v>-5.2974349632987909</v>
      </c>
      <c r="AJ38" s="30">
        <f>(1-Table1[[#This Row],[adjusted_spread_with_stein_only]]/Table1[[#This Row],[orig_vote_johnson]])/2</f>
        <v>-1.6011169195710324</v>
      </c>
      <c r="AK38" s="30" t="b">
        <f>AND(Table1[[#This Row],[stein_split_needed_pure]]&gt;=0,Table1[[#This Row],[stein_split_needed_pure]]&lt;=1)</f>
        <v>0</v>
      </c>
      <c r="AL38" s="30" t="b">
        <f>AND(Table1[[#This Row],[johnson_split_needed_pure]]&gt;=0,Table1[[#This Row],[johnson_split_needed_pure]]&lt;=1)</f>
        <v>0</v>
      </c>
      <c r="AM38" s="30" t="b">
        <f>OR(Table1[[#This Row],[in_play_stein]],Table1[[#This Row],[in_play_johnson]])</f>
        <v>0</v>
      </c>
      <c r="AN38" s="51">
        <f t="array" ref="AN3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8" s="51">
        <f t="array" ref="AO3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8" s="51">
        <f t="array" ref="AP3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8" s="51">
        <f t="array" ref="AQ3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8" s="44">
        <f>adjusted_electors_clinton_with_johnson_only+Table1[[#This Row],[electors_with_split_stein_added]]+Table1[[#This Row],[electors_with_split_stein_dropped]]</f>
        <v>233</v>
      </c>
      <c r="AS38" s="44">
        <f>adjusted_electors_clinton_with_stein_only+Table1[[#This Row],[electors_with_split_johnson_added]]+Table1[[#This Row],[electors_with_split_johnson_dropped]]</f>
        <v>233</v>
      </c>
      <c r="AT38" s="30" t="str">
        <f>IF(AND(Table1[[#This Row],[in_play_stein]],Table1[[#This Row],[electors_with_split_stein]]&gt;=270),Table1[[#This Row],[stein_split_needed_pure]],"")</f>
        <v/>
      </c>
      <c r="AU38" s="45" t="str">
        <f>IF(AND(Table1[[#This Row],[in_play_johnson]],Table1[[#This Row],[electors_with_split_johnson]]&gt;=270),Table1[[#This Row],[johnson_split_needed_pure]],"")</f>
        <v/>
      </c>
      <c r="AV3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8" s="16">
        <f>Table1[[#This Row],[adjusted_electors_trump]]+Table1[[#This Row],[adjusted_electors_clinton]]-Table1[[#This Row],[electoral_votes]]</f>
        <v>0</v>
      </c>
      <c r="BC38"/>
      <c r="BE38"/>
      <c r="BF38"/>
    </row>
    <row r="39" spans="2:58">
      <c r="B39" s="3" t="s">
        <v>24</v>
      </c>
      <c r="C39" s="7">
        <v>11</v>
      </c>
      <c r="D39" s="13">
        <v>1031953</v>
      </c>
      <c r="E39" s="13">
        <v>1556220</v>
      </c>
      <c r="F39" s="13">
        <v>133856</v>
      </c>
      <c r="G39" s="13">
        <v>0</v>
      </c>
      <c r="H39" s="29">
        <f>ROW()-ROW(Table1[[#Headers],[index]])</f>
        <v>15</v>
      </c>
      <c r="I39" s="12">
        <f>Table1[[#This Row],[orig_vote_clinton]]-Table1[[#This Row],[orig_vote_trump]]</f>
        <v>-524267</v>
      </c>
      <c r="J39" s="12">
        <f>IF(Table1[[#This Row],[orig_spread]]&gt;0,Table1[[#This Row],[electoral_votes]],0)</f>
        <v>0</v>
      </c>
      <c r="K39" s="12">
        <f>IF(Table1[[#This Row],[orig_spread]]&lt;0,Table1[[#This Row],[electoral_votes]],0)</f>
        <v>11</v>
      </c>
      <c r="L39" s="12">
        <f>pct_stein_to_clinton*Table1[[#This Row],[orig_vote_stein]]</f>
        <v>0</v>
      </c>
      <c r="M39" s="12">
        <f>pct_stein_to_trump*Table1[[#This Row],[orig_vote_stein]]</f>
        <v>0</v>
      </c>
      <c r="N39" s="12">
        <f>pct_johnson_to_clinton*Table1[[#This Row],[orig_vote_johnson]]</f>
        <v>66928</v>
      </c>
      <c r="O39" s="12">
        <f>pct_johnson_to_trump*Table1[[#This Row],[orig_vote_johnson]]</f>
        <v>66928</v>
      </c>
      <c r="P39" s="12">
        <f>Table1[[#This Row],[orig_vote_clinton]]+Table1[[#This Row],[stein_votes_to_clinton]]</f>
        <v>1031953</v>
      </c>
      <c r="Q39" s="12">
        <f>Table1[[#This Row],[orig_vote_trump]]+Table1[[#This Row],[stein_votes_to_trump]]</f>
        <v>1556220</v>
      </c>
      <c r="R39" s="12">
        <f>Table1[[#This Row],[orig_vote_clinton]]+Table1[[#This Row],[johnson_votes_to_clinton]]</f>
        <v>1098881</v>
      </c>
      <c r="S39" s="12">
        <f>Table1[[#This Row],[orig_vote_trump]]+Table1[[#This Row],[johnson_votes_to_trump]]</f>
        <v>1623148</v>
      </c>
      <c r="T39" s="11">
        <f>Table1[[#This Row],[orig_vote_clinton]]+Table1[[#This Row],[stein_votes_to_clinton]]+Table1[[#This Row],[johnson_votes_to_clinton]]</f>
        <v>1098881</v>
      </c>
      <c r="U39" s="11">
        <f>Table1[[#This Row],[orig_vote_trump]]+Table1[[#This Row],[stein_votes_to_trump]]+Table1[[#This Row],[johnson_votes_to_trump]]</f>
        <v>1623148</v>
      </c>
      <c r="V39" s="11">
        <f>Table1[[#This Row],[adjusted_vote_clinton_with_stein_only]]-Table1[[#This Row],[adjusted_vote_trump_with_stein_only]]</f>
        <v>-524267</v>
      </c>
      <c r="W39" s="11">
        <f>Table1[[#This Row],[adjusted_vote_clinton_with_johnson_only]]-Table1[[#This Row],[adjusted_vote_trump_with_johnson_only]]</f>
        <v>-524267</v>
      </c>
      <c r="X39" s="12">
        <f>Table1[[#This Row],[adjusted_vote_clinton]]-Table1[[#This Row],[adjusted_vote_trump]]</f>
        <v>-524267</v>
      </c>
      <c r="Y39" s="12">
        <f>IF(Table1[[#This Row],[adjusted_spread_with_stein_only]]&gt;0,Table1[[#This Row],[electoral_votes]],0)</f>
        <v>0</v>
      </c>
      <c r="Z39" s="12">
        <f>IF(Table1[[#This Row],[adjusted_spread_with_johnson_only]]&gt;0,Table1[[#This Row],[electoral_votes]],0)</f>
        <v>0</v>
      </c>
      <c r="AA39" s="11">
        <f>IF(Table1[[#This Row],[adjusted_spread]]&gt;0,Table1[[#This Row],[electoral_votes]],0)</f>
        <v>0</v>
      </c>
      <c r="AB39" s="12">
        <f>IF(Table1[[#This Row],[adjusted_spread]]&lt;0,Table1[[#This Row],[electoral_votes]],0)</f>
        <v>11</v>
      </c>
      <c r="AC39" s="12" t="str">
        <f>IF(Table1[[#This Row],[orig_spread]]&lt;0,"Trump",IF(Table1[[#This Row],[orig_spread]]&gt;0,"Clinton",""))</f>
        <v>Trump</v>
      </c>
      <c r="AD39" s="12" t="str">
        <f>IF(Table1[[#This Row],[adjusted_spread]]&lt;0,"Trump",IF(Table1[[#This Row],[adjusted_spread]]&gt;0,"Clinton",""))</f>
        <v>Trump</v>
      </c>
      <c r="AE39" s="11" t="b">
        <f>AND(Table1[[#This Row],[orig_outcome]]="Trump",Table1[[#This Row],[adjusted_outcome]]="Clinton")</f>
        <v>0</v>
      </c>
      <c r="AF39" s="11" t="b">
        <f>AND(Table1[[#This Row],[orig_outcome]]="Clinton",Table1[[#This Row],[adjusted_outcome]]="Trump")</f>
        <v>0</v>
      </c>
      <c r="AG39" s="11" t="str">
        <f>IF(Table1[[#This Row],[index]]=1,IF(Table1[[#This Row],[pickup_clinton]],Table1[[#This Row],[State]],""),IF(Table1[[#This Row],[pickup_clinton]],CONCATENATE(AG38,IF(AG38="","",","),Table1[[#This Row],[State]]),AG38))</f>
        <v/>
      </c>
      <c r="AH39" s="11" t="str">
        <f>IF(Table1[[#This Row],[index]]=1,IF(Table1[[#This Row],[pickup_trump]],Table1[[#This Row],[State]],""),IF(Table1[[#This Row],[pickup_trump]],CONCATENATE(AH38,IF(AH28="","",","),Table1[[#This Row],[State]]),AH38))</f>
        <v/>
      </c>
      <c r="AI39" s="30" t="str">
        <f>IF(Table1[[#This Row],[orig_vote_stein]]=0,"",(1-Table1[[#This Row],[adjusted_spread_with_johnson_only]]/Table1[[#This Row],[orig_vote_stein]])/2)</f>
        <v/>
      </c>
      <c r="AJ39" s="30">
        <f>(1-Table1[[#This Row],[adjusted_spread_with_stein_only]]/Table1[[#This Row],[orig_vote_johnson]])/2</f>
        <v>2.4583246174994025</v>
      </c>
      <c r="AK39" s="30" t="b">
        <f>AND(Table1[[#This Row],[stein_split_needed_pure]]&gt;=0,Table1[[#This Row],[stein_split_needed_pure]]&lt;=1)</f>
        <v>0</v>
      </c>
      <c r="AL39" s="30" t="b">
        <f>AND(Table1[[#This Row],[johnson_split_needed_pure]]&gt;=0,Table1[[#This Row],[johnson_split_needed_pure]]&lt;=1)</f>
        <v>0</v>
      </c>
      <c r="AM39" s="30" t="b">
        <f>OR(Table1[[#This Row],[in_play_stein]],Table1[[#This Row],[in_play_johnson]])</f>
        <v>0</v>
      </c>
      <c r="AN39" s="51">
        <f t="array" ref="AN3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9" s="51">
        <f t="array" ref="AO3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9" s="51">
        <f t="array" ref="AP3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9" s="51">
        <f t="array" ref="AQ3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9" s="44">
        <f>adjusted_electors_clinton_with_johnson_only+Table1[[#This Row],[electors_with_split_stein_added]]+Table1[[#This Row],[electors_with_split_stein_dropped]]</f>
        <v>233</v>
      </c>
      <c r="AS39" s="44">
        <f>adjusted_electors_clinton_with_stein_only+Table1[[#This Row],[electors_with_split_johnson_added]]+Table1[[#This Row],[electors_with_split_johnson_dropped]]</f>
        <v>233</v>
      </c>
      <c r="AT39" s="30" t="str">
        <f>IF(AND(Table1[[#This Row],[in_play_stein]],Table1[[#This Row],[electors_with_split_stein]]&gt;=270),Table1[[#This Row],[stein_split_needed_pure]],"")</f>
        <v/>
      </c>
      <c r="AU39" s="45" t="str">
        <f>IF(AND(Table1[[#This Row],[in_play_johnson]],Table1[[#This Row],[electors_with_split_johnson]]&gt;=270),Table1[[#This Row],[johnson_split_needed_pure]],"")</f>
        <v/>
      </c>
      <c r="AV39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9" s="16">
        <f>Table1[[#This Row],[adjusted_electors_trump]]+Table1[[#This Row],[adjusted_electors_clinton]]-Table1[[#This Row],[electoral_votes]]</f>
        <v>0</v>
      </c>
      <c r="BC39"/>
      <c r="BE39"/>
      <c r="BF39"/>
    </row>
    <row r="40" spans="2:58">
      <c r="B40" s="3" t="s">
        <v>25</v>
      </c>
      <c r="C40" s="7">
        <v>6</v>
      </c>
      <c r="D40" s="13">
        <v>650790</v>
      </c>
      <c r="E40" s="13">
        <v>798923</v>
      </c>
      <c r="F40" s="13">
        <v>57322</v>
      </c>
      <c r="G40" s="13">
        <v>11119</v>
      </c>
      <c r="H40" s="25">
        <f>ROW()-ROW(Table1[[#Headers],[index]])</f>
        <v>16</v>
      </c>
      <c r="I40" s="12">
        <f>Table1[[#This Row],[orig_vote_clinton]]-Table1[[#This Row],[orig_vote_trump]]</f>
        <v>-148133</v>
      </c>
      <c r="J40" s="12">
        <f>IF(Table1[[#This Row],[orig_spread]]&gt;0,Table1[[#This Row],[electoral_votes]],0)</f>
        <v>0</v>
      </c>
      <c r="K40" s="12">
        <f>IF(Table1[[#This Row],[orig_spread]]&lt;0,Table1[[#This Row],[electoral_votes]],0)</f>
        <v>6</v>
      </c>
      <c r="L40" s="12">
        <f>pct_stein_to_clinton*Table1[[#This Row],[orig_vote_stein]]</f>
        <v>5559.5</v>
      </c>
      <c r="M40" s="12">
        <f>pct_stein_to_trump*Table1[[#This Row],[orig_vote_stein]]</f>
        <v>5559.5</v>
      </c>
      <c r="N40" s="12">
        <f>pct_johnson_to_clinton*Table1[[#This Row],[orig_vote_johnson]]</f>
        <v>28661</v>
      </c>
      <c r="O40" s="12">
        <f>pct_johnson_to_trump*Table1[[#This Row],[orig_vote_johnson]]</f>
        <v>28661</v>
      </c>
      <c r="P40" s="12">
        <f>Table1[[#This Row],[orig_vote_clinton]]+Table1[[#This Row],[stein_votes_to_clinton]]</f>
        <v>656349.5</v>
      </c>
      <c r="Q40" s="12">
        <f>Table1[[#This Row],[orig_vote_trump]]+Table1[[#This Row],[stein_votes_to_trump]]</f>
        <v>804482.5</v>
      </c>
      <c r="R40" s="12">
        <f>Table1[[#This Row],[orig_vote_clinton]]+Table1[[#This Row],[johnson_votes_to_clinton]]</f>
        <v>679451</v>
      </c>
      <c r="S40" s="12">
        <f>Table1[[#This Row],[orig_vote_trump]]+Table1[[#This Row],[johnson_votes_to_trump]]</f>
        <v>827584</v>
      </c>
      <c r="T40" s="11">
        <f>Table1[[#This Row],[orig_vote_clinton]]+Table1[[#This Row],[stein_votes_to_clinton]]+Table1[[#This Row],[johnson_votes_to_clinton]]</f>
        <v>685010.5</v>
      </c>
      <c r="U40" s="11">
        <f>Table1[[#This Row],[orig_vote_trump]]+Table1[[#This Row],[stein_votes_to_trump]]+Table1[[#This Row],[johnson_votes_to_trump]]</f>
        <v>833143.5</v>
      </c>
      <c r="V40" s="11">
        <f>Table1[[#This Row],[adjusted_vote_clinton_with_stein_only]]-Table1[[#This Row],[adjusted_vote_trump_with_stein_only]]</f>
        <v>-148133</v>
      </c>
      <c r="W40" s="11">
        <f>Table1[[#This Row],[adjusted_vote_clinton_with_johnson_only]]-Table1[[#This Row],[adjusted_vote_trump_with_johnson_only]]</f>
        <v>-148133</v>
      </c>
      <c r="X40" s="12">
        <f>Table1[[#This Row],[adjusted_vote_clinton]]-Table1[[#This Row],[adjusted_vote_trump]]</f>
        <v>-148133</v>
      </c>
      <c r="Y40" s="12">
        <f>IF(Table1[[#This Row],[adjusted_spread_with_stein_only]]&gt;0,Table1[[#This Row],[electoral_votes]],0)</f>
        <v>0</v>
      </c>
      <c r="Z40" s="12">
        <f>IF(Table1[[#This Row],[adjusted_spread_with_johnson_only]]&gt;0,Table1[[#This Row],[electoral_votes]],0)</f>
        <v>0</v>
      </c>
      <c r="AA40" s="11">
        <f>IF(Table1[[#This Row],[adjusted_spread]]&gt;0,Table1[[#This Row],[electoral_votes]],0)</f>
        <v>0</v>
      </c>
      <c r="AB40" s="12">
        <f>IF(Table1[[#This Row],[adjusted_spread]]&lt;0,Table1[[#This Row],[electoral_votes]],0)</f>
        <v>6</v>
      </c>
      <c r="AC40" s="12" t="str">
        <f>IF(Table1[[#This Row],[orig_spread]]&lt;0,"Trump",IF(Table1[[#This Row],[orig_spread]]&gt;0,"Clinton",""))</f>
        <v>Trump</v>
      </c>
      <c r="AD40" s="12" t="str">
        <f>IF(Table1[[#This Row],[adjusted_spread]]&lt;0,"Trump",IF(Table1[[#This Row],[adjusted_spread]]&gt;0,"Clinton",""))</f>
        <v>Trump</v>
      </c>
      <c r="AE40" s="11" t="b">
        <f>AND(Table1[[#This Row],[orig_outcome]]="Trump",Table1[[#This Row],[adjusted_outcome]]="Clinton")</f>
        <v>0</v>
      </c>
      <c r="AF40" s="11" t="b">
        <f>AND(Table1[[#This Row],[orig_outcome]]="Clinton",Table1[[#This Row],[adjusted_outcome]]="Trump")</f>
        <v>0</v>
      </c>
      <c r="AG40" s="11" t="str">
        <f>IF(Table1[[#This Row],[index]]=1,IF(Table1[[#This Row],[pickup_clinton]],Table1[[#This Row],[State]],""),IF(Table1[[#This Row],[pickup_clinton]],CONCATENATE(AG39,IF(AG39="","",","),Table1[[#This Row],[State]]),AG39))</f>
        <v/>
      </c>
      <c r="AH40" s="11" t="str">
        <f>IF(Table1[[#This Row],[index]]=1,IF(Table1[[#This Row],[pickup_trump]],Table1[[#This Row],[State]],""),IF(Table1[[#This Row],[pickup_trump]],CONCATENATE(AH39,IF(AH29="","",","),Table1[[#This Row],[State]]),AH39))</f>
        <v/>
      </c>
      <c r="AI40" s="30">
        <f>IF(Table1[[#This Row],[orig_vote_stein]]=0,"",(1-Table1[[#This Row],[adjusted_spread_with_johnson_only]]/Table1[[#This Row],[orig_vote_stein]])/2)</f>
        <v>7.1612555085889023</v>
      </c>
      <c r="AJ40" s="30">
        <f>(1-Table1[[#This Row],[adjusted_spread_with_stein_only]]/Table1[[#This Row],[orig_vote_johnson]])/2</f>
        <v>1.7921129758208019</v>
      </c>
      <c r="AK40" s="30" t="b">
        <f>AND(Table1[[#This Row],[stein_split_needed_pure]]&gt;=0,Table1[[#This Row],[stein_split_needed_pure]]&lt;=1)</f>
        <v>0</v>
      </c>
      <c r="AL40" s="30" t="b">
        <f>AND(Table1[[#This Row],[johnson_split_needed_pure]]&gt;=0,Table1[[#This Row],[johnson_split_needed_pure]]&lt;=1)</f>
        <v>0</v>
      </c>
      <c r="AM40" s="30" t="b">
        <f>OR(Table1[[#This Row],[in_play_stein]],Table1[[#This Row],[in_play_johnson]])</f>
        <v>0</v>
      </c>
      <c r="AN40" s="51">
        <f t="array" ref="AN4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0" s="51">
        <f t="array" ref="AO4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0" s="51">
        <f t="array" ref="AP4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0" s="51">
        <f t="array" ref="AQ4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0" s="44">
        <f>adjusted_electors_clinton_with_johnson_only+Table1[[#This Row],[electors_with_split_stein_added]]+Table1[[#This Row],[electors_with_split_stein_dropped]]</f>
        <v>233</v>
      </c>
      <c r="AS40" s="44">
        <f>adjusted_electors_clinton_with_stein_only+Table1[[#This Row],[electors_with_split_johnson_added]]+Table1[[#This Row],[electors_with_split_johnson_dropped]]</f>
        <v>233</v>
      </c>
      <c r="AT40" s="30" t="str">
        <f>IF(AND(Table1[[#This Row],[in_play_stein]],Table1[[#This Row],[electors_with_split_stein]]&gt;=270),Table1[[#This Row],[stein_split_needed_pure]],"")</f>
        <v/>
      </c>
      <c r="AU40" s="45" t="str">
        <f>IF(AND(Table1[[#This Row],[in_play_johnson]],Table1[[#This Row],[electors_with_split_johnson]]&gt;=270),Table1[[#This Row],[johnson_split_needed_pure]],"")</f>
        <v/>
      </c>
      <c r="AV4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0" s="16">
        <f>Table1[[#This Row],[adjusted_electors_trump]]+Table1[[#This Row],[adjusted_electors_clinton]]-Table1[[#This Row],[electoral_votes]]</f>
        <v>0</v>
      </c>
      <c r="BC40"/>
      <c r="BE40"/>
      <c r="BF40"/>
    </row>
    <row r="41" spans="2:58">
      <c r="B41" s="3" t="s">
        <v>26</v>
      </c>
      <c r="C41" s="7">
        <v>6</v>
      </c>
      <c r="D41" s="13">
        <v>414788</v>
      </c>
      <c r="E41" s="13">
        <v>656009</v>
      </c>
      <c r="F41" s="13">
        <v>53648</v>
      </c>
      <c r="G41" s="13">
        <v>22698</v>
      </c>
      <c r="H41" s="25">
        <f>ROW()-ROW(Table1[[#Headers],[index]])</f>
        <v>17</v>
      </c>
      <c r="I41" s="12">
        <f>Table1[[#This Row],[orig_vote_clinton]]-Table1[[#This Row],[orig_vote_trump]]</f>
        <v>-241221</v>
      </c>
      <c r="J41" s="12">
        <f>IF(Table1[[#This Row],[orig_spread]]&gt;0,Table1[[#This Row],[electoral_votes]],0)</f>
        <v>0</v>
      </c>
      <c r="K41" s="12">
        <f>IF(Table1[[#This Row],[orig_spread]]&lt;0,Table1[[#This Row],[electoral_votes]],0)</f>
        <v>6</v>
      </c>
      <c r="L41" s="12">
        <f>pct_stein_to_clinton*Table1[[#This Row],[orig_vote_stein]]</f>
        <v>11349</v>
      </c>
      <c r="M41" s="12">
        <f>pct_stein_to_trump*Table1[[#This Row],[orig_vote_stein]]</f>
        <v>11349</v>
      </c>
      <c r="N41" s="12">
        <f>pct_johnson_to_clinton*Table1[[#This Row],[orig_vote_johnson]]</f>
        <v>26824</v>
      </c>
      <c r="O41" s="12">
        <f>pct_johnson_to_trump*Table1[[#This Row],[orig_vote_johnson]]</f>
        <v>26824</v>
      </c>
      <c r="P41" s="12">
        <f>Table1[[#This Row],[orig_vote_clinton]]+Table1[[#This Row],[stein_votes_to_clinton]]</f>
        <v>426137</v>
      </c>
      <c r="Q41" s="12">
        <f>Table1[[#This Row],[orig_vote_trump]]+Table1[[#This Row],[stein_votes_to_trump]]</f>
        <v>667358</v>
      </c>
      <c r="R41" s="12">
        <f>Table1[[#This Row],[orig_vote_clinton]]+Table1[[#This Row],[johnson_votes_to_clinton]]</f>
        <v>441612</v>
      </c>
      <c r="S41" s="12">
        <f>Table1[[#This Row],[orig_vote_trump]]+Table1[[#This Row],[johnson_votes_to_trump]]</f>
        <v>682833</v>
      </c>
      <c r="T41" s="11">
        <f>Table1[[#This Row],[orig_vote_clinton]]+Table1[[#This Row],[stein_votes_to_clinton]]+Table1[[#This Row],[johnson_votes_to_clinton]]</f>
        <v>452961</v>
      </c>
      <c r="U41" s="11">
        <f>Table1[[#This Row],[orig_vote_trump]]+Table1[[#This Row],[stein_votes_to_trump]]+Table1[[#This Row],[johnson_votes_to_trump]]</f>
        <v>694182</v>
      </c>
      <c r="V41" s="11">
        <f>Table1[[#This Row],[adjusted_vote_clinton_with_stein_only]]-Table1[[#This Row],[adjusted_vote_trump_with_stein_only]]</f>
        <v>-241221</v>
      </c>
      <c r="W41" s="11">
        <f>Table1[[#This Row],[adjusted_vote_clinton_with_johnson_only]]-Table1[[#This Row],[adjusted_vote_trump_with_johnson_only]]</f>
        <v>-241221</v>
      </c>
      <c r="X41" s="12">
        <f>Table1[[#This Row],[adjusted_vote_clinton]]-Table1[[#This Row],[adjusted_vote_trump]]</f>
        <v>-241221</v>
      </c>
      <c r="Y41" s="12">
        <f>IF(Table1[[#This Row],[adjusted_spread_with_stein_only]]&gt;0,Table1[[#This Row],[electoral_votes]],0)</f>
        <v>0</v>
      </c>
      <c r="Z41" s="12">
        <f>IF(Table1[[#This Row],[adjusted_spread_with_johnson_only]]&gt;0,Table1[[#This Row],[electoral_votes]],0)</f>
        <v>0</v>
      </c>
      <c r="AA41" s="11">
        <f>IF(Table1[[#This Row],[adjusted_spread]]&gt;0,Table1[[#This Row],[electoral_votes]],0)</f>
        <v>0</v>
      </c>
      <c r="AB41" s="12">
        <f>IF(Table1[[#This Row],[adjusted_spread]]&lt;0,Table1[[#This Row],[electoral_votes]],0)</f>
        <v>6</v>
      </c>
      <c r="AC41" s="12" t="str">
        <f>IF(Table1[[#This Row],[orig_spread]]&lt;0,"Trump",IF(Table1[[#This Row],[orig_spread]]&gt;0,"Clinton",""))</f>
        <v>Trump</v>
      </c>
      <c r="AD41" s="12" t="str">
        <f>IF(Table1[[#This Row],[adjusted_spread]]&lt;0,"Trump",IF(Table1[[#This Row],[adjusted_spread]]&gt;0,"Clinton",""))</f>
        <v>Trump</v>
      </c>
      <c r="AE41" s="11" t="b">
        <f>AND(Table1[[#This Row],[orig_outcome]]="Trump",Table1[[#This Row],[adjusted_outcome]]="Clinton")</f>
        <v>0</v>
      </c>
      <c r="AF41" s="11" t="b">
        <f>AND(Table1[[#This Row],[orig_outcome]]="Clinton",Table1[[#This Row],[adjusted_outcome]]="Trump")</f>
        <v>0</v>
      </c>
      <c r="AG41" s="11" t="str">
        <f>IF(Table1[[#This Row],[index]]=1,IF(Table1[[#This Row],[pickup_clinton]],Table1[[#This Row],[State]],""),IF(Table1[[#This Row],[pickup_clinton]],CONCATENATE(AG40,IF(AG40="","",","),Table1[[#This Row],[State]]),AG40))</f>
        <v/>
      </c>
      <c r="AH41" s="11" t="str">
        <f>IF(Table1[[#This Row],[index]]=1,IF(Table1[[#This Row],[pickup_trump]],Table1[[#This Row],[State]],""),IF(Table1[[#This Row],[pickup_trump]],CONCATENATE(AH40,IF(AH30="","",","),Table1[[#This Row],[State]]),AH40))</f>
        <v/>
      </c>
      <c r="AI41" s="30">
        <f>IF(Table1[[#This Row],[orig_vote_stein]]=0,"",(1-Table1[[#This Row],[adjusted_spread_with_johnson_only]]/Table1[[#This Row],[orig_vote_stein]])/2)</f>
        <v>5.8137060533967748</v>
      </c>
      <c r="AJ41" s="30">
        <f>(1-Table1[[#This Row],[adjusted_spread_with_stein_only]]/Table1[[#This Row],[orig_vote_johnson]])/2</f>
        <v>2.7481825976737251</v>
      </c>
      <c r="AK41" s="30" t="b">
        <f>AND(Table1[[#This Row],[stein_split_needed_pure]]&gt;=0,Table1[[#This Row],[stein_split_needed_pure]]&lt;=1)</f>
        <v>0</v>
      </c>
      <c r="AL41" s="30" t="b">
        <f>AND(Table1[[#This Row],[johnson_split_needed_pure]]&gt;=0,Table1[[#This Row],[johnson_split_needed_pure]]&lt;=1)</f>
        <v>0</v>
      </c>
      <c r="AM41" s="30" t="b">
        <f>OR(Table1[[#This Row],[in_play_stein]],Table1[[#This Row],[in_play_johnson]])</f>
        <v>0</v>
      </c>
      <c r="AN41" s="51">
        <f t="array" ref="AN4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1" s="51">
        <f t="array" ref="AO4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1" s="51">
        <f t="array" ref="AP4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1" s="51">
        <f t="array" ref="AQ4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1" s="44">
        <f>adjusted_electors_clinton_with_johnson_only+Table1[[#This Row],[electors_with_split_stein_added]]+Table1[[#This Row],[electors_with_split_stein_dropped]]</f>
        <v>233</v>
      </c>
      <c r="AS41" s="44">
        <f>adjusted_electors_clinton_with_stein_only+Table1[[#This Row],[electors_with_split_johnson_added]]+Table1[[#This Row],[electors_with_split_johnson_dropped]]</f>
        <v>233</v>
      </c>
      <c r="AT41" s="30" t="str">
        <f>IF(AND(Table1[[#This Row],[in_play_stein]],Table1[[#This Row],[electors_with_split_stein]]&gt;=270),Table1[[#This Row],[stein_split_needed_pure]],"")</f>
        <v/>
      </c>
      <c r="AU41" s="45" t="str">
        <f>IF(AND(Table1[[#This Row],[in_play_johnson]],Table1[[#This Row],[electors_with_split_johnson]]&gt;=270),Table1[[#This Row],[johnson_split_needed_pure]],"")</f>
        <v/>
      </c>
      <c r="AV4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1" s="16">
        <f>Table1[[#This Row],[adjusted_electors_trump]]+Table1[[#This Row],[adjusted_electors_clinton]]-Table1[[#This Row],[electoral_votes]]</f>
        <v>0</v>
      </c>
      <c r="BC41"/>
      <c r="BE41"/>
      <c r="BF41"/>
    </row>
    <row r="42" spans="2:58">
      <c r="B42" s="3" t="s">
        <v>27</v>
      </c>
      <c r="C42" s="7">
        <v>8</v>
      </c>
      <c r="D42" s="13">
        <v>628834</v>
      </c>
      <c r="E42" s="13">
        <v>1202942</v>
      </c>
      <c r="F42" s="13">
        <v>53749</v>
      </c>
      <c r="G42" s="13">
        <v>13913</v>
      </c>
      <c r="H42" s="25">
        <f>ROW()-ROW(Table1[[#Headers],[index]])</f>
        <v>18</v>
      </c>
      <c r="I42" s="12">
        <f>Table1[[#This Row],[orig_vote_clinton]]-Table1[[#This Row],[orig_vote_trump]]</f>
        <v>-574108</v>
      </c>
      <c r="J42" s="12">
        <f>IF(Table1[[#This Row],[orig_spread]]&gt;0,Table1[[#This Row],[electoral_votes]],0)</f>
        <v>0</v>
      </c>
      <c r="K42" s="12">
        <f>IF(Table1[[#This Row],[orig_spread]]&lt;0,Table1[[#This Row],[electoral_votes]],0)</f>
        <v>8</v>
      </c>
      <c r="L42" s="12">
        <f>pct_stein_to_clinton*Table1[[#This Row],[orig_vote_stein]]</f>
        <v>6956.5</v>
      </c>
      <c r="M42" s="12">
        <f>pct_stein_to_trump*Table1[[#This Row],[orig_vote_stein]]</f>
        <v>6956.5</v>
      </c>
      <c r="N42" s="12">
        <f>pct_johnson_to_clinton*Table1[[#This Row],[orig_vote_johnson]]</f>
        <v>26874.5</v>
      </c>
      <c r="O42" s="12">
        <f>pct_johnson_to_trump*Table1[[#This Row],[orig_vote_johnson]]</f>
        <v>26874.5</v>
      </c>
      <c r="P42" s="12">
        <f>Table1[[#This Row],[orig_vote_clinton]]+Table1[[#This Row],[stein_votes_to_clinton]]</f>
        <v>635790.5</v>
      </c>
      <c r="Q42" s="12">
        <f>Table1[[#This Row],[orig_vote_trump]]+Table1[[#This Row],[stein_votes_to_trump]]</f>
        <v>1209898.5</v>
      </c>
      <c r="R42" s="12">
        <f>Table1[[#This Row],[orig_vote_clinton]]+Table1[[#This Row],[johnson_votes_to_clinton]]</f>
        <v>655708.5</v>
      </c>
      <c r="S42" s="12">
        <f>Table1[[#This Row],[orig_vote_trump]]+Table1[[#This Row],[johnson_votes_to_trump]]</f>
        <v>1229816.5</v>
      </c>
      <c r="T42" s="11">
        <f>Table1[[#This Row],[orig_vote_clinton]]+Table1[[#This Row],[stein_votes_to_clinton]]+Table1[[#This Row],[johnson_votes_to_clinton]]</f>
        <v>662665</v>
      </c>
      <c r="U42" s="11">
        <f>Table1[[#This Row],[orig_vote_trump]]+Table1[[#This Row],[stein_votes_to_trump]]+Table1[[#This Row],[johnson_votes_to_trump]]</f>
        <v>1236773</v>
      </c>
      <c r="V42" s="11">
        <f>Table1[[#This Row],[adjusted_vote_clinton_with_stein_only]]-Table1[[#This Row],[adjusted_vote_trump_with_stein_only]]</f>
        <v>-574108</v>
      </c>
      <c r="W42" s="11">
        <f>Table1[[#This Row],[adjusted_vote_clinton_with_johnson_only]]-Table1[[#This Row],[adjusted_vote_trump_with_johnson_only]]</f>
        <v>-574108</v>
      </c>
      <c r="X42" s="12">
        <f>Table1[[#This Row],[adjusted_vote_clinton]]-Table1[[#This Row],[adjusted_vote_trump]]</f>
        <v>-574108</v>
      </c>
      <c r="Y42" s="12">
        <f>IF(Table1[[#This Row],[adjusted_spread_with_stein_only]]&gt;0,Table1[[#This Row],[electoral_votes]],0)</f>
        <v>0</v>
      </c>
      <c r="Z42" s="12">
        <f>IF(Table1[[#This Row],[adjusted_spread_with_johnson_only]]&gt;0,Table1[[#This Row],[electoral_votes]],0)</f>
        <v>0</v>
      </c>
      <c r="AA42" s="11">
        <f>IF(Table1[[#This Row],[adjusted_spread]]&gt;0,Table1[[#This Row],[electoral_votes]],0)</f>
        <v>0</v>
      </c>
      <c r="AB42" s="12">
        <f>IF(Table1[[#This Row],[adjusted_spread]]&lt;0,Table1[[#This Row],[electoral_votes]],0)</f>
        <v>8</v>
      </c>
      <c r="AC42" s="12" t="str">
        <f>IF(Table1[[#This Row],[orig_spread]]&lt;0,"Trump",IF(Table1[[#This Row],[orig_spread]]&gt;0,"Clinton",""))</f>
        <v>Trump</v>
      </c>
      <c r="AD42" s="12" t="str">
        <f>IF(Table1[[#This Row],[adjusted_spread]]&lt;0,"Trump",IF(Table1[[#This Row],[adjusted_spread]]&gt;0,"Clinton",""))</f>
        <v>Trump</v>
      </c>
      <c r="AE42" s="11" t="b">
        <f>AND(Table1[[#This Row],[orig_outcome]]="Trump",Table1[[#This Row],[adjusted_outcome]]="Clinton")</f>
        <v>0</v>
      </c>
      <c r="AF42" s="11" t="b">
        <f>AND(Table1[[#This Row],[orig_outcome]]="Clinton",Table1[[#This Row],[adjusted_outcome]]="Trump")</f>
        <v>0</v>
      </c>
      <c r="AG42" s="11" t="str">
        <f>IF(Table1[[#This Row],[index]]=1,IF(Table1[[#This Row],[pickup_clinton]],Table1[[#This Row],[State]],""),IF(Table1[[#This Row],[pickup_clinton]],CONCATENATE(AG41,IF(AG41="","",","),Table1[[#This Row],[State]]),AG41))</f>
        <v/>
      </c>
      <c r="AH42" s="11" t="str">
        <f>IF(Table1[[#This Row],[index]]=1,IF(Table1[[#This Row],[pickup_trump]],Table1[[#This Row],[State]],""),IF(Table1[[#This Row],[pickup_trump]],CONCATENATE(AH41,IF(AH31="","",","),Table1[[#This Row],[State]]),AH41))</f>
        <v/>
      </c>
      <c r="AI42" s="30">
        <f>IF(Table1[[#This Row],[orig_vote_stein]]=0,"",(1-Table1[[#This Row],[adjusted_spread_with_johnson_only]]/Table1[[#This Row],[orig_vote_stein]])/2)</f>
        <v>21.132070725221016</v>
      </c>
      <c r="AJ42" s="30">
        <f>(1-Table1[[#This Row],[adjusted_spread_with_stein_only]]/Table1[[#This Row],[orig_vote_johnson]])/2</f>
        <v>5.84063889560736</v>
      </c>
      <c r="AK42" s="30" t="b">
        <f>AND(Table1[[#This Row],[stein_split_needed_pure]]&gt;=0,Table1[[#This Row],[stein_split_needed_pure]]&lt;=1)</f>
        <v>0</v>
      </c>
      <c r="AL42" s="30" t="b">
        <f>AND(Table1[[#This Row],[johnson_split_needed_pure]]&gt;=0,Table1[[#This Row],[johnson_split_needed_pure]]&lt;=1)</f>
        <v>0</v>
      </c>
      <c r="AM42" s="30" t="b">
        <f>OR(Table1[[#This Row],[in_play_stein]],Table1[[#This Row],[in_play_johnson]])</f>
        <v>0</v>
      </c>
      <c r="AN42" s="51">
        <f t="array" ref="AN4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2" s="51">
        <f t="array" ref="AO4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2" s="51">
        <f t="array" ref="AP4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2" s="51">
        <f t="array" ref="AQ4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2" s="44">
        <f>adjusted_electors_clinton_with_johnson_only+Table1[[#This Row],[electors_with_split_stein_added]]+Table1[[#This Row],[electors_with_split_stein_dropped]]</f>
        <v>233</v>
      </c>
      <c r="AS42" s="44">
        <f>adjusted_electors_clinton_with_stein_only+Table1[[#This Row],[electors_with_split_johnson_added]]+Table1[[#This Row],[electors_with_split_johnson_dropped]]</f>
        <v>233</v>
      </c>
      <c r="AT42" s="30" t="str">
        <f>IF(AND(Table1[[#This Row],[in_play_stein]],Table1[[#This Row],[electors_with_split_stein]]&gt;=270),Table1[[#This Row],[stein_split_needed_pure]],"")</f>
        <v/>
      </c>
      <c r="AU42" s="45" t="str">
        <f>IF(AND(Table1[[#This Row],[in_play_johnson]],Table1[[#This Row],[electors_with_split_johnson]]&gt;=270),Table1[[#This Row],[johnson_split_needed_pure]],"")</f>
        <v/>
      </c>
      <c r="AV4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2" s="16">
        <f>Table1[[#This Row],[adjusted_electors_trump]]+Table1[[#This Row],[adjusted_electors_clinton]]-Table1[[#This Row],[electoral_votes]]</f>
        <v>0</v>
      </c>
      <c r="BC42"/>
      <c r="BE42"/>
      <c r="BF42"/>
    </row>
    <row r="43" spans="2:58">
      <c r="B43" s="3" t="s">
        <v>28</v>
      </c>
      <c r="C43" s="7">
        <v>8</v>
      </c>
      <c r="D43" s="13">
        <v>779535</v>
      </c>
      <c r="E43" s="13">
        <v>1178004</v>
      </c>
      <c r="F43" s="13">
        <v>37950</v>
      </c>
      <c r="G43" s="13">
        <v>14018</v>
      </c>
      <c r="H43" s="25">
        <f>ROW()-ROW(Table1[[#Headers],[index]])</f>
        <v>19</v>
      </c>
      <c r="I43" s="12">
        <f>Table1[[#This Row],[orig_vote_clinton]]-Table1[[#This Row],[orig_vote_trump]]</f>
        <v>-398469</v>
      </c>
      <c r="J43" s="12">
        <f>IF(Table1[[#This Row],[orig_spread]]&gt;0,Table1[[#This Row],[electoral_votes]],0)</f>
        <v>0</v>
      </c>
      <c r="K43" s="12">
        <f>IF(Table1[[#This Row],[orig_spread]]&lt;0,Table1[[#This Row],[electoral_votes]],0)</f>
        <v>8</v>
      </c>
      <c r="L43" s="12">
        <f>pct_stein_to_clinton*Table1[[#This Row],[orig_vote_stein]]</f>
        <v>7009</v>
      </c>
      <c r="M43" s="12">
        <f>pct_stein_to_trump*Table1[[#This Row],[orig_vote_stein]]</f>
        <v>7009</v>
      </c>
      <c r="N43" s="12">
        <f>pct_johnson_to_clinton*Table1[[#This Row],[orig_vote_johnson]]</f>
        <v>18975</v>
      </c>
      <c r="O43" s="12">
        <f>pct_johnson_to_trump*Table1[[#This Row],[orig_vote_johnson]]</f>
        <v>18975</v>
      </c>
      <c r="P43" s="12">
        <f>Table1[[#This Row],[orig_vote_clinton]]+Table1[[#This Row],[stein_votes_to_clinton]]</f>
        <v>786544</v>
      </c>
      <c r="Q43" s="12">
        <f>Table1[[#This Row],[orig_vote_trump]]+Table1[[#This Row],[stein_votes_to_trump]]</f>
        <v>1185013</v>
      </c>
      <c r="R43" s="12">
        <f>Table1[[#This Row],[orig_vote_clinton]]+Table1[[#This Row],[johnson_votes_to_clinton]]</f>
        <v>798510</v>
      </c>
      <c r="S43" s="12">
        <f>Table1[[#This Row],[orig_vote_trump]]+Table1[[#This Row],[johnson_votes_to_trump]]</f>
        <v>1196979</v>
      </c>
      <c r="T43" s="11">
        <f>Table1[[#This Row],[orig_vote_clinton]]+Table1[[#This Row],[stein_votes_to_clinton]]+Table1[[#This Row],[johnson_votes_to_clinton]]</f>
        <v>805519</v>
      </c>
      <c r="U43" s="11">
        <f>Table1[[#This Row],[orig_vote_trump]]+Table1[[#This Row],[stein_votes_to_trump]]+Table1[[#This Row],[johnson_votes_to_trump]]</f>
        <v>1203988</v>
      </c>
      <c r="V43" s="11">
        <f>Table1[[#This Row],[adjusted_vote_clinton_with_stein_only]]-Table1[[#This Row],[adjusted_vote_trump_with_stein_only]]</f>
        <v>-398469</v>
      </c>
      <c r="W43" s="11">
        <f>Table1[[#This Row],[adjusted_vote_clinton_with_johnson_only]]-Table1[[#This Row],[adjusted_vote_trump_with_johnson_only]]</f>
        <v>-398469</v>
      </c>
      <c r="X43" s="12">
        <f>Table1[[#This Row],[adjusted_vote_clinton]]-Table1[[#This Row],[adjusted_vote_trump]]</f>
        <v>-398469</v>
      </c>
      <c r="Y43" s="12">
        <f>IF(Table1[[#This Row],[adjusted_spread_with_stein_only]]&gt;0,Table1[[#This Row],[electoral_votes]],0)</f>
        <v>0</v>
      </c>
      <c r="Z43" s="12">
        <f>IF(Table1[[#This Row],[adjusted_spread_with_johnson_only]]&gt;0,Table1[[#This Row],[electoral_votes]],0)</f>
        <v>0</v>
      </c>
      <c r="AA43" s="11">
        <f>IF(Table1[[#This Row],[adjusted_spread]]&gt;0,Table1[[#This Row],[electoral_votes]],0)</f>
        <v>0</v>
      </c>
      <c r="AB43" s="12">
        <f>IF(Table1[[#This Row],[adjusted_spread]]&lt;0,Table1[[#This Row],[electoral_votes]],0)</f>
        <v>8</v>
      </c>
      <c r="AC43" s="12" t="str">
        <f>IF(Table1[[#This Row],[orig_spread]]&lt;0,"Trump",IF(Table1[[#This Row],[orig_spread]]&gt;0,"Clinton",""))</f>
        <v>Trump</v>
      </c>
      <c r="AD43" s="12" t="str">
        <f>IF(Table1[[#This Row],[adjusted_spread]]&lt;0,"Trump",IF(Table1[[#This Row],[adjusted_spread]]&gt;0,"Clinton",""))</f>
        <v>Trump</v>
      </c>
      <c r="AE43" s="11" t="b">
        <f>AND(Table1[[#This Row],[orig_outcome]]="Trump",Table1[[#This Row],[adjusted_outcome]]="Clinton")</f>
        <v>0</v>
      </c>
      <c r="AF43" s="11" t="b">
        <f>AND(Table1[[#This Row],[orig_outcome]]="Clinton",Table1[[#This Row],[adjusted_outcome]]="Trump")</f>
        <v>0</v>
      </c>
      <c r="AG43" s="11" t="str">
        <f>IF(Table1[[#This Row],[index]]=1,IF(Table1[[#This Row],[pickup_clinton]],Table1[[#This Row],[State]],""),IF(Table1[[#This Row],[pickup_clinton]],CONCATENATE(AG42,IF(AG42="","",","),Table1[[#This Row],[State]]),AG42))</f>
        <v/>
      </c>
      <c r="AH43" s="11" t="str">
        <f>IF(Table1[[#This Row],[index]]=1,IF(Table1[[#This Row],[pickup_trump]],Table1[[#This Row],[State]],""),IF(Table1[[#This Row],[pickup_trump]],CONCATENATE(AH42,IF(AH32="","",","),Table1[[#This Row],[State]]),AH42))</f>
        <v/>
      </c>
      <c r="AI43" s="30">
        <f>IF(Table1[[#This Row],[orig_vote_stein]]=0,"",(1-Table1[[#This Row],[adjusted_spread_with_johnson_only]]/Table1[[#This Row],[orig_vote_stein]])/2)</f>
        <v>14.712762162933371</v>
      </c>
      <c r="AJ43" s="30">
        <f>(1-Table1[[#This Row],[adjusted_spread_with_stein_only]]/Table1[[#This Row],[orig_vote_johnson]])/2</f>
        <v>5.7499209486166007</v>
      </c>
      <c r="AK43" s="30" t="b">
        <f>AND(Table1[[#This Row],[stein_split_needed_pure]]&gt;=0,Table1[[#This Row],[stein_split_needed_pure]]&lt;=1)</f>
        <v>0</v>
      </c>
      <c r="AL43" s="30" t="b">
        <f>AND(Table1[[#This Row],[johnson_split_needed_pure]]&gt;=0,Table1[[#This Row],[johnson_split_needed_pure]]&lt;=1)</f>
        <v>0</v>
      </c>
      <c r="AM43" s="30" t="b">
        <f>OR(Table1[[#This Row],[in_play_stein]],Table1[[#This Row],[in_play_johnson]])</f>
        <v>0</v>
      </c>
      <c r="AN43" s="51">
        <f t="array" ref="AN4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3" s="51">
        <f t="array" ref="AO4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3" s="51">
        <f t="array" ref="AP4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3" s="51">
        <f t="array" ref="AQ4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3" s="44">
        <f>adjusted_electors_clinton_with_johnson_only+Table1[[#This Row],[electors_with_split_stein_added]]+Table1[[#This Row],[electors_with_split_stein_dropped]]</f>
        <v>233</v>
      </c>
      <c r="AS43" s="44">
        <f>adjusted_electors_clinton_with_stein_only+Table1[[#This Row],[electors_with_split_johnson_added]]+Table1[[#This Row],[electors_with_split_johnson_dropped]]</f>
        <v>233</v>
      </c>
      <c r="AT43" s="30" t="str">
        <f>IF(AND(Table1[[#This Row],[in_play_stein]],Table1[[#This Row],[electors_with_split_stein]]&gt;=270),Table1[[#This Row],[stein_split_needed_pure]],"")</f>
        <v/>
      </c>
      <c r="AU43" s="45" t="str">
        <f>IF(AND(Table1[[#This Row],[in_play_johnson]],Table1[[#This Row],[electors_with_split_johnson]]&gt;=270),Table1[[#This Row],[johnson_split_needed_pure]],"")</f>
        <v/>
      </c>
      <c r="AV4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3" s="16">
        <f>Table1[[#This Row],[adjusted_electors_trump]]+Table1[[#This Row],[adjusted_electors_clinton]]-Table1[[#This Row],[electoral_votes]]</f>
        <v>0</v>
      </c>
      <c r="BC43"/>
      <c r="BE43"/>
      <c r="BF43"/>
    </row>
    <row r="44" spans="2:58">
      <c r="B44" s="3" t="s">
        <v>29</v>
      </c>
      <c r="C44" s="7">
        <v>5</v>
      </c>
      <c r="D44" s="13">
        <v>354873</v>
      </c>
      <c r="E44" s="13">
        <v>334838</v>
      </c>
      <c r="F44" s="13">
        <v>37764</v>
      </c>
      <c r="G44" s="13">
        <v>14075</v>
      </c>
      <c r="H44" s="25">
        <f>ROW()-ROW(Table1[[#Headers],[index]])</f>
        <v>20</v>
      </c>
      <c r="I44" s="12">
        <f>Table1[[#This Row],[orig_vote_clinton]]-Table1[[#This Row],[orig_vote_trump]]</f>
        <v>20035</v>
      </c>
      <c r="J44" s="12">
        <f>IF(Table1[[#This Row],[orig_spread]]&gt;0,Table1[[#This Row],[electoral_votes]],0)</f>
        <v>5</v>
      </c>
      <c r="K44" s="12">
        <f>IF(Table1[[#This Row],[orig_spread]]&lt;0,Table1[[#This Row],[electoral_votes]],0)</f>
        <v>0</v>
      </c>
      <c r="L44" s="12">
        <f>pct_stein_to_clinton*Table1[[#This Row],[orig_vote_stein]]</f>
        <v>7037.5</v>
      </c>
      <c r="M44" s="12">
        <f>pct_stein_to_trump*Table1[[#This Row],[orig_vote_stein]]</f>
        <v>7037.5</v>
      </c>
      <c r="N44" s="12">
        <f>pct_johnson_to_clinton*Table1[[#This Row],[orig_vote_johnson]]</f>
        <v>18882</v>
      </c>
      <c r="O44" s="12">
        <f>pct_johnson_to_trump*Table1[[#This Row],[orig_vote_johnson]]</f>
        <v>18882</v>
      </c>
      <c r="P44" s="12">
        <f>Table1[[#This Row],[orig_vote_clinton]]+Table1[[#This Row],[stein_votes_to_clinton]]</f>
        <v>361910.5</v>
      </c>
      <c r="Q44" s="12">
        <f>Table1[[#This Row],[orig_vote_trump]]+Table1[[#This Row],[stein_votes_to_trump]]</f>
        <v>341875.5</v>
      </c>
      <c r="R44" s="12">
        <f>Table1[[#This Row],[orig_vote_clinton]]+Table1[[#This Row],[johnson_votes_to_clinton]]</f>
        <v>373755</v>
      </c>
      <c r="S44" s="12">
        <f>Table1[[#This Row],[orig_vote_trump]]+Table1[[#This Row],[johnson_votes_to_trump]]</f>
        <v>353720</v>
      </c>
      <c r="T44" s="11">
        <f>Table1[[#This Row],[orig_vote_clinton]]+Table1[[#This Row],[stein_votes_to_clinton]]+Table1[[#This Row],[johnson_votes_to_clinton]]</f>
        <v>380792.5</v>
      </c>
      <c r="U44" s="11">
        <f>Table1[[#This Row],[orig_vote_trump]]+Table1[[#This Row],[stein_votes_to_trump]]+Table1[[#This Row],[johnson_votes_to_trump]]</f>
        <v>360757.5</v>
      </c>
      <c r="V44" s="11">
        <f>Table1[[#This Row],[adjusted_vote_clinton_with_stein_only]]-Table1[[#This Row],[adjusted_vote_trump_with_stein_only]]</f>
        <v>20035</v>
      </c>
      <c r="W44" s="11">
        <f>Table1[[#This Row],[adjusted_vote_clinton_with_johnson_only]]-Table1[[#This Row],[adjusted_vote_trump_with_johnson_only]]</f>
        <v>20035</v>
      </c>
      <c r="X44" s="12">
        <f>Table1[[#This Row],[adjusted_vote_clinton]]-Table1[[#This Row],[adjusted_vote_trump]]</f>
        <v>20035</v>
      </c>
      <c r="Y44" s="12">
        <f>IF(Table1[[#This Row],[adjusted_spread_with_stein_only]]&gt;0,Table1[[#This Row],[electoral_votes]],0)</f>
        <v>5</v>
      </c>
      <c r="Z44" s="12">
        <f>IF(Table1[[#This Row],[adjusted_spread_with_johnson_only]]&gt;0,Table1[[#This Row],[electoral_votes]],0)</f>
        <v>5</v>
      </c>
      <c r="AA44" s="11">
        <f>IF(Table1[[#This Row],[adjusted_spread]]&gt;0,Table1[[#This Row],[electoral_votes]],0)</f>
        <v>5</v>
      </c>
      <c r="AB44" s="12">
        <f>IF(Table1[[#This Row],[adjusted_spread]]&lt;0,Table1[[#This Row],[electoral_votes]],0)</f>
        <v>0</v>
      </c>
      <c r="AC44" s="12" t="str">
        <f>IF(Table1[[#This Row],[orig_spread]]&lt;0,"Trump",IF(Table1[[#This Row],[orig_spread]]&gt;0,"Clinton",""))</f>
        <v>Clinton</v>
      </c>
      <c r="AD44" s="12" t="str">
        <f>IF(Table1[[#This Row],[adjusted_spread]]&lt;0,"Trump",IF(Table1[[#This Row],[adjusted_spread]]&gt;0,"Clinton",""))</f>
        <v>Clinton</v>
      </c>
      <c r="AE44" s="11" t="b">
        <f>AND(Table1[[#This Row],[orig_outcome]]="Trump",Table1[[#This Row],[adjusted_outcome]]="Clinton")</f>
        <v>0</v>
      </c>
      <c r="AF44" s="11" t="b">
        <f>AND(Table1[[#This Row],[orig_outcome]]="Clinton",Table1[[#This Row],[adjusted_outcome]]="Trump")</f>
        <v>0</v>
      </c>
      <c r="AG44" s="11" t="str">
        <f>IF(Table1[[#This Row],[index]]=1,IF(Table1[[#This Row],[pickup_clinton]],Table1[[#This Row],[State]],""),IF(Table1[[#This Row],[pickup_clinton]],CONCATENATE(AG43,IF(AG43="","",","),Table1[[#This Row],[State]]),AG43))</f>
        <v/>
      </c>
      <c r="AH44" s="11" t="str">
        <f>IF(Table1[[#This Row],[index]]=1,IF(Table1[[#This Row],[pickup_trump]],Table1[[#This Row],[State]],""),IF(Table1[[#This Row],[pickup_trump]],CONCATENATE(AH43,IF(AH33="","",","),Table1[[#This Row],[State]]),AH43))</f>
        <v/>
      </c>
      <c r="AI44" s="30">
        <f>IF(Table1[[#This Row],[orig_vote_stein]]=0,"",(1-Table1[[#This Row],[adjusted_spread_with_johnson_only]]/Table1[[#This Row],[orig_vote_stein]])/2)</f>
        <v>-0.21172291296625223</v>
      </c>
      <c r="AJ44" s="30">
        <f>(1-Table1[[#This Row],[adjusted_spread_with_stein_only]]/Table1[[#This Row],[orig_vote_johnson]])/2</f>
        <v>0.23473413833280371</v>
      </c>
      <c r="AK44" s="30" t="b">
        <f>AND(Table1[[#This Row],[stein_split_needed_pure]]&gt;=0,Table1[[#This Row],[stein_split_needed_pure]]&lt;=1)</f>
        <v>0</v>
      </c>
      <c r="AL44" s="30" t="b">
        <f>AND(Table1[[#This Row],[johnson_split_needed_pure]]&gt;=0,Table1[[#This Row],[johnson_split_needed_pure]]&lt;=1)</f>
        <v>1</v>
      </c>
      <c r="AM44" s="30" t="b">
        <f>OR(Table1[[#This Row],[in_play_stein]],Table1[[#This Row],[in_play_johnson]])</f>
        <v>1</v>
      </c>
      <c r="AN44" s="51">
        <f t="array" ref="AN4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4" s="51">
        <f t="array" ref="AO4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4" s="51">
        <f t="array" ref="AP4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4" s="51">
        <f t="array" ref="AQ4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-19</v>
      </c>
      <c r="AR44" s="44">
        <f>adjusted_electors_clinton_with_johnson_only+Table1[[#This Row],[electors_with_split_stein_added]]+Table1[[#This Row],[electors_with_split_stein_dropped]]</f>
        <v>233</v>
      </c>
      <c r="AS44" s="44">
        <f>adjusted_electors_clinton_with_stein_only+Table1[[#This Row],[electors_with_split_johnson_added]]+Table1[[#This Row],[electors_with_split_johnson_dropped]]</f>
        <v>214</v>
      </c>
      <c r="AT44" s="30" t="str">
        <f>IF(AND(Table1[[#This Row],[in_play_stein]],Table1[[#This Row],[electors_with_split_stein]]&gt;=270),Table1[[#This Row],[stein_split_needed_pure]],"")</f>
        <v/>
      </c>
      <c r="AU44" s="45" t="str">
        <f>IF(AND(Table1[[#This Row],[in_play_johnson]],Table1[[#This Row],[electors_with_split_johnson]]&gt;=270),Table1[[#This Row],[johnson_split_needed_pure]],"")</f>
        <v/>
      </c>
      <c r="AV4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4" s="16">
        <f>Table1[[#This Row],[adjusted_electors_trump]]+Table1[[#This Row],[adjusted_electors_clinton]]-Table1[[#This Row],[electoral_votes]]</f>
        <v>0</v>
      </c>
      <c r="BC44"/>
      <c r="BE44"/>
      <c r="BF44"/>
    </row>
    <row r="45" spans="2:58">
      <c r="B45" s="3" t="s">
        <v>30</v>
      </c>
      <c r="C45" s="7">
        <v>10</v>
      </c>
      <c r="D45" s="13">
        <v>1497951</v>
      </c>
      <c r="E45" s="13">
        <v>873646</v>
      </c>
      <c r="F45" s="13">
        <v>71107</v>
      </c>
      <c r="G45" s="13">
        <v>31839</v>
      </c>
      <c r="H45" s="25">
        <f>ROW()-ROW(Table1[[#Headers],[index]])</f>
        <v>21</v>
      </c>
      <c r="I45" s="12">
        <f>Table1[[#This Row],[orig_vote_clinton]]-Table1[[#This Row],[orig_vote_trump]]</f>
        <v>624305</v>
      </c>
      <c r="J45" s="12">
        <f>IF(Table1[[#This Row],[orig_spread]]&gt;0,Table1[[#This Row],[electoral_votes]],0)</f>
        <v>10</v>
      </c>
      <c r="K45" s="12">
        <f>IF(Table1[[#This Row],[orig_spread]]&lt;0,Table1[[#This Row],[electoral_votes]],0)</f>
        <v>0</v>
      </c>
      <c r="L45" s="12">
        <f>pct_stein_to_clinton*Table1[[#This Row],[orig_vote_stein]]</f>
        <v>15919.5</v>
      </c>
      <c r="M45" s="12">
        <f>pct_stein_to_trump*Table1[[#This Row],[orig_vote_stein]]</f>
        <v>15919.5</v>
      </c>
      <c r="N45" s="12">
        <f>pct_johnson_to_clinton*Table1[[#This Row],[orig_vote_johnson]]</f>
        <v>35553.5</v>
      </c>
      <c r="O45" s="12">
        <f>pct_johnson_to_trump*Table1[[#This Row],[orig_vote_johnson]]</f>
        <v>35553.5</v>
      </c>
      <c r="P45" s="12">
        <f>Table1[[#This Row],[orig_vote_clinton]]+Table1[[#This Row],[stein_votes_to_clinton]]</f>
        <v>1513870.5</v>
      </c>
      <c r="Q45" s="12">
        <f>Table1[[#This Row],[orig_vote_trump]]+Table1[[#This Row],[stein_votes_to_trump]]</f>
        <v>889565.5</v>
      </c>
      <c r="R45" s="12">
        <f>Table1[[#This Row],[orig_vote_clinton]]+Table1[[#This Row],[johnson_votes_to_clinton]]</f>
        <v>1533504.5</v>
      </c>
      <c r="S45" s="12">
        <f>Table1[[#This Row],[orig_vote_trump]]+Table1[[#This Row],[johnson_votes_to_trump]]</f>
        <v>909199.5</v>
      </c>
      <c r="T45" s="11">
        <f>Table1[[#This Row],[orig_vote_clinton]]+Table1[[#This Row],[stein_votes_to_clinton]]+Table1[[#This Row],[johnson_votes_to_clinton]]</f>
        <v>1549424</v>
      </c>
      <c r="U45" s="11">
        <f>Table1[[#This Row],[orig_vote_trump]]+Table1[[#This Row],[stein_votes_to_trump]]+Table1[[#This Row],[johnson_votes_to_trump]]</f>
        <v>925119</v>
      </c>
      <c r="V45" s="11">
        <f>Table1[[#This Row],[adjusted_vote_clinton_with_stein_only]]-Table1[[#This Row],[adjusted_vote_trump_with_stein_only]]</f>
        <v>624305</v>
      </c>
      <c r="W45" s="11">
        <f>Table1[[#This Row],[adjusted_vote_clinton_with_johnson_only]]-Table1[[#This Row],[adjusted_vote_trump_with_johnson_only]]</f>
        <v>624305</v>
      </c>
      <c r="X45" s="12">
        <f>Table1[[#This Row],[adjusted_vote_clinton]]-Table1[[#This Row],[adjusted_vote_trump]]</f>
        <v>624305</v>
      </c>
      <c r="Y45" s="12">
        <f>IF(Table1[[#This Row],[adjusted_spread_with_stein_only]]&gt;0,Table1[[#This Row],[electoral_votes]],0)</f>
        <v>10</v>
      </c>
      <c r="Z45" s="12">
        <f>IF(Table1[[#This Row],[adjusted_spread_with_johnson_only]]&gt;0,Table1[[#This Row],[electoral_votes]],0)</f>
        <v>10</v>
      </c>
      <c r="AA45" s="11">
        <f>IF(Table1[[#This Row],[adjusted_spread]]&gt;0,Table1[[#This Row],[electoral_votes]],0)</f>
        <v>10</v>
      </c>
      <c r="AB45" s="12">
        <f>IF(Table1[[#This Row],[adjusted_spread]]&lt;0,Table1[[#This Row],[electoral_votes]],0)</f>
        <v>0</v>
      </c>
      <c r="AC45" s="12" t="str">
        <f>IF(Table1[[#This Row],[orig_spread]]&lt;0,"Trump",IF(Table1[[#This Row],[orig_spread]]&gt;0,"Clinton",""))</f>
        <v>Clinton</v>
      </c>
      <c r="AD45" s="12" t="str">
        <f>IF(Table1[[#This Row],[adjusted_spread]]&lt;0,"Trump",IF(Table1[[#This Row],[adjusted_spread]]&gt;0,"Clinton",""))</f>
        <v>Clinton</v>
      </c>
      <c r="AE45" s="11" t="b">
        <f>AND(Table1[[#This Row],[orig_outcome]]="Trump",Table1[[#This Row],[adjusted_outcome]]="Clinton")</f>
        <v>0</v>
      </c>
      <c r="AF45" s="11" t="b">
        <f>AND(Table1[[#This Row],[orig_outcome]]="Clinton",Table1[[#This Row],[adjusted_outcome]]="Trump")</f>
        <v>0</v>
      </c>
      <c r="AG45" s="11" t="str">
        <f>IF(Table1[[#This Row],[index]]=1,IF(Table1[[#This Row],[pickup_clinton]],Table1[[#This Row],[State]],""),IF(Table1[[#This Row],[pickup_clinton]],CONCATENATE(AG44,IF(AG44="","",","),Table1[[#This Row],[State]]),AG44))</f>
        <v/>
      </c>
      <c r="AH45" s="11" t="str">
        <f>IF(Table1[[#This Row],[index]]=1,IF(Table1[[#This Row],[pickup_trump]],Table1[[#This Row],[State]],""),IF(Table1[[#This Row],[pickup_trump]],CONCATENATE(AH44,IF(AH34="","",","),Table1[[#This Row],[State]]),AH44))</f>
        <v/>
      </c>
      <c r="AI45" s="30">
        <f>IF(Table1[[#This Row],[orig_vote_stein]]=0,"",(1-Table1[[#This Row],[adjusted_spread_with_johnson_only]]/Table1[[#This Row],[orig_vote_stein]])/2)</f>
        <v>-9.3040924652156161</v>
      </c>
      <c r="AJ45" s="30">
        <f>(1-Table1[[#This Row],[adjusted_spread_with_stein_only]]/Table1[[#This Row],[orig_vote_johnson]])/2</f>
        <v>-3.8898983222467551</v>
      </c>
      <c r="AK45" s="30" t="b">
        <f>AND(Table1[[#This Row],[stein_split_needed_pure]]&gt;=0,Table1[[#This Row],[stein_split_needed_pure]]&lt;=1)</f>
        <v>0</v>
      </c>
      <c r="AL45" s="30" t="b">
        <f>AND(Table1[[#This Row],[johnson_split_needed_pure]]&gt;=0,Table1[[#This Row],[johnson_split_needed_pure]]&lt;=1)</f>
        <v>0</v>
      </c>
      <c r="AM45" s="30" t="b">
        <f>OR(Table1[[#This Row],[in_play_stein]],Table1[[#This Row],[in_play_johnson]])</f>
        <v>0</v>
      </c>
      <c r="AN45" s="51">
        <f t="array" ref="AN4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5" s="51">
        <f t="array" ref="AO4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5" s="51">
        <f t="array" ref="AP4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5" s="51">
        <f t="array" ref="AQ4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5" s="44">
        <f>adjusted_electors_clinton_with_johnson_only+Table1[[#This Row],[electors_with_split_stein_added]]+Table1[[#This Row],[electors_with_split_stein_dropped]]</f>
        <v>233</v>
      </c>
      <c r="AS45" s="44">
        <f>adjusted_electors_clinton_with_stein_only+Table1[[#This Row],[electors_with_split_johnson_added]]+Table1[[#This Row],[electors_with_split_johnson_dropped]]</f>
        <v>233</v>
      </c>
      <c r="AT45" s="30" t="str">
        <f>IF(AND(Table1[[#This Row],[in_play_stein]],Table1[[#This Row],[electors_with_split_stein]]&gt;=270),Table1[[#This Row],[stein_split_needed_pure]],"")</f>
        <v/>
      </c>
      <c r="AU45" s="45" t="str">
        <f>IF(AND(Table1[[#This Row],[in_play_johnson]],Table1[[#This Row],[electors_with_split_johnson]]&gt;=270),Table1[[#This Row],[johnson_split_needed_pure]],"")</f>
        <v/>
      </c>
      <c r="AV4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5" s="16">
        <f>Table1[[#This Row],[adjusted_electors_trump]]+Table1[[#This Row],[adjusted_electors_clinton]]-Table1[[#This Row],[electoral_votes]]</f>
        <v>0</v>
      </c>
      <c r="BC45"/>
      <c r="BE45"/>
      <c r="BF45"/>
    </row>
    <row r="46" spans="2:58">
      <c r="B46" s="3" t="s">
        <v>31</v>
      </c>
      <c r="C46" s="7">
        <v>10</v>
      </c>
      <c r="D46" s="13">
        <v>1964768</v>
      </c>
      <c r="E46" s="13">
        <v>1083069</v>
      </c>
      <c r="F46" s="13">
        <v>136784</v>
      </c>
      <c r="G46" s="13">
        <v>46910</v>
      </c>
      <c r="H46" s="25">
        <f>ROW()-ROW(Table1[[#Headers],[index]])</f>
        <v>22</v>
      </c>
      <c r="I46" s="12">
        <f>Table1[[#This Row],[orig_vote_clinton]]-Table1[[#This Row],[orig_vote_trump]]</f>
        <v>881699</v>
      </c>
      <c r="J46" s="12">
        <f>IF(Table1[[#This Row],[orig_spread]]&gt;0,Table1[[#This Row],[electoral_votes]],0)</f>
        <v>10</v>
      </c>
      <c r="K46" s="12">
        <f>IF(Table1[[#This Row],[orig_spread]]&lt;0,Table1[[#This Row],[electoral_votes]],0)</f>
        <v>0</v>
      </c>
      <c r="L46" s="12">
        <f>pct_stein_to_clinton*Table1[[#This Row],[orig_vote_stein]]</f>
        <v>23455</v>
      </c>
      <c r="M46" s="12">
        <f>pct_stein_to_trump*Table1[[#This Row],[orig_vote_stein]]</f>
        <v>23455</v>
      </c>
      <c r="N46" s="12">
        <f>pct_johnson_to_clinton*Table1[[#This Row],[orig_vote_johnson]]</f>
        <v>68392</v>
      </c>
      <c r="O46" s="12">
        <f>pct_johnson_to_trump*Table1[[#This Row],[orig_vote_johnson]]</f>
        <v>68392</v>
      </c>
      <c r="P46" s="12">
        <f>Table1[[#This Row],[orig_vote_clinton]]+Table1[[#This Row],[stein_votes_to_clinton]]</f>
        <v>1988223</v>
      </c>
      <c r="Q46" s="12">
        <f>Table1[[#This Row],[orig_vote_trump]]+Table1[[#This Row],[stein_votes_to_trump]]</f>
        <v>1106524</v>
      </c>
      <c r="R46" s="12">
        <f>Table1[[#This Row],[orig_vote_clinton]]+Table1[[#This Row],[johnson_votes_to_clinton]]</f>
        <v>2033160</v>
      </c>
      <c r="S46" s="12">
        <f>Table1[[#This Row],[orig_vote_trump]]+Table1[[#This Row],[johnson_votes_to_trump]]</f>
        <v>1151461</v>
      </c>
      <c r="T46" s="11">
        <f>Table1[[#This Row],[orig_vote_clinton]]+Table1[[#This Row],[stein_votes_to_clinton]]+Table1[[#This Row],[johnson_votes_to_clinton]]</f>
        <v>2056615</v>
      </c>
      <c r="U46" s="11">
        <f>Table1[[#This Row],[orig_vote_trump]]+Table1[[#This Row],[stein_votes_to_trump]]+Table1[[#This Row],[johnson_votes_to_trump]]</f>
        <v>1174916</v>
      </c>
      <c r="V46" s="11">
        <f>Table1[[#This Row],[adjusted_vote_clinton_with_stein_only]]-Table1[[#This Row],[adjusted_vote_trump_with_stein_only]]</f>
        <v>881699</v>
      </c>
      <c r="W46" s="11">
        <f>Table1[[#This Row],[adjusted_vote_clinton_with_johnson_only]]-Table1[[#This Row],[adjusted_vote_trump_with_johnson_only]]</f>
        <v>881699</v>
      </c>
      <c r="X46" s="12">
        <f>Table1[[#This Row],[adjusted_vote_clinton]]-Table1[[#This Row],[adjusted_vote_trump]]</f>
        <v>881699</v>
      </c>
      <c r="Y46" s="12">
        <f>IF(Table1[[#This Row],[adjusted_spread_with_stein_only]]&gt;0,Table1[[#This Row],[electoral_votes]],0)</f>
        <v>10</v>
      </c>
      <c r="Z46" s="12">
        <f>IF(Table1[[#This Row],[adjusted_spread_with_johnson_only]]&gt;0,Table1[[#This Row],[electoral_votes]],0)</f>
        <v>10</v>
      </c>
      <c r="AA46" s="11">
        <f>IF(Table1[[#This Row],[adjusted_spread]]&gt;0,Table1[[#This Row],[electoral_votes]],0)</f>
        <v>10</v>
      </c>
      <c r="AB46" s="12">
        <f>IF(Table1[[#This Row],[adjusted_spread]]&lt;0,Table1[[#This Row],[electoral_votes]],0)</f>
        <v>0</v>
      </c>
      <c r="AC46" s="12" t="str">
        <f>IF(Table1[[#This Row],[orig_spread]]&lt;0,"Trump",IF(Table1[[#This Row],[orig_spread]]&gt;0,"Clinton",""))</f>
        <v>Clinton</v>
      </c>
      <c r="AD46" s="12" t="str">
        <f>IF(Table1[[#This Row],[adjusted_spread]]&lt;0,"Trump",IF(Table1[[#This Row],[adjusted_spread]]&gt;0,"Clinton",""))</f>
        <v>Clinton</v>
      </c>
      <c r="AE46" s="11" t="b">
        <f>AND(Table1[[#This Row],[orig_outcome]]="Trump",Table1[[#This Row],[adjusted_outcome]]="Clinton")</f>
        <v>0</v>
      </c>
      <c r="AF46" s="11" t="b">
        <f>AND(Table1[[#This Row],[orig_outcome]]="Clinton",Table1[[#This Row],[adjusted_outcome]]="Trump")</f>
        <v>0</v>
      </c>
      <c r="AG46" s="11" t="str">
        <f>IF(Table1[[#This Row],[index]]=1,IF(Table1[[#This Row],[pickup_clinton]],Table1[[#This Row],[State]],""),IF(Table1[[#This Row],[pickup_clinton]],CONCATENATE(AG45,IF(AG45="","",","),Table1[[#This Row],[State]]),AG45))</f>
        <v/>
      </c>
      <c r="AH46" s="11" t="str">
        <f>IF(Table1[[#This Row],[index]]=1,IF(Table1[[#This Row],[pickup_trump]],Table1[[#This Row],[State]],""),IF(Table1[[#This Row],[pickup_trump]],CONCATENATE(AH45,IF(AH35="","",","),Table1[[#This Row],[State]]),AH45))</f>
        <v/>
      </c>
      <c r="AI46" s="30">
        <f>IF(Table1[[#This Row],[orig_vote_stein]]=0,"",(1-Table1[[#This Row],[adjusted_spread_with_johnson_only]]/Table1[[#This Row],[orig_vote_stein]])/2)</f>
        <v>-8.8977723299936056</v>
      </c>
      <c r="AJ46" s="30">
        <f>(1-Table1[[#This Row],[adjusted_spread_with_stein_only]]/Table1[[#This Row],[orig_vote_johnson]])/2</f>
        <v>-2.7229610188326121</v>
      </c>
      <c r="AK46" s="30" t="b">
        <f>AND(Table1[[#This Row],[stein_split_needed_pure]]&gt;=0,Table1[[#This Row],[stein_split_needed_pure]]&lt;=1)</f>
        <v>0</v>
      </c>
      <c r="AL46" s="30" t="b">
        <f>AND(Table1[[#This Row],[johnson_split_needed_pure]]&gt;=0,Table1[[#This Row],[johnson_split_needed_pure]]&lt;=1)</f>
        <v>0</v>
      </c>
      <c r="AM46" s="30" t="b">
        <f>OR(Table1[[#This Row],[in_play_stein]],Table1[[#This Row],[in_play_johnson]])</f>
        <v>0</v>
      </c>
      <c r="AN46" s="51">
        <f t="array" ref="AN4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6" s="51">
        <f t="array" ref="AO4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6" s="51">
        <f t="array" ref="AP4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6" s="51">
        <f t="array" ref="AQ4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6" s="44">
        <f>adjusted_electors_clinton_with_johnson_only+Table1[[#This Row],[electors_with_split_stein_added]]+Table1[[#This Row],[electors_with_split_stein_dropped]]</f>
        <v>233</v>
      </c>
      <c r="AS46" s="44">
        <f>adjusted_electors_clinton_with_stein_only+Table1[[#This Row],[electors_with_split_johnson_added]]+Table1[[#This Row],[electors_with_split_johnson_dropped]]</f>
        <v>233</v>
      </c>
      <c r="AT46" s="30" t="str">
        <f>IF(AND(Table1[[#This Row],[in_play_stein]],Table1[[#This Row],[electors_with_split_stein]]&gt;=270),Table1[[#This Row],[stein_split_needed_pure]],"")</f>
        <v/>
      </c>
      <c r="AU46" s="45" t="str">
        <f>IF(AND(Table1[[#This Row],[in_play_johnson]],Table1[[#This Row],[electors_with_split_johnson]]&gt;=270),Table1[[#This Row],[johnson_split_needed_pure]],"")</f>
        <v/>
      </c>
      <c r="AV4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6" s="16">
        <f>Table1[[#This Row],[adjusted_electors_trump]]+Table1[[#This Row],[adjusted_electors_clinton]]-Table1[[#This Row],[electoral_votes]]</f>
        <v>0</v>
      </c>
      <c r="BC46"/>
      <c r="BE46"/>
      <c r="BF46"/>
    </row>
    <row r="47" spans="2:58">
      <c r="B47" s="3" t="s">
        <v>1</v>
      </c>
      <c r="C47" s="4">
        <v>16</v>
      </c>
      <c r="D47" s="13">
        <v>2268193</v>
      </c>
      <c r="E47" s="13">
        <v>2279805</v>
      </c>
      <c r="F47" s="13">
        <v>173057</v>
      </c>
      <c r="G47" s="13">
        <v>50700</v>
      </c>
      <c r="H47" s="29">
        <f>ROW()-ROW(Table1[[#Headers],[index]])</f>
        <v>23</v>
      </c>
      <c r="I47" s="12">
        <f>Table1[[#This Row],[orig_vote_clinton]]-Table1[[#This Row],[orig_vote_trump]]</f>
        <v>-11612</v>
      </c>
      <c r="J47" s="12">
        <f>IF(Table1[[#This Row],[orig_spread]]&gt;0,Table1[[#This Row],[electoral_votes]],0)</f>
        <v>0</v>
      </c>
      <c r="K47" s="12">
        <f>IF(Table1[[#This Row],[orig_spread]]&lt;0,Table1[[#This Row],[electoral_votes]],0)</f>
        <v>16</v>
      </c>
      <c r="L47" s="12">
        <f>pct_stein_to_clinton*Table1[[#This Row],[orig_vote_stein]]</f>
        <v>25350</v>
      </c>
      <c r="M47" s="12">
        <f>pct_stein_to_trump*Table1[[#This Row],[orig_vote_stein]]</f>
        <v>25350</v>
      </c>
      <c r="N47" s="12">
        <f>pct_johnson_to_clinton*Table1[[#This Row],[orig_vote_johnson]]</f>
        <v>86528.5</v>
      </c>
      <c r="O47" s="12">
        <f>pct_johnson_to_trump*Table1[[#This Row],[orig_vote_johnson]]</f>
        <v>86528.5</v>
      </c>
      <c r="P47" s="12">
        <f>Table1[[#This Row],[orig_vote_clinton]]+Table1[[#This Row],[stein_votes_to_clinton]]</f>
        <v>2293543</v>
      </c>
      <c r="Q47" s="12">
        <f>Table1[[#This Row],[orig_vote_trump]]+Table1[[#This Row],[stein_votes_to_trump]]</f>
        <v>2305155</v>
      </c>
      <c r="R47" s="12">
        <f>Table1[[#This Row],[orig_vote_clinton]]+Table1[[#This Row],[johnson_votes_to_clinton]]</f>
        <v>2354721.5</v>
      </c>
      <c r="S47" s="12">
        <f>Table1[[#This Row],[orig_vote_trump]]+Table1[[#This Row],[johnson_votes_to_trump]]</f>
        <v>2366333.5</v>
      </c>
      <c r="T47" s="11">
        <f>Table1[[#This Row],[orig_vote_clinton]]+Table1[[#This Row],[stein_votes_to_clinton]]+Table1[[#This Row],[johnson_votes_to_clinton]]</f>
        <v>2380071.5</v>
      </c>
      <c r="U47" s="11">
        <f>Table1[[#This Row],[orig_vote_trump]]+Table1[[#This Row],[stein_votes_to_trump]]+Table1[[#This Row],[johnson_votes_to_trump]]</f>
        <v>2391683.5</v>
      </c>
      <c r="V47" s="11">
        <f>Table1[[#This Row],[adjusted_vote_clinton_with_stein_only]]-Table1[[#This Row],[adjusted_vote_trump_with_stein_only]]</f>
        <v>-11612</v>
      </c>
      <c r="W47" s="11">
        <f>Table1[[#This Row],[adjusted_vote_clinton_with_johnson_only]]-Table1[[#This Row],[adjusted_vote_trump_with_johnson_only]]</f>
        <v>-11612</v>
      </c>
      <c r="X47" s="12">
        <f>Table1[[#This Row],[adjusted_vote_clinton]]-Table1[[#This Row],[adjusted_vote_trump]]</f>
        <v>-11612</v>
      </c>
      <c r="Y47" s="12">
        <f>IF(Table1[[#This Row],[adjusted_spread_with_stein_only]]&gt;0,Table1[[#This Row],[electoral_votes]],0)</f>
        <v>0</v>
      </c>
      <c r="Z47" s="12">
        <f>IF(Table1[[#This Row],[adjusted_spread_with_johnson_only]]&gt;0,Table1[[#This Row],[electoral_votes]],0)</f>
        <v>0</v>
      </c>
      <c r="AA47" s="11">
        <f>IF(Table1[[#This Row],[adjusted_spread]]&gt;0,Table1[[#This Row],[electoral_votes]],0)</f>
        <v>0</v>
      </c>
      <c r="AB47" s="12">
        <f>IF(Table1[[#This Row],[adjusted_spread]]&lt;0,Table1[[#This Row],[electoral_votes]],0)</f>
        <v>16</v>
      </c>
      <c r="AC47" s="12" t="str">
        <f>IF(Table1[[#This Row],[orig_spread]]&lt;0,"Trump",IF(Table1[[#This Row],[orig_spread]]&gt;0,"Clinton",""))</f>
        <v>Trump</v>
      </c>
      <c r="AD47" s="12" t="str">
        <f>IF(Table1[[#This Row],[adjusted_spread]]&lt;0,"Trump",IF(Table1[[#This Row],[adjusted_spread]]&gt;0,"Clinton",""))</f>
        <v>Trump</v>
      </c>
      <c r="AE47" s="11" t="b">
        <f>AND(Table1[[#This Row],[orig_outcome]]="Trump",Table1[[#This Row],[adjusted_outcome]]="Clinton")</f>
        <v>0</v>
      </c>
      <c r="AF47" s="11" t="b">
        <f>AND(Table1[[#This Row],[orig_outcome]]="Clinton",Table1[[#This Row],[adjusted_outcome]]="Trump")</f>
        <v>0</v>
      </c>
      <c r="AG47" s="11" t="str">
        <f>IF(Table1[[#This Row],[index]]=1,IF(Table1[[#This Row],[pickup_clinton]],Table1[[#This Row],[State]],""),IF(Table1[[#This Row],[pickup_clinton]],CONCATENATE(AG46,IF(AG46="","",","),Table1[[#This Row],[State]]),AG46))</f>
        <v/>
      </c>
      <c r="AH47" s="11" t="str">
        <f>IF(Table1[[#This Row],[index]]=1,IF(Table1[[#This Row],[pickup_trump]],Table1[[#This Row],[State]],""),IF(Table1[[#This Row],[pickup_trump]],CONCATENATE(AH46,IF(AH36="","",","),Table1[[#This Row],[State]]),AH46))</f>
        <v/>
      </c>
      <c r="AI47" s="30">
        <f>IF(Table1[[#This Row],[orig_vote_stein]]=0,"",(1-Table1[[#This Row],[adjusted_spread_with_johnson_only]]/Table1[[#This Row],[orig_vote_stein]])/2)</f>
        <v>0.61451676528599608</v>
      </c>
      <c r="AJ47" s="30">
        <f>(1-Table1[[#This Row],[adjusted_spread_with_stein_only]]/Table1[[#This Row],[orig_vote_johnson]])/2</f>
        <v>0.53354963971408265</v>
      </c>
      <c r="AK47" s="30" t="b">
        <f>AND(Table1[[#This Row],[stein_split_needed_pure]]&gt;=0,Table1[[#This Row],[stein_split_needed_pure]]&lt;=1)</f>
        <v>1</v>
      </c>
      <c r="AL47" s="30" t="b">
        <f>AND(Table1[[#This Row],[johnson_split_needed_pure]]&gt;=0,Table1[[#This Row],[johnson_split_needed_pure]]&lt;=1)</f>
        <v>1</v>
      </c>
      <c r="AM47" s="30" t="b">
        <f>OR(Table1[[#This Row],[in_play_stein]],Table1[[#This Row],[in_play_johnson]])</f>
        <v>1</v>
      </c>
      <c r="AN47" s="51">
        <f t="array" ref="AN47">IF(NOT(Table1[[#This Row],[in_play_stein]]), 0, SUMPRODUCT(IF(Table1[stein_split_needed_pure]&lt;0.5, 0, 1), IF(Table1[in_play_stein], 1, 0), IF(Table1[stein_split_needed_pure]&lt;=Table1[[#This Row],[stein_split_needed_pure]], Table1[electoral_votes], 0)))</f>
        <v>16</v>
      </c>
      <c r="AO47" s="51">
        <f t="array" ref="AO4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16</v>
      </c>
      <c r="AP47" s="51">
        <f t="array" ref="AP4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7" s="51">
        <f t="array" ref="AQ4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7" s="44">
        <f>adjusted_electors_clinton_with_johnson_only+Table1[[#This Row],[electors_with_split_stein_added]]+Table1[[#This Row],[electors_with_split_stein_dropped]]</f>
        <v>249</v>
      </c>
      <c r="AS47" s="44">
        <f>adjusted_electors_clinton_with_stein_only+Table1[[#This Row],[electors_with_split_johnson_added]]+Table1[[#This Row],[electors_with_split_johnson_dropped]]</f>
        <v>249</v>
      </c>
      <c r="AT47" s="30" t="str">
        <f>IF(AND(Table1[[#This Row],[in_play_stein]],Table1[[#This Row],[electors_with_split_stein]]&gt;=270),Table1[[#This Row],[stein_split_needed_pure]],"")</f>
        <v/>
      </c>
      <c r="AU47" s="45" t="str">
        <f>IF(AND(Table1[[#This Row],[in_play_johnson]],Table1[[#This Row],[electors_with_split_johnson]]&gt;=270),Table1[[#This Row],[johnson_split_needed_pure]],"")</f>
        <v/>
      </c>
      <c r="AV4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7" s="16">
        <f>Table1[[#This Row],[adjusted_electors_trump]]+Table1[[#This Row],[adjusted_electors_clinton]]-Table1[[#This Row],[electoral_votes]]</f>
        <v>0</v>
      </c>
      <c r="BC47"/>
      <c r="BE47"/>
      <c r="BF47"/>
    </row>
    <row r="48" spans="2:58">
      <c r="B48" s="3" t="s">
        <v>32</v>
      </c>
      <c r="C48" s="7">
        <v>10</v>
      </c>
      <c r="D48" s="13">
        <v>1366676</v>
      </c>
      <c r="E48" s="13">
        <v>1322891</v>
      </c>
      <c r="F48" s="13">
        <v>112944</v>
      </c>
      <c r="G48" s="13">
        <v>36957</v>
      </c>
      <c r="H48" s="25">
        <f>ROW()-ROW(Table1[[#Headers],[index]])</f>
        <v>24</v>
      </c>
      <c r="I48" s="12">
        <f>Table1[[#This Row],[orig_vote_clinton]]-Table1[[#This Row],[orig_vote_trump]]</f>
        <v>43785</v>
      </c>
      <c r="J48" s="12">
        <f>IF(Table1[[#This Row],[orig_spread]]&gt;0,Table1[[#This Row],[electoral_votes]],0)</f>
        <v>10</v>
      </c>
      <c r="K48" s="12">
        <f>IF(Table1[[#This Row],[orig_spread]]&lt;0,Table1[[#This Row],[electoral_votes]],0)</f>
        <v>0</v>
      </c>
      <c r="L48" s="12">
        <f>pct_stein_to_clinton*Table1[[#This Row],[orig_vote_stein]]</f>
        <v>18478.5</v>
      </c>
      <c r="M48" s="12">
        <f>pct_stein_to_trump*Table1[[#This Row],[orig_vote_stein]]</f>
        <v>18478.5</v>
      </c>
      <c r="N48" s="12">
        <f>pct_johnson_to_clinton*Table1[[#This Row],[orig_vote_johnson]]</f>
        <v>56472</v>
      </c>
      <c r="O48" s="12">
        <f>pct_johnson_to_trump*Table1[[#This Row],[orig_vote_johnson]]</f>
        <v>56472</v>
      </c>
      <c r="P48" s="12">
        <f>Table1[[#This Row],[orig_vote_clinton]]+Table1[[#This Row],[stein_votes_to_clinton]]</f>
        <v>1385154.5</v>
      </c>
      <c r="Q48" s="12">
        <f>Table1[[#This Row],[orig_vote_trump]]+Table1[[#This Row],[stein_votes_to_trump]]</f>
        <v>1341369.5</v>
      </c>
      <c r="R48" s="12">
        <f>Table1[[#This Row],[orig_vote_clinton]]+Table1[[#This Row],[johnson_votes_to_clinton]]</f>
        <v>1423148</v>
      </c>
      <c r="S48" s="12">
        <f>Table1[[#This Row],[orig_vote_trump]]+Table1[[#This Row],[johnson_votes_to_trump]]</f>
        <v>1379363</v>
      </c>
      <c r="T48" s="11">
        <f>Table1[[#This Row],[orig_vote_clinton]]+Table1[[#This Row],[stein_votes_to_clinton]]+Table1[[#This Row],[johnson_votes_to_clinton]]</f>
        <v>1441626.5</v>
      </c>
      <c r="U48" s="11">
        <f>Table1[[#This Row],[orig_vote_trump]]+Table1[[#This Row],[stein_votes_to_trump]]+Table1[[#This Row],[johnson_votes_to_trump]]</f>
        <v>1397841.5</v>
      </c>
      <c r="V48" s="11">
        <f>Table1[[#This Row],[adjusted_vote_clinton_with_stein_only]]-Table1[[#This Row],[adjusted_vote_trump_with_stein_only]]</f>
        <v>43785</v>
      </c>
      <c r="W48" s="11">
        <f>Table1[[#This Row],[adjusted_vote_clinton_with_johnson_only]]-Table1[[#This Row],[adjusted_vote_trump_with_johnson_only]]</f>
        <v>43785</v>
      </c>
      <c r="X48" s="12">
        <f>Table1[[#This Row],[adjusted_vote_clinton]]-Table1[[#This Row],[adjusted_vote_trump]]</f>
        <v>43785</v>
      </c>
      <c r="Y48" s="12">
        <f>IF(Table1[[#This Row],[adjusted_spread_with_stein_only]]&gt;0,Table1[[#This Row],[electoral_votes]],0)</f>
        <v>10</v>
      </c>
      <c r="Z48" s="12">
        <f>IF(Table1[[#This Row],[adjusted_spread_with_johnson_only]]&gt;0,Table1[[#This Row],[electoral_votes]],0)</f>
        <v>10</v>
      </c>
      <c r="AA48" s="11">
        <f>IF(Table1[[#This Row],[adjusted_spread]]&gt;0,Table1[[#This Row],[electoral_votes]],0)</f>
        <v>10</v>
      </c>
      <c r="AB48" s="12">
        <f>IF(Table1[[#This Row],[adjusted_spread]]&lt;0,Table1[[#This Row],[electoral_votes]],0)</f>
        <v>0</v>
      </c>
      <c r="AC48" s="12" t="str">
        <f>IF(Table1[[#This Row],[orig_spread]]&lt;0,"Trump",IF(Table1[[#This Row],[orig_spread]]&gt;0,"Clinton",""))</f>
        <v>Clinton</v>
      </c>
      <c r="AD48" s="12" t="str">
        <f>IF(Table1[[#This Row],[adjusted_spread]]&lt;0,"Trump",IF(Table1[[#This Row],[adjusted_spread]]&gt;0,"Clinton",""))</f>
        <v>Clinton</v>
      </c>
      <c r="AE48" s="11" t="b">
        <f>AND(Table1[[#This Row],[orig_outcome]]="Trump",Table1[[#This Row],[adjusted_outcome]]="Clinton")</f>
        <v>0</v>
      </c>
      <c r="AF48" s="11" t="b">
        <f>AND(Table1[[#This Row],[orig_outcome]]="Clinton",Table1[[#This Row],[adjusted_outcome]]="Trump")</f>
        <v>0</v>
      </c>
      <c r="AG48" s="11" t="str">
        <f>IF(Table1[[#This Row],[index]]=1,IF(Table1[[#This Row],[pickup_clinton]],Table1[[#This Row],[State]],""),IF(Table1[[#This Row],[pickup_clinton]],CONCATENATE(AG47,IF(AG47="","",","),Table1[[#This Row],[State]]),AG47))</f>
        <v/>
      </c>
      <c r="AH48" s="11" t="str">
        <f>IF(Table1[[#This Row],[index]]=1,IF(Table1[[#This Row],[pickup_trump]],Table1[[#This Row],[State]],""),IF(Table1[[#This Row],[pickup_trump]],CONCATENATE(AH47,IF(AH37="","",","),Table1[[#This Row],[State]]),AH47))</f>
        <v/>
      </c>
      <c r="AI48" s="30">
        <f>IF(Table1[[#This Row],[orig_vote_stein]]=0,"",(1-Table1[[#This Row],[adjusted_spread_with_johnson_only]]/Table1[[#This Row],[orig_vote_stein]])/2)</f>
        <v>-9.2377628054225225E-2</v>
      </c>
      <c r="AJ48" s="30">
        <f>(1-Table1[[#This Row],[adjusted_spread_with_stein_only]]/Table1[[#This Row],[orig_vote_johnson]])/2</f>
        <v>0.30616500212494691</v>
      </c>
      <c r="AK48" s="30" t="b">
        <f>AND(Table1[[#This Row],[stein_split_needed_pure]]&gt;=0,Table1[[#This Row],[stein_split_needed_pure]]&lt;=1)</f>
        <v>0</v>
      </c>
      <c r="AL48" s="30" t="b">
        <f>AND(Table1[[#This Row],[johnson_split_needed_pure]]&gt;=0,Table1[[#This Row],[johnson_split_needed_pure]]&lt;=1)</f>
        <v>1</v>
      </c>
      <c r="AM48" s="30" t="b">
        <f>OR(Table1[[#This Row],[in_play_stein]],Table1[[#This Row],[in_play_johnson]])</f>
        <v>1</v>
      </c>
      <c r="AN48" s="51">
        <f t="array" ref="AN4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8" s="51">
        <f t="array" ref="AO4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8" s="51">
        <f t="array" ref="AP4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8" s="51">
        <f t="array" ref="AQ4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-14</v>
      </c>
      <c r="AR48" s="44">
        <f>adjusted_electors_clinton_with_johnson_only+Table1[[#This Row],[electors_with_split_stein_added]]+Table1[[#This Row],[electors_with_split_stein_dropped]]</f>
        <v>233</v>
      </c>
      <c r="AS48" s="44">
        <f>adjusted_electors_clinton_with_stein_only+Table1[[#This Row],[electors_with_split_johnson_added]]+Table1[[#This Row],[electors_with_split_johnson_dropped]]</f>
        <v>219</v>
      </c>
      <c r="AT48" s="30" t="str">
        <f>IF(AND(Table1[[#This Row],[in_play_stein]],Table1[[#This Row],[electors_with_split_stein]]&gt;=270),Table1[[#This Row],[stein_split_needed_pure]],"")</f>
        <v/>
      </c>
      <c r="AU48" s="45" t="str">
        <f>IF(AND(Table1[[#This Row],[in_play_johnson]],Table1[[#This Row],[electors_with_split_johnson]]&gt;=270),Table1[[#This Row],[johnson_split_needed_pure]],"")</f>
        <v/>
      </c>
      <c r="AV4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8" s="16">
        <f>Table1[[#This Row],[adjusted_electors_trump]]+Table1[[#This Row],[adjusted_electors_clinton]]-Table1[[#This Row],[electoral_votes]]</f>
        <v>0</v>
      </c>
      <c r="BC48"/>
      <c r="BE48"/>
      <c r="BF48"/>
    </row>
    <row r="49" spans="2:58">
      <c r="B49" s="3" t="s">
        <v>33</v>
      </c>
      <c r="C49" s="7">
        <v>6</v>
      </c>
      <c r="D49" s="13">
        <v>462250</v>
      </c>
      <c r="E49" s="13">
        <v>678457</v>
      </c>
      <c r="F49" s="13">
        <v>13817</v>
      </c>
      <c r="G49" s="13">
        <v>3595</v>
      </c>
      <c r="H49" s="25">
        <f>ROW()-ROW(Table1[[#Headers],[index]])</f>
        <v>25</v>
      </c>
      <c r="I49" s="12">
        <f>Table1[[#This Row],[orig_vote_clinton]]-Table1[[#This Row],[orig_vote_trump]]</f>
        <v>-216207</v>
      </c>
      <c r="J49" s="12">
        <f>IF(Table1[[#This Row],[orig_spread]]&gt;0,Table1[[#This Row],[electoral_votes]],0)</f>
        <v>0</v>
      </c>
      <c r="K49" s="12">
        <f>IF(Table1[[#This Row],[orig_spread]]&lt;0,Table1[[#This Row],[electoral_votes]],0)</f>
        <v>6</v>
      </c>
      <c r="L49" s="12">
        <f>pct_stein_to_clinton*Table1[[#This Row],[orig_vote_stein]]</f>
        <v>1797.5</v>
      </c>
      <c r="M49" s="12">
        <f>pct_stein_to_trump*Table1[[#This Row],[orig_vote_stein]]</f>
        <v>1797.5</v>
      </c>
      <c r="N49" s="12">
        <f>pct_johnson_to_clinton*Table1[[#This Row],[orig_vote_johnson]]</f>
        <v>6908.5</v>
      </c>
      <c r="O49" s="12">
        <f>pct_johnson_to_trump*Table1[[#This Row],[orig_vote_johnson]]</f>
        <v>6908.5</v>
      </c>
      <c r="P49" s="12">
        <f>Table1[[#This Row],[orig_vote_clinton]]+Table1[[#This Row],[stein_votes_to_clinton]]</f>
        <v>464047.5</v>
      </c>
      <c r="Q49" s="12">
        <f>Table1[[#This Row],[orig_vote_trump]]+Table1[[#This Row],[stein_votes_to_trump]]</f>
        <v>680254.5</v>
      </c>
      <c r="R49" s="12">
        <f>Table1[[#This Row],[orig_vote_clinton]]+Table1[[#This Row],[johnson_votes_to_clinton]]</f>
        <v>469158.5</v>
      </c>
      <c r="S49" s="12">
        <f>Table1[[#This Row],[orig_vote_trump]]+Table1[[#This Row],[johnson_votes_to_trump]]</f>
        <v>685365.5</v>
      </c>
      <c r="T49" s="11">
        <f>Table1[[#This Row],[orig_vote_clinton]]+Table1[[#This Row],[stein_votes_to_clinton]]+Table1[[#This Row],[johnson_votes_to_clinton]]</f>
        <v>470956</v>
      </c>
      <c r="U49" s="11">
        <f>Table1[[#This Row],[orig_vote_trump]]+Table1[[#This Row],[stein_votes_to_trump]]+Table1[[#This Row],[johnson_votes_to_trump]]</f>
        <v>687163</v>
      </c>
      <c r="V49" s="11">
        <f>Table1[[#This Row],[adjusted_vote_clinton_with_stein_only]]-Table1[[#This Row],[adjusted_vote_trump_with_stein_only]]</f>
        <v>-216207</v>
      </c>
      <c r="W49" s="11">
        <f>Table1[[#This Row],[adjusted_vote_clinton_with_johnson_only]]-Table1[[#This Row],[adjusted_vote_trump_with_johnson_only]]</f>
        <v>-216207</v>
      </c>
      <c r="X49" s="12">
        <f>Table1[[#This Row],[adjusted_vote_clinton]]-Table1[[#This Row],[adjusted_vote_trump]]</f>
        <v>-216207</v>
      </c>
      <c r="Y49" s="12">
        <f>IF(Table1[[#This Row],[adjusted_spread_with_stein_only]]&gt;0,Table1[[#This Row],[electoral_votes]],0)</f>
        <v>0</v>
      </c>
      <c r="Z49" s="12">
        <f>IF(Table1[[#This Row],[adjusted_spread_with_johnson_only]]&gt;0,Table1[[#This Row],[electoral_votes]],0)</f>
        <v>0</v>
      </c>
      <c r="AA49" s="11">
        <f>IF(Table1[[#This Row],[adjusted_spread]]&gt;0,Table1[[#This Row],[electoral_votes]],0)</f>
        <v>0</v>
      </c>
      <c r="AB49" s="12">
        <f>IF(Table1[[#This Row],[adjusted_spread]]&lt;0,Table1[[#This Row],[electoral_votes]],0)</f>
        <v>6</v>
      </c>
      <c r="AC49" s="12" t="str">
        <f>IF(Table1[[#This Row],[orig_spread]]&lt;0,"Trump",IF(Table1[[#This Row],[orig_spread]]&gt;0,"Clinton",""))</f>
        <v>Trump</v>
      </c>
      <c r="AD49" s="12" t="str">
        <f>IF(Table1[[#This Row],[adjusted_spread]]&lt;0,"Trump",IF(Table1[[#This Row],[adjusted_spread]]&gt;0,"Clinton",""))</f>
        <v>Trump</v>
      </c>
      <c r="AE49" s="11" t="b">
        <f>AND(Table1[[#This Row],[orig_outcome]]="Trump",Table1[[#This Row],[adjusted_outcome]]="Clinton")</f>
        <v>0</v>
      </c>
      <c r="AF49" s="11" t="b">
        <f>AND(Table1[[#This Row],[orig_outcome]]="Clinton",Table1[[#This Row],[adjusted_outcome]]="Trump")</f>
        <v>0</v>
      </c>
      <c r="AG49" s="11" t="str">
        <f>IF(Table1[[#This Row],[index]]=1,IF(Table1[[#This Row],[pickup_clinton]],Table1[[#This Row],[State]],""),IF(Table1[[#This Row],[pickup_clinton]],CONCATENATE(AG48,IF(AG48="","",","),Table1[[#This Row],[State]]),AG48))</f>
        <v/>
      </c>
      <c r="AH49" s="11" t="str">
        <f>IF(Table1[[#This Row],[index]]=1,IF(Table1[[#This Row],[pickup_trump]],Table1[[#This Row],[State]],""),IF(Table1[[#This Row],[pickup_trump]],CONCATENATE(AH48,IF(AH38="","",","),Table1[[#This Row],[State]]),AH48))</f>
        <v/>
      </c>
      <c r="AI49" s="30">
        <f>IF(Table1[[#This Row],[orig_vote_stein]]=0,"",(1-Table1[[#This Row],[adjusted_spread_with_johnson_only]]/Table1[[#This Row],[orig_vote_stein]])/2)</f>
        <v>30.570514603616132</v>
      </c>
      <c r="AJ49" s="30">
        <f>(1-Table1[[#This Row],[adjusted_spread_with_stein_only]]/Table1[[#This Row],[orig_vote_johnson]])/2</f>
        <v>8.3239487587754226</v>
      </c>
      <c r="AK49" s="30" t="b">
        <f>AND(Table1[[#This Row],[stein_split_needed_pure]]&gt;=0,Table1[[#This Row],[stein_split_needed_pure]]&lt;=1)</f>
        <v>0</v>
      </c>
      <c r="AL49" s="30" t="b">
        <f>AND(Table1[[#This Row],[johnson_split_needed_pure]]&gt;=0,Table1[[#This Row],[johnson_split_needed_pure]]&lt;=1)</f>
        <v>0</v>
      </c>
      <c r="AM49" s="30" t="b">
        <f>OR(Table1[[#This Row],[in_play_stein]],Table1[[#This Row],[in_play_johnson]])</f>
        <v>0</v>
      </c>
      <c r="AN49" s="51">
        <f t="array" ref="AN4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9" s="51">
        <f t="array" ref="AO4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9" s="51">
        <f t="array" ref="AP4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9" s="51">
        <f t="array" ref="AQ4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9" s="44">
        <f>adjusted_electors_clinton_with_johnson_only+Table1[[#This Row],[electors_with_split_stein_added]]+Table1[[#This Row],[electors_with_split_stein_dropped]]</f>
        <v>233</v>
      </c>
      <c r="AS49" s="44">
        <f>adjusted_electors_clinton_with_stein_only+Table1[[#This Row],[electors_with_split_johnson_added]]+Table1[[#This Row],[electors_with_split_johnson_dropped]]</f>
        <v>233</v>
      </c>
      <c r="AT49" s="30" t="str">
        <f>IF(AND(Table1[[#This Row],[in_play_stein]],Table1[[#This Row],[electors_with_split_stein]]&gt;=270),Table1[[#This Row],[stein_split_needed_pure]],"")</f>
        <v/>
      </c>
      <c r="AU49" s="45" t="str">
        <f>IF(AND(Table1[[#This Row],[in_play_johnson]],Table1[[#This Row],[electors_with_split_johnson]]&gt;=270),Table1[[#This Row],[johnson_split_needed_pure]],"")</f>
        <v/>
      </c>
      <c r="AV4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9" s="16">
        <f>Table1[[#This Row],[adjusted_electors_trump]]+Table1[[#This Row],[adjusted_electors_clinton]]-Table1[[#This Row],[electoral_votes]]</f>
        <v>0</v>
      </c>
      <c r="BC49"/>
      <c r="BE49"/>
      <c r="BF49"/>
    </row>
    <row r="50" spans="2:58">
      <c r="B50" s="3" t="s">
        <v>34</v>
      </c>
      <c r="C50" s="7">
        <v>10</v>
      </c>
      <c r="D50" s="13">
        <v>1054889</v>
      </c>
      <c r="E50" s="13">
        <v>1585753</v>
      </c>
      <c r="F50" s="13">
        <v>96404</v>
      </c>
      <c r="G50" s="13">
        <v>25086</v>
      </c>
      <c r="H50" s="25">
        <f>ROW()-ROW(Table1[[#Headers],[index]])</f>
        <v>26</v>
      </c>
      <c r="I50" s="12">
        <f>Table1[[#This Row],[orig_vote_clinton]]-Table1[[#This Row],[orig_vote_trump]]</f>
        <v>-530864</v>
      </c>
      <c r="J50" s="12">
        <f>IF(Table1[[#This Row],[orig_spread]]&gt;0,Table1[[#This Row],[electoral_votes]],0)</f>
        <v>0</v>
      </c>
      <c r="K50" s="12">
        <f>IF(Table1[[#This Row],[orig_spread]]&lt;0,Table1[[#This Row],[electoral_votes]],0)</f>
        <v>10</v>
      </c>
      <c r="L50" s="12">
        <f>pct_stein_to_clinton*Table1[[#This Row],[orig_vote_stein]]</f>
        <v>12543</v>
      </c>
      <c r="M50" s="12">
        <f>pct_stein_to_trump*Table1[[#This Row],[orig_vote_stein]]</f>
        <v>12543</v>
      </c>
      <c r="N50" s="12">
        <f>pct_johnson_to_clinton*Table1[[#This Row],[orig_vote_johnson]]</f>
        <v>48202</v>
      </c>
      <c r="O50" s="12">
        <f>pct_johnson_to_trump*Table1[[#This Row],[orig_vote_johnson]]</f>
        <v>48202</v>
      </c>
      <c r="P50" s="12">
        <f>Table1[[#This Row],[orig_vote_clinton]]+Table1[[#This Row],[stein_votes_to_clinton]]</f>
        <v>1067432</v>
      </c>
      <c r="Q50" s="12">
        <f>Table1[[#This Row],[orig_vote_trump]]+Table1[[#This Row],[stein_votes_to_trump]]</f>
        <v>1598296</v>
      </c>
      <c r="R50" s="12">
        <f>Table1[[#This Row],[orig_vote_clinton]]+Table1[[#This Row],[johnson_votes_to_clinton]]</f>
        <v>1103091</v>
      </c>
      <c r="S50" s="12">
        <f>Table1[[#This Row],[orig_vote_trump]]+Table1[[#This Row],[johnson_votes_to_trump]]</f>
        <v>1633955</v>
      </c>
      <c r="T50" s="11">
        <f>Table1[[#This Row],[orig_vote_clinton]]+Table1[[#This Row],[stein_votes_to_clinton]]+Table1[[#This Row],[johnson_votes_to_clinton]]</f>
        <v>1115634</v>
      </c>
      <c r="U50" s="11">
        <f>Table1[[#This Row],[orig_vote_trump]]+Table1[[#This Row],[stein_votes_to_trump]]+Table1[[#This Row],[johnson_votes_to_trump]]</f>
        <v>1646498</v>
      </c>
      <c r="V50" s="11">
        <f>Table1[[#This Row],[adjusted_vote_clinton_with_stein_only]]-Table1[[#This Row],[adjusted_vote_trump_with_stein_only]]</f>
        <v>-530864</v>
      </c>
      <c r="W50" s="11">
        <f>Table1[[#This Row],[adjusted_vote_clinton_with_johnson_only]]-Table1[[#This Row],[adjusted_vote_trump_with_johnson_only]]</f>
        <v>-530864</v>
      </c>
      <c r="X50" s="12">
        <f>Table1[[#This Row],[adjusted_vote_clinton]]-Table1[[#This Row],[adjusted_vote_trump]]</f>
        <v>-530864</v>
      </c>
      <c r="Y50" s="12">
        <f>IF(Table1[[#This Row],[adjusted_spread_with_stein_only]]&gt;0,Table1[[#This Row],[electoral_votes]],0)</f>
        <v>0</v>
      </c>
      <c r="Z50" s="12">
        <f>IF(Table1[[#This Row],[adjusted_spread_with_johnson_only]]&gt;0,Table1[[#This Row],[electoral_votes]],0)</f>
        <v>0</v>
      </c>
      <c r="AA50" s="11">
        <f>IF(Table1[[#This Row],[adjusted_spread]]&gt;0,Table1[[#This Row],[electoral_votes]],0)</f>
        <v>0</v>
      </c>
      <c r="AB50" s="12">
        <f>IF(Table1[[#This Row],[adjusted_spread]]&lt;0,Table1[[#This Row],[electoral_votes]],0)</f>
        <v>10</v>
      </c>
      <c r="AC50" s="12" t="str">
        <f>IF(Table1[[#This Row],[orig_spread]]&lt;0,"Trump",IF(Table1[[#This Row],[orig_spread]]&gt;0,"Clinton",""))</f>
        <v>Trump</v>
      </c>
      <c r="AD50" s="12" t="str">
        <f>IF(Table1[[#This Row],[adjusted_spread]]&lt;0,"Trump",IF(Table1[[#This Row],[adjusted_spread]]&gt;0,"Clinton",""))</f>
        <v>Trump</v>
      </c>
      <c r="AE50" s="11" t="b">
        <f>AND(Table1[[#This Row],[orig_outcome]]="Trump",Table1[[#This Row],[adjusted_outcome]]="Clinton")</f>
        <v>0</v>
      </c>
      <c r="AF50" s="11" t="b">
        <f>AND(Table1[[#This Row],[orig_outcome]]="Clinton",Table1[[#This Row],[adjusted_outcome]]="Trump")</f>
        <v>0</v>
      </c>
      <c r="AG50" s="11" t="str">
        <f>IF(Table1[[#This Row],[index]]=1,IF(Table1[[#This Row],[pickup_clinton]],Table1[[#This Row],[State]],""),IF(Table1[[#This Row],[pickup_clinton]],CONCATENATE(AG49,IF(AG49="","",","),Table1[[#This Row],[State]]),AG49))</f>
        <v/>
      </c>
      <c r="AH50" s="11" t="str">
        <f>IF(Table1[[#This Row],[index]]=1,IF(Table1[[#This Row],[pickup_trump]],Table1[[#This Row],[State]],""),IF(Table1[[#This Row],[pickup_trump]],CONCATENATE(AH49,IF(AH39="","",","),Table1[[#This Row],[State]]),AH49))</f>
        <v/>
      </c>
      <c r="AI50" s="30">
        <f>IF(Table1[[#This Row],[orig_vote_stein]]=0,"",(1-Table1[[#This Row],[adjusted_spread_with_johnson_only]]/Table1[[#This Row],[orig_vote_stein]])/2)</f>
        <v>11.080881766722475</v>
      </c>
      <c r="AJ50" s="30">
        <f>(1-Table1[[#This Row],[adjusted_spread_with_stein_only]]/Table1[[#This Row],[orig_vote_johnson]])/2</f>
        <v>3.2533297373552963</v>
      </c>
      <c r="AK50" s="30" t="b">
        <f>AND(Table1[[#This Row],[stein_split_needed_pure]]&gt;=0,Table1[[#This Row],[stein_split_needed_pure]]&lt;=1)</f>
        <v>0</v>
      </c>
      <c r="AL50" s="30" t="b">
        <f>AND(Table1[[#This Row],[johnson_split_needed_pure]]&gt;=0,Table1[[#This Row],[johnson_split_needed_pure]]&lt;=1)</f>
        <v>0</v>
      </c>
      <c r="AM50" s="30" t="b">
        <f>OR(Table1[[#This Row],[in_play_stein]],Table1[[#This Row],[in_play_johnson]])</f>
        <v>0</v>
      </c>
      <c r="AN50" s="51">
        <f t="array" ref="AN5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0" s="51">
        <f t="array" ref="AO5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0" s="51">
        <f t="array" ref="AP5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0" s="51">
        <f t="array" ref="AQ5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0" s="44">
        <f>adjusted_electors_clinton_with_johnson_only+Table1[[#This Row],[electors_with_split_stein_added]]+Table1[[#This Row],[electors_with_split_stein_dropped]]</f>
        <v>233</v>
      </c>
      <c r="AS50" s="44">
        <f>adjusted_electors_clinton_with_stein_only+Table1[[#This Row],[electors_with_split_johnson_added]]+Table1[[#This Row],[electors_with_split_johnson_dropped]]</f>
        <v>233</v>
      </c>
      <c r="AT50" s="30" t="str">
        <f>IF(AND(Table1[[#This Row],[in_play_stein]],Table1[[#This Row],[electors_with_split_stein]]&gt;=270),Table1[[#This Row],[stein_split_needed_pure]],"")</f>
        <v/>
      </c>
      <c r="AU50" s="45" t="str">
        <f>IF(AND(Table1[[#This Row],[in_play_johnson]],Table1[[#This Row],[electors_with_split_johnson]]&gt;=270),Table1[[#This Row],[johnson_split_needed_pure]],"")</f>
        <v/>
      </c>
      <c r="AV5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0" s="16">
        <f>Table1[[#This Row],[adjusted_electors_trump]]+Table1[[#This Row],[adjusted_electors_clinton]]-Table1[[#This Row],[electoral_votes]]</f>
        <v>0</v>
      </c>
      <c r="BC50"/>
      <c r="BE50"/>
      <c r="BF50"/>
    </row>
    <row r="51" spans="2:58">
      <c r="B51" s="3" t="s">
        <v>35</v>
      </c>
      <c r="C51" s="7">
        <v>3</v>
      </c>
      <c r="D51" s="13">
        <v>174521</v>
      </c>
      <c r="E51" s="13">
        <v>274120</v>
      </c>
      <c r="F51" s="13">
        <v>27264</v>
      </c>
      <c r="G51" s="13">
        <v>7669</v>
      </c>
      <c r="H51" s="25">
        <f>ROW()-ROW(Table1[[#Headers],[index]])</f>
        <v>27</v>
      </c>
      <c r="I51" s="12">
        <f>Table1[[#This Row],[orig_vote_clinton]]-Table1[[#This Row],[orig_vote_trump]]</f>
        <v>-99599</v>
      </c>
      <c r="J51" s="12">
        <f>IF(Table1[[#This Row],[orig_spread]]&gt;0,Table1[[#This Row],[electoral_votes]],0)</f>
        <v>0</v>
      </c>
      <c r="K51" s="12">
        <f>IF(Table1[[#This Row],[orig_spread]]&lt;0,Table1[[#This Row],[electoral_votes]],0)</f>
        <v>3</v>
      </c>
      <c r="L51" s="12">
        <f>pct_stein_to_clinton*Table1[[#This Row],[orig_vote_stein]]</f>
        <v>3834.5</v>
      </c>
      <c r="M51" s="12">
        <f>pct_stein_to_trump*Table1[[#This Row],[orig_vote_stein]]</f>
        <v>3834.5</v>
      </c>
      <c r="N51" s="12">
        <f>pct_johnson_to_clinton*Table1[[#This Row],[orig_vote_johnson]]</f>
        <v>13632</v>
      </c>
      <c r="O51" s="12">
        <f>pct_johnson_to_trump*Table1[[#This Row],[orig_vote_johnson]]</f>
        <v>13632</v>
      </c>
      <c r="P51" s="12">
        <f>Table1[[#This Row],[orig_vote_clinton]]+Table1[[#This Row],[stein_votes_to_clinton]]</f>
        <v>178355.5</v>
      </c>
      <c r="Q51" s="12">
        <f>Table1[[#This Row],[orig_vote_trump]]+Table1[[#This Row],[stein_votes_to_trump]]</f>
        <v>277954.5</v>
      </c>
      <c r="R51" s="12">
        <f>Table1[[#This Row],[orig_vote_clinton]]+Table1[[#This Row],[johnson_votes_to_clinton]]</f>
        <v>188153</v>
      </c>
      <c r="S51" s="12">
        <f>Table1[[#This Row],[orig_vote_trump]]+Table1[[#This Row],[johnson_votes_to_trump]]</f>
        <v>287752</v>
      </c>
      <c r="T51" s="11">
        <f>Table1[[#This Row],[orig_vote_clinton]]+Table1[[#This Row],[stein_votes_to_clinton]]+Table1[[#This Row],[johnson_votes_to_clinton]]</f>
        <v>191987.5</v>
      </c>
      <c r="U51" s="11">
        <f>Table1[[#This Row],[orig_vote_trump]]+Table1[[#This Row],[stein_votes_to_trump]]+Table1[[#This Row],[johnson_votes_to_trump]]</f>
        <v>291586.5</v>
      </c>
      <c r="V51" s="11">
        <f>Table1[[#This Row],[adjusted_vote_clinton_with_stein_only]]-Table1[[#This Row],[adjusted_vote_trump_with_stein_only]]</f>
        <v>-99599</v>
      </c>
      <c r="W51" s="11">
        <f>Table1[[#This Row],[adjusted_vote_clinton_with_johnson_only]]-Table1[[#This Row],[adjusted_vote_trump_with_johnson_only]]</f>
        <v>-99599</v>
      </c>
      <c r="X51" s="12">
        <f>Table1[[#This Row],[adjusted_vote_clinton]]-Table1[[#This Row],[adjusted_vote_trump]]</f>
        <v>-99599</v>
      </c>
      <c r="Y51" s="12">
        <f>IF(Table1[[#This Row],[adjusted_spread_with_stein_only]]&gt;0,Table1[[#This Row],[electoral_votes]],0)</f>
        <v>0</v>
      </c>
      <c r="Z51" s="12">
        <f>IF(Table1[[#This Row],[adjusted_spread_with_johnson_only]]&gt;0,Table1[[#This Row],[electoral_votes]],0)</f>
        <v>0</v>
      </c>
      <c r="AA51" s="11">
        <f>IF(Table1[[#This Row],[adjusted_spread]]&gt;0,Table1[[#This Row],[electoral_votes]],0)</f>
        <v>0</v>
      </c>
      <c r="AB51" s="12">
        <f>IF(Table1[[#This Row],[adjusted_spread]]&lt;0,Table1[[#This Row],[electoral_votes]],0)</f>
        <v>3</v>
      </c>
      <c r="AC51" s="12" t="str">
        <f>IF(Table1[[#This Row],[orig_spread]]&lt;0,"Trump",IF(Table1[[#This Row],[orig_spread]]&gt;0,"Clinton",""))</f>
        <v>Trump</v>
      </c>
      <c r="AD51" s="12" t="str">
        <f>IF(Table1[[#This Row],[adjusted_spread]]&lt;0,"Trump",IF(Table1[[#This Row],[adjusted_spread]]&gt;0,"Clinton",""))</f>
        <v>Trump</v>
      </c>
      <c r="AE51" s="11" t="b">
        <f>AND(Table1[[#This Row],[orig_outcome]]="Trump",Table1[[#This Row],[adjusted_outcome]]="Clinton")</f>
        <v>0</v>
      </c>
      <c r="AF51" s="11" t="b">
        <f>AND(Table1[[#This Row],[orig_outcome]]="Clinton",Table1[[#This Row],[adjusted_outcome]]="Trump")</f>
        <v>0</v>
      </c>
      <c r="AG51" s="11" t="str">
        <f>IF(Table1[[#This Row],[index]]=1,IF(Table1[[#This Row],[pickup_clinton]],Table1[[#This Row],[State]],""),IF(Table1[[#This Row],[pickup_clinton]],CONCATENATE(AG50,IF(AG50="","",","),Table1[[#This Row],[State]]),AG50))</f>
        <v/>
      </c>
      <c r="AH51" s="11" t="str">
        <f>IF(Table1[[#This Row],[index]]=1,IF(Table1[[#This Row],[pickup_trump]],Table1[[#This Row],[State]],""),IF(Table1[[#This Row],[pickup_trump]],CONCATENATE(AH50,IF(AH40="","",","),Table1[[#This Row],[State]]),AH50))</f>
        <v/>
      </c>
      <c r="AI51" s="30">
        <f>IF(Table1[[#This Row],[orig_vote_stein]]=0,"",(1-Table1[[#This Row],[adjusted_spread_with_johnson_only]]/Table1[[#This Row],[orig_vote_stein]])/2)</f>
        <v>6.9936106402399272</v>
      </c>
      <c r="AJ51" s="30">
        <f>(1-Table1[[#This Row],[adjusted_spread_with_stein_only]]/Table1[[#This Row],[orig_vote_johnson]])/2</f>
        <v>2.3265661678403755</v>
      </c>
      <c r="AK51" s="30" t="b">
        <f>AND(Table1[[#This Row],[stein_split_needed_pure]]&gt;=0,Table1[[#This Row],[stein_split_needed_pure]]&lt;=1)</f>
        <v>0</v>
      </c>
      <c r="AL51" s="30" t="b">
        <f>AND(Table1[[#This Row],[johnson_split_needed_pure]]&gt;=0,Table1[[#This Row],[johnson_split_needed_pure]]&lt;=1)</f>
        <v>0</v>
      </c>
      <c r="AM51" s="30" t="b">
        <f>OR(Table1[[#This Row],[in_play_stein]],Table1[[#This Row],[in_play_johnson]])</f>
        <v>0</v>
      </c>
      <c r="AN51" s="51">
        <f t="array" ref="AN5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1" s="51">
        <f t="array" ref="AO5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1" s="51">
        <f t="array" ref="AP5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1" s="51">
        <f t="array" ref="AQ5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1" s="44">
        <f>adjusted_electors_clinton_with_johnson_only+Table1[[#This Row],[electors_with_split_stein_added]]+Table1[[#This Row],[electors_with_split_stein_dropped]]</f>
        <v>233</v>
      </c>
      <c r="AS51" s="44">
        <f>adjusted_electors_clinton_with_stein_only+Table1[[#This Row],[electors_with_split_johnson_added]]+Table1[[#This Row],[electors_with_split_johnson_dropped]]</f>
        <v>233</v>
      </c>
      <c r="AT51" s="30" t="str">
        <f>IF(AND(Table1[[#This Row],[in_play_stein]],Table1[[#This Row],[electors_with_split_stein]]&gt;=270),Table1[[#This Row],[stein_split_needed_pure]],"")</f>
        <v/>
      </c>
      <c r="AU51" s="45" t="str">
        <f>IF(AND(Table1[[#This Row],[in_play_johnson]],Table1[[#This Row],[electors_with_split_johnson]]&gt;=270),Table1[[#This Row],[johnson_split_needed_pure]],"")</f>
        <v/>
      </c>
      <c r="AV5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1" s="16">
        <f>Table1[[#This Row],[adjusted_electors_trump]]+Table1[[#This Row],[adjusted_electors_clinton]]-Table1[[#This Row],[electoral_votes]]</f>
        <v>0</v>
      </c>
      <c r="BC51"/>
      <c r="BE51"/>
      <c r="BF51"/>
    </row>
    <row r="52" spans="2:58">
      <c r="B52" s="3" t="s">
        <v>36</v>
      </c>
      <c r="C52" s="7">
        <v>5</v>
      </c>
      <c r="D52" s="13">
        <v>273858</v>
      </c>
      <c r="E52" s="13">
        <v>485819</v>
      </c>
      <c r="F52" s="13">
        <v>37615</v>
      </c>
      <c r="G52" s="13">
        <v>8346</v>
      </c>
      <c r="H52" s="25">
        <f>ROW()-ROW(Table1[[#Headers],[index]])</f>
        <v>28</v>
      </c>
      <c r="I52" s="12">
        <f>Table1[[#This Row],[orig_vote_clinton]]-Table1[[#This Row],[orig_vote_trump]]</f>
        <v>-211961</v>
      </c>
      <c r="J52" s="12">
        <f>IF(Table1[[#This Row],[orig_spread]]&gt;0,Table1[[#This Row],[electoral_votes]],0)</f>
        <v>0</v>
      </c>
      <c r="K52" s="12">
        <f>IF(Table1[[#This Row],[orig_spread]]&lt;0,Table1[[#This Row],[electoral_votes]],0)</f>
        <v>5</v>
      </c>
      <c r="L52" s="12">
        <f>pct_stein_to_clinton*Table1[[#This Row],[orig_vote_stein]]</f>
        <v>4173</v>
      </c>
      <c r="M52" s="12">
        <f>pct_stein_to_trump*Table1[[#This Row],[orig_vote_stein]]</f>
        <v>4173</v>
      </c>
      <c r="N52" s="12">
        <f>pct_johnson_to_clinton*Table1[[#This Row],[orig_vote_johnson]]</f>
        <v>18807.5</v>
      </c>
      <c r="O52" s="12">
        <f>pct_johnson_to_trump*Table1[[#This Row],[orig_vote_johnson]]</f>
        <v>18807.5</v>
      </c>
      <c r="P52" s="12">
        <f>Table1[[#This Row],[orig_vote_clinton]]+Table1[[#This Row],[stein_votes_to_clinton]]</f>
        <v>278031</v>
      </c>
      <c r="Q52" s="12">
        <f>Table1[[#This Row],[orig_vote_trump]]+Table1[[#This Row],[stein_votes_to_trump]]</f>
        <v>489992</v>
      </c>
      <c r="R52" s="12">
        <f>Table1[[#This Row],[orig_vote_clinton]]+Table1[[#This Row],[johnson_votes_to_clinton]]</f>
        <v>292665.5</v>
      </c>
      <c r="S52" s="12">
        <f>Table1[[#This Row],[orig_vote_trump]]+Table1[[#This Row],[johnson_votes_to_trump]]</f>
        <v>504626.5</v>
      </c>
      <c r="T52" s="11">
        <f>Table1[[#This Row],[orig_vote_clinton]]+Table1[[#This Row],[stein_votes_to_clinton]]+Table1[[#This Row],[johnson_votes_to_clinton]]</f>
        <v>296838.5</v>
      </c>
      <c r="U52" s="11">
        <f>Table1[[#This Row],[orig_vote_trump]]+Table1[[#This Row],[stein_votes_to_trump]]+Table1[[#This Row],[johnson_votes_to_trump]]</f>
        <v>508799.5</v>
      </c>
      <c r="V52" s="11">
        <f>Table1[[#This Row],[adjusted_vote_clinton_with_stein_only]]-Table1[[#This Row],[adjusted_vote_trump_with_stein_only]]</f>
        <v>-211961</v>
      </c>
      <c r="W52" s="11">
        <f>Table1[[#This Row],[adjusted_vote_clinton_with_johnson_only]]-Table1[[#This Row],[adjusted_vote_trump_with_johnson_only]]</f>
        <v>-211961</v>
      </c>
      <c r="X52" s="12">
        <f>Table1[[#This Row],[adjusted_vote_clinton]]-Table1[[#This Row],[adjusted_vote_trump]]</f>
        <v>-211961</v>
      </c>
      <c r="Y52" s="12">
        <f>IF(Table1[[#This Row],[adjusted_spread_with_stein_only]]&gt;0,Table1[[#This Row],[electoral_votes]],0)</f>
        <v>0</v>
      </c>
      <c r="Z52" s="12">
        <f>IF(Table1[[#This Row],[adjusted_spread_with_johnson_only]]&gt;0,Table1[[#This Row],[electoral_votes]],0)</f>
        <v>0</v>
      </c>
      <c r="AA52" s="11">
        <f>IF(Table1[[#This Row],[adjusted_spread]]&gt;0,Table1[[#This Row],[electoral_votes]],0)</f>
        <v>0</v>
      </c>
      <c r="AB52" s="12">
        <f>IF(Table1[[#This Row],[adjusted_spread]]&lt;0,Table1[[#This Row],[electoral_votes]],0)</f>
        <v>5</v>
      </c>
      <c r="AC52" s="12" t="str">
        <f>IF(Table1[[#This Row],[orig_spread]]&lt;0,"Trump",IF(Table1[[#This Row],[orig_spread]]&gt;0,"Clinton",""))</f>
        <v>Trump</v>
      </c>
      <c r="AD52" s="12" t="str">
        <f>IF(Table1[[#This Row],[adjusted_spread]]&lt;0,"Trump",IF(Table1[[#This Row],[adjusted_spread]]&gt;0,"Clinton",""))</f>
        <v>Trump</v>
      </c>
      <c r="AE52" s="11" t="b">
        <f>AND(Table1[[#This Row],[orig_outcome]]="Trump",Table1[[#This Row],[adjusted_outcome]]="Clinton")</f>
        <v>0</v>
      </c>
      <c r="AF52" s="11" t="b">
        <f>AND(Table1[[#This Row],[orig_outcome]]="Clinton",Table1[[#This Row],[adjusted_outcome]]="Trump")</f>
        <v>0</v>
      </c>
      <c r="AG52" s="11" t="str">
        <f>IF(Table1[[#This Row],[index]]=1,IF(Table1[[#This Row],[pickup_clinton]],Table1[[#This Row],[State]],""),IF(Table1[[#This Row],[pickup_clinton]],CONCATENATE(AG51,IF(AG51="","",","),Table1[[#This Row],[State]]),AG51))</f>
        <v/>
      </c>
      <c r="AH52" s="11" t="str">
        <f>IF(Table1[[#This Row],[index]]=1,IF(Table1[[#This Row],[pickup_trump]],Table1[[#This Row],[State]],""),IF(Table1[[#This Row],[pickup_trump]],CONCATENATE(AH51,IF(AH41="","",","),Table1[[#This Row],[State]]),AH51))</f>
        <v/>
      </c>
      <c r="AI52" s="30">
        <f>IF(Table1[[#This Row],[orig_vote_stein]]=0,"",(1-Table1[[#This Row],[adjusted_spread_with_johnson_only]]/Table1[[#This Row],[orig_vote_stein]])/2)</f>
        <v>13.198358495087467</v>
      </c>
      <c r="AJ52" s="30">
        <f>(1-Table1[[#This Row],[adjusted_spread_with_stein_only]]/Table1[[#This Row],[orig_vote_johnson]])/2</f>
        <v>3.3175063139704903</v>
      </c>
      <c r="AK52" s="30" t="b">
        <f>AND(Table1[[#This Row],[stein_split_needed_pure]]&gt;=0,Table1[[#This Row],[stein_split_needed_pure]]&lt;=1)</f>
        <v>0</v>
      </c>
      <c r="AL52" s="30" t="b">
        <f>AND(Table1[[#This Row],[johnson_split_needed_pure]]&gt;=0,Table1[[#This Row],[johnson_split_needed_pure]]&lt;=1)</f>
        <v>0</v>
      </c>
      <c r="AM52" s="30" t="b">
        <f>OR(Table1[[#This Row],[in_play_stein]],Table1[[#This Row],[in_play_johnson]])</f>
        <v>0</v>
      </c>
      <c r="AN52" s="51">
        <f t="array" ref="AN5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2" s="51">
        <f t="array" ref="AO5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2" s="51">
        <f t="array" ref="AP5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2" s="51">
        <f t="array" ref="AQ5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2" s="44">
        <f>adjusted_electors_clinton_with_johnson_only+Table1[[#This Row],[electors_with_split_stein_added]]+Table1[[#This Row],[electors_with_split_stein_dropped]]</f>
        <v>233</v>
      </c>
      <c r="AS52" s="44">
        <f>adjusted_electors_clinton_with_stein_only+Table1[[#This Row],[electors_with_split_johnson_added]]+Table1[[#This Row],[electors_with_split_johnson_dropped]]</f>
        <v>233</v>
      </c>
      <c r="AT52" s="30" t="str">
        <f>IF(AND(Table1[[#This Row],[in_play_stein]],Table1[[#This Row],[electors_with_split_stein]]&gt;=270),Table1[[#This Row],[stein_split_needed_pure]],"")</f>
        <v/>
      </c>
      <c r="AU52" s="45" t="str">
        <f>IF(AND(Table1[[#This Row],[in_play_johnson]],Table1[[#This Row],[electors_with_split_johnson]]&gt;=270),Table1[[#This Row],[johnson_split_needed_pure]],"")</f>
        <v/>
      </c>
      <c r="AV5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2" s="16">
        <f>Table1[[#This Row],[adjusted_electors_trump]]+Table1[[#This Row],[adjusted_electors_clinton]]-Table1[[#This Row],[electoral_votes]]</f>
        <v>0</v>
      </c>
      <c r="BC52"/>
      <c r="BE52"/>
      <c r="BF52"/>
    </row>
    <row r="53" spans="2:58">
      <c r="B53" s="19" t="s">
        <v>37</v>
      </c>
      <c r="C53" s="18">
        <v>6</v>
      </c>
      <c r="D53" s="13">
        <v>537753</v>
      </c>
      <c r="E53" s="13">
        <v>511319</v>
      </c>
      <c r="F53" s="13">
        <v>37299</v>
      </c>
      <c r="G53" s="13">
        <v>0</v>
      </c>
      <c r="H53" s="29">
        <f>ROW()-ROW(Table1[[#Headers],[index]])</f>
        <v>29</v>
      </c>
      <c r="I53" s="12">
        <f>Table1[[#This Row],[orig_vote_clinton]]-Table1[[#This Row],[orig_vote_trump]]</f>
        <v>26434</v>
      </c>
      <c r="J53" s="12">
        <f>IF(Table1[[#This Row],[orig_spread]]&gt;0,Table1[[#This Row],[electoral_votes]],0)</f>
        <v>6</v>
      </c>
      <c r="K53" s="12">
        <f>IF(Table1[[#This Row],[orig_spread]]&lt;0,Table1[[#This Row],[electoral_votes]],0)</f>
        <v>0</v>
      </c>
      <c r="L53" s="12">
        <f>pct_stein_to_clinton*Table1[[#This Row],[orig_vote_stein]]</f>
        <v>0</v>
      </c>
      <c r="M53" s="12">
        <f>pct_stein_to_trump*Table1[[#This Row],[orig_vote_stein]]</f>
        <v>0</v>
      </c>
      <c r="N53" s="12">
        <f>pct_johnson_to_clinton*Table1[[#This Row],[orig_vote_johnson]]</f>
        <v>18649.5</v>
      </c>
      <c r="O53" s="12">
        <f>pct_johnson_to_trump*Table1[[#This Row],[orig_vote_johnson]]</f>
        <v>18649.5</v>
      </c>
      <c r="P53" s="12">
        <f>Table1[[#This Row],[orig_vote_clinton]]+Table1[[#This Row],[stein_votes_to_clinton]]</f>
        <v>537753</v>
      </c>
      <c r="Q53" s="12">
        <f>Table1[[#This Row],[orig_vote_trump]]+Table1[[#This Row],[stein_votes_to_trump]]</f>
        <v>511319</v>
      </c>
      <c r="R53" s="12">
        <f>Table1[[#This Row],[orig_vote_clinton]]+Table1[[#This Row],[johnson_votes_to_clinton]]</f>
        <v>556402.5</v>
      </c>
      <c r="S53" s="12">
        <f>Table1[[#This Row],[orig_vote_trump]]+Table1[[#This Row],[johnson_votes_to_trump]]</f>
        <v>529968.5</v>
      </c>
      <c r="T53" s="11">
        <f>Table1[[#This Row],[orig_vote_clinton]]+Table1[[#This Row],[stein_votes_to_clinton]]+Table1[[#This Row],[johnson_votes_to_clinton]]</f>
        <v>556402.5</v>
      </c>
      <c r="U53" s="11">
        <f>Table1[[#This Row],[orig_vote_trump]]+Table1[[#This Row],[stein_votes_to_trump]]+Table1[[#This Row],[johnson_votes_to_trump]]</f>
        <v>529968.5</v>
      </c>
      <c r="V53" s="11">
        <f>Table1[[#This Row],[adjusted_vote_clinton_with_stein_only]]-Table1[[#This Row],[adjusted_vote_trump_with_stein_only]]</f>
        <v>26434</v>
      </c>
      <c r="W53" s="11">
        <f>Table1[[#This Row],[adjusted_vote_clinton_with_johnson_only]]-Table1[[#This Row],[adjusted_vote_trump_with_johnson_only]]</f>
        <v>26434</v>
      </c>
      <c r="X53" s="12">
        <f>Table1[[#This Row],[adjusted_vote_clinton]]-Table1[[#This Row],[adjusted_vote_trump]]</f>
        <v>26434</v>
      </c>
      <c r="Y53" s="12">
        <f>IF(Table1[[#This Row],[adjusted_spread_with_stein_only]]&gt;0,Table1[[#This Row],[electoral_votes]],0)</f>
        <v>6</v>
      </c>
      <c r="Z53" s="12">
        <f>IF(Table1[[#This Row],[adjusted_spread_with_johnson_only]]&gt;0,Table1[[#This Row],[electoral_votes]],0)</f>
        <v>6</v>
      </c>
      <c r="AA53" s="11">
        <f>IF(Table1[[#This Row],[adjusted_spread]]&gt;0,Table1[[#This Row],[electoral_votes]],0)</f>
        <v>6</v>
      </c>
      <c r="AB53" s="12">
        <f>IF(Table1[[#This Row],[adjusted_spread]]&lt;0,Table1[[#This Row],[electoral_votes]],0)</f>
        <v>0</v>
      </c>
      <c r="AC53" s="12" t="str">
        <f>IF(Table1[[#This Row],[orig_spread]]&lt;0,"Trump",IF(Table1[[#This Row],[orig_spread]]&gt;0,"Clinton",""))</f>
        <v>Clinton</v>
      </c>
      <c r="AD53" s="12" t="str">
        <f>IF(Table1[[#This Row],[adjusted_spread]]&lt;0,"Trump",IF(Table1[[#This Row],[adjusted_spread]]&gt;0,"Clinton",""))</f>
        <v>Clinton</v>
      </c>
      <c r="AE53" s="11" t="b">
        <f>AND(Table1[[#This Row],[orig_outcome]]="Trump",Table1[[#This Row],[adjusted_outcome]]="Clinton")</f>
        <v>0</v>
      </c>
      <c r="AF53" s="11" t="b">
        <f>AND(Table1[[#This Row],[orig_outcome]]="Clinton",Table1[[#This Row],[adjusted_outcome]]="Trump")</f>
        <v>0</v>
      </c>
      <c r="AG53" s="11" t="str">
        <f>IF(Table1[[#This Row],[index]]=1,IF(Table1[[#This Row],[pickup_clinton]],Table1[[#This Row],[State]],""),IF(Table1[[#This Row],[pickup_clinton]],CONCATENATE(AG52,IF(AG52="","",","),Table1[[#This Row],[State]]),AG52))</f>
        <v/>
      </c>
      <c r="AH53" s="11" t="str">
        <f>IF(Table1[[#This Row],[index]]=1,IF(Table1[[#This Row],[pickup_trump]],Table1[[#This Row],[State]],""),IF(Table1[[#This Row],[pickup_trump]],CONCATENATE(AH52,IF(AH42="","",","),Table1[[#This Row],[State]]),AH52))</f>
        <v/>
      </c>
      <c r="AI53" s="30" t="str">
        <f>IF(Table1[[#This Row],[orig_vote_stein]]=0,"",(1-Table1[[#This Row],[adjusted_spread_with_johnson_only]]/Table1[[#This Row],[orig_vote_stein]])/2)</f>
        <v/>
      </c>
      <c r="AJ53" s="30">
        <f>(1-Table1[[#This Row],[adjusted_spread_with_stein_only]]/Table1[[#This Row],[orig_vote_johnson]])/2</f>
        <v>0.14564733638971555</v>
      </c>
      <c r="AK53" s="30" t="b">
        <f>AND(Table1[[#This Row],[stein_split_needed_pure]]&gt;=0,Table1[[#This Row],[stein_split_needed_pure]]&lt;=1)</f>
        <v>0</v>
      </c>
      <c r="AL53" s="30" t="b">
        <f>AND(Table1[[#This Row],[johnson_split_needed_pure]]&gt;=0,Table1[[#This Row],[johnson_split_needed_pure]]&lt;=1)</f>
        <v>1</v>
      </c>
      <c r="AM53" s="30" t="b">
        <f>OR(Table1[[#This Row],[in_play_stein]],Table1[[#This Row],[in_play_johnson]])</f>
        <v>1</v>
      </c>
      <c r="AN53" s="51">
        <f t="array" ref="AN5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3" s="51">
        <f t="array" ref="AO5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3" s="51">
        <f t="array" ref="AP5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3" s="51">
        <f t="array" ref="AQ5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-34</v>
      </c>
      <c r="AR53" s="44">
        <f>adjusted_electors_clinton_with_johnson_only+Table1[[#This Row],[electors_with_split_stein_added]]+Table1[[#This Row],[electors_with_split_stein_dropped]]</f>
        <v>233</v>
      </c>
      <c r="AS53" s="44">
        <f>adjusted_electors_clinton_with_stein_only+Table1[[#This Row],[electors_with_split_johnson_added]]+Table1[[#This Row],[electors_with_split_johnson_dropped]]</f>
        <v>199</v>
      </c>
      <c r="AT53" s="30" t="str">
        <f>IF(AND(Table1[[#This Row],[in_play_stein]],Table1[[#This Row],[electors_with_split_stein]]&gt;=270),Table1[[#This Row],[stein_split_needed_pure]],"")</f>
        <v/>
      </c>
      <c r="AU53" s="45" t="str">
        <f>IF(AND(Table1[[#This Row],[in_play_johnson]],Table1[[#This Row],[electors_with_split_johnson]]&gt;=270),Table1[[#This Row],[johnson_split_needed_pure]],"")</f>
        <v/>
      </c>
      <c r="AV53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3" s="16">
        <f>Table1[[#This Row],[adjusted_electors_trump]]+Table1[[#This Row],[adjusted_electors_clinton]]-Table1[[#This Row],[electoral_votes]]</f>
        <v>0</v>
      </c>
      <c r="BC53"/>
      <c r="BE53"/>
      <c r="BF53"/>
    </row>
    <row r="54" spans="2:58">
      <c r="B54" s="19" t="s">
        <v>8</v>
      </c>
      <c r="C54" s="18">
        <v>4</v>
      </c>
      <c r="D54" s="13">
        <v>348521</v>
      </c>
      <c r="E54" s="13">
        <v>345789</v>
      </c>
      <c r="F54" s="13">
        <v>30827</v>
      </c>
      <c r="G54" s="13">
        <v>6416</v>
      </c>
      <c r="H54" s="25">
        <f>ROW()-ROW(Table1[[#Headers],[index]])</f>
        <v>30</v>
      </c>
      <c r="I54" s="12">
        <f>Table1[[#This Row],[orig_vote_clinton]]-Table1[[#This Row],[orig_vote_trump]]</f>
        <v>2732</v>
      </c>
      <c r="J54" s="12">
        <f>IF(Table1[[#This Row],[orig_spread]]&gt;0,Table1[[#This Row],[electoral_votes]],0)</f>
        <v>4</v>
      </c>
      <c r="K54" s="12">
        <f>IF(Table1[[#This Row],[orig_spread]]&lt;0,Table1[[#This Row],[electoral_votes]],0)</f>
        <v>0</v>
      </c>
      <c r="L54" s="12">
        <f>pct_stein_to_clinton*Table1[[#This Row],[orig_vote_stein]]</f>
        <v>3208</v>
      </c>
      <c r="M54" s="12">
        <f>pct_stein_to_trump*Table1[[#This Row],[orig_vote_stein]]</f>
        <v>3208</v>
      </c>
      <c r="N54" s="12">
        <f>pct_johnson_to_clinton*Table1[[#This Row],[orig_vote_johnson]]</f>
        <v>15413.5</v>
      </c>
      <c r="O54" s="12">
        <f>pct_johnson_to_trump*Table1[[#This Row],[orig_vote_johnson]]</f>
        <v>15413.5</v>
      </c>
      <c r="P54" s="12">
        <f>Table1[[#This Row],[orig_vote_clinton]]+Table1[[#This Row],[stein_votes_to_clinton]]</f>
        <v>351729</v>
      </c>
      <c r="Q54" s="12">
        <f>Table1[[#This Row],[orig_vote_trump]]+Table1[[#This Row],[stein_votes_to_trump]]</f>
        <v>348997</v>
      </c>
      <c r="R54" s="12">
        <f>Table1[[#This Row],[orig_vote_clinton]]+Table1[[#This Row],[johnson_votes_to_clinton]]</f>
        <v>363934.5</v>
      </c>
      <c r="S54" s="12">
        <f>Table1[[#This Row],[orig_vote_trump]]+Table1[[#This Row],[johnson_votes_to_trump]]</f>
        <v>361202.5</v>
      </c>
      <c r="T54" s="11">
        <f>Table1[[#This Row],[orig_vote_clinton]]+Table1[[#This Row],[stein_votes_to_clinton]]+Table1[[#This Row],[johnson_votes_to_clinton]]</f>
        <v>367142.5</v>
      </c>
      <c r="U54" s="11">
        <f>Table1[[#This Row],[orig_vote_trump]]+Table1[[#This Row],[stein_votes_to_trump]]+Table1[[#This Row],[johnson_votes_to_trump]]</f>
        <v>364410.5</v>
      </c>
      <c r="V54" s="11">
        <f>Table1[[#This Row],[adjusted_vote_clinton_with_stein_only]]-Table1[[#This Row],[adjusted_vote_trump_with_stein_only]]</f>
        <v>2732</v>
      </c>
      <c r="W54" s="11">
        <f>Table1[[#This Row],[adjusted_vote_clinton_with_johnson_only]]-Table1[[#This Row],[adjusted_vote_trump_with_johnson_only]]</f>
        <v>2732</v>
      </c>
      <c r="X54" s="12">
        <f>Table1[[#This Row],[adjusted_vote_clinton]]-Table1[[#This Row],[adjusted_vote_trump]]</f>
        <v>2732</v>
      </c>
      <c r="Y54" s="12">
        <f>IF(Table1[[#This Row],[adjusted_spread_with_stein_only]]&gt;0,Table1[[#This Row],[electoral_votes]],0)</f>
        <v>4</v>
      </c>
      <c r="Z54" s="12">
        <f>IF(Table1[[#This Row],[adjusted_spread_with_johnson_only]]&gt;0,Table1[[#This Row],[electoral_votes]],0)</f>
        <v>4</v>
      </c>
      <c r="AA54" s="11">
        <f>IF(Table1[[#This Row],[adjusted_spread]]&gt;0,Table1[[#This Row],[electoral_votes]],0)</f>
        <v>4</v>
      </c>
      <c r="AB54" s="12">
        <f>IF(Table1[[#This Row],[adjusted_spread]]&lt;0,Table1[[#This Row],[electoral_votes]],0)</f>
        <v>0</v>
      </c>
      <c r="AC54" s="12" t="str">
        <f>IF(Table1[[#This Row],[orig_spread]]&lt;0,"Trump",IF(Table1[[#This Row],[orig_spread]]&gt;0,"Clinton",""))</f>
        <v>Clinton</v>
      </c>
      <c r="AD54" s="12" t="str">
        <f>IF(Table1[[#This Row],[adjusted_spread]]&lt;0,"Trump",IF(Table1[[#This Row],[adjusted_spread]]&gt;0,"Clinton",""))</f>
        <v>Clinton</v>
      </c>
      <c r="AE54" s="11" t="b">
        <f>AND(Table1[[#This Row],[orig_outcome]]="Trump",Table1[[#This Row],[adjusted_outcome]]="Clinton")</f>
        <v>0</v>
      </c>
      <c r="AF54" s="11" t="b">
        <f>AND(Table1[[#This Row],[orig_outcome]]="Clinton",Table1[[#This Row],[adjusted_outcome]]="Trump")</f>
        <v>0</v>
      </c>
      <c r="AG54" s="11" t="str">
        <f>IF(Table1[[#This Row],[index]]=1,IF(Table1[[#This Row],[pickup_clinton]],Table1[[#This Row],[State]],""),IF(Table1[[#This Row],[pickup_clinton]],CONCATENATE(AG53,IF(AG53="","",","),Table1[[#This Row],[State]]),AG53))</f>
        <v/>
      </c>
      <c r="AH54" s="11" t="str">
        <f>IF(Table1[[#This Row],[index]]=1,IF(Table1[[#This Row],[pickup_trump]],Table1[[#This Row],[State]],""),IF(Table1[[#This Row],[pickup_trump]],CONCATENATE(AH53,IF(AH43="","",","),Table1[[#This Row],[State]]),AH53))</f>
        <v/>
      </c>
      <c r="AI54" s="30">
        <f>IF(Table1[[#This Row],[orig_vote_stein]]=0,"",(1-Table1[[#This Row],[adjusted_spread_with_johnson_only]]/Table1[[#This Row],[orig_vote_stein]])/2)</f>
        <v>0.28709476309226933</v>
      </c>
      <c r="AJ54" s="30">
        <f>(1-Table1[[#This Row],[adjusted_spread_with_stein_only]]/Table1[[#This Row],[orig_vote_johnson]])/2</f>
        <v>0.4556881954131119</v>
      </c>
      <c r="AK54" s="30" t="b">
        <f>AND(Table1[[#This Row],[stein_split_needed_pure]]&gt;=0,Table1[[#This Row],[stein_split_needed_pure]]&lt;=1)</f>
        <v>1</v>
      </c>
      <c r="AL54" s="30" t="b">
        <f>AND(Table1[[#This Row],[johnson_split_needed_pure]]&gt;=0,Table1[[#This Row],[johnson_split_needed_pure]]&lt;=1)</f>
        <v>1</v>
      </c>
      <c r="AM54" s="30" t="b">
        <f>OR(Table1[[#This Row],[in_play_stein]],Table1[[#This Row],[in_play_johnson]])</f>
        <v>1</v>
      </c>
      <c r="AN54" s="51">
        <f t="array" ref="AN5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4" s="51">
        <f t="array" ref="AO5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4" s="51">
        <f t="array" ref="AP54">IF(NOT(Table1[[#This Row],[in_play_stein]]), 0, SUMPRODUCT(IF(Table1[stein_split_needed_pure]&gt;0.5, 0, 1), IF(Table1[in_play_stein], 1, 0), IF(Table1[stein_split_needed_pure]&gt;=Table1[[#This Row],[stein_split_needed_pure]], -Table1[electoral_votes], 0)))</f>
        <v>-4</v>
      </c>
      <c r="AQ54" s="51">
        <f t="array" ref="AQ5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-4</v>
      </c>
      <c r="AR54" s="44">
        <f>adjusted_electors_clinton_with_johnson_only+Table1[[#This Row],[electors_with_split_stein_added]]+Table1[[#This Row],[electors_with_split_stein_dropped]]</f>
        <v>229</v>
      </c>
      <c r="AS54" s="44">
        <f>adjusted_electors_clinton_with_stein_only+Table1[[#This Row],[electors_with_split_johnson_added]]+Table1[[#This Row],[electors_with_split_johnson_dropped]]</f>
        <v>229</v>
      </c>
      <c r="AT54" s="30" t="str">
        <f>IF(AND(Table1[[#This Row],[in_play_stein]],Table1[[#This Row],[electors_with_split_stein]]&gt;=270),Table1[[#This Row],[stein_split_needed_pure]],"")</f>
        <v/>
      </c>
      <c r="AU54" s="45" t="str">
        <f>IF(AND(Table1[[#This Row],[in_play_johnson]],Table1[[#This Row],[electors_with_split_johnson]]&gt;=270),Table1[[#This Row],[johnson_split_needed_pure]],"")</f>
        <v/>
      </c>
      <c r="AV5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4" s="16">
        <f>Table1[[#This Row],[adjusted_electors_trump]]+Table1[[#This Row],[adjusted_electors_clinton]]-Table1[[#This Row],[electoral_votes]]</f>
        <v>0</v>
      </c>
      <c r="BC54"/>
      <c r="BE54"/>
      <c r="BF54"/>
    </row>
    <row r="55" spans="2:58">
      <c r="B55" s="19" t="s">
        <v>38</v>
      </c>
      <c r="C55" s="18">
        <v>14</v>
      </c>
      <c r="D55" s="13">
        <v>2021756</v>
      </c>
      <c r="E55" s="13">
        <v>1535513</v>
      </c>
      <c r="F55" s="13">
        <v>68695</v>
      </c>
      <c r="G55" s="13">
        <v>35949</v>
      </c>
      <c r="H55" s="25">
        <f>ROW()-ROW(Table1[[#Headers],[index]])</f>
        <v>31</v>
      </c>
      <c r="I55" s="12">
        <f>Table1[[#This Row],[orig_vote_clinton]]-Table1[[#This Row],[orig_vote_trump]]</f>
        <v>486243</v>
      </c>
      <c r="J55" s="12">
        <f>IF(Table1[[#This Row],[orig_spread]]&gt;0,Table1[[#This Row],[electoral_votes]],0)</f>
        <v>14</v>
      </c>
      <c r="K55" s="12">
        <f>IF(Table1[[#This Row],[orig_spread]]&lt;0,Table1[[#This Row],[electoral_votes]],0)</f>
        <v>0</v>
      </c>
      <c r="L55" s="12">
        <f>pct_stein_to_clinton*Table1[[#This Row],[orig_vote_stein]]</f>
        <v>17974.5</v>
      </c>
      <c r="M55" s="12">
        <f>pct_stein_to_trump*Table1[[#This Row],[orig_vote_stein]]</f>
        <v>17974.5</v>
      </c>
      <c r="N55" s="12">
        <f>pct_johnson_to_clinton*Table1[[#This Row],[orig_vote_johnson]]</f>
        <v>34347.5</v>
      </c>
      <c r="O55" s="12">
        <f>pct_johnson_to_trump*Table1[[#This Row],[orig_vote_johnson]]</f>
        <v>34347.5</v>
      </c>
      <c r="P55" s="12">
        <f>Table1[[#This Row],[orig_vote_clinton]]+Table1[[#This Row],[stein_votes_to_clinton]]</f>
        <v>2039730.5</v>
      </c>
      <c r="Q55" s="12">
        <f>Table1[[#This Row],[orig_vote_trump]]+Table1[[#This Row],[stein_votes_to_trump]]</f>
        <v>1553487.5</v>
      </c>
      <c r="R55" s="12">
        <f>Table1[[#This Row],[orig_vote_clinton]]+Table1[[#This Row],[johnson_votes_to_clinton]]</f>
        <v>2056103.5</v>
      </c>
      <c r="S55" s="12">
        <f>Table1[[#This Row],[orig_vote_trump]]+Table1[[#This Row],[johnson_votes_to_trump]]</f>
        <v>1569860.5</v>
      </c>
      <c r="T55" s="11">
        <f>Table1[[#This Row],[orig_vote_clinton]]+Table1[[#This Row],[stein_votes_to_clinton]]+Table1[[#This Row],[johnson_votes_to_clinton]]</f>
        <v>2074078</v>
      </c>
      <c r="U55" s="11">
        <f>Table1[[#This Row],[orig_vote_trump]]+Table1[[#This Row],[stein_votes_to_trump]]+Table1[[#This Row],[johnson_votes_to_trump]]</f>
        <v>1587835</v>
      </c>
      <c r="V55" s="11">
        <f>Table1[[#This Row],[adjusted_vote_clinton_with_stein_only]]-Table1[[#This Row],[adjusted_vote_trump_with_stein_only]]</f>
        <v>486243</v>
      </c>
      <c r="W55" s="11">
        <f>Table1[[#This Row],[adjusted_vote_clinton_with_johnson_only]]-Table1[[#This Row],[adjusted_vote_trump_with_johnson_only]]</f>
        <v>486243</v>
      </c>
      <c r="X55" s="12">
        <f>Table1[[#This Row],[adjusted_vote_clinton]]-Table1[[#This Row],[adjusted_vote_trump]]</f>
        <v>486243</v>
      </c>
      <c r="Y55" s="12">
        <f>IF(Table1[[#This Row],[adjusted_spread_with_stein_only]]&gt;0,Table1[[#This Row],[electoral_votes]],0)</f>
        <v>14</v>
      </c>
      <c r="Z55" s="12">
        <f>IF(Table1[[#This Row],[adjusted_spread_with_johnson_only]]&gt;0,Table1[[#This Row],[electoral_votes]],0)</f>
        <v>14</v>
      </c>
      <c r="AA55" s="11">
        <f>IF(Table1[[#This Row],[adjusted_spread]]&gt;0,Table1[[#This Row],[electoral_votes]],0)</f>
        <v>14</v>
      </c>
      <c r="AB55" s="12">
        <f>IF(Table1[[#This Row],[adjusted_spread]]&lt;0,Table1[[#This Row],[electoral_votes]],0)</f>
        <v>0</v>
      </c>
      <c r="AC55" s="12" t="str">
        <f>IF(Table1[[#This Row],[orig_spread]]&lt;0,"Trump",IF(Table1[[#This Row],[orig_spread]]&gt;0,"Clinton",""))</f>
        <v>Clinton</v>
      </c>
      <c r="AD55" s="12" t="str">
        <f>IF(Table1[[#This Row],[adjusted_spread]]&lt;0,"Trump",IF(Table1[[#This Row],[adjusted_spread]]&gt;0,"Clinton",""))</f>
        <v>Clinton</v>
      </c>
      <c r="AE55" s="11" t="b">
        <f>AND(Table1[[#This Row],[orig_outcome]]="Trump",Table1[[#This Row],[adjusted_outcome]]="Clinton")</f>
        <v>0</v>
      </c>
      <c r="AF55" s="11" t="b">
        <f>AND(Table1[[#This Row],[orig_outcome]]="Clinton",Table1[[#This Row],[adjusted_outcome]]="Trump")</f>
        <v>0</v>
      </c>
      <c r="AG55" s="11" t="str">
        <f>IF(Table1[[#This Row],[index]]=1,IF(Table1[[#This Row],[pickup_clinton]],Table1[[#This Row],[State]],""),IF(Table1[[#This Row],[pickup_clinton]],CONCATENATE(AG54,IF(AG54="","",","),Table1[[#This Row],[State]]),AG54))</f>
        <v/>
      </c>
      <c r="AH55" s="11" t="str">
        <f>IF(Table1[[#This Row],[index]]=1,IF(Table1[[#This Row],[pickup_trump]],Table1[[#This Row],[State]],""),IF(Table1[[#This Row],[pickup_trump]],CONCATENATE(AH54,IF(AH44="","",","),Table1[[#This Row],[State]]),AH54))</f>
        <v/>
      </c>
      <c r="AI55" s="30">
        <f>IF(Table1[[#This Row],[orig_vote_stein]]=0,"",(1-Table1[[#This Row],[adjusted_spread_with_johnson_only]]/Table1[[#This Row],[orig_vote_stein]])/2)</f>
        <v>-6.2629558541266794</v>
      </c>
      <c r="AJ55" s="30">
        <f>(1-Table1[[#This Row],[adjusted_spread_with_stein_only]]/Table1[[#This Row],[orig_vote_johnson]])/2</f>
        <v>-3.0391440425067326</v>
      </c>
      <c r="AK55" s="30" t="b">
        <f>AND(Table1[[#This Row],[stein_split_needed_pure]]&gt;=0,Table1[[#This Row],[stein_split_needed_pure]]&lt;=1)</f>
        <v>0</v>
      </c>
      <c r="AL55" s="30" t="b">
        <f>AND(Table1[[#This Row],[johnson_split_needed_pure]]&gt;=0,Table1[[#This Row],[johnson_split_needed_pure]]&lt;=1)</f>
        <v>0</v>
      </c>
      <c r="AM55" s="30" t="b">
        <f>OR(Table1[[#This Row],[in_play_stein]],Table1[[#This Row],[in_play_johnson]])</f>
        <v>0</v>
      </c>
      <c r="AN55" s="51">
        <f t="array" ref="AN5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5" s="51">
        <f t="array" ref="AO5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5" s="51">
        <f t="array" ref="AP5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5" s="51">
        <f t="array" ref="AQ5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5" s="44">
        <f>adjusted_electors_clinton_with_johnson_only+Table1[[#This Row],[electors_with_split_stein_added]]+Table1[[#This Row],[electors_with_split_stein_dropped]]</f>
        <v>233</v>
      </c>
      <c r="AS55" s="44">
        <f>adjusted_electors_clinton_with_stein_only+Table1[[#This Row],[electors_with_split_johnson_added]]+Table1[[#This Row],[electors_with_split_johnson_dropped]]</f>
        <v>233</v>
      </c>
      <c r="AT55" s="30" t="str">
        <f>IF(AND(Table1[[#This Row],[in_play_stein]],Table1[[#This Row],[electors_with_split_stein]]&gt;=270),Table1[[#This Row],[stein_split_needed_pure]],"")</f>
        <v/>
      </c>
      <c r="AU55" s="45" t="str">
        <f>IF(AND(Table1[[#This Row],[in_play_johnson]],Table1[[#This Row],[electors_with_split_johnson]]&gt;=270),Table1[[#This Row],[johnson_split_needed_pure]],"")</f>
        <v/>
      </c>
      <c r="AV5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5" s="16">
        <f>Table1[[#This Row],[adjusted_electors_trump]]+Table1[[#This Row],[adjusted_electors_clinton]]-Table1[[#This Row],[electoral_votes]]</f>
        <v>0</v>
      </c>
      <c r="BC55"/>
      <c r="BE55"/>
      <c r="BF55"/>
    </row>
    <row r="56" spans="2:58">
      <c r="B56" s="19" t="s">
        <v>39</v>
      </c>
      <c r="C56" s="18">
        <v>5</v>
      </c>
      <c r="D56" s="13">
        <v>380724</v>
      </c>
      <c r="E56" s="13">
        <v>315875</v>
      </c>
      <c r="F56" s="13">
        <v>73669</v>
      </c>
      <c r="G56" s="13">
        <v>9729</v>
      </c>
      <c r="H56" s="25">
        <f>ROW()-ROW(Table1[[#Headers],[index]])</f>
        <v>32</v>
      </c>
      <c r="I56" s="12">
        <f>Table1[[#This Row],[orig_vote_clinton]]-Table1[[#This Row],[orig_vote_trump]]</f>
        <v>64849</v>
      </c>
      <c r="J56" s="12">
        <f>IF(Table1[[#This Row],[orig_spread]]&gt;0,Table1[[#This Row],[electoral_votes]],0)</f>
        <v>5</v>
      </c>
      <c r="K56" s="12">
        <f>IF(Table1[[#This Row],[orig_spread]]&lt;0,Table1[[#This Row],[electoral_votes]],0)</f>
        <v>0</v>
      </c>
      <c r="L56" s="12">
        <f>pct_stein_to_clinton*Table1[[#This Row],[orig_vote_stein]]</f>
        <v>4864.5</v>
      </c>
      <c r="M56" s="12">
        <f>pct_stein_to_trump*Table1[[#This Row],[orig_vote_stein]]</f>
        <v>4864.5</v>
      </c>
      <c r="N56" s="12">
        <f>pct_johnson_to_clinton*Table1[[#This Row],[orig_vote_johnson]]</f>
        <v>36834.5</v>
      </c>
      <c r="O56" s="12">
        <f>pct_johnson_to_trump*Table1[[#This Row],[orig_vote_johnson]]</f>
        <v>36834.5</v>
      </c>
      <c r="P56" s="12">
        <f>Table1[[#This Row],[orig_vote_clinton]]+Table1[[#This Row],[stein_votes_to_clinton]]</f>
        <v>385588.5</v>
      </c>
      <c r="Q56" s="12">
        <f>Table1[[#This Row],[orig_vote_trump]]+Table1[[#This Row],[stein_votes_to_trump]]</f>
        <v>320739.5</v>
      </c>
      <c r="R56" s="12">
        <f>Table1[[#This Row],[orig_vote_clinton]]+Table1[[#This Row],[johnson_votes_to_clinton]]</f>
        <v>417558.5</v>
      </c>
      <c r="S56" s="12">
        <f>Table1[[#This Row],[orig_vote_trump]]+Table1[[#This Row],[johnson_votes_to_trump]]</f>
        <v>352709.5</v>
      </c>
      <c r="T56" s="11">
        <f>Table1[[#This Row],[orig_vote_clinton]]+Table1[[#This Row],[stein_votes_to_clinton]]+Table1[[#This Row],[johnson_votes_to_clinton]]</f>
        <v>422423</v>
      </c>
      <c r="U56" s="11">
        <f>Table1[[#This Row],[orig_vote_trump]]+Table1[[#This Row],[stein_votes_to_trump]]+Table1[[#This Row],[johnson_votes_to_trump]]</f>
        <v>357574</v>
      </c>
      <c r="V56" s="11">
        <f>Table1[[#This Row],[adjusted_vote_clinton_with_stein_only]]-Table1[[#This Row],[adjusted_vote_trump_with_stein_only]]</f>
        <v>64849</v>
      </c>
      <c r="W56" s="11">
        <f>Table1[[#This Row],[adjusted_vote_clinton_with_johnson_only]]-Table1[[#This Row],[adjusted_vote_trump_with_johnson_only]]</f>
        <v>64849</v>
      </c>
      <c r="X56" s="12">
        <f>Table1[[#This Row],[adjusted_vote_clinton]]-Table1[[#This Row],[adjusted_vote_trump]]</f>
        <v>64849</v>
      </c>
      <c r="Y56" s="12">
        <f>IF(Table1[[#This Row],[adjusted_spread_with_stein_only]]&gt;0,Table1[[#This Row],[electoral_votes]],0)</f>
        <v>5</v>
      </c>
      <c r="Z56" s="12">
        <f>IF(Table1[[#This Row],[adjusted_spread_with_johnson_only]]&gt;0,Table1[[#This Row],[electoral_votes]],0)</f>
        <v>5</v>
      </c>
      <c r="AA56" s="11">
        <f>IF(Table1[[#This Row],[adjusted_spread]]&gt;0,Table1[[#This Row],[electoral_votes]],0)</f>
        <v>5</v>
      </c>
      <c r="AB56" s="12">
        <f>IF(Table1[[#This Row],[adjusted_spread]]&lt;0,Table1[[#This Row],[electoral_votes]],0)</f>
        <v>0</v>
      </c>
      <c r="AC56" s="12" t="str">
        <f>IF(Table1[[#This Row],[orig_spread]]&lt;0,"Trump",IF(Table1[[#This Row],[orig_spread]]&gt;0,"Clinton",""))</f>
        <v>Clinton</v>
      </c>
      <c r="AD56" s="12" t="str">
        <f>IF(Table1[[#This Row],[adjusted_spread]]&lt;0,"Trump",IF(Table1[[#This Row],[adjusted_spread]]&gt;0,"Clinton",""))</f>
        <v>Clinton</v>
      </c>
      <c r="AE56" s="11" t="b">
        <f>AND(Table1[[#This Row],[orig_outcome]]="Trump",Table1[[#This Row],[adjusted_outcome]]="Clinton")</f>
        <v>0</v>
      </c>
      <c r="AF56" s="11" t="b">
        <f>AND(Table1[[#This Row],[orig_outcome]]="Clinton",Table1[[#This Row],[adjusted_outcome]]="Trump")</f>
        <v>0</v>
      </c>
      <c r="AG56" s="11" t="str">
        <f>IF(Table1[[#This Row],[index]]=1,IF(Table1[[#This Row],[pickup_clinton]],Table1[[#This Row],[State]],""),IF(Table1[[#This Row],[pickup_clinton]],CONCATENATE(AG55,IF(AG55="","",","),Table1[[#This Row],[State]]),AG55))</f>
        <v/>
      </c>
      <c r="AH56" s="11" t="str">
        <f>IF(Table1[[#This Row],[index]]=1,IF(Table1[[#This Row],[pickup_trump]],Table1[[#This Row],[State]],""),IF(Table1[[#This Row],[pickup_trump]],CONCATENATE(AH55,IF(AH45="","",","),Table1[[#This Row],[State]]),AH55))</f>
        <v/>
      </c>
      <c r="AI56" s="30">
        <f>IF(Table1[[#This Row],[orig_vote_stein]]=0,"",(1-Table1[[#This Row],[adjusted_spread_with_johnson_only]]/Table1[[#This Row],[orig_vote_stein]])/2)</f>
        <v>-2.8327680131565423</v>
      </c>
      <c r="AJ56" s="30">
        <f>(1-Table1[[#This Row],[adjusted_spread_with_stein_only]]/Table1[[#This Row],[orig_vote_johnson]])/2</f>
        <v>5.9862357300899949E-2</v>
      </c>
      <c r="AK56" s="30" t="b">
        <f>AND(Table1[[#This Row],[stein_split_needed_pure]]&gt;=0,Table1[[#This Row],[stein_split_needed_pure]]&lt;=1)</f>
        <v>0</v>
      </c>
      <c r="AL56" s="30" t="b">
        <f>AND(Table1[[#This Row],[johnson_split_needed_pure]]&gt;=0,Table1[[#This Row],[johnson_split_needed_pure]]&lt;=1)</f>
        <v>1</v>
      </c>
      <c r="AM56" s="30" t="b">
        <f>OR(Table1[[#This Row],[in_play_stein]],Table1[[#This Row],[in_play_johnson]])</f>
        <v>1</v>
      </c>
      <c r="AN56" s="51">
        <f t="array" ref="AN5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6" s="51">
        <f t="array" ref="AO5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6" s="51">
        <f t="array" ref="AP5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6" s="51">
        <f t="array" ref="AQ5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-39</v>
      </c>
      <c r="AR56" s="44">
        <f>adjusted_electors_clinton_with_johnson_only+Table1[[#This Row],[electors_with_split_stein_added]]+Table1[[#This Row],[electors_with_split_stein_dropped]]</f>
        <v>233</v>
      </c>
      <c r="AS56" s="44">
        <f>adjusted_electors_clinton_with_stein_only+Table1[[#This Row],[electors_with_split_johnson_added]]+Table1[[#This Row],[electors_with_split_johnson_dropped]]</f>
        <v>194</v>
      </c>
      <c r="AT56" s="30" t="str">
        <f>IF(AND(Table1[[#This Row],[in_play_stein]],Table1[[#This Row],[electors_with_split_stein]]&gt;=270),Table1[[#This Row],[stein_split_needed_pure]],"")</f>
        <v/>
      </c>
      <c r="AU56" s="45" t="str">
        <f>IF(AND(Table1[[#This Row],[in_play_johnson]],Table1[[#This Row],[electors_with_split_johnson]]&gt;=270),Table1[[#This Row],[johnson_split_needed_pure]],"")</f>
        <v/>
      </c>
      <c r="AV5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6" s="16">
        <f>Table1[[#This Row],[adjusted_electors_trump]]+Table1[[#This Row],[adjusted_electors_clinton]]-Table1[[#This Row],[electoral_votes]]</f>
        <v>0</v>
      </c>
      <c r="BC56"/>
      <c r="BE56"/>
      <c r="BF56"/>
    </row>
    <row r="57" spans="2:58">
      <c r="B57" s="19" t="s">
        <v>40</v>
      </c>
      <c r="C57" s="18">
        <v>29</v>
      </c>
      <c r="D57" s="13">
        <v>4143874</v>
      </c>
      <c r="E57" s="13">
        <v>2640570</v>
      </c>
      <c r="F57" s="13">
        <v>161857</v>
      </c>
      <c r="G57" s="13">
        <v>99895</v>
      </c>
      <c r="H57" s="25">
        <f>ROW()-ROW(Table1[[#Headers],[index]])</f>
        <v>33</v>
      </c>
      <c r="I57" s="12">
        <f>Table1[[#This Row],[orig_vote_clinton]]-Table1[[#This Row],[orig_vote_trump]]</f>
        <v>1503304</v>
      </c>
      <c r="J57" s="12">
        <f>IF(Table1[[#This Row],[orig_spread]]&gt;0,Table1[[#This Row],[electoral_votes]],0)</f>
        <v>29</v>
      </c>
      <c r="K57" s="12">
        <f>IF(Table1[[#This Row],[orig_spread]]&lt;0,Table1[[#This Row],[electoral_votes]],0)</f>
        <v>0</v>
      </c>
      <c r="L57" s="12">
        <f>pct_stein_to_clinton*Table1[[#This Row],[orig_vote_stein]]</f>
        <v>49947.5</v>
      </c>
      <c r="M57" s="12">
        <f>pct_stein_to_trump*Table1[[#This Row],[orig_vote_stein]]</f>
        <v>49947.5</v>
      </c>
      <c r="N57" s="12">
        <f>pct_johnson_to_clinton*Table1[[#This Row],[orig_vote_johnson]]</f>
        <v>80928.5</v>
      </c>
      <c r="O57" s="12">
        <f>pct_johnson_to_trump*Table1[[#This Row],[orig_vote_johnson]]</f>
        <v>80928.5</v>
      </c>
      <c r="P57" s="12">
        <f>Table1[[#This Row],[orig_vote_clinton]]+Table1[[#This Row],[stein_votes_to_clinton]]</f>
        <v>4193821.5</v>
      </c>
      <c r="Q57" s="12">
        <f>Table1[[#This Row],[orig_vote_trump]]+Table1[[#This Row],[stein_votes_to_trump]]</f>
        <v>2690517.5</v>
      </c>
      <c r="R57" s="12">
        <f>Table1[[#This Row],[orig_vote_clinton]]+Table1[[#This Row],[johnson_votes_to_clinton]]</f>
        <v>4224802.5</v>
      </c>
      <c r="S57" s="12">
        <f>Table1[[#This Row],[orig_vote_trump]]+Table1[[#This Row],[johnson_votes_to_trump]]</f>
        <v>2721498.5</v>
      </c>
      <c r="T57" s="11">
        <f>Table1[[#This Row],[orig_vote_clinton]]+Table1[[#This Row],[stein_votes_to_clinton]]+Table1[[#This Row],[johnson_votes_to_clinton]]</f>
        <v>4274750</v>
      </c>
      <c r="U57" s="11">
        <f>Table1[[#This Row],[orig_vote_trump]]+Table1[[#This Row],[stein_votes_to_trump]]+Table1[[#This Row],[johnson_votes_to_trump]]</f>
        <v>2771446</v>
      </c>
      <c r="V57" s="11">
        <f>Table1[[#This Row],[adjusted_vote_clinton_with_stein_only]]-Table1[[#This Row],[adjusted_vote_trump_with_stein_only]]</f>
        <v>1503304</v>
      </c>
      <c r="W57" s="11">
        <f>Table1[[#This Row],[adjusted_vote_clinton_with_johnson_only]]-Table1[[#This Row],[adjusted_vote_trump_with_johnson_only]]</f>
        <v>1503304</v>
      </c>
      <c r="X57" s="12">
        <f>Table1[[#This Row],[adjusted_vote_clinton]]-Table1[[#This Row],[adjusted_vote_trump]]</f>
        <v>1503304</v>
      </c>
      <c r="Y57" s="12">
        <f>IF(Table1[[#This Row],[adjusted_spread_with_stein_only]]&gt;0,Table1[[#This Row],[electoral_votes]],0)</f>
        <v>29</v>
      </c>
      <c r="Z57" s="12">
        <f>IF(Table1[[#This Row],[adjusted_spread_with_johnson_only]]&gt;0,Table1[[#This Row],[electoral_votes]],0)</f>
        <v>29</v>
      </c>
      <c r="AA57" s="11">
        <f>IF(Table1[[#This Row],[adjusted_spread]]&gt;0,Table1[[#This Row],[electoral_votes]],0)</f>
        <v>29</v>
      </c>
      <c r="AB57" s="12">
        <f>IF(Table1[[#This Row],[adjusted_spread]]&lt;0,Table1[[#This Row],[electoral_votes]],0)</f>
        <v>0</v>
      </c>
      <c r="AC57" s="12" t="str">
        <f>IF(Table1[[#This Row],[orig_spread]]&lt;0,"Trump",IF(Table1[[#This Row],[orig_spread]]&gt;0,"Clinton",""))</f>
        <v>Clinton</v>
      </c>
      <c r="AD57" s="12" t="str">
        <f>IF(Table1[[#This Row],[adjusted_spread]]&lt;0,"Trump",IF(Table1[[#This Row],[adjusted_spread]]&gt;0,"Clinton",""))</f>
        <v>Clinton</v>
      </c>
      <c r="AE57" s="11" t="b">
        <f>AND(Table1[[#This Row],[orig_outcome]]="Trump",Table1[[#This Row],[adjusted_outcome]]="Clinton")</f>
        <v>0</v>
      </c>
      <c r="AF57" s="11" t="b">
        <f>AND(Table1[[#This Row],[orig_outcome]]="Clinton",Table1[[#This Row],[adjusted_outcome]]="Trump")</f>
        <v>0</v>
      </c>
      <c r="AG57" s="11" t="str">
        <f>IF(Table1[[#This Row],[index]]=1,IF(Table1[[#This Row],[pickup_clinton]],Table1[[#This Row],[State]],""),IF(Table1[[#This Row],[pickup_clinton]],CONCATENATE(AG56,IF(AG56="","",","),Table1[[#This Row],[State]]),AG56))</f>
        <v/>
      </c>
      <c r="AH57" s="11" t="str">
        <f>IF(Table1[[#This Row],[index]]=1,IF(Table1[[#This Row],[pickup_trump]],Table1[[#This Row],[State]],""),IF(Table1[[#This Row],[pickup_trump]],CONCATENATE(AH56,IF(AH46="","",","),Table1[[#This Row],[State]]),AH56))</f>
        <v/>
      </c>
      <c r="AI57" s="30">
        <f>IF(Table1[[#This Row],[orig_vote_stein]]=0,"",(1-Table1[[#This Row],[adjusted_spread_with_johnson_only]]/Table1[[#This Row],[orig_vote_stein]])/2)</f>
        <v>-7.0244206416737578</v>
      </c>
      <c r="AJ57" s="30">
        <f>(1-Table1[[#This Row],[adjusted_spread_with_stein_only]]/Table1[[#This Row],[orig_vote_johnson]])/2</f>
        <v>-4.1439264288847566</v>
      </c>
      <c r="AK57" s="30" t="b">
        <f>AND(Table1[[#This Row],[stein_split_needed_pure]]&gt;=0,Table1[[#This Row],[stein_split_needed_pure]]&lt;=1)</f>
        <v>0</v>
      </c>
      <c r="AL57" s="30" t="b">
        <f>AND(Table1[[#This Row],[johnson_split_needed_pure]]&gt;=0,Table1[[#This Row],[johnson_split_needed_pure]]&lt;=1)</f>
        <v>0</v>
      </c>
      <c r="AM57" s="30" t="b">
        <f>OR(Table1[[#This Row],[in_play_stein]],Table1[[#This Row],[in_play_johnson]])</f>
        <v>0</v>
      </c>
      <c r="AN57" s="51">
        <f t="array" ref="AN5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7" s="51">
        <f t="array" ref="AO5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7" s="51">
        <f t="array" ref="AP5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7" s="51">
        <f t="array" ref="AQ5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7" s="44">
        <f>adjusted_electors_clinton_with_johnson_only+Table1[[#This Row],[electors_with_split_stein_added]]+Table1[[#This Row],[electors_with_split_stein_dropped]]</f>
        <v>233</v>
      </c>
      <c r="AS57" s="44">
        <f>adjusted_electors_clinton_with_stein_only+Table1[[#This Row],[electors_with_split_johnson_added]]+Table1[[#This Row],[electors_with_split_johnson_dropped]]</f>
        <v>233</v>
      </c>
      <c r="AT57" s="30" t="str">
        <f>IF(AND(Table1[[#This Row],[in_play_stein]],Table1[[#This Row],[electors_with_split_stein]]&gt;=270),Table1[[#This Row],[stein_split_needed_pure]],"")</f>
        <v/>
      </c>
      <c r="AU57" s="45" t="str">
        <f>IF(AND(Table1[[#This Row],[in_play_johnson]],Table1[[#This Row],[electors_with_split_johnson]]&gt;=270),Table1[[#This Row],[johnson_split_needed_pure]],"")</f>
        <v/>
      </c>
      <c r="AV5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7" s="16">
        <f>Table1[[#This Row],[adjusted_electors_trump]]+Table1[[#This Row],[adjusted_electors_clinton]]-Table1[[#This Row],[electoral_votes]]</f>
        <v>0</v>
      </c>
      <c r="BC57"/>
      <c r="BE57"/>
      <c r="BF57"/>
    </row>
    <row r="58" spans="2:58">
      <c r="B58" s="3" t="s">
        <v>9</v>
      </c>
      <c r="C58" s="7">
        <v>15</v>
      </c>
      <c r="D58" s="13">
        <v>2162074</v>
      </c>
      <c r="E58" s="13">
        <v>2339603</v>
      </c>
      <c r="F58" s="13">
        <v>127794</v>
      </c>
      <c r="G58" s="13">
        <v>0</v>
      </c>
      <c r="H58" s="29">
        <f>ROW()-ROW(Table1[[#Headers],[index]])</f>
        <v>34</v>
      </c>
      <c r="I58" s="12">
        <f>Table1[[#This Row],[orig_vote_clinton]]-Table1[[#This Row],[orig_vote_trump]]</f>
        <v>-177529</v>
      </c>
      <c r="J58" s="12">
        <f>IF(Table1[[#This Row],[orig_spread]]&gt;0,Table1[[#This Row],[electoral_votes]],0)</f>
        <v>0</v>
      </c>
      <c r="K58" s="12">
        <f>IF(Table1[[#This Row],[orig_spread]]&lt;0,Table1[[#This Row],[electoral_votes]],0)</f>
        <v>15</v>
      </c>
      <c r="L58" s="12">
        <f>pct_stein_to_clinton*Table1[[#This Row],[orig_vote_stein]]</f>
        <v>0</v>
      </c>
      <c r="M58" s="12">
        <f>pct_stein_to_trump*Table1[[#This Row],[orig_vote_stein]]</f>
        <v>0</v>
      </c>
      <c r="N58" s="12">
        <f>pct_johnson_to_clinton*Table1[[#This Row],[orig_vote_johnson]]</f>
        <v>63897</v>
      </c>
      <c r="O58" s="12">
        <f>pct_johnson_to_trump*Table1[[#This Row],[orig_vote_johnson]]</f>
        <v>63897</v>
      </c>
      <c r="P58" s="12">
        <f>Table1[[#This Row],[orig_vote_clinton]]+Table1[[#This Row],[stein_votes_to_clinton]]</f>
        <v>2162074</v>
      </c>
      <c r="Q58" s="12">
        <f>Table1[[#This Row],[orig_vote_trump]]+Table1[[#This Row],[stein_votes_to_trump]]</f>
        <v>2339603</v>
      </c>
      <c r="R58" s="12">
        <f>Table1[[#This Row],[orig_vote_clinton]]+Table1[[#This Row],[johnson_votes_to_clinton]]</f>
        <v>2225971</v>
      </c>
      <c r="S58" s="12">
        <f>Table1[[#This Row],[orig_vote_trump]]+Table1[[#This Row],[johnson_votes_to_trump]]</f>
        <v>2403500</v>
      </c>
      <c r="T58" s="11">
        <f>Table1[[#This Row],[orig_vote_clinton]]+Table1[[#This Row],[stein_votes_to_clinton]]+Table1[[#This Row],[johnson_votes_to_clinton]]</f>
        <v>2225971</v>
      </c>
      <c r="U58" s="11">
        <f>Table1[[#This Row],[orig_vote_trump]]+Table1[[#This Row],[stein_votes_to_trump]]+Table1[[#This Row],[johnson_votes_to_trump]]</f>
        <v>2403500</v>
      </c>
      <c r="V58" s="11">
        <f>Table1[[#This Row],[adjusted_vote_clinton_with_stein_only]]-Table1[[#This Row],[adjusted_vote_trump_with_stein_only]]</f>
        <v>-177529</v>
      </c>
      <c r="W58" s="11">
        <f>Table1[[#This Row],[adjusted_vote_clinton_with_johnson_only]]-Table1[[#This Row],[adjusted_vote_trump_with_johnson_only]]</f>
        <v>-177529</v>
      </c>
      <c r="X58" s="12">
        <f>Table1[[#This Row],[adjusted_vote_clinton]]-Table1[[#This Row],[adjusted_vote_trump]]</f>
        <v>-177529</v>
      </c>
      <c r="Y58" s="12">
        <f>IF(Table1[[#This Row],[adjusted_spread_with_stein_only]]&gt;0,Table1[[#This Row],[electoral_votes]],0)</f>
        <v>0</v>
      </c>
      <c r="Z58" s="12">
        <f>IF(Table1[[#This Row],[adjusted_spread_with_johnson_only]]&gt;0,Table1[[#This Row],[electoral_votes]],0)</f>
        <v>0</v>
      </c>
      <c r="AA58" s="11">
        <f>IF(Table1[[#This Row],[adjusted_spread]]&gt;0,Table1[[#This Row],[electoral_votes]],0)</f>
        <v>0</v>
      </c>
      <c r="AB58" s="12">
        <f>IF(Table1[[#This Row],[adjusted_spread]]&lt;0,Table1[[#This Row],[electoral_votes]],0)</f>
        <v>15</v>
      </c>
      <c r="AC58" s="12" t="str">
        <f>IF(Table1[[#This Row],[orig_spread]]&lt;0,"Trump",IF(Table1[[#This Row],[orig_spread]]&gt;0,"Clinton",""))</f>
        <v>Trump</v>
      </c>
      <c r="AD58" s="12" t="str">
        <f>IF(Table1[[#This Row],[adjusted_spread]]&lt;0,"Trump",IF(Table1[[#This Row],[adjusted_spread]]&gt;0,"Clinton",""))</f>
        <v>Trump</v>
      </c>
      <c r="AE58" s="11" t="b">
        <f>AND(Table1[[#This Row],[orig_outcome]]="Trump",Table1[[#This Row],[adjusted_outcome]]="Clinton")</f>
        <v>0</v>
      </c>
      <c r="AF58" s="11" t="b">
        <f>AND(Table1[[#This Row],[orig_outcome]]="Clinton",Table1[[#This Row],[adjusted_outcome]]="Trump")</f>
        <v>0</v>
      </c>
      <c r="AG58" s="11" t="str">
        <f>IF(Table1[[#This Row],[index]]=1,IF(Table1[[#This Row],[pickup_clinton]],Table1[[#This Row],[State]],""),IF(Table1[[#This Row],[pickup_clinton]],CONCATENATE(AG57,IF(AG57="","",","),Table1[[#This Row],[State]]),AG57))</f>
        <v/>
      </c>
      <c r="AH58" s="11" t="str">
        <f>IF(Table1[[#This Row],[index]]=1,IF(Table1[[#This Row],[pickup_trump]],Table1[[#This Row],[State]],""),IF(Table1[[#This Row],[pickup_trump]],CONCATENATE(AH57,IF(AH47="","",","),Table1[[#This Row],[State]]),AH57))</f>
        <v/>
      </c>
      <c r="AI58" s="30" t="str">
        <f>IF(Table1[[#This Row],[orig_vote_stein]]=0,"",(1-Table1[[#This Row],[adjusted_spread_with_johnson_only]]/Table1[[#This Row],[orig_vote_stein]])/2)</f>
        <v/>
      </c>
      <c r="AJ58" s="30">
        <f>(1-Table1[[#This Row],[adjusted_spread_with_stein_only]]/Table1[[#This Row],[orig_vote_johnson]])/2</f>
        <v>1.1945905128566285</v>
      </c>
      <c r="AK58" s="30" t="b">
        <f>AND(Table1[[#This Row],[stein_split_needed_pure]]&gt;=0,Table1[[#This Row],[stein_split_needed_pure]]&lt;=1)</f>
        <v>0</v>
      </c>
      <c r="AL58" s="30" t="b">
        <f>AND(Table1[[#This Row],[johnson_split_needed_pure]]&gt;=0,Table1[[#This Row],[johnson_split_needed_pure]]&lt;=1)</f>
        <v>0</v>
      </c>
      <c r="AM58" s="30" t="b">
        <f>OR(Table1[[#This Row],[in_play_stein]],Table1[[#This Row],[in_play_johnson]])</f>
        <v>0</v>
      </c>
      <c r="AN58" s="51">
        <f t="array" ref="AN5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8" s="51">
        <f t="array" ref="AO5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8" s="51">
        <f t="array" ref="AP5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8" s="51">
        <f t="array" ref="AQ5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8" s="44">
        <f>adjusted_electors_clinton_with_johnson_only+Table1[[#This Row],[electors_with_split_stein_added]]+Table1[[#This Row],[electors_with_split_stein_dropped]]</f>
        <v>233</v>
      </c>
      <c r="AS58" s="44">
        <f>adjusted_electors_clinton_with_stein_only+Table1[[#This Row],[electors_with_split_johnson_added]]+Table1[[#This Row],[electors_with_split_johnson_dropped]]</f>
        <v>233</v>
      </c>
      <c r="AT58" s="30" t="str">
        <f>IF(AND(Table1[[#This Row],[in_play_stein]],Table1[[#This Row],[electors_with_split_stein]]&gt;=270),Table1[[#This Row],[stein_split_needed_pure]],"")</f>
        <v/>
      </c>
      <c r="AU58" s="45" t="str">
        <f>IF(AND(Table1[[#This Row],[in_play_johnson]],Table1[[#This Row],[electors_with_split_johnson]]&gt;=270),Table1[[#This Row],[johnson_split_needed_pure]],"")</f>
        <v/>
      </c>
      <c r="AV58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8" s="16">
        <f>Table1[[#This Row],[adjusted_electors_trump]]+Table1[[#This Row],[adjusted_electors_clinton]]-Table1[[#This Row],[electoral_votes]]</f>
        <v>0</v>
      </c>
      <c r="BC58"/>
      <c r="BE58"/>
      <c r="BF58"/>
    </row>
    <row r="59" spans="2:58">
      <c r="B59" s="3" t="s">
        <v>41</v>
      </c>
      <c r="C59" s="7">
        <v>3</v>
      </c>
      <c r="D59" s="13">
        <v>93526</v>
      </c>
      <c r="E59" s="13">
        <v>216133</v>
      </c>
      <c r="F59" s="13">
        <v>21351</v>
      </c>
      <c r="G59" s="13">
        <v>3769</v>
      </c>
      <c r="H59" s="25">
        <f>ROW()-ROW(Table1[[#Headers],[index]])</f>
        <v>35</v>
      </c>
      <c r="I59" s="12">
        <f>Table1[[#This Row],[orig_vote_clinton]]-Table1[[#This Row],[orig_vote_trump]]</f>
        <v>-122607</v>
      </c>
      <c r="J59" s="12">
        <f>IF(Table1[[#This Row],[orig_spread]]&gt;0,Table1[[#This Row],[electoral_votes]],0)</f>
        <v>0</v>
      </c>
      <c r="K59" s="12">
        <f>IF(Table1[[#This Row],[orig_spread]]&lt;0,Table1[[#This Row],[electoral_votes]],0)</f>
        <v>3</v>
      </c>
      <c r="L59" s="12">
        <f>pct_stein_to_clinton*Table1[[#This Row],[orig_vote_stein]]</f>
        <v>1884.5</v>
      </c>
      <c r="M59" s="12">
        <f>pct_stein_to_trump*Table1[[#This Row],[orig_vote_stein]]</f>
        <v>1884.5</v>
      </c>
      <c r="N59" s="12">
        <f>pct_johnson_to_clinton*Table1[[#This Row],[orig_vote_johnson]]</f>
        <v>10675.5</v>
      </c>
      <c r="O59" s="12">
        <f>pct_johnson_to_trump*Table1[[#This Row],[orig_vote_johnson]]</f>
        <v>10675.5</v>
      </c>
      <c r="P59" s="12">
        <f>Table1[[#This Row],[orig_vote_clinton]]+Table1[[#This Row],[stein_votes_to_clinton]]</f>
        <v>95410.5</v>
      </c>
      <c r="Q59" s="12">
        <f>Table1[[#This Row],[orig_vote_trump]]+Table1[[#This Row],[stein_votes_to_trump]]</f>
        <v>218017.5</v>
      </c>
      <c r="R59" s="12">
        <f>Table1[[#This Row],[orig_vote_clinton]]+Table1[[#This Row],[johnson_votes_to_clinton]]</f>
        <v>104201.5</v>
      </c>
      <c r="S59" s="12">
        <f>Table1[[#This Row],[orig_vote_trump]]+Table1[[#This Row],[johnson_votes_to_trump]]</f>
        <v>226808.5</v>
      </c>
      <c r="T59" s="11">
        <f>Table1[[#This Row],[orig_vote_clinton]]+Table1[[#This Row],[stein_votes_to_clinton]]+Table1[[#This Row],[johnson_votes_to_clinton]]</f>
        <v>106086</v>
      </c>
      <c r="U59" s="11">
        <f>Table1[[#This Row],[orig_vote_trump]]+Table1[[#This Row],[stein_votes_to_trump]]+Table1[[#This Row],[johnson_votes_to_trump]]</f>
        <v>228693</v>
      </c>
      <c r="V59" s="11">
        <f>Table1[[#This Row],[adjusted_vote_clinton_with_stein_only]]-Table1[[#This Row],[adjusted_vote_trump_with_stein_only]]</f>
        <v>-122607</v>
      </c>
      <c r="W59" s="11">
        <f>Table1[[#This Row],[adjusted_vote_clinton_with_johnson_only]]-Table1[[#This Row],[adjusted_vote_trump_with_johnson_only]]</f>
        <v>-122607</v>
      </c>
      <c r="X59" s="12">
        <f>Table1[[#This Row],[adjusted_vote_clinton]]-Table1[[#This Row],[adjusted_vote_trump]]</f>
        <v>-122607</v>
      </c>
      <c r="Y59" s="12">
        <f>IF(Table1[[#This Row],[adjusted_spread_with_stein_only]]&gt;0,Table1[[#This Row],[electoral_votes]],0)</f>
        <v>0</v>
      </c>
      <c r="Z59" s="12">
        <f>IF(Table1[[#This Row],[adjusted_spread_with_johnson_only]]&gt;0,Table1[[#This Row],[electoral_votes]],0)</f>
        <v>0</v>
      </c>
      <c r="AA59" s="11">
        <f>IF(Table1[[#This Row],[adjusted_spread]]&gt;0,Table1[[#This Row],[electoral_votes]],0)</f>
        <v>0</v>
      </c>
      <c r="AB59" s="12">
        <f>IF(Table1[[#This Row],[adjusted_spread]]&lt;0,Table1[[#This Row],[electoral_votes]],0)</f>
        <v>3</v>
      </c>
      <c r="AC59" s="12" t="str">
        <f>IF(Table1[[#This Row],[orig_spread]]&lt;0,"Trump",IF(Table1[[#This Row],[orig_spread]]&gt;0,"Clinton",""))</f>
        <v>Trump</v>
      </c>
      <c r="AD59" s="12" t="str">
        <f>IF(Table1[[#This Row],[adjusted_spread]]&lt;0,"Trump",IF(Table1[[#This Row],[adjusted_spread]]&gt;0,"Clinton",""))</f>
        <v>Trump</v>
      </c>
      <c r="AE59" s="11" t="b">
        <f>AND(Table1[[#This Row],[orig_outcome]]="Trump",Table1[[#This Row],[adjusted_outcome]]="Clinton")</f>
        <v>0</v>
      </c>
      <c r="AF59" s="11" t="b">
        <f>AND(Table1[[#This Row],[orig_outcome]]="Clinton",Table1[[#This Row],[adjusted_outcome]]="Trump")</f>
        <v>0</v>
      </c>
      <c r="AG59" s="11" t="str">
        <f>IF(Table1[[#This Row],[index]]=1,IF(Table1[[#This Row],[pickup_clinton]],Table1[[#This Row],[State]],""),IF(Table1[[#This Row],[pickup_clinton]],CONCATENATE(AG58,IF(AG58="","",","),Table1[[#This Row],[State]]),AG58))</f>
        <v/>
      </c>
      <c r="AH59" s="11" t="str">
        <f>IF(Table1[[#This Row],[index]]=1,IF(Table1[[#This Row],[pickup_trump]],Table1[[#This Row],[State]],""),IF(Table1[[#This Row],[pickup_trump]],CONCATENATE(AH58,IF(AH48="","",","),Table1[[#This Row],[State]]),AH58))</f>
        <v/>
      </c>
      <c r="AI59" s="30">
        <f>IF(Table1[[#This Row],[orig_vote_stein]]=0,"",(1-Table1[[#This Row],[adjusted_spread_with_johnson_only]]/Table1[[#This Row],[orig_vote_stein]])/2)</f>
        <v>16.765189705492173</v>
      </c>
      <c r="AJ59" s="30">
        <f>(1-Table1[[#This Row],[adjusted_spread_with_stein_only]]/Table1[[#This Row],[orig_vote_johnson]])/2</f>
        <v>3.3712238302655613</v>
      </c>
      <c r="AK59" s="30" t="b">
        <f>AND(Table1[[#This Row],[stein_split_needed_pure]]&gt;=0,Table1[[#This Row],[stein_split_needed_pure]]&lt;=1)</f>
        <v>0</v>
      </c>
      <c r="AL59" s="30" t="b">
        <f>AND(Table1[[#This Row],[johnson_split_needed_pure]]&gt;=0,Table1[[#This Row],[johnson_split_needed_pure]]&lt;=1)</f>
        <v>0</v>
      </c>
      <c r="AM59" s="30" t="b">
        <f>OR(Table1[[#This Row],[in_play_stein]],Table1[[#This Row],[in_play_johnson]])</f>
        <v>0</v>
      </c>
      <c r="AN59" s="51">
        <f t="array" ref="AN5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9" s="51">
        <f t="array" ref="AO5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9" s="51">
        <f t="array" ref="AP5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9" s="51">
        <f t="array" ref="AQ5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9" s="44">
        <f>adjusted_electors_clinton_with_johnson_only+Table1[[#This Row],[electors_with_split_stein_added]]+Table1[[#This Row],[electors_with_split_stein_dropped]]</f>
        <v>233</v>
      </c>
      <c r="AS59" s="44">
        <f>adjusted_electors_clinton_with_stein_only+Table1[[#This Row],[electors_with_split_johnson_added]]+Table1[[#This Row],[electors_with_split_johnson_dropped]]</f>
        <v>233</v>
      </c>
      <c r="AT59" s="30" t="str">
        <f>IF(AND(Table1[[#This Row],[in_play_stein]],Table1[[#This Row],[electors_with_split_stein]]&gt;=270),Table1[[#This Row],[stein_split_needed_pure]],"")</f>
        <v/>
      </c>
      <c r="AU59" s="45" t="str">
        <f>IF(AND(Table1[[#This Row],[in_play_johnson]],Table1[[#This Row],[electors_with_split_johnson]]&gt;=270),Table1[[#This Row],[johnson_split_needed_pure]],"")</f>
        <v/>
      </c>
      <c r="AV5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9" s="16">
        <f>Table1[[#This Row],[adjusted_electors_trump]]+Table1[[#This Row],[adjusted_electors_clinton]]-Table1[[#This Row],[electoral_votes]]</f>
        <v>0</v>
      </c>
      <c r="BC59"/>
      <c r="BE59"/>
      <c r="BF59"/>
    </row>
    <row r="60" spans="2:58">
      <c r="B60" s="3" t="s">
        <v>42</v>
      </c>
      <c r="C60" s="7">
        <v>18</v>
      </c>
      <c r="D60" s="13">
        <v>2317001</v>
      </c>
      <c r="E60" s="13">
        <v>2771984</v>
      </c>
      <c r="F60" s="13">
        <v>168599</v>
      </c>
      <c r="G60" s="13">
        <v>44310</v>
      </c>
      <c r="H60" s="25">
        <f>ROW()-ROW(Table1[[#Headers],[index]])</f>
        <v>36</v>
      </c>
      <c r="I60" s="12">
        <f>Table1[[#This Row],[orig_vote_clinton]]-Table1[[#This Row],[orig_vote_trump]]</f>
        <v>-454983</v>
      </c>
      <c r="J60" s="12">
        <f>IF(Table1[[#This Row],[orig_spread]]&gt;0,Table1[[#This Row],[electoral_votes]],0)</f>
        <v>0</v>
      </c>
      <c r="K60" s="12">
        <f>IF(Table1[[#This Row],[orig_spread]]&lt;0,Table1[[#This Row],[electoral_votes]],0)</f>
        <v>18</v>
      </c>
      <c r="L60" s="12">
        <f>pct_stein_to_clinton*Table1[[#This Row],[orig_vote_stein]]</f>
        <v>22155</v>
      </c>
      <c r="M60" s="12">
        <f>pct_stein_to_trump*Table1[[#This Row],[orig_vote_stein]]</f>
        <v>22155</v>
      </c>
      <c r="N60" s="12">
        <f>pct_johnson_to_clinton*Table1[[#This Row],[orig_vote_johnson]]</f>
        <v>84299.5</v>
      </c>
      <c r="O60" s="12">
        <f>pct_johnson_to_trump*Table1[[#This Row],[orig_vote_johnson]]</f>
        <v>84299.5</v>
      </c>
      <c r="P60" s="12">
        <f>Table1[[#This Row],[orig_vote_clinton]]+Table1[[#This Row],[stein_votes_to_clinton]]</f>
        <v>2339156</v>
      </c>
      <c r="Q60" s="12">
        <f>Table1[[#This Row],[orig_vote_trump]]+Table1[[#This Row],[stein_votes_to_trump]]</f>
        <v>2794139</v>
      </c>
      <c r="R60" s="12">
        <f>Table1[[#This Row],[orig_vote_clinton]]+Table1[[#This Row],[johnson_votes_to_clinton]]</f>
        <v>2401300.5</v>
      </c>
      <c r="S60" s="12">
        <f>Table1[[#This Row],[orig_vote_trump]]+Table1[[#This Row],[johnson_votes_to_trump]]</f>
        <v>2856283.5</v>
      </c>
      <c r="T60" s="11">
        <f>Table1[[#This Row],[orig_vote_clinton]]+Table1[[#This Row],[stein_votes_to_clinton]]+Table1[[#This Row],[johnson_votes_to_clinton]]</f>
        <v>2423455.5</v>
      </c>
      <c r="U60" s="11">
        <f>Table1[[#This Row],[orig_vote_trump]]+Table1[[#This Row],[stein_votes_to_trump]]+Table1[[#This Row],[johnson_votes_to_trump]]</f>
        <v>2878438.5</v>
      </c>
      <c r="V60" s="11">
        <f>Table1[[#This Row],[adjusted_vote_clinton_with_stein_only]]-Table1[[#This Row],[adjusted_vote_trump_with_stein_only]]</f>
        <v>-454983</v>
      </c>
      <c r="W60" s="11">
        <f>Table1[[#This Row],[adjusted_vote_clinton_with_johnson_only]]-Table1[[#This Row],[adjusted_vote_trump_with_johnson_only]]</f>
        <v>-454983</v>
      </c>
      <c r="X60" s="12">
        <f>Table1[[#This Row],[adjusted_vote_clinton]]-Table1[[#This Row],[adjusted_vote_trump]]</f>
        <v>-454983</v>
      </c>
      <c r="Y60" s="12">
        <f>IF(Table1[[#This Row],[adjusted_spread_with_stein_only]]&gt;0,Table1[[#This Row],[electoral_votes]],0)</f>
        <v>0</v>
      </c>
      <c r="Z60" s="12">
        <f>IF(Table1[[#This Row],[adjusted_spread_with_johnson_only]]&gt;0,Table1[[#This Row],[electoral_votes]],0)</f>
        <v>0</v>
      </c>
      <c r="AA60" s="11">
        <f>IF(Table1[[#This Row],[adjusted_spread]]&gt;0,Table1[[#This Row],[electoral_votes]],0)</f>
        <v>0</v>
      </c>
      <c r="AB60" s="12">
        <f>IF(Table1[[#This Row],[adjusted_spread]]&lt;0,Table1[[#This Row],[electoral_votes]],0)</f>
        <v>18</v>
      </c>
      <c r="AC60" s="12" t="str">
        <f>IF(Table1[[#This Row],[orig_spread]]&lt;0,"Trump",IF(Table1[[#This Row],[orig_spread]]&gt;0,"Clinton",""))</f>
        <v>Trump</v>
      </c>
      <c r="AD60" s="12" t="str">
        <f>IF(Table1[[#This Row],[adjusted_spread]]&lt;0,"Trump",IF(Table1[[#This Row],[adjusted_spread]]&gt;0,"Clinton",""))</f>
        <v>Trump</v>
      </c>
      <c r="AE60" s="11" t="b">
        <f>AND(Table1[[#This Row],[orig_outcome]]="Trump",Table1[[#This Row],[adjusted_outcome]]="Clinton")</f>
        <v>0</v>
      </c>
      <c r="AF60" s="11" t="b">
        <f>AND(Table1[[#This Row],[orig_outcome]]="Clinton",Table1[[#This Row],[adjusted_outcome]]="Trump")</f>
        <v>0</v>
      </c>
      <c r="AG60" s="11" t="str">
        <f>IF(Table1[[#This Row],[index]]=1,IF(Table1[[#This Row],[pickup_clinton]],Table1[[#This Row],[State]],""),IF(Table1[[#This Row],[pickup_clinton]],CONCATENATE(AG59,IF(AG59="","",","),Table1[[#This Row],[State]]),AG59))</f>
        <v/>
      </c>
      <c r="AH60" s="11" t="str">
        <f>IF(Table1[[#This Row],[index]]=1,IF(Table1[[#This Row],[pickup_trump]],Table1[[#This Row],[State]],""),IF(Table1[[#This Row],[pickup_trump]],CONCATENATE(AH59,IF(AH49="","",","),Table1[[#This Row],[State]]),AH59))</f>
        <v/>
      </c>
      <c r="AI60" s="30">
        <f>IF(Table1[[#This Row],[orig_vote_stein]]=0,"",(1-Table1[[#This Row],[adjusted_spread_with_johnson_only]]/Table1[[#This Row],[orig_vote_stein]])/2)</f>
        <v>5.6340893703452943</v>
      </c>
      <c r="AJ60" s="30">
        <f>(1-Table1[[#This Row],[adjusted_spread_with_stein_only]]/Table1[[#This Row],[orig_vote_johnson]])/2</f>
        <v>1.8493051560210914</v>
      </c>
      <c r="AK60" s="30" t="b">
        <f>AND(Table1[[#This Row],[stein_split_needed_pure]]&gt;=0,Table1[[#This Row],[stein_split_needed_pure]]&lt;=1)</f>
        <v>0</v>
      </c>
      <c r="AL60" s="30" t="b">
        <f>AND(Table1[[#This Row],[johnson_split_needed_pure]]&gt;=0,Table1[[#This Row],[johnson_split_needed_pure]]&lt;=1)</f>
        <v>0</v>
      </c>
      <c r="AM60" s="30" t="b">
        <f>OR(Table1[[#This Row],[in_play_stein]],Table1[[#This Row],[in_play_johnson]])</f>
        <v>0</v>
      </c>
      <c r="AN60" s="51">
        <f t="array" ref="AN6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0" s="51">
        <f t="array" ref="AO6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0" s="51">
        <f t="array" ref="AP6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0" s="51">
        <f t="array" ref="AQ6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0" s="44">
        <f>adjusted_electors_clinton_with_johnson_only+Table1[[#This Row],[electors_with_split_stein_added]]+Table1[[#This Row],[electors_with_split_stein_dropped]]</f>
        <v>233</v>
      </c>
      <c r="AS60" s="44">
        <f>adjusted_electors_clinton_with_stein_only+Table1[[#This Row],[electors_with_split_johnson_added]]+Table1[[#This Row],[electors_with_split_johnson_dropped]]</f>
        <v>233</v>
      </c>
      <c r="AT60" s="30" t="str">
        <f>IF(AND(Table1[[#This Row],[in_play_stein]],Table1[[#This Row],[electors_with_split_stein]]&gt;=270),Table1[[#This Row],[stein_split_needed_pure]],"")</f>
        <v/>
      </c>
      <c r="AU60" s="45" t="str">
        <f>IF(AND(Table1[[#This Row],[in_play_johnson]],Table1[[#This Row],[electors_with_split_johnson]]&gt;=270),Table1[[#This Row],[johnson_split_needed_pure]],"")</f>
        <v/>
      </c>
      <c r="AV6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0" s="16">
        <f>Table1[[#This Row],[adjusted_electors_trump]]+Table1[[#This Row],[adjusted_electors_clinton]]-Table1[[#This Row],[electoral_votes]]</f>
        <v>0</v>
      </c>
      <c r="BC60"/>
      <c r="BE60"/>
      <c r="BF60"/>
    </row>
    <row r="61" spans="2:58">
      <c r="B61" s="3" t="s">
        <v>43</v>
      </c>
      <c r="C61" s="7">
        <v>7</v>
      </c>
      <c r="D61" s="13">
        <v>419788</v>
      </c>
      <c r="E61" s="13">
        <v>947934</v>
      </c>
      <c r="F61" s="13">
        <v>83334</v>
      </c>
      <c r="G61" s="13">
        <v>0</v>
      </c>
      <c r="H61" s="29">
        <f>ROW()-ROW(Table1[[#Headers],[index]])</f>
        <v>37</v>
      </c>
      <c r="I61" s="12">
        <f>Table1[[#This Row],[orig_vote_clinton]]-Table1[[#This Row],[orig_vote_trump]]</f>
        <v>-528146</v>
      </c>
      <c r="J61" s="12">
        <f>IF(Table1[[#This Row],[orig_spread]]&gt;0,Table1[[#This Row],[electoral_votes]],0)</f>
        <v>0</v>
      </c>
      <c r="K61" s="12">
        <f>IF(Table1[[#This Row],[orig_spread]]&lt;0,Table1[[#This Row],[electoral_votes]],0)</f>
        <v>7</v>
      </c>
      <c r="L61" s="12">
        <f>pct_stein_to_clinton*Table1[[#This Row],[orig_vote_stein]]</f>
        <v>0</v>
      </c>
      <c r="M61" s="12">
        <f>pct_stein_to_trump*Table1[[#This Row],[orig_vote_stein]]</f>
        <v>0</v>
      </c>
      <c r="N61" s="12">
        <f>pct_johnson_to_clinton*Table1[[#This Row],[orig_vote_johnson]]</f>
        <v>41667</v>
      </c>
      <c r="O61" s="12">
        <f>pct_johnson_to_trump*Table1[[#This Row],[orig_vote_johnson]]</f>
        <v>41667</v>
      </c>
      <c r="P61" s="12">
        <f>Table1[[#This Row],[orig_vote_clinton]]+Table1[[#This Row],[stein_votes_to_clinton]]</f>
        <v>419788</v>
      </c>
      <c r="Q61" s="12">
        <f>Table1[[#This Row],[orig_vote_trump]]+Table1[[#This Row],[stein_votes_to_trump]]</f>
        <v>947934</v>
      </c>
      <c r="R61" s="12">
        <f>Table1[[#This Row],[orig_vote_clinton]]+Table1[[#This Row],[johnson_votes_to_clinton]]</f>
        <v>461455</v>
      </c>
      <c r="S61" s="12">
        <f>Table1[[#This Row],[orig_vote_trump]]+Table1[[#This Row],[johnson_votes_to_trump]]</f>
        <v>989601</v>
      </c>
      <c r="T61" s="11">
        <f>Table1[[#This Row],[orig_vote_clinton]]+Table1[[#This Row],[stein_votes_to_clinton]]+Table1[[#This Row],[johnson_votes_to_clinton]]</f>
        <v>461455</v>
      </c>
      <c r="U61" s="11">
        <f>Table1[[#This Row],[orig_vote_trump]]+Table1[[#This Row],[stein_votes_to_trump]]+Table1[[#This Row],[johnson_votes_to_trump]]</f>
        <v>989601</v>
      </c>
      <c r="V61" s="11">
        <f>Table1[[#This Row],[adjusted_vote_clinton_with_stein_only]]-Table1[[#This Row],[adjusted_vote_trump_with_stein_only]]</f>
        <v>-528146</v>
      </c>
      <c r="W61" s="11">
        <f>Table1[[#This Row],[adjusted_vote_clinton_with_johnson_only]]-Table1[[#This Row],[adjusted_vote_trump_with_johnson_only]]</f>
        <v>-528146</v>
      </c>
      <c r="X61" s="12">
        <f>Table1[[#This Row],[adjusted_vote_clinton]]-Table1[[#This Row],[adjusted_vote_trump]]</f>
        <v>-528146</v>
      </c>
      <c r="Y61" s="12">
        <f>IF(Table1[[#This Row],[adjusted_spread_with_stein_only]]&gt;0,Table1[[#This Row],[electoral_votes]],0)</f>
        <v>0</v>
      </c>
      <c r="Z61" s="12">
        <f>IF(Table1[[#This Row],[adjusted_spread_with_johnson_only]]&gt;0,Table1[[#This Row],[electoral_votes]],0)</f>
        <v>0</v>
      </c>
      <c r="AA61" s="11">
        <f>IF(Table1[[#This Row],[adjusted_spread]]&gt;0,Table1[[#This Row],[electoral_votes]],0)</f>
        <v>0</v>
      </c>
      <c r="AB61" s="12">
        <f>IF(Table1[[#This Row],[adjusted_spread]]&lt;0,Table1[[#This Row],[electoral_votes]],0)</f>
        <v>7</v>
      </c>
      <c r="AC61" s="12" t="str">
        <f>IF(Table1[[#This Row],[orig_spread]]&lt;0,"Trump",IF(Table1[[#This Row],[orig_spread]]&gt;0,"Clinton",""))</f>
        <v>Trump</v>
      </c>
      <c r="AD61" s="12" t="str">
        <f>IF(Table1[[#This Row],[adjusted_spread]]&lt;0,"Trump",IF(Table1[[#This Row],[adjusted_spread]]&gt;0,"Clinton",""))</f>
        <v>Trump</v>
      </c>
      <c r="AE61" s="11" t="b">
        <f>AND(Table1[[#This Row],[orig_outcome]]="Trump",Table1[[#This Row],[adjusted_outcome]]="Clinton")</f>
        <v>0</v>
      </c>
      <c r="AF61" s="11" t="b">
        <f>AND(Table1[[#This Row],[orig_outcome]]="Clinton",Table1[[#This Row],[adjusted_outcome]]="Trump")</f>
        <v>0</v>
      </c>
      <c r="AG61" s="11" t="str">
        <f>IF(Table1[[#This Row],[index]]=1,IF(Table1[[#This Row],[pickup_clinton]],Table1[[#This Row],[State]],""),IF(Table1[[#This Row],[pickup_clinton]],CONCATENATE(AG60,IF(AG60="","",","),Table1[[#This Row],[State]]),AG60))</f>
        <v/>
      </c>
      <c r="AH61" s="11" t="str">
        <f>IF(Table1[[#This Row],[index]]=1,IF(Table1[[#This Row],[pickup_trump]],Table1[[#This Row],[State]],""),IF(Table1[[#This Row],[pickup_trump]],CONCATENATE(AH60,IF(AH50="","",","),Table1[[#This Row],[State]]),AH60))</f>
        <v/>
      </c>
      <c r="AI61" s="30" t="str">
        <f>IF(Table1[[#This Row],[orig_vote_stein]]=0,"",(1-Table1[[#This Row],[adjusted_spread_with_johnson_only]]/Table1[[#This Row],[orig_vote_stein]])/2)</f>
        <v/>
      </c>
      <c r="AJ61" s="30">
        <f>(1-Table1[[#This Row],[adjusted_spread_with_stein_only]]/Table1[[#This Row],[orig_vote_johnson]])/2</f>
        <v>3.6688506491948063</v>
      </c>
      <c r="AK61" s="30" t="b">
        <f>AND(Table1[[#This Row],[stein_split_needed_pure]]&gt;=0,Table1[[#This Row],[stein_split_needed_pure]]&lt;=1)</f>
        <v>0</v>
      </c>
      <c r="AL61" s="30" t="b">
        <f>AND(Table1[[#This Row],[johnson_split_needed_pure]]&gt;=0,Table1[[#This Row],[johnson_split_needed_pure]]&lt;=1)</f>
        <v>0</v>
      </c>
      <c r="AM61" s="30" t="b">
        <f>OR(Table1[[#This Row],[in_play_stein]],Table1[[#This Row],[in_play_johnson]])</f>
        <v>0</v>
      </c>
      <c r="AN61" s="51">
        <f t="array" ref="AN6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1" s="51">
        <f t="array" ref="AO6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1" s="51">
        <f t="array" ref="AP6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1" s="51">
        <f t="array" ref="AQ6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1" s="44">
        <f>adjusted_electors_clinton_with_johnson_only+Table1[[#This Row],[electors_with_split_stein_added]]+Table1[[#This Row],[electors_with_split_stein_dropped]]</f>
        <v>233</v>
      </c>
      <c r="AS61" s="44">
        <f>adjusted_electors_clinton_with_stein_only+Table1[[#This Row],[electors_with_split_johnson_added]]+Table1[[#This Row],[electors_with_split_johnson_dropped]]</f>
        <v>233</v>
      </c>
      <c r="AT61" s="30" t="str">
        <f>IF(AND(Table1[[#This Row],[in_play_stein]],Table1[[#This Row],[electors_with_split_stein]]&gt;=270),Table1[[#This Row],[stein_split_needed_pure]],"")</f>
        <v/>
      </c>
      <c r="AU61" s="45" t="str">
        <f>IF(AND(Table1[[#This Row],[in_play_johnson]],Table1[[#This Row],[electors_with_split_johnson]]&gt;=270),Table1[[#This Row],[johnson_split_needed_pure]],"")</f>
        <v/>
      </c>
      <c r="AV61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1" s="16">
        <f>Table1[[#This Row],[adjusted_electors_trump]]+Table1[[#This Row],[adjusted_electors_clinton]]-Table1[[#This Row],[electoral_votes]]</f>
        <v>0</v>
      </c>
      <c r="BC61"/>
      <c r="BE61"/>
      <c r="BF61"/>
    </row>
    <row r="62" spans="2:58">
      <c r="B62" s="19" t="s">
        <v>44</v>
      </c>
      <c r="C62" s="18">
        <v>7</v>
      </c>
      <c r="D62" s="13">
        <v>934631</v>
      </c>
      <c r="E62" s="13">
        <v>742506</v>
      </c>
      <c r="F62" s="13">
        <v>86306</v>
      </c>
      <c r="G62" s="13">
        <v>45132</v>
      </c>
      <c r="H62" s="25">
        <f>ROW()-ROW(Table1[[#Headers],[index]])</f>
        <v>38</v>
      </c>
      <c r="I62" s="12">
        <f>Table1[[#This Row],[orig_vote_clinton]]-Table1[[#This Row],[orig_vote_trump]]</f>
        <v>192125</v>
      </c>
      <c r="J62" s="12">
        <f>IF(Table1[[#This Row],[orig_spread]]&gt;0,Table1[[#This Row],[electoral_votes]],0)</f>
        <v>7</v>
      </c>
      <c r="K62" s="12">
        <f>IF(Table1[[#This Row],[orig_spread]]&lt;0,Table1[[#This Row],[electoral_votes]],0)</f>
        <v>0</v>
      </c>
      <c r="L62" s="12">
        <f>pct_stein_to_clinton*Table1[[#This Row],[orig_vote_stein]]</f>
        <v>22566</v>
      </c>
      <c r="M62" s="12">
        <f>pct_stein_to_trump*Table1[[#This Row],[orig_vote_stein]]</f>
        <v>22566</v>
      </c>
      <c r="N62" s="12">
        <f>pct_johnson_to_clinton*Table1[[#This Row],[orig_vote_johnson]]</f>
        <v>43153</v>
      </c>
      <c r="O62" s="12">
        <f>pct_johnson_to_trump*Table1[[#This Row],[orig_vote_johnson]]</f>
        <v>43153</v>
      </c>
      <c r="P62" s="12">
        <f>Table1[[#This Row],[orig_vote_clinton]]+Table1[[#This Row],[stein_votes_to_clinton]]</f>
        <v>957197</v>
      </c>
      <c r="Q62" s="12">
        <f>Table1[[#This Row],[orig_vote_trump]]+Table1[[#This Row],[stein_votes_to_trump]]</f>
        <v>765072</v>
      </c>
      <c r="R62" s="12">
        <f>Table1[[#This Row],[orig_vote_clinton]]+Table1[[#This Row],[johnson_votes_to_clinton]]</f>
        <v>977784</v>
      </c>
      <c r="S62" s="12">
        <f>Table1[[#This Row],[orig_vote_trump]]+Table1[[#This Row],[johnson_votes_to_trump]]</f>
        <v>785659</v>
      </c>
      <c r="T62" s="11">
        <f>Table1[[#This Row],[orig_vote_clinton]]+Table1[[#This Row],[stein_votes_to_clinton]]+Table1[[#This Row],[johnson_votes_to_clinton]]</f>
        <v>1000350</v>
      </c>
      <c r="U62" s="11">
        <f>Table1[[#This Row],[orig_vote_trump]]+Table1[[#This Row],[stein_votes_to_trump]]+Table1[[#This Row],[johnson_votes_to_trump]]</f>
        <v>808225</v>
      </c>
      <c r="V62" s="11">
        <f>Table1[[#This Row],[adjusted_vote_clinton_with_stein_only]]-Table1[[#This Row],[adjusted_vote_trump_with_stein_only]]</f>
        <v>192125</v>
      </c>
      <c r="W62" s="11">
        <f>Table1[[#This Row],[adjusted_vote_clinton_with_johnson_only]]-Table1[[#This Row],[adjusted_vote_trump_with_johnson_only]]</f>
        <v>192125</v>
      </c>
      <c r="X62" s="12">
        <f>Table1[[#This Row],[adjusted_vote_clinton]]-Table1[[#This Row],[adjusted_vote_trump]]</f>
        <v>192125</v>
      </c>
      <c r="Y62" s="12">
        <f>IF(Table1[[#This Row],[adjusted_spread_with_stein_only]]&gt;0,Table1[[#This Row],[electoral_votes]],0)</f>
        <v>7</v>
      </c>
      <c r="Z62" s="12">
        <f>IF(Table1[[#This Row],[adjusted_spread_with_johnson_only]]&gt;0,Table1[[#This Row],[electoral_votes]],0)</f>
        <v>7</v>
      </c>
      <c r="AA62" s="11">
        <f>IF(Table1[[#This Row],[adjusted_spread]]&gt;0,Table1[[#This Row],[electoral_votes]],0)</f>
        <v>7</v>
      </c>
      <c r="AB62" s="12">
        <f>IF(Table1[[#This Row],[adjusted_spread]]&lt;0,Table1[[#This Row],[electoral_votes]],0)</f>
        <v>0</v>
      </c>
      <c r="AC62" s="12" t="str">
        <f>IF(Table1[[#This Row],[orig_spread]]&lt;0,"Trump",IF(Table1[[#This Row],[orig_spread]]&gt;0,"Clinton",""))</f>
        <v>Clinton</v>
      </c>
      <c r="AD62" s="12" t="str">
        <f>IF(Table1[[#This Row],[adjusted_spread]]&lt;0,"Trump",IF(Table1[[#This Row],[adjusted_spread]]&gt;0,"Clinton",""))</f>
        <v>Clinton</v>
      </c>
      <c r="AE62" s="11" t="b">
        <f>AND(Table1[[#This Row],[orig_outcome]]="Trump",Table1[[#This Row],[adjusted_outcome]]="Clinton")</f>
        <v>0</v>
      </c>
      <c r="AF62" s="11" t="b">
        <f>AND(Table1[[#This Row],[orig_outcome]]="Clinton",Table1[[#This Row],[adjusted_outcome]]="Trump")</f>
        <v>0</v>
      </c>
      <c r="AG62" s="11" t="str">
        <f>IF(Table1[[#This Row],[index]]=1,IF(Table1[[#This Row],[pickup_clinton]],Table1[[#This Row],[State]],""),IF(Table1[[#This Row],[pickup_clinton]],CONCATENATE(AG61,IF(AG61="","",","),Table1[[#This Row],[State]]),AG61))</f>
        <v/>
      </c>
      <c r="AH62" s="11" t="str">
        <f>IF(Table1[[#This Row],[index]]=1,IF(Table1[[#This Row],[pickup_trump]],Table1[[#This Row],[State]],""),IF(Table1[[#This Row],[pickup_trump]],CONCATENATE(AH61,IF(AH51="","",","),Table1[[#This Row],[State]]),AH61))</f>
        <v/>
      </c>
      <c r="AI62" s="30">
        <f>IF(Table1[[#This Row],[orig_vote_stein]]=0,"",(1-Table1[[#This Row],[adjusted_spread_with_johnson_only]]/Table1[[#This Row],[orig_vote_stein]])/2)</f>
        <v>-1.6284786847469643</v>
      </c>
      <c r="AJ62" s="30">
        <f>(1-Table1[[#This Row],[adjusted_spread_with_stein_only]]/Table1[[#This Row],[orig_vote_johnson]])/2</f>
        <v>-0.61304544295877461</v>
      </c>
      <c r="AK62" s="30" t="b">
        <f>AND(Table1[[#This Row],[stein_split_needed_pure]]&gt;=0,Table1[[#This Row],[stein_split_needed_pure]]&lt;=1)</f>
        <v>0</v>
      </c>
      <c r="AL62" s="30" t="b">
        <f>AND(Table1[[#This Row],[johnson_split_needed_pure]]&gt;=0,Table1[[#This Row],[johnson_split_needed_pure]]&lt;=1)</f>
        <v>0</v>
      </c>
      <c r="AM62" s="30" t="b">
        <f>OR(Table1[[#This Row],[in_play_stein]],Table1[[#This Row],[in_play_johnson]])</f>
        <v>0</v>
      </c>
      <c r="AN62" s="51">
        <f t="array" ref="AN6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2" s="51">
        <f t="array" ref="AO6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2" s="51">
        <f t="array" ref="AP6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2" s="51">
        <f t="array" ref="AQ6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2" s="44">
        <f>adjusted_electors_clinton_with_johnson_only+Table1[[#This Row],[electors_with_split_stein_added]]+Table1[[#This Row],[electors_with_split_stein_dropped]]</f>
        <v>233</v>
      </c>
      <c r="AS62" s="44">
        <f>adjusted_electors_clinton_with_stein_only+Table1[[#This Row],[electors_with_split_johnson_added]]+Table1[[#This Row],[electors_with_split_johnson_dropped]]</f>
        <v>233</v>
      </c>
      <c r="AT62" s="30" t="str">
        <f>IF(AND(Table1[[#This Row],[in_play_stein]],Table1[[#This Row],[electors_with_split_stein]]&gt;=270),Table1[[#This Row],[stein_split_needed_pure]],"")</f>
        <v/>
      </c>
      <c r="AU62" s="45" t="str">
        <f>IF(AND(Table1[[#This Row],[in_play_johnson]],Table1[[#This Row],[electors_with_split_johnson]]&gt;=270),Table1[[#This Row],[johnson_split_needed_pure]],"")</f>
        <v/>
      </c>
      <c r="AV6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2" s="16">
        <f>Table1[[#This Row],[adjusted_electors_trump]]+Table1[[#This Row],[adjusted_electors_clinton]]-Table1[[#This Row],[electoral_votes]]</f>
        <v>0</v>
      </c>
      <c r="BC62"/>
      <c r="BE62"/>
      <c r="BF62"/>
    </row>
    <row r="63" spans="2:58">
      <c r="B63" s="3" t="s">
        <v>2</v>
      </c>
      <c r="C63" s="4">
        <v>20</v>
      </c>
      <c r="D63" s="13">
        <v>2844705</v>
      </c>
      <c r="E63" s="13">
        <v>2912941</v>
      </c>
      <c r="F63" s="13">
        <v>142653</v>
      </c>
      <c r="G63" s="13">
        <v>48912</v>
      </c>
      <c r="H63" s="29">
        <f>ROW()-ROW(Table1[[#Headers],[index]])</f>
        <v>39</v>
      </c>
      <c r="I63" s="12">
        <f>Table1[[#This Row],[orig_vote_clinton]]-Table1[[#This Row],[orig_vote_trump]]</f>
        <v>-68236</v>
      </c>
      <c r="J63" s="12">
        <f>IF(Table1[[#This Row],[orig_spread]]&gt;0,Table1[[#This Row],[electoral_votes]],0)</f>
        <v>0</v>
      </c>
      <c r="K63" s="12">
        <f>IF(Table1[[#This Row],[orig_spread]]&lt;0,Table1[[#This Row],[electoral_votes]],0)</f>
        <v>20</v>
      </c>
      <c r="L63" s="12">
        <f>pct_stein_to_clinton*Table1[[#This Row],[orig_vote_stein]]</f>
        <v>24456</v>
      </c>
      <c r="M63" s="12">
        <f>pct_stein_to_trump*Table1[[#This Row],[orig_vote_stein]]</f>
        <v>24456</v>
      </c>
      <c r="N63" s="12">
        <f>pct_johnson_to_clinton*Table1[[#This Row],[orig_vote_johnson]]</f>
        <v>71326.5</v>
      </c>
      <c r="O63" s="12">
        <f>pct_johnson_to_trump*Table1[[#This Row],[orig_vote_johnson]]</f>
        <v>71326.5</v>
      </c>
      <c r="P63" s="12">
        <f>Table1[[#This Row],[orig_vote_clinton]]+Table1[[#This Row],[stein_votes_to_clinton]]</f>
        <v>2869161</v>
      </c>
      <c r="Q63" s="12">
        <f>Table1[[#This Row],[orig_vote_trump]]+Table1[[#This Row],[stein_votes_to_trump]]</f>
        <v>2937397</v>
      </c>
      <c r="R63" s="12">
        <f>Table1[[#This Row],[orig_vote_clinton]]+Table1[[#This Row],[johnson_votes_to_clinton]]</f>
        <v>2916031.5</v>
      </c>
      <c r="S63" s="12">
        <f>Table1[[#This Row],[orig_vote_trump]]+Table1[[#This Row],[johnson_votes_to_trump]]</f>
        <v>2984267.5</v>
      </c>
      <c r="T63" s="11">
        <f>Table1[[#This Row],[orig_vote_clinton]]+Table1[[#This Row],[stein_votes_to_clinton]]+Table1[[#This Row],[johnson_votes_to_clinton]]</f>
        <v>2940487.5</v>
      </c>
      <c r="U63" s="11">
        <f>Table1[[#This Row],[orig_vote_trump]]+Table1[[#This Row],[stein_votes_to_trump]]+Table1[[#This Row],[johnson_votes_to_trump]]</f>
        <v>3008723.5</v>
      </c>
      <c r="V63" s="11">
        <f>Table1[[#This Row],[adjusted_vote_clinton_with_stein_only]]-Table1[[#This Row],[adjusted_vote_trump_with_stein_only]]</f>
        <v>-68236</v>
      </c>
      <c r="W63" s="11">
        <f>Table1[[#This Row],[adjusted_vote_clinton_with_johnson_only]]-Table1[[#This Row],[adjusted_vote_trump_with_johnson_only]]</f>
        <v>-68236</v>
      </c>
      <c r="X63" s="12">
        <f>Table1[[#This Row],[adjusted_vote_clinton]]-Table1[[#This Row],[adjusted_vote_trump]]</f>
        <v>-68236</v>
      </c>
      <c r="Y63" s="12">
        <f>IF(Table1[[#This Row],[adjusted_spread_with_stein_only]]&gt;0,Table1[[#This Row],[electoral_votes]],0)</f>
        <v>0</v>
      </c>
      <c r="Z63" s="12">
        <f>IF(Table1[[#This Row],[adjusted_spread_with_johnson_only]]&gt;0,Table1[[#This Row],[electoral_votes]],0)</f>
        <v>0</v>
      </c>
      <c r="AA63" s="11">
        <f>IF(Table1[[#This Row],[adjusted_spread]]&gt;0,Table1[[#This Row],[electoral_votes]],0)</f>
        <v>0</v>
      </c>
      <c r="AB63" s="12">
        <f>IF(Table1[[#This Row],[adjusted_spread]]&lt;0,Table1[[#This Row],[electoral_votes]],0)</f>
        <v>20</v>
      </c>
      <c r="AC63" s="12" t="str">
        <f>IF(Table1[[#This Row],[orig_spread]]&lt;0,"Trump",IF(Table1[[#This Row],[orig_spread]]&gt;0,"Clinton",""))</f>
        <v>Trump</v>
      </c>
      <c r="AD63" s="12" t="str">
        <f>IF(Table1[[#This Row],[adjusted_spread]]&lt;0,"Trump",IF(Table1[[#This Row],[adjusted_spread]]&gt;0,"Clinton",""))</f>
        <v>Trump</v>
      </c>
      <c r="AE63" s="11" t="b">
        <f>AND(Table1[[#This Row],[orig_outcome]]="Trump",Table1[[#This Row],[adjusted_outcome]]="Clinton")</f>
        <v>0</v>
      </c>
      <c r="AF63" s="11" t="b">
        <f>AND(Table1[[#This Row],[orig_outcome]]="Clinton",Table1[[#This Row],[adjusted_outcome]]="Trump")</f>
        <v>0</v>
      </c>
      <c r="AG63" s="11" t="str">
        <f>IF(Table1[[#This Row],[index]]=1,IF(Table1[[#This Row],[pickup_clinton]],Table1[[#This Row],[State]],""),IF(Table1[[#This Row],[pickup_clinton]],CONCATENATE(AG62,IF(AG62="","",","),Table1[[#This Row],[State]]),AG62))</f>
        <v/>
      </c>
      <c r="AH63" s="11" t="str">
        <f>IF(Table1[[#This Row],[index]]=1,IF(Table1[[#This Row],[pickup_trump]],Table1[[#This Row],[State]],""),IF(Table1[[#This Row],[pickup_trump]],CONCATENATE(AH62,IF(AH52="","",","),Table1[[#This Row],[State]]),AH62))</f>
        <v/>
      </c>
      <c r="AI63" s="30">
        <f>IF(Table1[[#This Row],[orig_vote_stein]]=0,"",(1-Table1[[#This Row],[adjusted_spread_with_johnson_only]]/Table1[[#This Row],[orig_vote_stein]])/2)</f>
        <v>1.1975384363755315</v>
      </c>
      <c r="AJ63" s="30">
        <f>(1-Table1[[#This Row],[adjusted_spread_with_stein_only]]/Table1[[#This Row],[orig_vote_johnson]])/2</f>
        <v>0.73916777074439377</v>
      </c>
      <c r="AK63" s="30" t="b">
        <f>AND(Table1[[#This Row],[stein_split_needed_pure]]&gt;=0,Table1[[#This Row],[stein_split_needed_pure]]&lt;=1)</f>
        <v>0</v>
      </c>
      <c r="AL63" s="30" t="b">
        <f>AND(Table1[[#This Row],[johnson_split_needed_pure]]&gt;=0,Table1[[#This Row],[johnson_split_needed_pure]]&lt;=1)</f>
        <v>1</v>
      </c>
      <c r="AM63" s="30" t="b">
        <f>OR(Table1[[#This Row],[in_play_stein]],Table1[[#This Row],[in_play_johnson]])</f>
        <v>1</v>
      </c>
      <c r="AN63" s="51">
        <f t="array" ref="AN6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3" s="51">
        <f t="array" ref="AO6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46</v>
      </c>
      <c r="AP63" s="51">
        <f t="array" ref="AP6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3" s="51">
        <f t="array" ref="AQ6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3" s="44">
        <f>adjusted_electors_clinton_with_johnson_only+Table1[[#This Row],[electors_with_split_stein_added]]+Table1[[#This Row],[electors_with_split_stein_dropped]]</f>
        <v>233</v>
      </c>
      <c r="AS63" s="44">
        <f>adjusted_electors_clinton_with_stein_only+Table1[[#This Row],[electors_with_split_johnson_added]]+Table1[[#This Row],[electors_with_split_johnson_dropped]]</f>
        <v>279</v>
      </c>
      <c r="AT63" s="30" t="str">
        <f>IF(AND(Table1[[#This Row],[in_play_stein]],Table1[[#This Row],[electors_with_split_stein]]&gt;=270),Table1[[#This Row],[stein_split_needed_pure]],"")</f>
        <v/>
      </c>
      <c r="AU63" s="45">
        <f>IF(AND(Table1[[#This Row],[in_play_johnson]],Table1[[#This Row],[electors_with_split_johnson]]&gt;=270),Table1[[#This Row],[johnson_split_needed_pure]],"")</f>
        <v>0.73916777074439377</v>
      </c>
      <c r="AV6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3" s="16">
        <f>Table1[[#This Row],[adjusted_electors_trump]]+Table1[[#This Row],[adjusted_electors_clinton]]-Table1[[#This Row],[electoral_votes]]</f>
        <v>0</v>
      </c>
      <c r="BC63"/>
      <c r="BE63"/>
      <c r="BF63"/>
    </row>
    <row r="64" spans="2:58">
      <c r="B64" s="19" t="s">
        <v>45</v>
      </c>
      <c r="C64" s="18">
        <v>4</v>
      </c>
      <c r="D64" s="13">
        <v>934631</v>
      </c>
      <c r="E64" s="13">
        <v>742506</v>
      </c>
      <c r="F64" s="13">
        <v>86306</v>
      </c>
      <c r="G64" s="13">
        <v>45132</v>
      </c>
      <c r="H64" s="25">
        <f>ROW()-ROW(Table1[[#Headers],[index]])</f>
        <v>40</v>
      </c>
      <c r="I64" s="12">
        <f>Table1[[#This Row],[orig_vote_clinton]]-Table1[[#This Row],[orig_vote_trump]]</f>
        <v>192125</v>
      </c>
      <c r="J64" s="12">
        <f>IF(Table1[[#This Row],[orig_spread]]&gt;0,Table1[[#This Row],[electoral_votes]],0)</f>
        <v>4</v>
      </c>
      <c r="K64" s="12">
        <f>IF(Table1[[#This Row],[orig_spread]]&lt;0,Table1[[#This Row],[electoral_votes]],0)</f>
        <v>0</v>
      </c>
      <c r="L64" s="12">
        <f>pct_stein_to_clinton*Table1[[#This Row],[orig_vote_stein]]</f>
        <v>22566</v>
      </c>
      <c r="M64" s="12">
        <f>pct_stein_to_trump*Table1[[#This Row],[orig_vote_stein]]</f>
        <v>22566</v>
      </c>
      <c r="N64" s="12">
        <f>pct_johnson_to_clinton*Table1[[#This Row],[orig_vote_johnson]]</f>
        <v>43153</v>
      </c>
      <c r="O64" s="12">
        <f>pct_johnson_to_trump*Table1[[#This Row],[orig_vote_johnson]]</f>
        <v>43153</v>
      </c>
      <c r="P64" s="12">
        <f>Table1[[#This Row],[orig_vote_clinton]]+Table1[[#This Row],[stein_votes_to_clinton]]</f>
        <v>957197</v>
      </c>
      <c r="Q64" s="12">
        <f>Table1[[#This Row],[orig_vote_trump]]+Table1[[#This Row],[stein_votes_to_trump]]</f>
        <v>765072</v>
      </c>
      <c r="R64" s="12">
        <f>Table1[[#This Row],[orig_vote_clinton]]+Table1[[#This Row],[johnson_votes_to_clinton]]</f>
        <v>977784</v>
      </c>
      <c r="S64" s="12">
        <f>Table1[[#This Row],[orig_vote_trump]]+Table1[[#This Row],[johnson_votes_to_trump]]</f>
        <v>785659</v>
      </c>
      <c r="T64" s="11">
        <f>Table1[[#This Row],[orig_vote_clinton]]+Table1[[#This Row],[stein_votes_to_clinton]]+Table1[[#This Row],[johnson_votes_to_clinton]]</f>
        <v>1000350</v>
      </c>
      <c r="U64" s="11">
        <f>Table1[[#This Row],[orig_vote_trump]]+Table1[[#This Row],[stein_votes_to_trump]]+Table1[[#This Row],[johnson_votes_to_trump]]</f>
        <v>808225</v>
      </c>
      <c r="V64" s="11">
        <f>Table1[[#This Row],[adjusted_vote_clinton_with_stein_only]]-Table1[[#This Row],[adjusted_vote_trump_with_stein_only]]</f>
        <v>192125</v>
      </c>
      <c r="W64" s="11">
        <f>Table1[[#This Row],[adjusted_vote_clinton_with_johnson_only]]-Table1[[#This Row],[adjusted_vote_trump_with_johnson_only]]</f>
        <v>192125</v>
      </c>
      <c r="X64" s="12">
        <f>Table1[[#This Row],[adjusted_vote_clinton]]-Table1[[#This Row],[adjusted_vote_trump]]</f>
        <v>192125</v>
      </c>
      <c r="Y64" s="12">
        <f>IF(Table1[[#This Row],[adjusted_spread_with_stein_only]]&gt;0,Table1[[#This Row],[electoral_votes]],0)</f>
        <v>4</v>
      </c>
      <c r="Z64" s="12">
        <f>IF(Table1[[#This Row],[adjusted_spread_with_johnson_only]]&gt;0,Table1[[#This Row],[electoral_votes]],0)</f>
        <v>4</v>
      </c>
      <c r="AA64" s="11">
        <f>IF(Table1[[#This Row],[adjusted_spread]]&gt;0,Table1[[#This Row],[electoral_votes]],0)</f>
        <v>4</v>
      </c>
      <c r="AB64" s="12">
        <f>IF(Table1[[#This Row],[adjusted_spread]]&lt;0,Table1[[#This Row],[electoral_votes]],0)</f>
        <v>0</v>
      </c>
      <c r="AC64" s="12" t="str">
        <f>IF(Table1[[#This Row],[orig_spread]]&lt;0,"Trump",IF(Table1[[#This Row],[orig_spread]]&gt;0,"Clinton",""))</f>
        <v>Clinton</v>
      </c>
      <c r="AD64" s="12" t="str">
        <f>IF(Table1[[#This Row],[adjusted_spread]]&lt;0,"Trump",IF(Table1[[#This Row],[adjusted_spread]]&gt;0,"Clinton",""))</f>
        <v>Clinton</v>
      </c>
      <c r="AE64" s="11" t="b">
        <f>AND(Table1[[#This Row],[orig_outcome]]="Trump",Table1[[#This Row],[adjusted_outcome]]="Clinton")</f>
        <v>0</v>
      </c>
      <c r="AF64" s="11" t="b">
        <f>AND(Table1[[#This Row],[orig_outcome]]="Clinton",Table1[[#This Row],[adjusted_outcome]]="Trump")</f>
        <v>0</v>
      </c>
      <c r="AG64" s="11" t="str">
        <f>IF(Table1[[#This Row],[index]]=1,IF(Table1[[#This Row],[pickup_clinton]],Table1[[#This Row],[State]],""),IF(Table1[[#This Row],[pickup_clinton]],CONCATENATE(AG63,IF(AG63="","",","),Table1[[#This Row],[State]]),AG63))</f>
        <v/>
      </c>
      <c r="AH64" s="11" t="str">
        <f>IF(Table1[[#This Row],[index]]=1,IF(Table1[[#This Row],[pickup_trump]],Table1[[#This Row],[State]],""),IF(Table1[[#This Row],[pickup_trump]],CONCATENATE(AH63,IF(AH53="","",","),Table1[[#This Row],[State]]),AH63))</f>
        <v/>
      </c>
      <c r="AI64" s="30">
        <f>IF(Table1[[#This Row],[orig_vote_stein]]=0,"",(1-Table1[[#This Row],[adjusted_spread_with_johnson_only]]/Table1[[#This Row],[orig_vote_stein]])/2)</f>
        <v>-1.6284786847469643</v>
      </c>
      <c r="AJ64" s="30">
        <f>(1-Table1[[#This Row],[adjusted_spread_with_stein_only]]/Table1[[#This Row],[orig_vote_johnson]])/2</f>
        <v>-0.61304544295877461</v>
      </c>
      <c r="AK64" s="30" t="b">
        <f>AND(Table1[[#This Row],[stein_split_needed_pure]]&gt;=0,Table1[[#This Row],[stein_split_needed_pure]]&lt;=1)</f>
        <v>0</v>
      </c>
      <c r="AL64" s="30" t="b">
        <f>AND(Table1[[#This Row],[johnson_split_needed_pure]]&gt;=0,Table1[[#This Row],[johnson_split_needed_pure]]&lt;=1)</f>
        <v>0</v>
      </c>
      <c r="AM64" s="30" t="b">
        <f>OR(Table1[[#This Row],[in_play_stein]],Table1[[#This Row],[in_play_johnson]])</f>
        <v>0</v>
      </c>
      <c r="AN64" s="51">
        <f t="array" ref="AN6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4" s="51">
        <f t="array" ref="AO6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4" s="51">
        <f t="array" ref="AP6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4" s="51">
        <f t="array" ref="AQ6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4" s="44">
        <f>adjusted_electors_clinton_with_johnson_only+Table1[[#This Row],[electors_with_split_stein_added]]+Table1[[#This Row],[electors_with_split_stein_dropped]]</f>
        <v>233</v>
      </c>
      <c r="AS64" s="44">
        <f>adjusted_electors_clinton_with_stein_only+Table1[[#This Row],[electors_with_split_johnson_added]]+Table1[[#This Row],[electors_with_split_johnson_dropped]]</f>
        <v>233</v>
      </c>
      <c r="AT64" s="30" t="str">
        <f>IF(AND(Table1[[#This Row],[in_play_stein]],Table1[[#This Row],[electors_with_split_stein]]&gt;=270),Table1[[#This Row],[stein_split_needed_pure]],"")</f>
        <v/>
      </c>
      <c r="AU64" s="45" t="str">
        <f>IF(AND(Table1[[#This Row],[in_play_johnson]],Table1[[#This Row],[electors_with_split_johnson]]&gt;=270),Table1[[#This Row],[johnson_split_needed_pure]],"")</f>
        <v/>
      </c>
      <c r="AV6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4" s="16">
        <f>Table1[[#This Row],[adjusted_electors_trump]]+Table1[[#This Row],[adjusted_electors_clinton]]-Table1[[#This Row],[electoral_votes]]</f>
        <v>0</v>
      </c>
      <c r="BC64"/>
      <c r="BE64"/>
      <c r="BF64"/>
    </row>
    <row r="65" spans="2:58">
      <c r="B65" s="3" t="s">
        <v>47</v>
      </c>
      <c r="C65" s="7">
        <v>9</v>
      </c>
      <c r="D65" s="13">
        <v>849469</v>
      </c>
      <c r="E65" s="13">
        <v>1143611</v>
      </c>
      <c r="F65" s="13">
        <v>48715</v>
      </c>
      <c r="G65" s="13">
        <v>12917</v>
      </c>
      <c r="H65" s="25">
        <f>ROW()-ROW(Table1[[#Headers],[index]])</f>
        <v>41</v>
      </c>
      <c r="I65" s="12">
        <f>Table1[[#This Row],[orig_vote_clinton]]-Table1[[#This Row],[orig_vote_trump]]</f>
        <v>-294142</v>
      </c>
      <c r="J65" s="12">
        <f>IF(Table1[[#This Row],[orig_spread]]&gt;0,Table1[[#This Row],[electoral_votes]],0)</f>
        <v>0</v>
      </c>
      <c r="K65" s="12">
        <f>IF(Table1[[#This Row],[orig_spread]]&lt;0,Table1[[#This Row],[electoral_votes]],0)</f>
        <v>9</v>
      </c>
      <c r="L65" s="12">
        <f>pct_stein_to_clinton*Table1[[#This Row],[orig_vote_stein]]</f>
        <v>6458.5</v>
      </c>
      <c r="M65" s="12">
        <f>pct_stein_to_trump*Table1[[#This Row],[orig_vote_stein]]</f>
        <v>6458.5</v>
      </c>
      <c r="N65" s="12">
        <f>pct_johnson_to_clinton*Table1[[#This Row],[orig_vote_johnson]]</f>
        <v>24357.5</v>
      </c>
      <c r="O65" s="12">
        <f>pct_johnson_to_trump*Table1[[#This Row],[orig_vote_johnson]]</f>
        <v>24357.5</v>
      </c>
      <c r="P65" s="12">
        <f>Table1[[#This Row],[orig_vote_clinton]]+Table1[[#This Row],[stein_votes_to_clinton]]</f>
        <v>855927.5</v>
      </c>
      <c r="Q65" s="12">
        <f>Table1[[#This Row],[orig_vote_trump]]+Table1[[#This Row],[stein_votes_to_trump]]</f>
        <v>1150069.5</v>
      </c>
      <c r="R65" s="12">
        <f>Table1[[#This Row],[orig_vote_clinton]]+Table1[[#This Row],[johnson_votes_to_clinton]]</f>
        <v>873826.5</v>
      </c>
      <c r="S65" s="12">
        <f>Table1[[#This Row],[orig_vote_trump]]+Table1[[#This Row],[johnson_votes_to_trump]]</f>
        <v>1167968.5</v>
      </c>
      <c r="T65" s="11">
        <f>Table1[[#This Row],[orig_vote_clinton]]+Table1[[#This Row],[stein_votes_to_clinton]]+Table1[[#This Row],[johnson_votes_to_clinton]]</f>
        <v>880285</v>
      </c>
      <c r="U65" s="11">
        <f>Table1[[#This Row],[orig_vote_trump]]+Table1[[#This Row],[stein_votes_to_trump]]+Table1[[#This Row],[johnson_votes_to_trump]]</f>
        <v>1174427</v>
      </c>
      <c r="V65" s="11">
        <f>Table1[[#This Row],[adjusted_vote_clinton_with_stein_only]]-Table1[[#This Row],[adjusted_vote_trump_with_stein_only]]</f>
        <v>-294142</v>
      </c>
      <c r="W65" s="11">
        <f>Table1[[#This Row],[adjusted_vote_clinton_with_johnson_only]]-Table1[[#This Row],[adjusted_vote_trump_with_johnson_only]]</f>
        <v>-294142</v>
      </c>
      <c r="X65" s="12">
        <f>Table1[[#This Row],[adjusted_vote_clinton]]-Table1[[#This Row],[adjusted_vote_trump]]</f>
        <v>-294142</v>
      </c>
      <c r="Y65" s="12">
        <f>IF(Table1[[#This Row],[adjusted_spread_with_stein_only]]&gt;0,Table1[[#This Row],[electoral_votes]],0)</f>
        <v>0</v>
      </c>
      <c r="Z65" s="12">
        <f>IF(Table1[[#This Row],[adjusted_spread_with_johnson_only]]&gt;0,Table1[[#This Row],[electoral_votes]],0)</f>
        <v>0</v>
      </c>
      <c r="AA65" s="11">
        <f>IF(Table1[[#This Row],[adjusted_spread]]&gt;0,Table1[[#This Row],[electoral_votes]],0)</f>
        <v>0</v>
      </c>
      <c r="AB65" s="12">
        <f>IF(Table1[[#This Row],[adjusted_spread]]&lt;0,Table1[[#This Row],[electoral_votes]],0)</f>
        <v>9</v>
      </c>
      <c r="AC65" s="12" t="str">
        <f>IF(Table1[[#This Row],[orig_spread]]&lt;0,"Trump",IF(Table1[[#This Row],[orig_spread]]&gt;0,"Clinton",""))</f>
        <v>Trump</v>
      </c>
      <c r="AD65" s="12" t="str">
        <f>IF(Table1[[#This Row],[adjusted_spread]]&lt;0,"Trump",IF(Table1[[#This Row],[adjusted_spread]]&gt;0,"Clinton",""))</f>
        <v>Trump</v>
      </c>
      <c r="AE65" s="11" t="b">
        <f>AND(Table1[[#This Row],[orig_outcome]]="Trump",Table1[[#This Row],[adjusted_outcome]]="Clinton")</f>
        <v>0</v>
      </c>
      <c r="AF65" s="11" t="b">
        <f>AND(Table1[[#This Row],[orig_outcome]]="Clinton",Table1[[#This Row],[adjusted_outcome]]="Trump")</f>
        <v>0</v>
      </c>
      <c r="AG65" s="11" t="str">
        <f>IF(Table1[[#This Row],[index]]=1,IF(Table1[[#This Row],[pickup_clinton]],Table1[[#This Row],[State]],""),IF(Table1[[#This Row],[pickup_clinton]],CONCATENATE(AG64,IF(AG64="","",","),Table1[[#This Row],[State]]),AG64))</f>
        <v/>
      </c>
      <c r="AH65" s="11" t="str">
        <f>IF(Table1[[#This Row],[index]]=1,IF(Table1[[#This Row],[pickup_trump]],Table1[[#This Row],[State]],""),IF(Table1[[#This Row],[pickup_trump]],CONCATENATE(AH64,IF(AH54="","",","),Table1[[#This Row],[State]]),AH64))</f>
        <v/>
      </c>
      <c r="AI65" s="30">
        <f>IF(Table1[[#This Row],[orig_vote_stein]]=0,"",(1-Table1[[#This Row],[adjusted_spread_with_johnson_only]]/Table1[[#This Row],[orig_vote_stein]])/2)</f>
        <v>11.885848107145621</v>
      </c>
      <c r="AJ65" s="30">
        <f>(1-Table1[[#This Row],[adjusted_spread_with_stein_only]]/Table1[[#This Row],[orig_vote_johnson]])/2</f>
        <v>3.5190085189366727</v>
      </c>
      <c r="AK65" s="30" t="b">
        <f>AND(Table1[[#This Row],[stein_split_needed_pure]]&gt;=0,Table1[[#This Row],[stein_split_needed_pure]]&lt;=1)</f>
        <v>0</v>
      </c>
      <c r="AL65" s="30" t="b">
        <f>AND(Table1[[#This Row],[johnson_split_needed_pure]]&gt;=0,Table1[[#This Row],[johnson_split_needed_pure]]&lt;=1)</f>
        <v>0</v>
      </c>
      <c r="AM65" s="30" t="b">
        <f>OR(Table1[[#This Row],[in_play_stein]],Table1[[#This Row],[in_play_johnson]])</f>
        <v>0</v>
      </c>
      <c r="AN65" s="51">
        <f t="array" ref="AN6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5" s="51">
        <f t="array" ref="AO6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5" s="51">
        <f t="array" ref="AP6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5" s="51">
        <f t="array" ref="AQ6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5" s="44">
        <f>adjusted_electors_clinton_with_johnson_only+Table1[[#This Row],[electors_with_split_stein_added]]+Table1[[#This Row],[electors_with_split_stein_dropped]]</f>
        <v>233</v>
      </c>
      <c r="AS65" s="44">
        <f>adjusted_electors_clinton_with_stein_only+Table1[[#This Row],[electors_with_split_johnson_added]]+Table1[[#This Row],[electors_with_split_johnson_dropped]]</f>
        <v>233</v>
      </c>
      <c r="AT65" s="30" t="str">
        <f>IF(AND(Table1[[#This Row],[in_play_stein]],Table1[[#This Row],[electors_with_split_stein]]&gt;=270),Table1[[#This Row],[stein_split_needed_pure]],"")</f>
        <v/>
      </c>
      <c r="AU65" s="45" t="str">
        <f>IF(AND(Table1[[#This Row],[in_play_johnson]],Table1[[#This Row],[electors_with_split_johnson]]&gt;=270),Table1[[#This Row],[johnson_split_needed_pure]],"")</f>
        <v/>
      </c>
      <c r="AV6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5" s="16">
        <f>Table1[[#This Row],[adjusted_electors_trump]]+Table1[[#This Row],[adjusted_electors_clinton]]-Table1[[#This Row],[electoral_votes]]</f>
        <v>0</v>
      </c>
      <c r="BC65"/>
      <c r="BE65"/>
      <c r="BF65"/>
    </row>
    <row r="66" spans="2:58">
      <c r="B66" s="3" t="s">
        <v>46</v>
      </c>
      <c r="C66" s="7">
        <v>3</v>
      </c>
      <c r="D66" s="13">
        <v>117442</v>
      </c>
      <c r="E66" s="13">
        <v>227701</v>
      </c>
      <c r="F66" s="13">
        <v>20845</v>
      </c>
      <c r="G66" s="13">
        <v>0</v>
      </c>
      <c r="H66" s="29">
        <f>ROW()-ROW(Table1[[#Headers],[index]])</f>
        <v>42</v>
      </c>
      <c r="I66" s="12">
        <f>Table1[[#This Row],[orig_vote_clinton]]-Table1[[#This Row],[orig_vote_trump]]</f>
        <v>-110259</v>
      </c>
      <c r="J66" s="12">
        <f>IF(Table1[[#This Row],[orig_spread]]&gt;0,Table1[[#This Row],[electoral_votes]],0)</f>
        <v>0</v>
      </c>
      <c r="K66" s="12">
        <f>IF(Table1[[#This Row],[orig_spread]]&lt;0,Table1[[#This Row],[electoral_votes]],0)</f>
        <v>3</v>
      </c>
      <c r="L66" s="12">
        <f>pct_stein_to_clinton*Table1[[#This Row],[orig_vote_stein]]</f>
        <v>0</v>
      </c>
      <c r="M66" s="12">
        <f>pct_stein_to_trump*Table1[[#This Row],[orig_vote_stein]]</f>
        <v>0</v>
      </c>
      <c r="N66" s="12">
        <f>pct_johnson_to_clinton*Table1[[#This Row],[orig_vote_johnson]]</f>
        <v>10422.5</v>
      </c>
      <c r="O66" s="12">
        <f>pct_johnson_to_trump*Table1[[#This Row],[orig_vote_johnson]]</f>
        <v>10422.5</v>
      </c>
      <c r="P66" s="12">
        <f>Table1[[#This Row],[orig_vote_clinton]]+Table1[[#This Row],[stein_votes_to_clinton]]</f>
        <v>117442</v>
      </c>
      <c r="Q66" s="12">
        <f>Table1[[#This Row],[orig_vote_trump]]+Table1[[#This Row],[stein_votes_to_trump]]</f>
        <v>227701</v>
      </c>
      <c r="R66" s="12">
        <f>Table1[[#This Row],[orig_vote_clinton]]+Table1[[#This Row],[johnson_votes_to_clinton]]</f>
        <v>127864.5</v>
      </c>
      <c r="S66" s="12">
        <f>Table1[[#This Row],[orig_vote_trump]]+Table1[[#This Row],[johnson_votes_to_trump]]</f>
        <v>238123.5</v>
      </c>
      <c r="T66" s="11">
        <f>Table1[[#This Row],[orig_vote_clinton]]+Table1[[#This Row],[stein_votes_to_clinton]]+Table1[[#This Row],[johnson_votes_to_clinton]]</f>
        <v>127864.5</v>
      </c>
      <c r="U66" s="11">
        <f>Table1[[#This Row],[orig_vote_trump]]+Table1[[#This Row],[stein_votes_to_trump]]+Table1[[#This Row],[johnson_votes_to_trump]]</f>
        <v>238123.5</v>
      </c>
      <c r="V66" s="11">
        <f>Table1[[#This Row],[adjusted_vote_clinton_with_stein_only]]-Table1[[#This Row],[adjusted_vote_trump_with_stein_only]]</f>
        <v>-110259</v>
      </c>
      <c r="W66" s="11">
        <f>Table1[[#This Row],[adjusted_vote_clinton_with_johnson_only]]-Table1[[#This Row],[adjusted_vote_trump_with_johnson_only]]</f>
        <v>-110259</v>
      </c>
      <c r="X66" s="12">
        <f>Table1[[#This Row],[adjusted_vote_clinton]]-Table1[[#This Row],[adjusted_vote_trump]]</f>
        <v>-110259</v>
      </c>
      <c r="Y66" s="12">
        <f>IF(Table1[[#This Row],[adjusted_spread_with_stein_only]]&gt;0,Table1[[#This Row],[electoral_votes]],0)</f>
        <v>0</v>
      </c>
      <c r="Z66" s="12">
        <f>IF(Table1[[#This Row],[adjusted_spread_with_johnson_only]]&gt;0,Table1[[#This Row],[electoral_votes]],0)</f>
        <v>0</v>
      </c>
      <c r="AA66" s="11">
        <f>IF(Table1[[#This Row],[adjusted_spread]]&gt;0,Table1[[#This Row],[electoral_votes]],0)</f>
        <v>0</v>
      </c>
      <c r="AB66" s="12">
        <f>IF(Table1[[#This Row],[adjusted_spread]]&lt;0,Table1[[#This Row],[electoral_votes]],0)</f>
        <v>3</v>
      </c>
      <c r="AC66" s="12" t="str">
        <f>IF(Table1[[#This Row],[orig_spread]]&lt;0,"Trump",IF(Table1[[#This Row],[orig_spread]]&gt;0,"Clinton",""))</f>
        <v>Trump</v>
      </c>
      <c r="AD66" s="12" t="str">
        <f>IF(Table1[[#This Row],[adjusted_spread]]&lt;0,"Trump",IF(Table1[[#This Row],[adjusted_spread]]&gt;0,"Clinton",""))</f>
        <v>Trump</v>
      </c>
      <c r="AE66" s="11" t="b">
        <f>AND(Table1[[#This Row],[orig_outcome]]="Trump",Table1[[#This Row],[adjusted_outcome]]="Clinton")</f>
        <v>0</v>
      </c>
      <c r="AF66" s="11" t="b">
        <f>AND(Table1[[#This Row],[orig_outcome]]="Clinton",Table1[[#This Row],[adjusted_outcome]]="Trump")</f>
        <v>0</v>
      </c>
      <c r="AG66" s="11" t="str">
        <f>IF(Table1[[#This Row],[index]]=1,IF(Table1[[#This Row],[pickup_clinton]],Table1[[#This Row],[State]],""),IF(Table1[[#This Row],[pickup_clinton]],CONCATENATE(AG65,IF(AG65="","",","),Table1[[#This Row],[State]]),AG65))</f>
        <v/>
      </c>
      <c r="AH66" s="11" t="str">
        <f>IF(Table1[[#This Row],[index]]=1,IF(Table1[[#This Row],[pickup_trump]],Table1[[#This Row],[State]],""),IF(Table1[[#This Row],[pickup_trump]],CONCATENATE(AH65,IF(AH55="","",","),Table1[[#This Row],[State]]),AH65))</f>
        <v/>
      </c>
      <c r="AI66" s="30" t="str">
        <f>IF(Table1[[#This Row],[orig_vote_stein]]=0,"",(1-Table1[[#This Row],[adjusted_spread_with_johnson_only]]/Table1[[#This Row],[orig_vote_stein]])/2)</f>
        <v/>
      </c>
      <c r="AJ66" s="30">
        <f>(1-Table1[[#This Row],[adjusted_spread_with_stein_only]]/Table1[[#This Row],[orig_vote_johnson]])/2</f>
        <v>3.14473494842888</v>
      </c>
      <c r="AK66" s="30" t="b">
        <f>AND(Table1[[#This Row],[stein_split_needed_pure]]&gt;=0,Table1[[#This Row],[stein_split_needed_pure]]&lt;=1)</f>
        <v>0</v>
      </c>
      <c r="AL66" s="30" t="b">
        <f>AND(Table1[[#This Row],[johnson_split_needed_pure]]&gt;=0,Table1[[#This Row],[johnson_split_needed_pure]]&lt;=1)</f>
        <v>0</v>
      </c>
      <c r="AM66" s="30" t="b">
        <f>OR(Table1[[#This Row],[in_play_stein]],Table1[[#This Row],[in_play_johnson]])</f>
        <v>0</v>
      </c>
      <c r="AN66" s="51">
        <f t="array" ref="AN6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6" s="51">
        <f t="array" ref="AO6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6" s="51">
        <f t="array" ref="AP6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6" s="51">
        <f t="array" ref="AQ6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6" s="44">
        <f>adjusted_electors_clinton_with_johnson_only+Table1[[#This Row],[electors_with_split_stein_added]]+Table1[[#This Row],[electors_with_split_stein_dropped]]</f>
        <v>233</v>
      </c>
      <c r="AS66" s="44">
        <f>adjusted_electors_clinton_with_stein_only+Table1[[#This Row],[electors_with_split_johnson_added]]+Table1[[#This Row],[electors_with_split_johnson_dropped]]</f>
        <v>233</v>
      </c>
      <c r="AT66" s="30" t="str">
        <f>IF(AND(Table1[[#This Row],[in_play_stein]],Table1[[#This Row],[electors_with_split_stein]]&gt;=270),Table1[[#This Row],[stein_split_needed_pure]],"")</f>
        <v/>
      </c>
      <c r="AU66" s="45" t="str">
        <f>IF(AND(Table1[[#This Row],[in_play_johnson]],Table1[[#This Row],[electors_with_split_johnson]]&gt;=270),Table1[[#This Row],[johnson_split_needed_pure]],"")</f>
        <v/>
      </c>
      <c r="AV66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6" s="16">
        <f>Table1[[#This Row],[adjusted_electors_trump]]+Table1[[#This Row],[adjusted_electors_clinton]]-Table1[[#This Row],[electoral_votes]]</f>
        <v>0</v>
      </c>
      <c r="BC66"/>
      <c r="BE66"/>
      <c r="BF66"/>
    </row>
    <row r="67" spans="2:58">
      <c r="B67" s="3" t="s">
        <v>48</v>
      </c>
      <c r="C67" s="7">
        <v>11</v>
      </c>
      <c r="D67" s="13">
        <v>867110</v>
      </c>
      <c r="E67" s="13">
        <v>1517402</v>
      </c>
      <c r="F67" s="13">
        <v>70084</v>
      </c>
      <c r="G67" s="13">
        <v>15919</v>
      </c>
      <c r="H67" s="25">
        <f>ROW()-ROW(Table1[[#Headers],[index]])</f>
        <v>43</v>
      </c>
      <c r="I67" s="12">
        <f>Table1[[#This Row],[orig_vote_clinton]]-Table1[[#This Row],[orig_vote_trump]]</f>
        <v>-650292</v>
      </c>
      <c r="J67" s="12">
        <f>IF(Table1[[#This Row],[orig_spread]]&gt;0,Table1[[#This Row],[electoral_votes]],0)</f>
        <v>0</v>
      </c>
      <c r="K67" s="12">
        <f>IF(Table1[[#This Row],[orig_spread]]&lt;0,Table1[[#This Row],[electoral_votes]],0)</f>
        <v>11</v>
      </c>
      <c r="L67" s="12">
        <f>pct_stein_to_clinton*Table1[[#This Row],[orig_vote_stein]]</f>
        <v>7959.5</v>
      </c>
      <c r="M67" s="12">
        <f>pct_stein_to_trump*Table1[[#This Row],[orig_vote_stein]]</f>
        <v>7959.5</v>
      </c>
      <c r="N67" s="12">
        <f>pct_johnson_to_clinton*Table1[[#This Row],[orig_vote_johnson]]</f>
        <v>35042</v>
      </c>
      <c r="O67" s="12">
        <f>pct_johnson_to_trump*Table1[[#This Row],[orig_vote_johnson]]</f>
        <v>35042</v>
      </c>
      <c r="P67" s="12">
        <f>Table1[[#This Row],[orig_vote_clinton]]+Table1[[#This Row],[stein_votes_to_clinton]]</f>
        <v>875069.5</v>
      </c>
      <c r="Q67" s="12">
        <f>Table1[[#This Row],[orig_vote_trump]]+Table1[[#This Row],[stein_votes_to_trump]]</f>
        <v>1525361.5</v>
      </c>
      <c r="R67" s="12">
        <f>Table1[[#This Row],[orig_vote_clinton]]+Table1[[#This Row],[johnson_votes_to_clinton]]</f>
        <v>902152</v>
      </c>
      <c r="S67" s="12">
        <f>Table1[[#This Row],[orig_vote_trump]]+Table1[[#This Row],[johnson_votes_to_trump]]</f>
        <v>1552444</v>
      </c>
      <c r="T67" s="11">
        <f>Table1[[#This Row],[orig_vote_clinton]]+Table1[[#This Row],[stein_votes_to_clinton]]+Table1[[#This Row],[johnson_votes_to_clinton]]</f>
        <v>910111.5</v>
      </c>
      <c r="U67" s="11">
        <f>Table1[[#This Row],[orig_vote_trump]]+Table1[[#This Row],[stein_votes_to_trump]]+Table1[[#This Row],[johnson_votes_to_trump]]</f>
        <v>1560403.5</v>
      </c>
      <c r="V67" s="11">
        <f>Table1[[#This Row],[adjusted_vote_clinton_with_stein_only]]-Table1[[#This Row],[adjusted_vote_trump_with_stein_only]]</f>
        <v>-650292</v>
      </c>
      <c r="W67" s="11">
        <f>Table1[[#This Row],[adjusted_vote_clinton_with_johnson_only]]-Table1[[#This Row],[adjusted_vote_trump_with_johnson_only]]</f>
        <v>-650292</v>
      </c>
      <c r="X67" s="12">
        <f>Table1[[#This Row],[adjusted_vote_clinton]]-Table1[[#This Row],[adjusted_vote_trump]]</f>
        <v>-650292</v>
      </c>
      <c r="Y67" s="12">
        <f>IF(Table1[[#This Row],[adjusted_spread_with_stein_only]]&gt;0,Table1[[#This Row],[electoral_votes]],0)</f>
        <v>0</v>
      </c>
      <c r="Z67" s="12">
        <f>IF(Table1[[#This Row],[adjusted_spread_with_johnson_only]]&gt;0,Table1[[#This Row],[electoral_votes]],0)</f>
        <v>0</v>
      </c>
      <c r="AA67" s="11">
        <f>IF(Table1[[#This Row],[adjusted_spread]]&gt;0,Table1[[#This Row],[electoral_votes]],0)</f>
        <v>0</v>
      </c>
      <c r="AB67" s="12">
        <f>IF(Table1[[#This Row],[adjusted_spread]]&lt;0,Table1[[#This Row],[electoral_votes]],0)</f>
        <v>11</v>
      </c>
      <c r="AC67" s="12" t="str">
        <f>IF(Table1[[#This Row],[orig_spread]]&lt;0,"Trump",IF(Table1[[#This Row],[orig_spread]]&gt;0,"Clinton",""))</f>
        <v>Trump</v>
      </c>
      <c r="AD67" s="12" t="str">
        <f>IF(Table1[[#This Row],[adjusted_spread]]&lt;0,"Trump",IF(Table1[[#This Row],[adjusted_spread]]&gt;0,"Clinton",""))</f>
        <v>Trump</v>
      </c>
      <c r="AE67" s="11" t="b">
        <f>AND(Table1[[#This Row],[orig_outcome]]="Trump",Table1[[#This Row],[adjusted_outcome]]="Clinton")</f>
        <v>0</v>
      </c>
      <c r="AF67" s="11" t="b">
        <f>AND(Table1[[#This Row],[orig_outcome]]="Clinton",Table1[[#This Row],[adjusted_outcome]]="Trump")</f>
        <v>0</v>
      </c>
      <c r="AG67" s="11" t="str">
        <f>IF(Table1[[#This Row],[index]]=1,IF(Table1[[#This Row],[pickup_clinton]],Table1[[#This Row],[State]],""),IF(Table1[[#This Row],[pickup_clinton]],CONCATENATE(AG66,IF(AG66="","",","),Table1[[#This Row],[State]]),AG66))</f>
        <v/>
      </c>
      <c r="AH67" s="11" t="str">
        <f>IF(Table1[[#This Row],[index]]=1,IF(Table1[[#This Row],[pickup_trump]],Table1[[#This Row],[State]],""),IF(Table1[[#This Row],[pickup_trump]],CONCATENATE(AH66,IF(AH56="","",","),Table1[[#This Row],[State]]),AH66))</f>
        <v/>
      </c>
      <c r="AI67" s="30">
        <f>IF(Table1[[#This Row],[orig_vote_stein]]=0,"",(1-Table1[[#This Row],[adjusted_spread_with_johnson_only]]/Table1[[#This Row],[orig_vote_stein]])/2)</f>
        <v>20.925026697656889</v>
      </c>
      <c r="AJ67" s="30">
        <f>(1-Table1[[#This Row],[adjusted_spread_with_stein_only]]/Table1[[#This Row],[orig_vote_johnson]])/2</f>
        <v>5.1393756064151592</v>
      </c>
      <c r="AK67" s="30" t="b">
        <f>AND(Table1[[#This Row],[stein_split_needed_pure]]&gt;=0,Table1[[#This Row],[stein_split_needed_pure]]&lt;=1)</f>
        <v>0</v>
      </c>
      <c r="AL67" s="30" t="b">
        <f>AND(Table1[[#This Row],[johnson_split_needed_pure]]&gt;=0,Table1[[#This Row],[johnson_split_needed_pure]]&lt;=1)</f>
        <v>0</v>
      </c>
      <c r="AM67" s="30" t="b">
        <f>OR(Table1[[#This Row],[in_play_stein]],Table1[[#This Row],[in_play_johnson]])</f>
        <v>0</v>
      </c>
      <c r="AN67" s="51">
        <f t="array" ref="AN6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7" s="51">
        <f t="array" ref="AO6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7" s="51">
        <f t="array" ref="AP6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7" s="51">
        <f t="array" ref="AQ6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7" s="44">
        <f>adjusted_electors_clinton_with_johnson_only+Table1[[#This Row],[electors_with_split_stein_added]]+Table1[[#This Row],[electors_with_split_stein_dropped]]</f>
        <v>233</v>
      </c>
      <c r="AS67" s="44">
        <f>adjusted_electors_clinton_with_stein_only+Table1[[#This Row],[electors_with_split_johnson_added]]+Table1[[#This Row],[electors_with_split_johnson_dropped]]</f>
        <v>233</v>
      </c>
      <c r="AT67" s="30" t="str">
        <f>IF(AND(Table1[[#This Row],[in_play_stein]],Table1[[#This Row],[electors_with_split_stein]]&gt;=270),Table1[[#This Row],[stein_split_needed_pure]],"")</f>
        <v/>
      </c>
      <c r="AU67" s="45" t="str">
        <f>IF(AND(Table1[[#This Row],[in_play_johnson]],Table1[[#This Row],[electors_with_split_johnson]]&gt;=270),Table1[[#This Row],[johnson_split_needed_pure]],"")</f>
        <v/>
      </c>
      <c r="AV6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7" s="16">
        <f>Table1[[#This Row],[adjusted_electors_trump]]+Table1[[#This Row],[adjusted_electors_clinton]]-Table1[[#This Row],[electoral_votes]]</f>
        <v>0</v>
      </c>
      <c r="BC67"/>
      <c r="BE67"/>
      <c r="BF67"/>
    </row>
    <row r="68" spans="2:58">
      <c r="B68" s="3" t="s">
        <v>49</v>
      </c>
      <c r="C68" s="7">
        <v>38</v>
      </c>
      <c r="D68" s="13">
        <v>3867816</v>
      </c>
      <c r="E68" s="13">
        <v>4681590</v>
      </c>
      <c r="F68" s="13">
        <v>282524</v>
      </c>
      <c r="G68" s="13">
        <v>71307</v>
      </c>
      <c r="H68" s="25">
        <f>ROW()-ROW(Table1[[#Headers],[index]])</f>
        <v>44</v>
      </c>
      <c r="I68" s="12">
        <f>Table1[[#This Row],[orig_vote_clinton]]-Table1[[#This Row],[orig_vote_trump]]</f>
        <v>-813774</v>
      </c>
      <c r="J68" s="12">
        <f>IF(Table1[[#This Row],[orig_spread]]&gt;0,Table1[[#This Row],[electoral_votes]],0)</f>
        <v>0</v>
      </c>
      <c r="K68" s="12">
        <f>IF(Table1[[#This Row],[orig_spread]]&lt;0,Table1[[#This Row],[electoral_votes]],0)</f>
        <v>38</v>
      </c>
      <c r="L68" s="12">
        <f>pct_stein_to_clinton*Table1[[#This Row],[orig_vote_stein]]</f>
        <v>35653.5</v>
      </c>
      <c r="M68" s="12">
        <f>pct_stein_to_trump*Table1[[#This Row],[orig_vote_stein]]</f>
        <v>35653.5</v>
      </c>
      <c r="N68" s="12">
        <f>pct_johnson_to_clinton*Table1[[#This Row],[orig_vote_johnson]]</f>
        <v>141262</v>
      </c>
      <c r="O68" s="12">
        <f>pct_johnson_to_trump*Table1[[#This Row],[orig_vote_johnson]]</f>
        <v>141262</v>
      </c>
      <c r="P68" s="12">
        <f>Table1[[#This Row],[orig_vote_clinton]]+Table1[[#This Row],[stein_votes_to_clinton]]</f>
        <v>3903469.5</v>
      </c>
      <c r="Q68" s="12">
        <f>Table1[[#This Row],[orig_vote_trump]]+Table1[[#This Row],[stein_votes_to_trump]]</f>
        <v>4717243.5</v>
      </c>
      <c r="R68" s="12">
        <f>Table1[[#This Row],[orig_vote_clinton]]+Table1[[#This Row],[johnson_votes_to_clinton]]</f>
        <v>4009078</v>
      </c>
      <c r="S68" s="12">
        <f>Table1[[#This Row],[orig_vote_trump]]+Table1[[#This Row],[johnson_votes_to_trump]]</f>
        <v>4822852</v>
      </c>
      <c r="T68" s="11">
        <f>Table1[[#This Row],[orig_vote_clinton]]+Table1[[#This Row],[stein_votes_to_clinton]]+Table1[[#This Row],[johnson_votes_to_clinton]]</f>
        <v>4044731.5</v>
      </c>
      <c r="U68" s="11">
        <f>Table1[[#This Row],[orig_vote_trump]]+Table1[[#This Row],[stein_votes_to_trump]]+Table1[[#This Row],[johnson_votes_to_trump]]</f>
        <v>4858505.5</v>
      </c>
      <c r="V68" s="11">
        <f>Table1[[#This Row],[adjusted_vote_clinton_with_stein_only]]-Table1[[#This Row],[adjusted_vote_trump_with_stein_only]]</f>
        <v>-813774</v>
      </c>
      <c r="W68" s="11">
        <f>Table1[[#This Row],[adjusted_vote_clinton_with_johnson_only]]-Table1[[#This Row],[adjusted_vote_trump_with_johnson_only]]</f>
        <v>-813774</v>
      </c>
      <c r="X68" s="12">
        <f>Table1[[#This Row],[adjusted_vote_clinton]]-Table1[[#This Row],[adjusted_vote_trump]]</f>
        <v>-813774</v>
      </c>
      <c r="Y68" s="12">
        <f>IF(Table1[[#This Row],[adjusted_spread_with_stein_only]]&gt;0,Table1[[#This Row],[electoral_votes]],0)</f>
        <v>0</v>
      </c>
      <c r="Z68" s="12">
        <f>IF(Table1[[#This Row],[adjusted_spread_with_johnson_only]]&gt;0,Table1[[#This Row],[electoral_votes]],0)</f>
        <v>0</v>
      </c>
      <c r="AA68" s="11">
        <f>IF(Table1[[#This Row],[adjusted_spread]]&gt;0,Table1[[#This Row],[electoral_votes]],0)</f>
        <v>0</v>
      </c>
      <c r="AB68" s="12">
        <f>IF(Table1[[#This Row],[adjusted_spread]]&lt;0,Table1[[#This Row],[electoral_votes]],0)</f>
        <v>38</v>
      </c>
      <c r="AC68" s="12" t="str">
        <f>IF(Table1[[#This Row],[orig_spread]]&lt;0,"Trump",IF(Table1[[#This Row],[orig_spread]]&gt;0,"Clinton",""))</f>
        <v>Trump</v>
      </c>
      <c r="AD68" s="12" t="str">
        <f>IF(Table1[[#This Row],[adjusted_spread]]&lt;0,"Trump",IF(Table1[[#This Row],[adjusted_spread]]&gt;0,"Clinton",""))</f>
        <v>Trump</v>
      </c>
      <c r="AE68" s="11" t="b">
        <f>AND(Table1[[#This Row],[orig_outcome]]="Trump",Table1[[#This Row],[adjusted_outcome]]="Clinton")</f>
        <v>0</v>
      </c>
      <c r="AF68" s="11" t="b">
        <f>AND(Table1[[#This Row],[orig_outcome]]="Clinton",Table1[[#This Row],[adjusted_outcome]]="Trump")</f>
        <v>0</v>
      </c>
      <c r="AG68" s="11" t="str">
        <f>IF(Table1[[#This Row],[index]]=1,IF(Table1[[#This Row],[pickup_clinton]],Table1[[#This Row],[State]],""),IF(Table1[[#This Row],[pickup_clinton]],CONCATENATE(AG67,IF(AG67="","",","),Table1[[#This Row],[State]]),AG67))</f>
        <v/>
      </c>
      <c r="AH68" s="11" t="str">
        <f>IF(Table1[[#This Row],[index]]=1,IF(Table1[[#This Row],[pickup_trump]],Table1[[#This Row],[State]],""),IF(Table1[[#This Row],[pickup_trump]],CONCATENATE(AH67,IF(AH57="","",","),Table1[[#This Row],[State]]),AH67))</f>
        <v/>
      </c>
      <c r="AI68" s="30">
        <f>IF(Table1[[#This Row],[orig_vote_stein]]=0,"",(1-Table1[[#This Row],[adjusted_spread_with_johnson_only]]/Table1[[#This Row],[orig_vote_stein]])/2)</f>
        <v>6.2061298329757246</v>
      </c>
      <c r="AJ68" s="30">
        <f>(1-Table1[[#This Row],[adjusted_spread_with_stein_only]]/Table1[[#This Row],[orig_vote_johnson]])/2</f>
        <v>1.9401856125497303</v>
      </c>
      <c r="AK68" s="30" t="b">
        <f>AND(Table1[[#This Row],[stein_split_needed_pure]]&gt;=0,Table1[[#This Row],[stein_split_needed_pure]]&lt;=1)</f>
        <v>0</v>
      </c>
      <c r="AL68" s="30" t="b">
        <f>AND(Table1[[#This Row],[johnson_split_needed_pure]]&gt;=0,Table1[[#This Row],[johnson_split_needed_pure]]&lt;=1)</f>
        <v>0</v>
      </c>
      <c r="AM68" s="30" t="b">
        <f>OR(Table1[[#This Row],[in_play_stein]],Table1[[#This Row],[in_play_johnson]])</f>
        <v>0</v>
      </c>
      <c r="AN68" s="51">
        <f t="array" ref="AN6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8" s="51">
        <f t="array" ref="AO6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8" s="51">
        <f t="array" ref="AP6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8" s="51">
        <f t="array" ref="AQ6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8" s="44">
        <f>adjusted_electors_clinton_with_johnson_only+Table1[[#This Row],[electors_with_split_stein_added]]+Table1[[#This Row],[electors_with_split_stein_dropped]]</f>
        <v>233</v>
      </c>
      <c r="AS68" s="44">
        <f>adjusted_electors_clinton_with_stein_only+Table1[[#This Row],[electors_with_split_johnson_added]]+Table1[[#This Row],[electors_with_split_johnson_dropped]]</f>
        <v>233</v>
      </c>
      <c r="AT68" s="30" t="str">
        <f>IF(AND(Table1[[#This Row],[in_play_stein]],Table1[[#This Row],[electors_with_split_stein]]&gt;=270),Table1[[#This Row],[stein_split_needed_pure]],"")</f>
        <v/>
      </c>
      <c r="AU68" s="45" t="str">
        <f>IF(AND(Table1[[#This Row],[in_play_johnson]],Table1[[#This Row],[electors_with_split_johnson]]&gt;=270),Table1[[#This Row],[johnson_split_needed_pure]],"")</f>
        <v/>
      </c>
      <c r="AV6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8" s="16">
        <f>Table1[[#This Row],[adjusted_electors_trump]]+Table1[[#This Row],[adjusted_electors_clinton]]-Table1[[#This Row],[electoral_votes]]</f>
        <v>0</v>
      </c>
      <c r="BC68"/>
      <c r="BE68"/>
      <c r="BF68"/>
    </row>
    <row r="69" spans="2:58">
      <c r="B69" s="3" t="s">
        <v>50</v>
      </c>
      <c r="C69" s="7">
        <v>6</v>
      </c>
      <c r="D69" s="13">
        <v>274188</v>
      </c>
      <c r="E69" s="13">
        <v>452086</v>
      </c>
      <c r="F69" s="13">
        <v>222858</v>
      </c>
      <c r="G69" s="13">
        <v>5484</v>
      </c>
      <c r="H69" s="25">
        <f>ROW()-ROW(Table1[[#Headers],[index]])</f>
        <v>45</v>
      </c>
      <c r="I69" s="12">
        <f>Table1[[#This Row],[orig_vote_clinton]]-Table1[[#This Row],[orig_vote_trump]]</f>
        <v>-177898</v>
      </c>
      <c r="J69" s="12">
        <f>IF(Table1[[#This Row],[orig_spread]]&gt;0,Table1[[#This Row],[electoral_votes]],0)</f>
        <v>0</v>
      </c>
      <c r="K69" s="12">
        <f>IF(Table1[[#This Row],[orig_spread]]&lt;0,Table1[[#This Row],[electoral_votes]],0)</f>
        <v>6</v>
      </c>
      <c r="L69" s="12">
        <f>pct_stein_to_clinton*Table1[[#This Row],[orig_vote_stein]]</f>
        <v>2742</v>
      </c>
      <c r="M69" s="12">
        <f>pct_stein_to_trump*Table1[[#This Row],[orig_vote_stein]]</f>
        <v>2742</v>
      </c>
      <c r="N69" s="12">
        <f>pct_johnson_to_clinton*Table1[[#This Row],[orig_vote_johnson]]</f>
        <v>111429</v>
      </c>
      <c r="O69" s="12">
        <f>pct_johnson_to_trump*Table1[[#This Row],[orig_vote_johnson]]</f>
        <v>111429</v>
      </c>
      <c r="P69" s="12">
        <f>Table1[[#This Row],[orig_vote_clinton]]+Table1[[#This Row],[stein_votes_to_clinton]]</f>
        <v>276930</v>
      </c>
      <c r="Q69" s="12">
        <f>Table1[[#This Row],[orig_vote_trump]]+Table1[[#This Row],[stein_votes_to_trump]]</f>
        <v>454828</v>
      </c>
      <c r="R69" s="12">
        <f>Table1[[#This Row],[orig_vote_clinton]]+Table1[[#This Row],[johnson_votes_to_clinton]]</f>
        <v>385617</v>
      </c>
      <c r="S69" s="12">
        <f>Table1[[#This Row],[orig_vote_trump]]+Table1[[#This Row],[johnson_votes_to_trump]]</f>
        <v>563515</v>
      </c>
      <c r="T69" s="11">
        <f>Table1[[#This Row],[orig_vote_clinton]]+Table1[[#This Row],[stein_votes_to_clinton]]+Table1[[#This Row],[johnson_votes_to_clinton]]</f>
        <v>388359</v>
      </c>
      <c r="U69" s="11">
        <f>Table1[[#This Row],[orig_vote_trump]]+Table1[[#This Row],[stein_votes_to_trump]]+Table1[[#This Row],[johnson_votes_to_trump]]</f>
        <v>566257</v>
      </c>
      <c r="V69" s="11">
        <f>Table1[[#This Row],[adjusted_vote_clinton_with_stein_only]]-Table1[[#This Row],[adjusted_vote_trump_with_stein_only]]</f>
        <v>-177898</v>
      </c>
      <c r="W69" s="11">
        <f>Table1[[#This Row],[adjusted_vote_clinton_with_johnson_only]]-Table1[[#This Row],[adjusted_vote_trump_with_johnson_only]]</f>
        <v>-177898</v>
      </c>
      <c r="X69" s="12">
        <f>Table1[[#This Row],[adjusted_vote_clinton]]-Table1[[#This Row],[adjusted_vote_trump]]</f>
        <v>-177898</v>
      </c>
      <c r="Y69" s="12">
        <f>IF(Table1[[#This Row],[adjusted_spread_with_stein_only]]&gt;0,Table1[[#This Row],[electoral_votes]],0)</f>
        <v>0</v>
      </c>
      <c r="Z69" s="12">
        <f>IF(Table1[[#This Row],[adjusted_spread_with_johnson_only]]&gt;0,Table1[[#This Row],[electoral_votes]],0)</f>
        <v>0</v>
      </c>
      <c r="AA69" s="11">
        <f>IF(Table1[[#This Row],[adjusted_spread]]&gt;0,Table1[[#This Row],[electoral_votes]],0)</f>
        <v>0</v>
      </c>
      <c r="AB69" s="12">
        <f>IF(Table1[[#This Row],[adjusted_spread]]&lt;0,Table1[[#This Row],[electoral_votes]],0)</f>
        <v>6</v>
      </c>
      <c r="AC69" s="12" t="str">
        <f>IF(Table1[[#This Row],[orig_spread]]&lt;0,"Trump",IF(Table1[[#This Row],[orig_spread]]&gt;0,"Clinton",""))</f>
        <v>Trump</v>
      </c>
      <c r="AD69" s="12" t="str">
        <f>IF(Table1[[#This Row],[adjusted_spread]]&lt;0,"Trump",IF(Table1[[#This Row],[adjusted_spread]]&gt;0,"Clinton",""))</f>
        <v>Trump</v>
      </c>
      <c r="AE69" s="11" t="b">
        <f>AND(Table1[[#This Row],[orig_outcome]]="Trump",Table1[[#This Row],[adjusted_outcome]]="Clinton")</f>
        <v>0</v>
      </c>
      <c r="AF69" s="11" t="b">
        <f>AND(Table1[[#This Row],[orig_outcome]]="Clinton",Table1[[#This Row],[adjusted_outcome]]="Trump")</f>
        <v>0</v>
      </c>
      <c r="AG69" s="11" t="str">
        <f>IF(Table1[[#This Row],[index]]=1,IF(Table1[[#This Row],[pickup_clinton]],Table1[[#This Row],[State]],""),IF(Table1[[#This Row],[pickup_clinton]],CONCATENATE(AG68,IF(AG68="","",","),Table1[[#This Row],[State]]),AG68))</f>
        <v/>
      </c>
      <c r="AH69" s="11" t="str">
        <f>IF(Table1[[#This Row],[index]]=1,IF(Table1[[#This Row],[pickup_trump]],Table1[[#This Row],[State]],""),IF(Table1[[#This Row],[pickup_trump]],CONCATENATE(AH68,IF(AH58="","",","),Table1[[#This Row],[State]]),AH68))</f>
        <v/>
      </c>
      <c r="AI69" s="30">
        <f>IF(Table1[[#This Row],[orig_vote_stein]]=0,"",(1-Table1[[#This Row],[adjusted_spread_with_johnson_only]]/Table1[[#This Row],[orig_vote_stein]])/2)</f>
        <v>16.719730123997081</v>
      </c>
      <c r="AJ69" s="30">
        <f>(1-Table1[[#This Row],[adjusted_spread_with_stein_only]]/Table1[[#This Row],[orig_vote_johnson]])/2</f>
        <v>0.89912859309515469</v>
      </c>
      <c r="AK69" s="30" t="b">
        <f>AND(Table1[[#This Row],[stein_split_needed_pure]]&gt;=0,Table1[[#This Row],[stein_split_needed_pure]]&lt;=1)</f>
        <v>0</v>
      </c>
      <c r="AL69" s="30" t="b">
        <f>AND(Table1[[#This Row],[johnson_split_needed_pure]]&gt;=0,Table1[[#This Row],[johnson_split_needed_pure]]&lt;=1)</f>
        <v>1</v>
      </c>
      <c r="AM69" s="30" t="b">
        <f>OR(Table1[[#This Row],[in_play_stein]],Table1[[#This Row],[in_play_johnson]])</f>
        <v>1</v>
      </c>
      <c r="AN69" s="51">
        <f t="array" ref="AN6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9" s="51">
        <f t="array" ref="AO6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81</v>
      </c>
      <c r="AP69" s="51">
        <f t="array" ref="AP6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9" s="51">
        <f t="array" ref="AQ6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9" s="44">
        <f>adjusted_electors_clinton_with_johnson_only+Table1[[#This Row],[electors_with_split_stein_added]]+Table1[[#This Row],[electors_with_split_stein_dropped]]</f>
        <v>233</v>
      </c>
      <c r="AS69" s="44">
        <f>adjusted_electors_clinton_with_stein_only+Table1[[#This Row],[electors_with_split_johnson_added]]+Table1[[#This Row],[electors_with_split_johnson_dropped]]</f>
        <v>314</v>
      </c>
      <c r="AT69" s="30" t="str">
        <f>IF(AND(Table1[[#This Row],[in_play_stein]],Table1[[#This Row],[electors_with_split_stein]]&gt;=270),Table1[[#This Row],[stein_split_needed_pure]],"")</f>
        <v/>
      </c>
      <c r="AU69" s="45">
        <f>IF(AND(Table1[[#This Row],[in_play_johnson]],Table1[[#This Row],[electors_with_split_johnson]]&gt;=270),Table1[[#This Row],[johnson_split_needed_pure]],"")</f>
        <v>0.89912859309515469</v>
      </c>
      <c r="AV6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9" s="16">
        <f>Table1[[#This Row],[adjusted_electors_trump]]+Table1[[#This Row],[adjusted_electors_clinton]]-Table1[[#This Row],[electoral_votes]]</f>
        <v>0</v>
      </c>
      <c r="BC69"/>
      <c r="BE69"/>
      <c r="BF69"/>
    </row>
    <row r="70" spans="2:58">
      <c r="B70" s="19" t="s">
        <v>51</v>
      </c>
      <c r="C70" s="18">
        <v>3</v>
      </c>
      <c r="D70" s="13">
        <v>178179</v>
      </c>
      <c r="E70" s="13">
        <v>95053</v>
      </c>
      <c r="F70" s="13">
        <v>10047</v>
      </c>
      <c r="G70" s="13">
        <v>6748</v>
      </c>
      <c r="H70" s="25">
        <f>ROW()-ROW(Table1[[#Headers],[index]])</f>
        <v>46</v>
      </c>
      <c r="I70" s="12">
        <f>Table1[[#This Row],[orig_vote_clinton]]-Table1[[#This Row],[orig_vote_trump]]</f>
        <v>83126</v>
      </c>
      <c r="J70" s="12">
        <f>IF(Table1[[#This Row],[orig_spread]]&gt;0,Table1[[#This Row],[electoral_votes]],0)</f>
        <v>3</v>
      </c>
      <c r="K70" s="12">
        <f>IF(Table1[[#This Row],[orig_spread]]&lt;0,Table1[[#This Row],[electoral_votes]],0)</f>
        <v>0</v>
      </c>
      <c r="L70" s="12">
        <f>pct_stein_to_clinton*Table1[[#This Row],[orig_vote_stein]]</f>
        <v>3374</v>
      </c>
      <c r="M70" s="12">
        <f>pct_stein_to_trump*Table1[[#This Row],[orig_vote_stein]]</f>
        <v>3374</v>
      </c>
      <c r="N70" s="12">
        <f>pct_johnson_to_clinton*Table1[[#This Row],[orig_vote_johnson]]</f>
        <v>5023.5</v>
      </c>
      <c r="O70" s="12">
        <f>pct_johnson_to_trump*Table1[[#This Row],[orig_vote_johnson]]</f>
        <v>5023.5</v>
      </c>
      <c r="P70" s="12">
        <f>Table1[[#This Row],[orig_vote_clinton]]+Table1[[#This Row],[stein_votes_to_clinton]]</f>
        <v>181553</v>
      </c>
      <c r="Q70" s="12">
        <f>Table1[[#This Row],[orig_vote_trump]]+Table1[[#This Row],[stein_votes_to_trump]]</f>
        <v>98427</v>
      </c>
      <c r="R70" s="12">
        <f>Table1[[#This Row],[orig_vote_clinton]]+Table1[[#This Row],[johnson_votes_to_clinton]]</f>
        <v>183202.5</v>
      </c>
      <c r="S70" s="12">
        <f>Table1[[#This Row],[orig_vote_trump]]+Table1[[#This Row],[johnson_votes_to_trump]]</f>
        <v>100076.5</v>
      </c>
      <c r="T70" s="11">
        <f>Table1[[#This Row],[orig_vote_clinton]]+Table1[[#This Row],[stein_votes_to_clinton]]+Table1[[#This Row],[johnson_votes_to_clinton]]</f>
        <v>186576.5</v>
      </c>
      <c r="U70" s="11">
        <f>Table1[[#This Row],[orig_vote_trump]]+Table1[[#This Row],[stein_votes_to_trump]]+Table1[[#This Row],[johnson_votes_to_trump]]</f>
        <v>103450.5</v>
      </c>
      <c r="V70" s="11">
        <f>Table1[[#This Row],[adjusted_vote_clinton_with_stein_only]]-Table1[[#This Row],[adjusted_vote_trump_with_stein_only]]</f>
        <v>83126</v>
      </c>
      <c r="W70" s="11">
        <f>Table1[[#This Row],[adjusted_vote_clinton_with_johnson_only]]-Table1[[#This Row],[adjusted_vote_trump_with_johnson_only]]</f>
        <v>83126</v>
      </c>
      <c r="X70" s="12">
        <f>Table1[[#This Row],[adjusted_vote_clinton]]-Table1[[#This Row],[adjusted_vote_trump]]</f>
        <v>83126</v>
      </c>
      <c r="Y70" s="12">
        <f>IF(Table1[[#This Row],[adjusted_spread_with_stein_only]]&gt;0,Table1[[#This Row],[electoral_votes]],0)</f>
        <v>3</v>
      </c>
      <c r="Z70" s="12">
        <f>IF(Table1[[#This Row],[adjusted_spread_with_johnson_only]]&gt;0,Table1[[#This Row],[electoral_votes]],0)</f>
        <v>3</v>
      </c>
      <c r="AA70" s="11">
        <f>IF(Table1[[#This Row],[adjusted_spread]]&gt;0,Table1[[#This Row],[electoral_votes]],0)</f>
        <v>3</v>
      </c>
      <c r="AB70" s="12">
        <f>IF(Table1[[#This Row],[adjusted_spread]]&lt;0,Table1[[#This Row],[electoral_votes]],0)</f>
        <v>0</v>
      </c>
      <c r="AC70" s="12" t="str">
        <f>IF(Table1[[#This Row],[orig_spread]]&lt;0,"Trump",IF(Table1[[#This Row],[orig_spread]]&gt;0,"Clinton",""))</f>
        <v>Clinton</v>
      </c>
      <c r="AD70" s="12" t="str">
        <f>IF(Table1[[#This Row],[adjusted_spread]]&lt;0,"Trump",IF(Table1[[#This Row],[adjusted_spread]]&gt;0,"Clinton",""))</f>
        <v>Clinton</v>
      </c>
      <c r="AE70" s="11" t="b">
        <f>AND(Table1[[#This Row],[orig_outcome]]="Trump",Table1[[#This Row],[adjusted_outcome]]="Clinton")</f>
        <v>0</v>
      </c>
      <c r="AF70" s="11" t="b">
        <f>AND(Table1[[#This Row],[orig_outcome]]="Clinton",Table1[[#This Row],[adjusted_outcome]]="Trump")</f>
        <v>0</v>
      </c>
      <c r="AG70" s="11" t="str">
        <f>IF(Table1[[#This Row],[index]]=1,IF(Table1[[#This Row],[pickup_clinton]],Table1[[#This Row],[State]],""),IF(Table1[[#This Row],[pickup_clinton]],CONCATENATE(AG69,IF(AG69="","",","),Table1[[#This Row],[State]]),AG69))</f>
        <v/>
      </c>
      <c r="AH70" s="11" t="str">
        <f>IF(Table1[[#This Row],[index]]=1,IF(Table1[[#This Row],[pickup_trump]],Table1[[#This Row],[State]],""),IF(Table1[[#This Row],[pickup_trump]],CONCATENATE(AH69,IF(AH59="","",","),Table1[[#This Row],[State]]),AH69))</f>
        <v/>
      </c>
      <c r="AI70" s="30">
        <f>IF(Table1[[#This Row],[orig_vote_stein]]=0,"",(1-Table1[[#This Row],[adjusted_spread_with_johnson_only]]/Table1[[#This Row],[orig_vote_stein]])/2)</f>
        <v>-5.6593064611736814</v>
      </c>
      <c r="AJ70" s="30">
        <f>(1-Table1[[#This Row],[adjusted_spread_with_stein_only]]/Table1[[#This Row],[orig_vote_johnson]])/2</f>
        <v>-3.6368567731661194</v>
      </c>
      <c r="AK70" s="30" t="b">
        <f>AND(Table1[[#This Row],[stein_split_needed_pure]]&gt;=0,Table1[[#This Row],[stein_split_needed_pure]]&lt;=1)</f>
        <v>0</v>
      </c>
      <c r="AL70" s="30" t="b">
        <f>AND(Table1[[#This Row],[johnson_split_needed_pure]]&gt;=0,Table1[[#This Row],[johnson_split_needed_pure]]&lt;=1)</f>
        <v>0</v>
      </c>
      <c r="AM70" s="30" t="b">
        <f>OR(Table1[[#This Row],[in_play_stein]],Table1[[#This Row],[in_play_johnson]])</f>
        <v>0</v>
      </c>
      <c r="AN70" s="51">
        <f t="array" ref="AN7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0" s="51">
        <f t="array" ref="AO7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0" s="51">
        <f t="array" ref="AP7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0" s="51">
        <f t="array" ref="AQ7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0" s="44">
        <f>adjusted_electors_clinton_with_johnson_only+Table1[[#This Row],[electors_with_split_stein_added]]+Table1[[#This Row],[electors_with_split_stein_dropped]]</f>
        <v>233</v>
      </c>
      <c r="AS70" s="44">
        <f>adjusted_electors_clinton_with_stein_only+Table1[[#This Row],[electors_with_split_johnson_added]]+Table1[[#This Row],[electors_with_split_johnson_dropped]]</f>
        <v>233</v>
      </c>
      <c r="AT70" s="30" t="str">
        <f>IF(AND(Table1[[#This Row],[in_play_stein]],Table1[[#This Row],[electors_with_split_stein]]&gt;=270),Table1[[#This Row],[stein_split_needed_pure]],"")</f>
        <v/>
      </c>
      <c r="AU70" s="45" t="str">
        <f>IF(AND(Table1[[#This Row],[in_play_johnson]],Table1[[#This Row],[electors_with_split_johnson]]&gt;=270),Table1[[#This Row],[johnson_split_needed_pure]],"")</f>
        <v/>
      </c>
      <c r="AV7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0" s="16">
        <f>Table1[[#This Row],[adjusted_electors_trump]]+Table1[[#This Row],[adjusted_electors_clinton]]-Table1[[#This Row],[electoral_votes]]</f>
        <v>0</v>
      </c>
      <c r="BC70"/>
      <c r="BE70"/>
      <c r="BF70"/>
    </row>
    <row r="71" spans="2:58">
      <c r="B71" s="19" t="s">
        <v>52</v>
      </c>
      <c r="C71" s="18">
        <v>13</v>
      </c>
      <c r="D71" s="13">
        <v>1916845</v>
      </c>
      <c r="E71" s="13">
        <v>1731156</v>
      </c>
      <c r="F71" s="13">
        <v>116600</v>
      </c>
      <c r="G71" s="13">
        <v>27272</v>
      </c>
      <c r="H71" s="25">
        <f>ROW()-ROW(Table1[[#Headers],[index]])</f>
        <v>47</v>
      </c>
      <c r="I71" s="12">
        <f>Table1[[#This Row],[orig_vote_clinton]]-Table1[[#This Row],[orig_vote_trump]]</f>
        <v>185689</v>
      </c>
      <c r="J71" s="12">
        <f>IF(Table1[[#This Row],[orig_spread]]&gt;0,Table1[[#This Row],[electoral_votes]],0)</f>
        <v>13</v>
      </c>
      <c r="K71" s="12">
        <f>IF(Table1[[#This Row],[orig_spread]]&lt;0,Table1[[#This Row],[electoral_votes]],0)</f>
        <v>0</v>
      </c>
      <c r="L71" s="12">
        <f>pct_stein_to_clinton*Table1[[#This Row],[orig_vote_stein]]</f>
        <v>13636</v>
      </c>
      <c r="M71" s="12">
        <f>pct_stein_to_trump*Table1[[#This Row],[orig_vote_stein]]</f>
        <v>13636</v>
      </c>
      <c r="N71" s="12">
        <f>pct_johnson_to_clinton*Table1[[#This Row],[orig_vote_johnson]]</f>
        <v>58300</v>
      </c>
      <c r="O71" s="12">
        <f>pct_johnson_to_trump*Table1[[#This Row],[orig_vote_johnson]]</f>
        <v>58300</v>
      </c>
      <c r="P71" s="12">
        <f>Table1[[#This Row],[orig_vote_clinton]]+Table1[[#This Row],[stein_votes_to_clinton]]</f>
        <v>1930481</v>
      </c>
      <c r="Q71" s="12">
        <f>Table1[[#This Row],[orig_vote_trump]]+Table1[[#This Row],[stein_votes_to_trump]]</f>
        <v>1744792</v>
      </c>
      <c r="R71" s="12">
        <f>Table1[[#This Row],[orig_vote_clinton]]+Table1[[#This Row],[johnson_votes_to_clinton]]</f>
        <v>1975145</v>
      </c>
      <c r="S71" s="12">
        <f>Table1[[#This Row],[orig_vote_trump]]+Table1[[#This Row],[johnson_votes_to_trump]]</f>
        <v>1789456</v>
      </c>
      <c r="T71" s="11">
        <f>Table1[[#This Row],[orig_vote_clinton]]+Table1[[#This Row],[stein_votes_to_clinton]]+Table1[[#This Row],[johnson_votes_to_clinton]]</f>
        <v>1988781</v>
      </c>
      <c r="U71" s="11">
        <f>Table1[[#This Row],[orig_vote_trump]]+Table1[[#This Row],[stein_votes_to_trump]]+Table1[[#This Row],[johnson_votes_to_trump]]</f>
        <v>1803092</v>
      </c>
      <c r="V71" s="11">
        <f>Table1[[#This Row],[adjusted_vote_clinton_with_stein_only]]-Table1[[#This Row],[adjusted_vote_trump_with_stein_only]]</f>
        <v>185689</v>
      </c>
      <c r="W71" s="11">
        <f>Table1[[#This Row],[adjusted_vote_clinton_with_johnson_only]]-Table1[[#This Row],[adjusted_vote_trump_with_johnson_only]]</f>
        <v>185689</v>
      </c>
      <c r="X71" s="12">
        <f>Table1[[#This Row],[adjusted_vote_clinton]]-Table1[[#This Row],[adjusted_vote_trump]]</f>
        <v>185689</v>
      </c>
      <c r="Y71" s="12">
        <f>IF(Table1[[#This Row],[adjusted_spread_with_stein_only]]&gt;0,Table1[[#This Row],[electoral_votes]],0)</f>
        <v>13</v>
      </c>
      <c r="Z71" s="12">
        <f>IF(Table1[[#This Row],[adjusted_spread_with_johnson_only]]&gt;0,Table1[[#This Row],[electoral_votes]],0)</f>
        <v>13</v>
      </c>
      <c r="AA71" s="11">
        <f>IF(Table1[[#This Row],[adjusted_spread]]&gt;0,Table1[[#This Row],[electoral_votes]],0)</f>
        <v>13</v>
      </c>
      <c r="AB71" s="12">
        <f>IF(Table1[[#This Row],[adjusted_spread]]&lt;0,Table1[[#This Row],[electoral_votes]],0)</f>
        <v>0</v>
      </c>
      <c r="AC71" s="12" t="str">
        <f>IF(Table1[[#This Row],[orig_spread]]&lt;0,"Trump",IF(Table1[[#This Row],[orig_spread]]&gt;0,"Clinton",""))</f>
        <v>Clinton</v>
      </c>
      <c r="AD71" s="12" t="str">
        <f>IF(Table1[[#This Row],[adjusted_spread]]&lt;0,"Trump",IF(Table1[[#This Row],[adjusted_spread]]&gt;0,"Clinton",""))</f>
        <v>Clinton</v>
      </c>
      <c r="AE71" s="11" t="b">
        <f>AND(Table1[[#This Row],[orig_outcome]]="Trump",Table1[[#This Row],[adjusted_outcome]]="Clinton")</f>
        <v>0</v>
      </c>
      <c r="AF71" s="11" t="b">
        <f>AND(Table1[[#This Row],[orig_outcome]]="Clinton",Table1[[#This Row],[adjusted_outcome]]="Trump")</f>
        <v>0</v>
      </c>
      <c r="AG71" s="11" t="str">
        <f>IF(Table1[[#This Row],[index]]=1,IF(Table1[[#This Row],[pickup_clinton]],Table1[[#This Row],[State]],""),IF(Table1[[#This Row],[pickup_clinton]],CONCATENATE(AG70,IF(AG70="","",","),Table1[[#This Row],[State]]),AG70))</f>
        <v/>
      </c>
      <c r="AH71" s="11" t="str">
        <f>IF(Table1[[#This Row],[index]]=1,IF(Table1[[#This Row],[pickup_trump]],Table1[[#This Row],[State]],""),IF(Table1[[#This Row],[pickup_trump]],CONCATENATE(AH70,IF(AH60="","",","),Table1[[#This Row],[State]]),AH70))</f>
        <v/>
      </c>
      <c r="AI71" s="30">
        <f>IF(Table1[[#This Row],[orig_vote_stein]]=0,"",(1-Table1[[#This Row],[adjusted_spread_with_johnson_only]]/Table1[[#This Row],[orig_vote_stein]])/2)</f>
        <v>-2.9043891170431211</v>
      </c>
      <c r="AJ71" s="30">
        <f>(1-Table1[[#This Row],[adjusted_spread_with_stein_only]]/Table1[[#This Row],[orig_vote_johnson]])/2</f>
        <v>-0.29626500857632931</v>
      </c>
      <c r="AK71" s="30" t="b">
        <f>AND(Table1[[#This Row],[stein_split_needed_pure]]&gt;=0,Table1[[#This Row],[stein_split_needed_pure]]&lt;=1)</f>
        <v>0</v>
      </c>
      <c r="AL71" s="30" t="b">
        <f>AND(Table1[[#This Row],[johnson_split_needed_pure]]&gt;=0,Table1[[#This Row],[johnson_split_needed_pure]]&lt;=1)</f>
        <v>0</v>
      </c>
      <c r="AM71" s="30" t="b">
        <f>OR(Table1[[#This Row],[in_play_stein]],Table1[[#This Row],[in_play_johnson]])</f>
        <v>0</v>
      </c>
      <c r="AN71" s="51">
        <f t="array" ref="AN7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1" s="51">
        <f t="array" ref="AO7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1" s="51">
        <f t="array" ref="AP7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1" s="51">
        <f t="array" ref="AQ7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1" s="44">
        <f>adjusted_electors_clinton_with_johnson_only+Table1[[#This Row],[electors_with_split_stein_added]]+Table1[[#This Row],[electors_with_split_stein_dropped]]</f>
        <v>233</v>
      </c>
      <c r="AS71" s="44">
        <f>adjusted_electors_clinton_with_stein_only+Table1[[#This Row],[electors_with_split_johnson_added]]+Table1[[#This Row],[electors_with_split_johnson_dropped]]</f>
        <v>233</v>
      </c>
      <c r="AT71" s="30" t="str">
        <f>IF(AND(Table1[[#This Row],[in_play_stein]],Table1[[#This Row],[electors_with_split_stein]]&gt;=270),Table1[[#This Row],[stein_split_needed_pure]],"")</f>
        <v/>
      </c>
      <c r="AU71" s="45" t="str">
        <f>IF(AND(Table1[[#This Row],[in_play_johnson]],Table1[[#This Row],[electors_with_split_johnson]]&gt;=270),Table1[[#This Row],[johnson_split_needed_pure]],"")</f>
        <v/>
      </c>
      <c r="AV7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1" s="16">
        <f>Table1[[#This Row],[adjusted_electors_trump]]+Table1[[#This Row],[adjusted_electors_clinton]]-Table1[[#This Row],[electoral_votes]]</f>
        <v>0</v>
      </c>
      <c r="BC71"/>
      <c r="BE71"/>
      <c r="BF71"/>
    </row>
    <row r="72" spans="2:58">
      <c r="B72" s="19" t="s">
        <v>53</v>
      </c>
      <c r="C72" s="18">
        <v>12</v>
      </c>
      <c r="D72" s="13">
        <v>1916845</v>
      </c>
      <c r="E72" s="13">
        <v>1731156</v>
      </c>
      <c r="F72" s="13">
        <v>116600</v>
      </c>
      <c r="G72" s="13">
        <v>30416</v>
      </c>
      <c r="H72" s="25">
        <f>ROW()-ROW(Table1[[#Headers],[index]])</f>
        <v>48</v>
      </c>
      <c r="I72" s="12">
        <f>Table1[[#This Row],[orig_vote_clinton]]-Table1[[#This Row],[orig_vote_trump]]</f>
        <v>185689</v>
      </c>
      <c r="J72" s="12">
        <f>IF(Table1[[#This Row],[orig_spread]]&gt;0,Table1[[#This Row],[electoral_votes]],0)</f>
        <v>12</v>
      </c>
      <c r="K72" s="12">
        <f>IF(Table1[[#This Row],[orig_spread]]&lt;0,Table1[[#This Row],[electoral_votes]],0)</f>
        <v>0</v>
      </c>
      <c r="L72" s="12">
        <f>pct_stein_to_clinton*Table1[[#This Row],[orig_vote_stein]]</f>
        <v>15208</v>
      </c>
      <c r="M72" s="12">
        <f>pct_stein_to_trump*Table1[[#This Row],[orig_vote_stein]]</f>
        <v>15208</v>
      </c>
      <c r="N72" s="12">
        <f>pct_johnson_to_clinton*Table1[[#This Row],[orig_vote_johnson]]</f>
        <v>58300</v>
      </c>
      <c r="O72" s="12">
        <f>pct_johnson_to_trump*Table1[[#This Row],[orig_vote_johnson]]</f>
        <v>58300</v>
      </c>
      <c r="P72" s="12">
        <f>Table1[[#This Row],[orig_vote_clinton]]+Table1[[#This Row],[stein_votes_to_clinton]]</f>
        <v>1932053</v>
      </c>
      <c r="Q72" s="12">
        <f>Table1[[#This Row],[orig_vote_trump]]+Table1[[#This Row],[stein_votes_to_trump]]</f>
        <v>1746364</v>
      </c>
      <c r="R72" s="12">
        <f>Table1[[#This Row],[orig_vote_clinton]]+Table1[[#This Row],[johnson_votes_to_clinton]]</f>
        <v>1975145</v>
      </c>
      <c r="S72" s="12">
        <f>Table1[[#This Row],[orig_vote_trump]]+Table1[[#This Row],[johnson_votes_to_trump]]</f>
        <v>1789456</v>
      </c>
      <c r="T72" s="11">
        <f>Table1[[#This Row],[orig_vote_clinton]]+Table1[[#This Row],[stein_votes_to_clinton]]+Table1[[#This Row],[johnson_votes_to_clinton]]</f>
        <v>1990353</v>
      </c>
      <c r="U72" s="11">
        <f>Table1[[#This Row],[orig_vote_trump]]+Table1[[#This Row],[stein_votes_to_trump]]+Table1[[#This Row],[johnson_votes_to_trump]]</f>
        <v>1804664</v>
      </c>
      <c r="V72" s="11">
        <f>Table1[[#This Row],[adjusted_vote_clinton_with_stein_only]]-Table1[[#This Row],[adjusted_vote_trump_with_stein_only]]</f>
        <v>185689</v>
      </c>
      <c r="W72" s="11">
        <f>Table1[[#This Row],[adjusted_vote_clinton_with_johnson_only]]-Table1[[#This Row],[adjusted_vote_trump_with_johnson_only]]</f>
        <v>185689</v>
      </c>
      <c r="X72" s="12">
        <f>Table1[[#This Row],[adjusted_vote_clinton]]-Table1[[#This Row],[adjusted_vote_trump]]</f>
        <v>185689</v>
      </c>
      <c r="Y72" s="12">
        <f>IF(Table1[[#This Row],[adjusted_spread_with_stein_only]]&gt;0,Table1[[#This Row],[electoral_votes]],0)</f>
        <v>12</v>
      </c>
      <c r="Z72" s="12">
        <f>IF(Table1[[#This Row],[adjusted_spread_with_johnson_only]]&gt;0,Table1[[#This Row],[electoral_votes]],0)</f>
        <v>12</v>
      </c>
      <c r="AA72" s="11">
        <f>IF(Table1[[#This Row],[adjusted_spread]]&gt;0,Table1[[#This Row],[electoral_votes]],0)</f>
        <v>12</v>
      </c>
      <c r="AB72" s="12">
        <f>IF(Table1[[#This Row],[adjusted_spread]]&lt;0,Table1[[#This Row],[electoral_votes]],0)</f>
        <v>0</v>
      </c>
      <c r="AC72" s="12" t="str">
        <f>IF(Table1[[#This Row],[orig_spread]]&lt;0,"Trump",IF(Table1[[#This Row],[orig_spread]]&gt;0,"Clinton",""))</f>
        <v>Clinton</v>
      </c>
      <c r="AD72" s="12" t="str">
        <f>IF(Table1[[#This Row],[adjusted_spread]]&lt;0,"Trump",IF(Table1[[#This Row],[adjusted_spread]]&gt;0,"Clinton",""))</f>
        <v>Clinton</v>
      </c>
      <c r="AE72" s="11" t="b">
        <f>AND(Table1[[#This Row],[orig_outcome]]="Trump",Table1[[#This Row],[adjusted_outcome]]="Clinton")</f>
        <v>0</v>
      </c>
      <c r="AF72" s="11" t="b">
        <f>AND(Table1[[#This Row],[orig_outcome]]="Clinton",Table1[[#This Row],[adjusted_outcome]]="Trump")</f>
        <v>0</v>
      </c>
      <c r="AG72" s="11" t="str">
        <f>IF(Table1[[#This Row],[index]]=1,IF(Table1[[#This Row],[pickup_clinton]],Table1[[#This Row],[State]],""),IF(Table1[[#This Row],[pickup_clinton]],CONCATENATE(AG71,IF(AG71="","",","),Table1[[#This Row],[State]]),AG71))</f>
        <v/>
      </c>
      <c r="AH72" s="11" t="str">
        <f>IF(Table1[[#This Row],[index]]=1,IF(Table1[[#This Row],[pickup_trump]],Table1[[#This Row],[State]],""),IF(Table1[[#This Row],[pickup_trump]],CONCATENATE(AH71,IF(AH61="","",","),Table1[[#This Row],[State]]),AH71))</f>
        <v/>
      </c>
      <c r="AI72" s="30">
        <f>IF(Table1[[#This Row],[orig_vote_stein]]=0,"",(1-Table1[[#This Row],[adjusted_spread_with_johnson_only]]/Table1[[#This Row],[orig_vote_stein]])/2)</f>
        <v>-2.5524888216728039</v>
      </c>
      <c r="AJ72" s="30">
        <f>(1-Table1[[#This Row],[adjusted_spread_with_stein_only]]/Table1[[#This Row],[orig_vote_johnson]])/2</f>
        <v>-0.29626500857632931</v>
      </c>
      <c r="AK72" s="30" t="b">
        <f>AND(Table1[[#This Row],[stein_split_needed_pure]]&gt;=0,Table1[[#This Row],[stein_split_needed_pure]]&lt;=1)</f>
        <v>0</v>
      </c>
      <c r="AL72" s="30" t="b">
        <f>AND(Table1[[#This Row],[johnson_split_needed_pure]]&gt;=0,Table1[[#This Row],[johnson_split_needed_pure]]&lt;=1)</f>
        <v>0</v>
      </c>
      <c r="AM72" s="30" t="b">
        <f>OR(Table1[[#This Row],[in_play_stein]],Table1[[#This Row],[in_play_johnson]])</f>
        <v>0</v>
      </c>
      <c r="AN72" s="51">
        <f t="array" ref="AN7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2" s="51">
        <f t="array" ref="AO7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2" s="51">
        <f t="array" ref="AP7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2" s="51">
        <f t="array" ref="AQ7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2" s="44">
        <f>adjusted_electors_clinton_with_johnson_only+Table1[[#This Row],[electors_with_split_stein_added]]+Table1[[#This Row],[electors_with_split_stein_dropped]]</f>
        <v>233</v>
      </c>
      <c r="AS72" s="44">
        <f>adjusted_electors_clinton_with_stein_only+Table1[[#This Row],[electors_with_split_johnson_added]]+Table1[[#This Row],[electors_with_split_johnson_dropped]]</f>
        <v>233</v>
      </c>
      <c r="AT72" s="30" t="str">
        <f>IF(AND(Table1[[#This Row],[in_play_stein]],Table1[[#This Row],[electors_with_split_stein]]&gt;=270),Table1[[#This Row],[stein_split_needed_pure]],"")</f>
        <v/>
      </c>
      <c r="AU72" s="45" t="str">
        <f>IF(AND(Table1[[#This Row],[in_play_johnson]],Table1[[#This Row],[electors_with_split_johnson]]&gt;=270),Table1[[#This Row],[johnson_split_needed_pure]],"")</f>
        <v/>
      </c>
      <c r="AV7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2" s="16">
        <f>Table1[[#This Row],[adjusted_electors_trump]]+Table1[[#This Row],[adjusted_electors_clinton]]-Table1[[#This Row],[electoral_votes]]</f>
        <v>0</v>
      </c>
      <c r="BC72"/>
      <c r="BE72"/>
      <c r="BF72"/>
    </row>
    <row r="73" spans="2:58">
      <c r="B73" s="3" t="s">
        <v>54</v>
      </c>
      <c r="C73" s="7">
        <v>5</v>
      </c>
      <c r="D73" s="13">
        <v>187457</v>
      </c>
      <c r="E73" s="13">
        <v>486198</v>
      </c>
      <c r="F73" s="13">
        <v>22798</v>
      </c>
      <c r="G73" s="13">
        <v>8000</v>
      </c>
      <c r="H73" s="25">
        <f>ROW()-ROW(Table1[[#Headers],[index]])</f>
        <v>49</v>
      </c>
      <c r="I73" s="12">
        <f>Table1[[#This Row],[orig_vote_clinton]]-Table1[[#This Row],[orig_vote_trump]]</f>
        <v>-298741</v>
      </c>
      <c r="J73" s="12">
        <f>IF(Table1[[#This Row],[orig_spread]]&gt;0,Table1[[#This Row],[electoral_votes]],0)</f>
        <v>0</v>
      </c>
      <c r="K73" s="12">
        <f>IF(Table1[[#This Row],[orig_spread]]&lt;0,Table1[[#This Row],[electoral_votes]],0)</f>
        <v>5</v>
      </c>
      <c r="L73" s="12">
        <f>pct_stein_to_clinton*Table1[[#This Row],[orig_vote_stein]]</f>
        <v>4000</v>
      </c>
      <c r="M73" s="12">
        <f>pct_stein_to_trump*Table1[[#This Row],[orig_vote_stein]]</f>
        <v>4000</v>
      </c>
      <c r="N73" s="12">
        <f>pct_johnson_to_clinton*Table1[[#This Row],[orig_vote_johnson]]</f>
        <v>11399</v>
      </c>
      <c r="O73" s="12">
        <f>pct_johnson_to_trump*Table1[[#This Row],[orig_vote_johnson]]</f>
        <v>11399</v>
      </c>
      <c r="P73" s="12">
        <f>Table1[[#This Row],[orig_vote_clinton]]+Table1[[#This Row],[stein_votes_to_clinton]]</f>
        <v>191457</v>
      </c>
      <c r="Q73" s="12">
        <f>Table1[[#This Row],[orig_vote_trump]]+Table1[[#This Row],[stein_votes_to_trump]]</f>
        <v>490198</v>
      </c>
      <c r="R73" s="12">
        <f>Table1[[#This Row],[orig_vote_clinton]]+Table1[[#This Row],[johnson_votes_to_clinton]]</f>
        <v>198856</v>
      </c>
      <c r="S73" s="12">
        <f>Table1[[#This Row],[orig_vote_trump]]+Table1[[#This Row],[johnson_votes_to_trump]]</f>
        <v>497597</v>
      </c>
      <c r="T73" s="11">
        <f>Table1[[#This Row],[orig_vote_clinton]]+Table1[[#This Row],[stein_votes_to_clinton]]+Table1[[#This Row],[johnson_votes_to_clinton]]</f>
        <v>202856</v>
      </c>
      <c r="U73" s="11">
        <f>Table1[[#This Row],[orig_vote_trump]]+Table1[[#This Row],[stein_votes_to_trump]]+Table1[[#This Row],[johnson_votes_to_trump]]</f>
        <v>501597</v>
      </c>
      <c r="V73" s="11">
        <f>Table1[[#This Row],[adjusted_vote_clinton_with_stein_only]]-Table1[[#This Row],[adjusted_vote_trump_with_stein_only]]</f>
        <v>-298741</v>
      </c>
      <c r="W73" s="11">
        <f>Table1[[#This Row],[adjusted_vote_clinton_with_johnson_only]]-Table1[[#This Row],[adjusted_vote_trump_with_johnson_only]]</f>
        <v>-298741</v>
      </c>
      <c r="X73" s="12">
        <f>Table1[[#This Row],[adjusted_vote_clinton]]-Table1[[#This Row],[adjusted_vote_trump]]</f>
        <v>-298741</v>
      </c>
      <c r="Y73" s="12">
        <f>IF(Table1[[#This Row],[adjusted_spread_with_stein_only]]&gt;0,Table1[[#This Row],[electoral_votes]],0)</f>
        <v>0</v>
      </c>
      <c r="Z73" s="12">
        <f>IF(Table1[[#This Row],[adjusted_spread_with_johnson_only]]&gt;0,Table1[[#This Row],[electoral_votes]],0)</f>
        <v>0</v>
      </c>
      <c r="AA73" s="11">
        <f>IF(Table1[[#This Row],[adjusted_spread]]&gt;0,Table1[[#This Row],[electoral_votes]],0)</f>
        <v>0</v>
      </c>
      <c r="AB73" s="12">
        <f>IF(Table1[[#This Row],[adjusted_spread]]&lt;0,Table1[[#This Row],[electoral_votes]],0)</f>
        <v>5</v>
      </c>
      <c r="AC73" s="12" t="str">
        <f>IF(Table1[[#This Row],[orig_spread]]&lt;0,"Trump",IF(Table1[[#This Row],[orig_spread]]&gt;0,"Clinton",""))</f>
        <v>Trump</v>
      </c>
      <c r="AD73" s="12" t="str">
        <f>IF(Table1[[#This Row],[adjusted_spread]]&lt;0,"Trump",IF(Table1[[#This Row],[adjusted_spread]]&gt;0,"Clinton",""))</f>
        <v>Trump</v>
      </c>
      <c r="AE73" s="11" t="b">
        <f>AND(Table1[[#This Row],[orig_outcome]]="Trump",Table1[[#This Row],[adjusted_outcome]]="Clinton")</f>
        <v>0</v>
      </c>
      <c r="AF73" s="11" t="b">
        <f>AND(Table1[[#This Row],[orig_outcome]]="Clinton",Table1[[#This Row],[adjusted_outcome]]="Trump")</f>
        <v>0</v>
      </c>
      <c r="AG73" s="11" t="str">
        <f>IF(Table1[[#This Row],[index]]=1,IF(Table1[[#This Row],[pickup_clinton]],Table1[[#This Row],[State]],""),IF(Table1[[#This Row],[pickup_clinton]],CONCATENATE(AG72,IF(AG72="","",","),Table1[[#This Row],[State]]),AG72))</f>
        <v/>
      </c>
      <c r="AH73" s="11" t="str">
        <f>IF(Table1[[#This Row],[index]]=1,IF(Table1[[#This Row],[pickup_trump]],Table1[[#This Row],[State]],""),IF(Table1[[#This Row],[pickup_trump]],CONCATENATE(AH72,IF(AH62="","",","),Table1[[#This Row],[State]]),AH72))</f>
        <v/>
      </c>
      <c r="AI73" s="30">
        <f>IF(Table1[[#This Row],[orig_vote_stein]]=0,"",(1-Table1[[#This Row],[adjusted_spread_with_johnson_only]]/Table1[[#This Row],[orig_vote_stein]])/2)</f>
        <v>19.171312499999999</v>
      </c>
      <c r="AJ73" s="30">
        <f>(1-Table1[[#This Row],[adjusted_spread_with_stein_only]]/Table1[[#This Row],[orig_vote_johnson]])/2</f>
        <v>7.0519124484603912</v>
      </c>
      <c r="AK73" s="30" t="b">
        <f>AND(Table1[[#This Row],[stein_split_needed_pure]]&gt;=0,Table1[[#This Row],[stein_split_needed_pure]]&lt;=1)</f>
        <v>0</v>
      </c>
      <c r="AL73" s="30" t="b">
        <f>AND(Table1[[#This Row],[johnson_split_needed_pure]]&gt;=0,Table1[[#This Row],[johnson_split_needed_pure]]&lt;=1)</f>
        <v>0</v>
      </c>
      <c r="AM73" s="30" t="b">
        <f>OR(Table1[[#This Row],[in_play_stein]],Table1[[#This Row],[in_play_johnson]])</f>
        <v>0</v>
      </c>
      <c r="AN73" s="51">
        <f t="array" ref="AN7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3" s="51">
        <f t="array" ref="AO7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3" s="51">
        <f t="array" ref="AP7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3" s="51">
        <f t="array" ref="AQ7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3" s="44">
        <f>adjusted_electors_clinton_with_johnson_only+Table1[[#This Row],[electors_with_split_stein_added]]+Table1[[#This Row],[electors_with_split_stein_dropped]]</f>
        <v>233</v>
      </c>
      <c r="AS73" s="44">
        <f>adjusted_electors_clinton_with_stein_only+Table1[[#This Row],[electors_with_split_johnson_added]]+Table1[[#This Row],[electors_with_split_johnson_dropped]]</f>
        <v>233</v>
      </c>
      <c r="AT73" s="30" t="str">
        <f>IF(AND(Table1[[#This Row],[in_play_stein]],Table1[[#This Row],[electors_with_split_stein]]&gt;=270),Table1[[#This Row],[stein_split_needed_pure]],"")</f>
        <v/>
      </c>
      <c r="AU73" s="45" t="str">
        <f>IF(AND(Table1[[#This Row],[in_play_johnson]],Table1[[#This Row],[electors_with_split_johnson]]&gt;=270),Table1[[#This Row],[johnson_split_needed_pure]],"")</f>
        <v/>
      </c>
      <c r="AV7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3" s="16">
        <f>Table1[[#This Row],[adjusted_electors_trump]]+Table1[[#This Row],[adjusted_electors_clinton]]-Table1[[#This Row],[electoral_votes]]</f>
        <v>0</v>
      </c>
      <c r="BC73"/>
      <c r="BE73"/>
      <c r="BF73"/>
    </row>
    <row r="74" spans="2:58">
      <c r="B74" s="19" t="s">
        <v>0</v>
      </c>
      <c r="C74" s="20">
        <v>10</v>
      </c>
      <c r="D74" s="13">
        <v>1382210</v>
      </c>
      <c r="E74" s="13">
        <v>1409467</v>
      </c>
      <c r="F74" s="13">
        <v>106442</v>
      </c>
      <c r="G74" s="13">
        <v>30980</v>
      </c>
      <c r="H74" s="25">
        <f>ROW()-ROW(Table1[[#Headers],[index]])</f>
        <v>50</v>
      </c>
      <c r="I74" s="12">
        <f>Table1[[#This Row],[orig_vote_clinton]]-Table1[[#This Row],[orig_vote_trump]]</f>
        <v>-27257</v>
      </c>
      <c r="J74" s="12">
        <f>IF(Table1[[#This Row],[orig_spread]]&gt;0,Table1[[#This Row],[electoral_votes]],0)</f>
        <v>0</v>
      </c>
      <c r="K74" s="12">
        <f>IF(Table1[[#This Row],[orig_spread]]&lt;0,Table1[[#This Row],[electoral_votes]],0)</f>
        <v>10</v>
      </c>
      <c r="L74" s="12">
        <f>pct_stein_to_clinton*Table1[[#This Row],[orig_vote_stein]]</f>
        <v>15490</v>
      </c>
      <c r="M74" s="12">
        <f>pct_stein_to_trump*Table1[[#This Row],[orig_vote_stein]]</f>
        <v>15490</v>
      </c>
      <c r="N74" s="12">
        <f>pct_johnson_to_clinton*Table1[[#This Row],[orig_vote_johnson]]</f>
        <v>53221</v>
      </c>
      <c r="O74" s="12">
        <f>pct_johnson_to_trump*Table1[[#This Row],[orig_vote_johnson]]</f>
        <v>53221</v>
      </c>
      <c r="P74" s="12">
        <f>Table1[[#This Row],[orig_vote_clinton]]+Table1[[#This Row],[stein_votes_to_clinton]]</f>
        <v>1397700</v>
      </c>
      <c r="Q74" s="12">
        <f>Table1[[#This Row],[orig_vote_trump]]+Table1[[#This Row],[stein_votes_to_trump]]</f>
        <v>1424957</v>
      </c>
      <c r="R74" s="12">
        <f>Table1[[#This Row],[orig_vote_clinton]]+Table1[[#This Row],[johnson_votes_to_clinton]]</f>
        <v>1435431</v>
      </c>
      <c r="S74" s="12">
        <f>Table1[[#This Row],[orig_vote_trump]]+Table1[[#This Row],[johnson_votes_to_trump]]</f>
        <v>1462688</v>
      </c>
      <c r="T74" s="11">
        <f>Table1[[#This Row],[orig_vote_clinton]]+Table1[[#This Row],[stein_votes_to_clinton]]+Table1[[#This Row],[johnson_votes_to_clinton]]</f>
        <v>1450921</v>
      </c>
      <c r="U74" s="11">
        <f>Table1[[#This Row],[orig_vote_trump]]+Table1[[#This Row],[stein_votes_to_trump]]+Table1[[#This Row],[johnson_votes_to_trump]]</f>
        <v>1478178</v>
      </c>
      <c r="V74" s="11">
        <f>Table1[[#This Row],[adjusted_vote_clinton_with_stein_only]]-Table1[[#This Row],[adjusted_vote_trump_with_stein_only]]</f>
        <v>-27257</v>
      </c>
      <c r="W74" s="11">
        <f>Table1[[#This Row],[adjusted_vote_clinton_with_johnson_only]]-Table1[[#This Row],[adjusted_vote_trump_with_johnson_only]]</f>
        <v>-27257</v>
      </c>
      <c r="X74" s="12">
        <f>Table1[[#This Row],[adjusted_vote_clinton]]-Table1[[#This Row],[adjusted_vote_trump]]</f>
        <v>-27257</v>
      </c>
      <c r="Y74" s="12">
        <f>IF(Table1[[#This Row],[adjusted_spread_with_stein_only]]&gt;0,Table1[[#This Row],[electoral_votes]],0)</f>
        <v>0</v>
      </c>
      <c r="Z74" s="12">
        <f>IF(Table1[[#This Row],[adjusted_spread_with_johnson_only]]&gt;0,Table1[[#This Row],[electoral_votes]],0)</f>
        <v>0</v>
      </c>
      <c r="AA74" s="11">
        <f>IF(Table1[[#This Row],[adjusted_spread]]&gt;0,Table1[[#This Row],[electoral_votes]],0)</f>
        <v>0</v>
      </c>
      <c r="AB74" s="12">
        <f>IF(Table1[[#This Row],[adjusted_spread]]&lt;0,Table1[[#This Row],[electoral_votes]],0)</f>
        <v>10</v>
      </c>
      <c r="AC74" s="12" t="str">
        <f>IF(Table1[[#This Row],[orig_spread]]&lt;0,"Trump",IF(Table1[[#This Row],[orig_spread]]&gt;0,"Clinton",""))</f>
        <v>Trump</v>
      </c>
      <c r="AD74" s="12" t="str">
        <f>IF(Table1[[#This Row],[adjusted_spread]]&lt;0,"Trump",IF(Table1[[#This Row],[adjusted_spread]]&gt;0,"Clinton",""))</f>
        <v>Trump</v>
      </c>
      <c r="AE74" s="11" t="b">
        <f>AND(Table1[[#This Row],[orig_outcome]]="Trump",Table1[[#This Row],[adjusted_outcome]]="Clinton")</f>
        <v>0</v>
      </c>
      <c r="AF74" s="11" t="b">
        <f>AND(Table1[[#This Row],[orig_outcome]]="Clinton",Table1[[#This Row],[adjusted_outcome]]="Trump")</f>
        <v>0</v>
      </c>
      <c r="AG74" s="11" t="str">
        <f>IF(Table1[[#This Row],[index]]=1,IF(Table1[[#This Row],[pickup_clinton]],Table1[[#This Row],[State]],""),IF(Table1[[#This Row],[pickup_clinton]],CONCATENATE(AG73,IF(AG73="","",","),Table1[[#This Row],[State]]),AG73))</f>
        <v/>
      </c>
      <c r="AH74" s="11" t="str">
        <f>IF(Table1[[#This Row],[index]]=1,IF(Table1[[#This Row],[pickup_trump]],Table1[[#This Row],[State]],""),IF(Table1[[#This Row],[pickup_trump]],CONCATENATE(AH73,IF(AH63="","",","),Table1[[#This Row],[State]]),AH73))</f>
        <v/>
      </c>
      <c r="AI74" s="30">
        <f>IF(Table1[[#This Row],[orig_vote_stein]]=0,"",(1-Table1[[#This Row],[adjusted_spread_with_johnson_only]]/Table1[[#This Row],[orig_vote_stein]])/2)</f>
        <v>0.93991284699806332</v>
      </c>
      <c r="AJ74" s="30">
        <f>(1-Table1[[#This Row],[adjusted_spread_with_stein_only]]/Table1[[#This Row],[orig_vote_johnson]])/2</f>
        <v>0.62803686514721635</v>
      </c>
      <c r="AK74" s="30" t="b">
        <f>AND(Table1[[#This Row],[stein_split_needed_pure]]&gt;=0,Table1[[#This Row],[stein_split_needed_pure]]&lt;=1)</f>
        <v>1</v>
      </c>
      <c r="AL74" s="30" t="b">
        <f>AND(Table1[[#This Row],[johnson_split_needed_pure]]&gt;=0,Table1[[#This Row],[johnson_split_needed_pure]]&lt;=1)</f>
        <v>1</v>
      </c>
      <c r="AM74" s="30" t="b">
        <f>OR(Table1[[#This Row],[in_play_stein]],Table1[[#This Row],[in_play_johnson]])</f>
        <v>1</v>
      </c>
      <c r="AN74" s="51">
        <f t="array" ref="AN74">IF(NOT(Table1[[#This Row],[in_play_stein]]), 0, SUMPRODUCT(IF(Table1[stein_split_needed_pure]&lt;0.5, 0, 1), IF(Table1[in_play_stein], 1, 0), IF(Table1[stein_split_needed_pure]&lt;=Table1[[#This Row],[stein_split_needed_pure]], Table1[electoral_votes], 0)))</f>
        <v>26</v>
      </c>
      <c r="AO74" s="51">
        <f t="array" ref="AO7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26</v>
      </c>
      <c r="AP74" s="51">
        <f t="array" ref="AP7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4" s="51">
        <f t="array" ref="AQ7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4" s="44">
        <f>adjusted_electors_clinton_with_johnson_only+Table1[[#This Row],[electors_with_split_stein_added]]+Table1[[#This Row],[electors_with_split_stein_dropped]]</f>
        <v>259</v>
      </c>
      <c r="AS74" s="44">
        <f>adjusted_electors_clinton_with_stein_only+Table1[[#This Row],[electors_with_split_johnson_added]]+Table1[[#This Row],[electors_with_split_johnson_dropped]]</f>
        <v>259</v>
      </c>
      <c r="AT74" s="30" t="str">
        <f>IF(AND(Table1[[#This Row],[in_play_stein]],Table1[[#This Row],[electors_with_split_stein]]&gt;=270),Table1[[#This Row],[stein_split_needed_pure]],"")</f>
        <v/>
      </c>
      <c r="AU74" s="45" t="str">
        <f>IF(AND(Table1[[#This Row],[in_play_johnson]],Table1[[#This Row],[electors_with_split_johnson]]&gt;=270),Table1[[#This Row],[johnson_split_needed_pure]],"")</f>
        <v/>
      </c>
      <c r="AV7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4" s="16">
        <f>Table1[[#This Row],[adjusted_electors_trump]]+Table1[[#This Row],[adjusted_electors_clinton]]-Table1[[#This Row],[electoral_votes]]</f>
        <v>0</v>
      </c>
      <c r="BC74"/>
      <c r="BE74"/>
      <c r="BF74"/>
    </row>
    <row r="75" spans="2:58">
      <c r="B75" s="3" t="s">
        <v>55</v>
      </c>
      <c r="C75" s="7">
        <v>3</v>
      </c>
      <c r="D75" s="13">
        <v>55949</v>
      </c>
      <c r="E75" s="13">
        <v>174248</v>
      </c>
      <c r="F75" s="13">
        <v>13285</v>
      </c>
      <c r="G75" s="13">
        <v>2512</v>
      </c>
      <c r="H75" s="26">
        <f>ROW()-ROW(Table1[[#Headers],[index]])</f>
        <v>51</v>
      </c>
      <c r="I75" s="12">
        <f>Table1[[#This Row],[orig_vote_clinton]]-Table1[[#This Row],[orig_vote_trump]]</f>
        <v>-118299</v>
      </c>
      <c r="J75" s="12">
        <f>IF(Table1[[#This Row],[orig_spread]]&gt;0,Table1[[#This Row],[electoral_votes]],0)</f>
        <v>0</v>
      </c>
      <c r="K75" s="12">
        <f>IF(Table1[[#This Row],[orig_spread]]&lt;0,Table1[[#This Row],[electoral_votes]],0)</f>
        <v>3</v>
      </c>
      <c r="L75" s="12">
        <f>pct_stein_to_clinton*Table1[[#This Row],[orig_vote_stein]]</f>
        <v>1256</v>
      </c>
      <c r="M75" s="12">
        <f>pct_stein_to_trump*Table1[[#This Row],[orig_vote_stein]]</f>
        <v>1256</v>
      </c>
      <c r="N75" s="12">
        <f>pct_johnson_to_clinton*Table1[[#This Row],[orig_vote_johnson]]</f>
        <v>6642.5</v>
      </c>
      <c r="O75" s="12">
        <f>pct_johnson_to_trump*Table1[[#This Row],[orig_vote_johnson]]</f>
        <v>6642.5</v>
      </c>
      <c r="P75" s="12">
        <f>Table1[[#This Row],[orig_vote_clinton]]+Table1[[#This Row],[stein_votes_to_clinton]]</f>
        <v>57205</v>
      </c>
      <c r="Q75" s="12">
        <f>Table1[[#This Row],[orig_vote_trump]]+Table1[[#This Row],[stein_votes_to_trump]]</f>
        <v>175504</v>
      </c>
      <c r="R75" s="12">
        <f>Table1[[#This Row],[orig_vote_clinton]]+Table1[[#This Row],[johnson_votes_to_clinton]]</f>
        <v>62591.5</v>
      </c>
      <c r="S75" s="12">
        <f>Table1[[#This Row],[orig_vote_trump]]+Table1[[#This Row],[johnson_votes_to_trump]]</f>
        <v>180890.5</v>
      </c>
      <c r="T75" s="11">
        <f>Table1[[#This Row],[orig_vote_clinton]]+Table1[[#This Row],[stein_votes_to_clinton]]+Table1[[#This Row],[johnson_votes_to_clinton]]</f>
        <v>63847.5</v>
      </c>
      <c r="U75" s="11">
        <f>Table1[[#This Row],[orig_vote_trump]]+Table1[[#This Row],[stein_votes_to_trump]]+Table1[[#This Row],[johnson_votes_to_trump]]</f>
        <v>182146.5</v>
      </c>
      <c r="V75" s="11">
        <f>Table1[[#This Row],[adjusted_vote_clinton_with_stein_only]]-Table1[[#This Row],[adjusted_vote_trump_with_stein_only]]</f>
        <v>-118299</v>
      </c>
      <c r="W75" s="11">
        <f>Table1[[#This Row],[adjusted_vote_clinton_with_johnson_only]]-Table1[[#This Row],[adjusted_vote_trump_with_johnson_only]]</f>
        <v>-118299</v>
      </c>
      <c r="X75" s="12">
        <f>Table1[[#This Row],[adjusted_vote_clinton]]-Table1[[#This Row],[adjusted_vote_trump]]</f>
        <v>-118299</v>
      </c>
      <c r="Y75" s="12">
        <f>IF(Table1[[#This Row],[adjusted_spread_with_stein_only]]&gt;0,Table1[[#This Row],[electoral_votes]],0)</f>
        <v>0</v>
      </c>
      <c r="Z75" s="12">
        <f>IF(Table1[[#This Row],[adjusted_spread_with_johnson_only]]&gt;0,Table1[[#This Row],[electoral_votes]],0)</f>
        <v>0</v>
      </c>
      <c r="AA75" s="11">
        <f>IF(Table1[[#This Row],[adjusted_spread]]&gt;0,Table1[[#This Row],[electoral_votes]],0)</f>
        <v>0</v>
      </c>
      <c r="AB75" s="12">
        <f>IF(Table1[[#This Row],[adjusted_spread]]&lt;0,Table1[[#This Row],[electoral_votes]],0)</f>
        <v>3</v>
      </c>
      <c r="AC75" s="12" t="str">
        <f>IF(Table1[[#This Row],[orig_spread]]&lt;0,"Trump",IF(Table1[[#This Row],[orig_spread]]&gt;0,"Clinton",""))</f>
        <v>Trump</v>
      </c>
      <c r="AD75" s="12" t="str">
        <f>IF(Table1[[#This Row],[adjusted_spread]]&lt;0,"Trump",IF(Table1[[#This Row],[adjusted_spread]]&gt;0,"Clinton",""))</f>
        <v>Trump</v>
      </c>
      <c r="AE75" s="11" t="b">
        <f>AND(Table1[[#This Row],[orig_outcome]]="Trump",Table1[[#This Row],[adjusted_outcome]]="Clinton")</f>
        <v>0</v>
      </c>
      <c r="AF75" s="11" t="b">
        <f>AND(Table1[[#This Row],[orig_outcome]]="Clinton",Table1[[#This Row],[adjusted_outcome]]="Trump")</f>
        <v>0</v>
      </c>
      <c r="AG75" s="11" t="str">
        <f>IF(Table1[[#This Row],[index]]=1,IF(Table1[[#This Row],[pickup_clinton]],Table1[[#This Row],[State]],""),IF(Table1[[#This Row],[pickup_clinton]],CONCATENATE(AG74,IF(AG74="","",","),Table1[[#This Row],[State]]),AG74))</f>
        <v/>
      </c>
      <c r="AH75" s="11" t="str">
        <f>IF(Table1[[#This Row],[index]]=1,IF(Table1[[#This Row],[pickup_trump]],Table1[[#This Row],[State]],""),IF(Table1[[#This Row],[pickup_trump]],CONCATENATE(AH74,IF(AH64="","",","),Table1[[#This Row],[State]]),AH74))</f>
        <v/>
      </c>
      <c r="AI75" s="30">
        <f>IF(Table1[[#This Row],[orig_vote_stein]]=0,"",(1-Table1[[#This Row],[adjusted_spread_with_johnson_only]]/Table1[[#This Row],[orig_vote_stein]])/2)</f>
        <v>24.046775477707005</v>
      </c>
      <c r="AJ75" s="30">
        <f>(1-Table1[[#This Row],[adjusted_spread_with_stein_only]]/Table1[[#This Row],[orig_vote_johnson]])/2</f>
        <v>4.9523522770041399</v>
      </c>
      <c r="AK75" s="30" t="b">
        <f>AND(Table1[[#This Row],[stein_split_needed_pure]]&gt;=0,Table1[[#This Row],[stein_split_needed_pure]]&lt;=1)</f>
        <v>0</v>
      </c>
      <c r="AL75" s="30" t="b">
        <f>AND(Table1[[#This Row],[johnson_split_needed_pure]]&gt;=0,Table1[[#This Row],[johnson_split_needed_pure]]&lt;=1)</f>
        <v>0</v>
      </c>
      <c r="AM75" s="30" t="b">
        <f>OR(Table1[[#This Row],[in_play_stein]],Table1[[#This Row],[in_play_johnson]])</f>
        <v>0</v>
      </c>
      <c r="AN75" s="51">
        <f t="array" ref="AN7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5" s="51">
        <f t="array" ref="AO7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5" s="51">
        <f t="array" ref="AP7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5" s="51">
        <f t="array" ref="AQ7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5" s="44">
        <f>adjusted_electors_clinton_with_johnson_only+Table1[[#This Row],[electors_with_split_stein_added]]+Table1[[#This Row],[electors_with_split_stein_dropped]]</f>
        <v>233</v>
      </c>
      <c r="AS75" s="44">
        <f>adjusted_electors_clinton_with_stein_only+Table1[[#This Row],[electors_with_split_johnson_added]]+Table1[[#This Row],[electors_with_split_johnson_dropped]]</f>
        <v>233</v>
      </c>
      <c r="AT75" s="30" t="str">
        <f>IF(AND(Table1[[#This Row],[in_play_stein]],Table1[[#This Row],[electors_with_split_stein]]&gt;=270),Table1[[#This Row],[stein_split_needed_pure]],"")</f>
        <v/>
      </c>
      <c r="AU75" s="45" t="str">
        <f>IF(AND(Table1[[#This Row],[in_play_johnson]],Table1[[#This Row],[electors_with_split_johnson]]&gt;=270),Table1[[#This Row],[johnson_split_needed_pure]],"")</f>
        <v/>
      </c>
      <c r="AV7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5" s="16">
        <f>Table1[[#This Row],[adjusted_electors_trump]]+Table1[[#This Row],[adjusted_electors_clinton]]-Table1[[#This Row],[electoral_votes]]</f>
        <v>0</v>
      </c>
      <c r="BC75"/>
      <c r="BE75"/>
      <c r="BF75"/>
    </row>
    <row r="76" spans="2:58">
      <c r="AD76" s="1" t="str">
        <f>""</f>
        <v/>
      </c>
    </row>
  </sheetData>
  <mergeCells count="3">
    <mergeCell ref="D6:F6"/>
    <mergeCell ref="D7:F7"/>
    <mergeCell ref="D8:F8"/>
  </mergeCells>
  <conditionalFormatting sqref="D16:F16 AI18 AT18 AR18">
    <cfRule type="cellIs" dxfId="92" priority="173" operator="notEqual">
      <formula>0</formula>
    </cfRule>
  </conditionalFormatting>
  <conditionalFormatting sqref="B25:AI75 AR25:AR75 AT25:AT75 AK25:AM75">
    <cfRule type="expression" dxfId="91" priority="212">
      <formula>$AF25</formula>
    </cfRule>
    <cfRule type="expression" dxfId="90" priority="213">
      <formula>$AE25</formula>
    </cfRule>
  </conditionalFormatting>
  <conditionalFormatting sqref="C21:X21">
    <cfRule type="cellIs" dxfId="89" priority="116" operator="notBetween">
      <formula>-0.00001</formula>
      <formula>0.00001</formula>
    </cfRule>
  </conditionalFormatting>
  <conditionalFormatting sqref="R21:S21">
    <cfRule type="cellIs" dxfId="88" priority="115" operator="notBetween">
      <formula>-0.00001</formula>
      <formula>0.00001</formula>
    </cfRule>
  </conditionalFormatting>
  <conditionalFormatting sqref="T21">
    <cfRule type="cellIs" dxfId="87" priority="114" operator="notBetween">
      <formula>-0.00001</formula>
      <formula>0.00001</formula>
    </cfRule>
  </conditionalFormatting>
  <conditionalFormatting sqref="U21">
    <cfRule type="cellIs" dxfId="86" priority="113" operator="notBetween">
      <formula>-0.00001</formula>
      <formula>0.00001</formula>
    </cfRule>
  </conditionalFormatting>
  <conditionalFormatting sqref="V21">
    <cfRule type="cellIs" dxfId="85" priority="112" operator="notBetween">
      <formula>-0.00001</formula>
      <formula>0.00001</formula>
    </cfRule>
  </conditionalFormatting>
  <conditionalFormatting sqref="X21">
    <cfRule type="cellIs" dxfId="84" priority="108" operator="notBetween">
      <formula>-0.00001</formula>
      <formula>0.00001</formula>
    </cfRule>
  </conditionalFormatting>
  <conditionalFormatting sqref="W21">
    <cfRule type="cellIs" dxfId="83" priority="109" operator="notBetween">
      <formula>-0.00001</formula>
      <formula>0.00001</formula>
    </cfRule>
  </conditionalFormatting>
  <conditionalFormatting sqref="G17">
    <cfRule type="cellIs" dxfId="82" priority="103" operator="notBetween">
      <formula>-0.00001</formula>
      <formula>0.00001</formula>
    </cfRule>
  </conditionalFormatting>
  <conditionalFormatting sqref="G18">
    <cfRule type="cellIs" dxfId="81" priority="102" operator="notBetween">
      <formula>-0.00001</formula>
      <formula>0.00001</formula>
    </cfRule>
  </conditionalFormatting>
  <conditionalFormatting sqref="H17">
    <cfRule type="cellIs" dxfId="80" priority="101" operator="notBetween">
      <formula>-0.00001</formula>
      <formula>0.00001</formula>
    </cfRule>
  </conditionalFormatting>
  <conditionalFormatting sqref="H18">
    <cfRule type="cellIs" dxfId="79" priority="100" operator="notBetween">
      <formula>-0.00001</formula>
      <formula>0.00001</formula>
    </cfRule>
  </conditionalFormatting>
  <conditionalFormatting sqref="G16">
    <cfRule type="cellIs" dxfId="78" priority="99" operator="notEqual">
      <formula>0</formula>
    </cfRule>
  </conditionalFormatting>
  <conditionalFormatting sqref="H16">
    <cfRule type="cellIs" dxfId="77" priority="98" operator="notEqual">
      <formula>0</formula>
    </cfRule>
  </conditionalFormatting>
  <conditionalFormatting sqref="I16">
    <cfRule type="cellIs" dxfId="76" priority="97" operator="notEqual">
      <formula>0</formula>
    </cfRule>
  </conditionalFormatting>
  <conditionalFormatting sqref="D17:E17">
    <cfRule type="cellIs" dxfId="75" priority="96" operator="notEqual">
      <formula>0</formula>
    </cfRule>
  </conditionalFormatting>
  <conditionalFormatting sqref="I19">
    <cfRule type="cellIs" dxfId="74" priority="89" operator="notEqual">
      <formula>0</formula>
    </cfRule>
  </conditionalFormatting>
  <conditionalFormatting sqref="D19">
    <cfRule type="cellIs" dxfId="73" priority="94" operator="notEqual">
      <formula>0</formula>
    </cfRule>
  </conditionalFormatting>
  <conditionalFormatting sqref="E19">
    <cfRule type="cellIs" dxfId="72" priority="93" operator="notEqual">
      <formula>0</formula>
    </cfRule>
  </conditionalFormatting>
  <conditionalFormatting sqref="F19">
    <cfRule type="cellIs" dxfId="71" priority="92" operator="notEqual">
      <formula>0</formula>
    </cfRule>
  </conditionalFormatting>
  <conditionalFormatting sqref="G19">
    <cfRule type="cellIs" dxfId="70" priority="91" operator="notEqual">
      <formula>0</formula>
    </cfRule>
  </conditionalFormatting>
  <conditionalFormatting sqref="H19">
    <cfRule type="cellIs" dxfId="69" priority="90" operator="notEqual">
      <formula>0</formula>
    </cfRule>
  </conditionalFormatting>
  <conditionalFormatting sqref="D18:E18">
    <cfRule type="cellIs" dxfId="68" priority="88" operator="notEqual">
      <formula>0</formula>
    </cfRule>
  </conditionalFormatting>
  <conditionalFormatting sqref="F18">
    <cfRule type="cellIs" dxfId="67" priority="87" operator="notEqual">
      <formula>0</formula>
    </cfRule>
  </conditionalFormatting>
  <conditionalFormatting sqref="F17">
    <cfRule type="cellIs" dxfId="66" priority="86" operator="notEqual">
      <formula>0</formula>
    </cfRule>
  </conditionalFormatting>
  <conditionalFormatting sqref="I17">
    <cfRule type="cellIs" dxfId="65" priority="85" operator="notBetween">
      <formula>-0.00001</formula>
      <formula>0.00001</formula>
    </cfRule>
  </conditionalFormatting>
  <conditionalFormatting sqref="I18">
    <cfRule type="cellIs" dxfId="64" priority="84" operator="notBetween">
      <formula>-0.00001</formula>
      <formula>0.00001</formula>
    </cfRule>
  </conditionalFormatting>
  <conditionalFormatting sqref="AA21:AB21">
    <cfRule type="cellIs" dxfId="63" priority="22" operator="notBetween">
      <formula>-0.00001</formula>
      <formula>0.00001</formula>
    </cfRule>
  </conditionalFormatting>
  <conditionalFormatting sqref="AA21:AB21">
    <cfRule type="cellIs" dxfId="62" priority="21" operator="notBetween">
      <formula>-0.00001</formula>
      <formula>0.00001</formula>
    </cfRule>
  </conditionalFormatting>
  <conditionalFormatting sqref="AJ25:AJ75 AN25:AQ75">
    <cfRule type="expression" dxfId="61" priority="19">
      <formula>$AF25</formula>
    </cfRule>
    <cfRule type="expression" dxfId="60" priority="20">
      <formula>$AE25</formula>
    </cfRule>
  </conditionalFormatting>
  <conditionalFormatting sqref="AU25">
    <cfRule type="expression" dxfId="59" priority="13">
      <formula>$AF25</formula>
    </cfRule>
    <cfRule type="expression" dxfId="58" priority="14">
      <formula>$AE25</formula>
    </cfRule>
  </conditionalFormatting>
  <conditionalFormatting sqref="AU26:AU75">
    <cfRule type="expression" dxfId="57" priority="3">
      <formula>$AF26</formula>
    </cfRule>
    <cfRule type="expression" dxfId="56" priority="4">
      <formula>$AE26</formula>
    </cfRule>
  </conditionalFormatting>
  <conditionalFormatting sqref="AS25:AS75">
    <cfRule type="expression" dxfId="55" priority="1">
      <formula>$AF25</formula>
    </cfRule>
    <cfRule type="expression" dxfId="54" priority="2">
      <formula>$AE25</formula>
    </cfRule>
  </conditionalFormatting>
  <dataValidations count="1">
    <dataValidation type="decimal" allowBlank="1" showInputMessage="1" showErrorMessage="1" sqref="D12:E12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2016-11-19T15:55:23Z</dcterms:modified>
</cp:coreProperties>
</file>