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2540" yWindow="0" windowWidth="40400" windowHeight="25860" tabRatio="500"/>
  </bookViews>
  <sheets>
    <sheet name="Main" sheetId="1" r:id="rId1"/>
  </sheets>
  <definedNames>
    <definedName name="adjusted_clinton_national">Main!$K$11</definedName>
    <definedName name="adjusted_electors_">Main!$N$11</definedName>
    <definedName name="adjusted_electors_national_clinton">Main!$O$11</definedName>
    <definedName name="adjusted_electors_national_trump">Main!$N$11</definedName>
    <definedName name="adjusted_spread_national">Main!$M$11</definedName>
    <definedName name="adjusted_trump_national">Main!$L$11</definedName>
    <definedName name="clinton_national">Main!$I$3</definedName>
    <definedName name="johnson_national">Main!$K$3</definedName>
    <definedName name="orig_">Main!$H$13:$H$63</definedName>
    <definedName name="orig_clinton">Main!$I$4</definedName>
    <definedName name="orig_electors_clinton">Main!$I$13:$I$63</definedName>
    <definedName name="orig_electors_trump">Main!$J$13:$J$63</definedName>
    <definedName name="orig_johnson">Main!#REF!</definedName>
    <definedName name="orig_stein">Main!#REF!</definedName>
    <definedName name="orig_trump">Main!$J$4</definedName>
    <definedName name="other_clinton">Main!#REF!</definedName>
    <definedName name="other_trump">Main!#REF!</definedName>
    <definedName name="pct_johnson_to_clinton">Main!$E$3</definedName>
    <definedName name="pct_johnson_to_trump">Main!$E$4</definedName>
    <definedName name="pct_stein_to_clinton">Main!$D$3</definedName>
    <definedName name="pct_stein_to_trump">Main!$D$4</definedName>
    <definedName name="stein_national">Main!$L$3</definedName>
    <definedName name="trump_national">Main!$J$3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M4" i="1"/>
  <c r="M3" i="1"/>
  <c r="D11" i="1"/>
  <c r="E11" i="1"/>
  <c r="F11" i="1"/>
  <c r="G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11" i="1"/>
  <c r="D4" i="1"/>
  <c r="E4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11" i="1"/>
  <c r="N11" i="1"/>
  <c r="O11" i="1"/>
  <c r="C11" i="1"/>
  <c r="Q13" i="1"/>
  <c r="P13" i="1"/>
  <c r="S13" i="1"/>
  <c r="Q14" i="1"/>
  <c r="P14" i="1"/>
  <c r="S14" i="1"/>
  <c r="Q15" i="1"/>
  <c r="P15" i="1"/>
  <c r="S15" i="1"/>
  <c r="Q16" i="1"/>
  <c r="P16" i="1"/>
  <c r="S16" i="1"/>
  <c r="Q17" i="1"/>
  <c r="P17" i="1"/>
  <c r="S17" i="1"/>
  <c r="Q18" i="1"/>
  <c r="P18" i="1"/>
  <c r="S18" i="1"/>
  <c r="Q19" i="1"/>
  <c r="P19" i="1"/>
  <c r="S19" i="1"/>
  <c r="Q20" i="1"/>
  <c r="P20" i="1"/>
  <c r="S20" i="1"/>
  <c r="Q21" i="1"/>
  <c r="P21" i="1"/>
  <c r="S21" i="1"/>
  <c r="Q22" i="1"/>
  <c r="P22" i="1"/>
  <c r="S22" i="1"/>
  <c r="Q23" i="1"/>
  <c r="P23" i="1"/>
  <c r="S23" i="1"/>
  <c r="Q24" i="1"/>
  <c r="P24" i="1"/>
  <c r="S24" i="1"/>
  <c r="Q25" i="1"/>
  <c r="P25" i="1"/>
  <c r="S25" i="1"/>
  <c r="Q26" i="1"/>
  <c r="P26" i="1"/>
  <c r="S26" i="1"/>
  <c r="Q27" i="1"/>
  <c r="P27" i="1"/>
  <c r="S27" i="1"/>
  <c r="Q28" i="1"/>
  <c r="P28" i="1"/>
  <c r="S28" i="1"/>
  <c r="Q29" i="1"/>
  <c r="P29" i="1"/>
  <c r="S29" i="1"/>
  <c r="Q30" i="1"/>
  <c r="P30" i="1"/>
  <c r="S30" i="1"/>
  <c r="Q31" i="1"/>
  <c r="P31" i="1"/>
  <c r="S31" i="1"/>
  <c r="Q32" i="1"/>
  <c r="P32" i="1"/>
  <c r="S32" i="1"/>
  <c r="Q33" i="1"/>
  <c r="P33" i="1"/>
  <c r="S33" i="1"/>
  <c r="Q34" i="1"/>
  <c r="P34" i="1"/>
  <c r="S34" i="1"/>
  <c r="Q35" i="1"/>
  <c r="P35" i="1"/>
  <c r="S35" i="1"/>
  <c r="Q36" i="1"/>
  <c r="P36" i="1"/>
  <c r="S36" i="1"/>
  <c r="Q37" i="1"/>
  <c r="P37" i="1"/>
  <c r="S37" i="1"/>
  <c r="Q38" i="1"/>
  <c r="P38" i="1"/>
  <c r="S38" i="1"/>
  <c r="Q39" i="1"/>
  <c r="P39" i="1"/>
  <c r="S39" i="1"/>
  <c r="Q40" i="1"/>
  <c r="P40" i="1"/>
  <c r="S40" i="1"/>
  <c r="Q41" i="1"/>
  <c r="P41" i="1"/>
  <c r="S41" i="1"/>
  <c r="Q42" i="1"/>
  <c r="P42" i="1"/>
  <c r="S42" i="1"/>
  <c r="Q43" i="1"/>
  <c r="P43" i="1"/>
  <c r="S43" i="1"/>
  <c r="Q44" i="1"/>
  <c r="P44" i="1"/>
  <c r="S44" i="1"/>
  <c r="Q45" i="1"/>
  <c r="P45" i="1"/>
  <c r="S45" i="1"/>
  <c r="Q46" i="1"/>
  <c r="P46" i="1"/>
  <c r="S46" i="1"/>
  <c r="Q47" i="1"/>
  <c r="P47" i="1"/>
  <c r="S47" i="1"/>
  <c r="Q48" i="1"/>
  <c r="P48" i="1"/>
  <c r="S48" i="1"/>
  <c r="Q49" i="1"/>
  <c r="P49" i="1"/>
  <c r="S49" i="1"/>
  <c r="Q50" i="1"/>
  <c r="P50" i="1"/>
  <c r="S50" i="1"/>
  <c r="Q51" i="1"/>
  <c r="P51" i="1"/>
  <c r="S51" i="1"/>
  <c r="Q52" i="1"/>
  <c r="P52" i="1"/>
  <c r="S52" i="1"/>
  <c r="Q53" i="1"/>
  <c r="P53" i="1"/>
  <c r="S53" i="1"/>
  <c r="Q54" i="1"/>
  <c r="P54" i="1"/>
  <c r="S54" i="1"/>
  <c r="Q55" i="1"/>
  <c r="P55" i="1"/>
  <c r="S55" i="1"/>
  <c r="Q56" i="1"/>
  <c r="P56" i="1"/>
  <c r="S56" i="1"/>
  <c r="Q57" i="1"/>
  <c r="P57" i="1"/>
  <c r="S57" i="1"/>
  <c r="Q58" i="1"/>
  <c r="P58" i="1"/>
  <c r="S58" i="1"/>
  <c r="Q59" i="1"/>
  <c r="P59" i="1"/>
  <c r="S59" i="1"/>
  <c r="Q60" i="1"/>
  <c r="P60" i="1"/>
  <c r="S60" i="1"/>
  <c r="Q61" i="1"/>
  <c r="P61" i="1"/>
  <c r="S61" i="1"/>
  <c r="Q62" i="1"/>
  <c r="P62" i="1"/>
  <c r="S62" i="1"/>
  <c r="Q63" i="1"/>
  <c r="P63" i="1"/>
  <c r="S63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H10" i="1"/>
  <c r="I10" i="1"/>
  <c r="F10" i="1"/>
  <c r="G10" i="1"/>
  <c r="F3" i="1"/>
  <c r="E5" i="1"/>
  <c r="D5" i="1"/>
  <c r="E10" i="1"/>
  <c r="D10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C10" i="1"/>
  <c r="F4" i="1"/>
  <c r="F5" i="1"/>
  <c r="J10" i="1"/>
</calcChain>
</file>

<file path=xl/sharedStrings.xml><?xml version="1.0" encoding="utf-8"?>
<sst xmlns="http://schemas.openxmlformats.org/spreadsheetml/2006/main" count="85" uniqueCount="83">
  <si>
    <t>Wisconsin</t>
  </si>
  <si>
    <t>Michigan</t>
  </si>
  <si>
    <t>Pennsylvania</t>
  </si>
  <si>
    <t>Florida</t>
  </si>
  <si>
    <t>Clinton</t>
  </si>
  <si>
    <t>Trump</t>
  </si>
  <si>
    <t>Johnson</t>
  </si>
  <si>
    <t>Stein</t>
  </si>
  <si>
    <t>New Hampshire</t>
  </si>
  <si>
    <t>North Carolina</t>
  </si>
  <si>
    <t>Adjusted Electors</t>
  </si>
  <si>
    <t>Check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</si>
  <si>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</si>
  <si>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</si>
  <si>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</si>
  <si>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</si>
  <si>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</si>
  <si>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</si>
  <si>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</si>
  <si>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</si>
  <si>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</si>
  <si>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</si>
  <si>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</si>
  <si>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</si>
  <si>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</si>
  <si>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</si>
  <si>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</si>
  <si>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</si>
  <si>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</si>
  <si>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</si>
  <si>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</si>
  <si>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</si>
  <si>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</si>
  <si>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Minnesota</t>
  </si>
  <si>
    <t>Mississippi</t>
  </si>
  <si>
    <t>Missouri</t>
  </si>
  <si>
    <t>Montana</t>
  </si>
  <si>
    <t>Nebraska</t>
  </si>
  <si>
    <t>Nevada</t>
  </si>
  <si>
    <t>New Jersey</t>
  </si>
  <si>
    <t>New Mexico</t>
  </si>
  <si>
    <t>New York</t>
  </si>
  <si>
    <t>North Dakota</t>
  </si>
  <si>
    <t>Ohio</t>
  </si>
  <si>
    <t>Oklahoma</t>
  </si>
  <si>
    <t>Oregon</t>
  </si>
  <si>
    <t>Rhode Island</t>
  </si>
  <si>
    <t>South Dakota</t>
  </si>
  <si>
    <t>South Carolina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</si>
  <si>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</si>
  <si>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</si>
  <si>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</si>
  <si>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</si>
  <si>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</si>
  <si>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</si>
  <si>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</si>
  <si>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</si>
  <si>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District of Columbia</t>
  </si>
  <si>
    <t>Percent For Stein</t>
  </si>
  <si>
    <t>Percent For Johnson</t>
  </si>
  <si>
    <t>Orig Votes</t>
  </si>
  <si>
    <t>Orig Electors</t>
  </si>
  <si>
    <t>adjusted_vote_clinton</t>
  </si>
  <si>
    <t>orig_electors_clinton</t>
  </si>
  <si>
    <t>orig_electors_trump</t>
  </si>
  <si>
    <t>adjusted_vote_trump</t>
  </si>
  <si>
    <t>adjusted_spread</t>
  </si>
  <si>
    <t>adjusted_electors_trump</t>
  </si>
  <si>
    <t>adjusted_electors_clinton</t>
  </si>
  <si>
    <t>pickup_clinton</t>
  </si>
  <si>
    <t>pickup_trump</t>
  </si>
  <si>
    <t>check_electors</t>
  </si>
  <si>
    <t>orig_spread</t>
  </si>
  <si>
    <t>orig_vote_clinton</t>
  </si>
  <si>
    <t>orig_vote_trump</t>
  </si>
  <si>
    <t>orig_vote_johnson</t>
  </si>
  <si>
    <t>orig_vote_stein</t>
  </si>
  <si>
    <t>electoral_votes</t>
  </si>
  <si>
    <t>orig_outcome</t>
  </si>
  <si>
    <t>Checks --&gt;</t>
  </si>
  <si>
    <t>adjusted_outcome</t>
  </si>
  <si>
    <t>Totals --&gt;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</si>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</sst>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31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9" fontId="0" fillId="4" borderId="1" xfId="2" applyFont="1" applyFill="1" applyBorder="1" applyAlignment="1">
      <alignment horizontal="center"/>
    </xf>
    <xf numFmtId="9" fontId="0" fillId="5" borderId="1" xfId="2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3" fontId="7" fillId="2" borderId="1" xfId="0" applyNumberFormat="1" applyFont="1" applyFill="1" applyBorder="1"/>
    <xf numFmtId="164" fontId="8" fillId="2" borderId="1" xfId="1" applyNumberFormat="1" applyFont="1" applyFill="1" applyBorder="1" applyAlignment="1">
      <alignment horizontal="center"/>
    </xf>
    <xf numFmtId="3" fontId="4" fillId="2" borderId="1" xfId="0" applyNumberFormat="1" applyFont="1" applyFill="1" applyBorder="1"/>
    <xf numFmtId="3" fontId="9" fillId="2" borderId="1" xfId="0" applyNumberFormat="1" applyFont="1" applyFill="1" applyBorder="1"/>
    <xf numFmtId="0" fontId="8" fillId="2" borderId="1" xfId="0" applyFont="1" applyFill="1" applyBorder="1"/>
    <xf numFmtId="164" fontId="0" fillId="0" borderId="0" xfId="1" applyNumberFormat="1" applyFont="1" applyAlignment="1">
      <alignment horizontal="center"/>
    </xf>
    <xf numFmtId="43" fontId="8" fillId="6" borderId="1" xfId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64" fontId="3" fillId="7" borderId="0" xfId="1" applyNumberFormat="1" applyFont="1" applyFill="1" applyAlignment="1">
      <alignment horizontal="center"/>
    </xf>
    <xf numFmtId="3" fontId="0" fillId="5" borderId="1" xfId="0" applyNumberForma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1" xfId="1" applyNumberFormat="1" applyFont="1" applyFill="1" applyBorder="1"/>
    <xf numFmtId="164" fontId="1" fillId="5" borderId="1" xfId="1" applyNumberFormat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</cellXfs>
  <cellStyles count="23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225" builtinId="8" hidden="1"/>
    <cellStyle name="Hyperlink" xfId="227" builtinId="8" hidden="1"/>
    <cellStyle name="Hyperlink" xfId="229" builtinId="8" hidden="1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indexed="64"/>
          <bgColor rgb="FF000090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08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0"/>
      </font>
      <fill>
        <patternFill patternType="solid">
          <fgColor indexed="64"/>
          <bgColor rgb="FF660066"/>
        </patternFill>
      </fill>
    </dxf>
    <dxf>
      <font>
        <b/>
        <i val="0"/>
        <color theme="0"/>
      </font>
      <fill>
        <patternFill patternType="solid">
          <fgColor indexed="64"/>
          <bgColor rgb="FF660066"/>
        </patternFill>
      </fill>
    </dxf>
    <dxf>
      <font>
        <b/>
        <i val="0"/>
        <color theme="0"/>
      </font>
      <fill>
        <patternFill patternType="solid">
          <fgColor indexed="64"/>
          <bgColor rgb="FF660066"/>
        </patternFill>
      </fill>
    </dxf>
    <dxf>
      <font>
        <b/>
        <i val="0"/>
        <color theme="0"/>
      </font>
      <fill>
        <patternFill patternType="solid">
          <fgColor indexed="64"/>
          <bgColor rgb="FF660066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12:T63" totalsRowShown="0" headerRowDxfId="25" dataDxfId="23" headerRowBorderDxfId="24" tableBorderDxfId="22" totalsRowBorderDxfId="21">
  <autoFilter ref="B12:T63"/>
  <tableColumns count="19">
    <tableColumn id="1" name="State" dataDxfId="18"/>
    <tableColumn id="2" name="electoral_votes" dataDxfId="17" dataCellStyle="Comma"/>
    <tableColumn id="3" name="orig_vote_clinton" dataDxfId="16" dataCellStyle="Comma"/>
    <tableColumn id="4" name="orig_vote_trump" dataDxfId="15" dataCellStyle="Comma"/>
    <tableColumn id="5" name="orig_vote_johnson" dataDxfId="14" dataCellStyle="Comma"/>
    <tableColumn id="6" name="orig_vote_stein" dataDxfId="13" dataCellStyle="Comma"/>
    <tableColumn id="13" name="orig_spread" dataDxfId="12" dataCellStyle="Comma">
      <calculatedColumnFormula>Table1[[#This Row],[orig_vote_trump]]-Table1[[#This Row],[orig_vote_clinton]]</calculatedColumnFormula>
    </tableColumn>
    <tableColumn id="18" name="orig_electors_clinton" dataDxfId="11" dataCellStyle="Comma">
      <calculatedColumnFormula>IF(Table1[[#This Row],[orig_vote_clinton]]&gt;Table1[[#This Row],[orig_vote_trump]],Table1[[#This Row],[electoral_votes]],0)</calculatedColumnFormula>
    </tableColumn>
    <tableColumn id="17" name="orig_electors_trump" dataDxfId="10" dataCellStyle="Comma">
      <calculatedColumnFormula>IF(Table1[[#This Row],[orig_vote_trump]]&gt;Table1[[#This Row],[orig_vote_clinton]],Table1[[#This Row],[electoral_votes]],0)</calculatedColumnFormula>
    </tableColumn>
    <tableColumn id="7" name="adjusted_vote_clinton" dataDxfId="9" dataCellStyle="Comma">
      <calculatedColumnFormula>Table1[[#This Row],[orig_vote_clinton]]+Table1[[#This Row],[orig_vote_stein]]*pct_stein_to_clinton+Table1[[#This Row],[orig_vote_johnson]]*pct_johnson_to_clinton</calculatedColumnFormula>
    </tableColumn>
    <tableColumn id="8" name="adjusted_vote_trump" dataDxfId="8" dataCellStyle="Comma">
      <calculatedColumnFormula>Table1[[#This Row],[orig_vote_trump]]+Table1[[#This Row],[orig_vote_stein]]*pct_stein_to_trump+Table1[[#This Row],[orig_vote_johnson]]*pct_johnson_to_trump</calculatedColumnFormula>
    </tableColumn>
    <tableColumn id="14" name="adjusted_spread" dataDxfId="7" dataCellStyle="Comma">
      <calculatedColumnFormula>Table1[[#This Row],[adjusted_vote_trump]]-Table1[[#This Row],[adjusted_vote_clinton]]</calculatedColumnFormula>
    </tableColumn>
    <tableColumn id="11" name="adjusted_electors_trump" dataDxfId="6" dataCellStyle="Comma">
      <calculatedColumnFormula>IF(Table1[[#This Row],[adjusted_vote_clinton]]&gt;Table1[[#This Row],[adjusted_vote_trump]],0,Table1[[#This Row],[electoral_votes]])</calculatedColumnFormula>
    </tableColumn>
    <tableColumn id="10" name="adjusted_electors_clinton" dataDxfId="5" dataCellStyle="Comma">
      <calculatedColumnFormula>IF(Table1[[#This Row],[adjusted_vote_clinton]]&gt;Table1[[#This Row],[adjusted_vote_trump]],Table1[[#This Row],[electoral_votes]],0)</calculatedColumnFormula>
    </tableColumn>
    <tableColumn id="21" name="orig_outcome" dataDxfId="4" dataCellStyle="Comma">
      <calculatedColumnFormula>IF(Table1[[#This Row],[orig_spread]]&gt;0,"Trump","Clinton")</calculatedColumnFormula>
    </tableColumn>
    <tableColumn id="23" name="adjusted_outcome" dataDxfId="3" dataCellStyle="Comma">
      <calculatedColumnFormula>IF(Table1[[#This Row],[adjusted_spread]]&gt;0,"Trump","Clinton")</calculatedColumnFormula>
    </tableColumn>
    <tableColumn id="20" name="pickup_clinton" dataDxfId="2" dataCellStyle="Comma">
      <calculatedColumnFormula>AND(Table1[[#This Row],[orig_outcome]]="Trump",Table1[[#This Row],[adjusted_outcome]]="Clinton")</calculatedColumnFormula>
    </tableColumn>
    <tableColumn id="19" name="pickup_trump" dataDxfId="1" dataCellStyle="Comma">
      <calculatedColumnFormula>AND(Table1[[#This Row],[orig_outcome]]="Clinton",Table1[[#This Row],[adjusted_outcome]]="Trump")</calculatedColumnFormula>
    </tableColumn>
    <tableColumn id="12" name="check_electors" dataDxfId="0" dataCellStyle="Comma">
      <calculatedColumnFormula>Table1[[#This Row],[adjusted_electors_trump]]+Table1[[#This Row],[adjusted_electors_clinton]]-Table1[[#This Row],[electoral_votes]]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3"/>
  <sheetViews>
    <sheetView tabSelected="1" workbookViewId="0">
      <selection activeCell="C13" sqref="C13"/>
    </sheetView>
  </sheetViews>
  <sheetFormatPr baseColWidth="10" defaultColWidth="23.33203125" defaultRowHeight="15" outlineLevelCol="2" x14ac:dyDescent="0"/>
  <cols>
    <col min="1" max="1" width="4.6640625" customWidth="1"/>
    <col min="2" max="2" width="23.33203125" outlineLevel="1"/>
    <col min="3" max="7" width="23.33203125" style="1" outlineLevel="1"/>
    <col min="8" max="10" width="23.33203125" style="1" outlineLevel="2"/>
    <col min="12" max="14" width="23.33203125" style="1" outlineLevel="2"/>
    <col min="16" max="17" width="23.33203125" style="1" outlineLevel="2"/>
    <col min="18" max="18" width="23.33203125" outlineLevel="2"/>
    <col min="19" max="19" width="23.33203125" style="1" outlineLevel="2"/>
    <col min="20" max="21" width="23.33203125" outlineLevel="2"/>
    <col min="22" max="22" width="23.33203125" style="1" outlineLevel="2"/>
    <col min="23" max="23" width="23.33203125" outlineLevel="1"/>
  </cols>
  <sheetData>
    <row r="1" spans="2:22">
      <c r="K1" s="1"/>
      <c r="O1" s="1"/>
      <c r="R1" s="1"/>
      <c r="S1"/>
      <c r="V1"/>
    </row>
    <row r="2" spans="2:22">
      <c r="D2" s="2" t="s">
        <v>58</v>
      </c>
      <c r="E2" s="2" t="s">
        <v>59</v>
      </c>
      <c r="F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82</v>
      </c>
      <c r="N2"/>
      <c r="O2" s="1"/>
      <c r="Q2"/>
      <c r="R2" s="1"/>
      <c r="S2"/>
      <c r="V2"/>
    </row>
    <row r="3" spans="2:22">
      <c r="C3" s="2" t="s">
        <v>4</v>
      </c>
      <c r="D3" s="6">
        <v>0.5</v>
      </c>
      <c r="E3" s="6">
        <v>0.5</v>
      </c>
      <c r="F3" s="8">
        <f>SUM(Table1[adjusted_electors_clinton])</f>
        <v>233</v>
      </c>
      <c r="H3" s="2" t="s">
        <v>60</v>
      </c>
      <c r="I3" s="11">
        <v>60058698</v>
      </c>
      <c r="J3" s="11">
        <v>59844617</v>
      </c>
      <c r="K3" s="12">
        <v>4264943</v>
      </c>
      <c r="L3" s="12">
        <v>1241012</v>
      </c>
      <c r="M3" s="18">
        <f>SUM(I3:L3)</f>
        <v>125409270</v>
      </c>
      <c r="N3"/>
      <c r="O3" s="1"/>
      <c r="Q3"/>
      <c r="R3" s="1"/>
      <c r="S3"/>
      <c r="V3"/>
    </row>
    <row r="4" spans="2:22">
      <c r="C4" s="2" t="s">
        <v>5</v>
      </c>
      <c r="D4" s="7">
        <f>1-pct_stein_to_clinton</f>
        <v>0.5</v>
      </c>
      <c r="E4" s="7">
        <f>1-pct_johnson_to_clinton</f>
        <v>0.5</v>
      </c>
      <c r="F4" s="8">
        <f>SUM(Table1[adjusted_electors_trump])</f>
        <v>305</v>
      </c>
      <c r="H4" s="2" t="s">
        <v>61</v>
      </c>
      <c r="I4" s="13">
        <v>233</v>
      </c>
      <c r="J4" s="13">
        <v>305</v>
      </c>
      <c r="K4" s="13">
        <v>0</v>
      </c>
      <c r="L4" s="13">
        <v>0</v>
      </c>
      <c r="M4" s="3">
        <f>SUM(I4:L4)</f>
        <v>538</v>
      </c>
      <c r="N4"/>
      <c r="O4" s="1"/>
      <c r="Q4"/>
      <c r="R4" s="1"/>
      <c r="S4"/>
      <c r="V4"/>
    </row>
    <row r="5" spans="2:22">
      <c r="C5" s="2" t="s">
        <v>11</v>
      </c>
      <c r="D5" s="15">
        <f>SUM(D3:D4)-1</f>
        <v>0</v>
      </c>
      <c r="E5" s="15">
        <f>SUM(E3:E4)-1</f>
        <v>0</v>
      </c>
      <c r="F5" s="15">
        <f>SUM(F3:F4)-538</f>
        <v>0</v>
      </c>
      <c r="K5" s="1"/>
      <c r="O5" s="1"/>
      <c r="R5" s="1"/>
      <c r="S5"/>
      <c r="V5"/>
    </row>
    <row r="6" spans="2:22">
      <c r="K6" s="1"/>
      <c r="O6" s="1"/>
      <c r="R6" s="1"/>
      <c r="S6"/>
      <c r="V6"/>
    </row>
    <row r="7" spans="2:22">
      <c r="K7" s="1"/>
      <c r="O7" s="1"/>
      <c r="R7" s="1"/>
      <c r="S7"/>
      <c r="V7"/>
    </row>
    <row r="8" spans="2:22">
      <c r="D8" s="16"/>
      <c r="E8" s="16"/>
      <c r="F8" s="16"/>
      <c r="G8" s="16"/>
      <c r="K8" s="1"/>
      <c r="S8"/>
      <c r="T8" s="1"/>
      <c r="V8"/>
    </row>
    <row r="9" spans="2:22">
      <c r="K9" s="1"/>
      <c r="S9"/>
      <c r="T9" s="1"/>
      <c r="V9"/>
    </row>
    <row r="10" spans="2:22">
      <c r="B10" s="2" t="s">
        <v>79</v>
      </c>
      <c r="C10" s="15">
        <f>SUM(Table1[electoral_votes])-538</f>
        <v>0</v>
      </c>
      <c r="D10" s="15">
        <f>SUM(Table1[orig_vote_clinton])-clinton_national</f>
        <v>0</v>
      </c>
      <c r="E10" s="15">
        <f>SUM(Table1[orig_vote_trump])-trump_national</f>
        <v>0</v>
      </c>
      <c r="F10" s="15">
        <f>SUM(Table1[orig_vote_johnson])-johnson_national</f>
        <v>0</v>
      </c>
      <c r="G10" s="15">
        <f>SUM(Table1[orig_vote_stein])-stein_national</f>
        <v>0</v>
      </c>
      <c r="H10" s="15">
        <f>SUM(orig_)-(trump_national-clinton_national)</f>
        <v>0</v>
      </c>
      <c r="I10" s="15">
        <f>SUM(Table1[orig_electors_clinton])-orig_clinton</f>
        <v>0</v>
      </c>
      <c r="J10" s="15">
        <f>SUM(Table1[orig_electors_trump])-orig_trump</f>
        <v>0</v>
      </c>
      <c r="K10" s="1"/>
      <c r="O10" s="1"/>
      <c r="R10" s="1"/>
      <c r="T10" s="1"/>
      <c r="V10"/>
    </row>
    <row r="11" spans="2:22">
      <c r="B11" s="2" t="s">
        <v>81</v>
      </c>
      <c r="C11" s="17">
        <f t="shared" ref="C11:O11" si="0">SUM(C$13:C$63)</f>
        <v>538</v>
      </c>
      <c r="D11" s="17">
        <f t="shared" si="0"/>
        <v>60058698</v>
      </c>
      <c r="E11" s="17">
        <f t="shared" si="0"/>
        <v>59844617</v>
      </c>
      <c r="F11" s="17">
        <f t="shared" si="0"/>
        <v>4264943</v>
      </c>
      <c r="G11" s="17">
        <f t="shared" si="0"/>
        <v>1241012</v>
      </c>
      <c r="H11" s="17">
        <f t="shared" si="0"/>
        <v>-214081</v>
      </c>
      <c r="I11" s="17">
        <f t="shared" si="0"/>
        <v>233</v>
      </c>
      <c r="J11" s="17">
        <f t="shared" si="0"/>
        <v>305</v>
      </c>
      <c r="K11" s="17">
        <f t="shared" si="0"/>
        <v>62811675.5</v>
      </c>
      <c r="L11" s="17">
        <f t="shared" si="0"/>
        <v>62597594.5</v>
      </c>
      <c r="M11" s="17">
        <f t="shared" si="0"/>
        <v>-214081</v>
      </c>
      <c r="N11" s="17">
        <f t="shared" si="0"/>
        <v>305</v>
      </c>
      <c r="O11" s="17">
        <f t="shared" si="0"/>
        <v>233</v>
      </c>
      <c r="P11" s="14"/>
      <c r="Q11" s="14"/>
      <c r="R11" s="14"/>
      <c r="S11" s="14"/>
      <c r="T11" s="14"/>
      <c r="V11"/>
    </row>
    <row r="12" spans="2:22">
      <c r="B12" s="4" t="s">
        <v>12</v>
      </c>
      <c r="C12" s="2" t="s">
        <v>77</v>
      </c>
      <c r="D12" s="2" t="s">
        <v>73</v>
      </c>
      <c r="E12" s="2" t="s">
        <v>74</v>
      </c>
      <c r="F12" s="2" t="s">
        <v>75</v>
      </c>
      <c r="G12" s="2" t="s">
        <v>76</v>
      </c>
      <c r="H12" s="2" t="s">
        <v>72</v>
      </c>
      <c r="I12" s="2" t="s">
        <v>63</v>
      </c>
      <c r="J12" s="2" t="s">
        <v>64</v>
      </c>
      <c r="K12" s="2" t="s">
        <v>62</v>
      </c>
      <c r="L12" s="2" t="s">
        <v>65</v>
      </c>
      <c r="M12" s="5" t="s">
        <v>66</v>
      </c>
      <c r="N12" s="5" t="s">
        <v>67</v>
      </c>
      <c r="O12" s="5" t="s">
        <v>68</v>
      </c>
      <c r="P12" s="2" t="s">
        <v>78</v>
      </c>
      <c r="Q12" s="5" t="s">
        <v>80</v>
      </c>
      <c r="R12" s="5" t="s">
        <v>69</v>
      </c>
      <c r="S12" s="5" t="s">
        <v>70</v>
      </c>
      <c r="T12" s="5" t="s">
        <v>71</v>
      </c>
      <c r="V12"/>
    </row>
    <row r="13" spans="2:22">
      <c r="B13" s="19" t="s">
        <v>13</v>
      </c>
      <c r="C13" s="20">
        <v>9</v>
      </c>
      <c r="D13" s="11">
        <v>718084</v>
      </c>
      <c r="E13" s="11">
        <v>1306925</v>
      </c>
      <c r="F13" s="11">
        <v>43869</v>
      </c>
      <c r="G13" s="11">
        <v>9287</v>
      </c>
      <c r="H13" s="21">
        <f>Table1[[#This Row],[orig_vote_trump]]-Table1[[#This Row],[orig_vote_clinton]]</f>
        <v>588841</v>
      </c>
      <c r="I13" s="21">
        <f>IF(Table1[[#This Row],[orig_vote_clinton]]&gt;Table1[[#This Row],[orig_vote_trump]],Table1[[#This Row],[electoral_votes]],0)</f>
        <v>0</v>
      </c>
      <c r="J13" s="21">
        <f>IF(Table1[[#This Row],[orig_vote_trump]]&gt;Table1[[#This Row],[orig_vote_clinton]],Table1[[#This Row],[electoral_votes]],0)</f>
        <v>9</v>
      </c>
      <c r="K13" s="21">
        <f>Table1[[#This Row],[orig_vote_clinton]]+Table1[[#This Row],[orig_vote_stein]]*pct_stein_to_clinton+Table1[[#This Row],[orig_vote_johnson]]*pct_johnson_to_clinton</f>
        <v>744662</v>
      </c>
      <c r="L13" s="21">
        <f>Table1[[#This Row],[orig_vote_trump]]+Table1[[#This Row],[orig_vote_stein]]*pct_stein_to_trump+Table1[[#This Row],[orig_vote_johnson]]*pct_johnson_to_trump</f>
        <v>1333503</v>
      </c>
      <c r="M13" s="21">
        <f>Table1[[#This Row],[adjusted_vote_trump]]-Table1[[#This Row],[adjusted_vote_clinton]]</f>
        <v>588841</v>
      </c>
      <c r="N13" s="21">
        <f>IF(Table1[[#This Row],[adjusted_vote_clinton]]&gt;Table1[[#This Row],[adjusted_vote_trump]],0,Table1[[#This Row],[electoral_votes]])</f>
        <v>9</v>
      </c>
      <c r="O13" s="21">
        <f>IF(Table1[[#This Row],[adjusted_vote_clinton]]&gt;Table1[[#This Row],[adjusted_vote_trump]],Table1[[#This Row],[electoral_votes]],0)</f>
        <v>0</v>
      </c>
      <c r="P13" s="21" t="str">
        <f>IF(Table1[[#This Row],[orig_spread]]&gt;0,"Trump","Clinton")</f>
        <v>Trump</v>
      </c>
      <c r="Q13" s="21" t="str">
        <f>IF(Table1[[#This Row],[adjusted_spread]]&gt;0,"Trump","Clinton")</f>
        <v>Trump</v>
      </c>
      <c r="R13" s="21" t="b">
        <f>AND(Table1[[#This Row],[orig_outcome]]="Trump",Table1[[#This Row],[adjusted_outcome]]="Clinton")</f>
        <v>0</v>
      </c>
      <c r="S13" s="21" t="b">
        <f>AND(Table1[[#This Row],[orig_outcome]]="Clinton",Table1[[#This Row],[adjusted_outcome]]="Trump")</f>
        <v>0</v>
      </c>
      <c r="T13" s="22">
        <f>Table1[[#This Row],[adjusted_electors_trump]]+Table1[[#This Row],[adjusted_electors_clinton]]-Table1[[#This Row],[electoral_votes]]</f>
        <v>0</v>
      </c>
      <c r="V13"/>
    </row>
    <row r="14" spans="2:22">
      <c r="B14" s="19" t="s">
        <v>14</v>
      </c>
      <c r="C14" s="20">
        <v>3</v>
      </c>
      <c r="D14" s="11">
        <v>92013</v>
      </c>
      <c r="E14" s="11">
        <v>129786</v>
      </c>
      <c r="F14" s="11">
        <v>14524</v>
      </c>
      <c r="G14" s="11">
        <v>4394</v>
      </c>
      <c r="H14" s="21">
        <f>Table1[[#This Row],[orig_vote_trump]]-Table1[[#This Row],[orig_vote_clinton]]</f>
        <v>37773</v>
      </c>
      <c r="I14" s="21">
        <f>IF(Table1[[#This Row],[orig_vote_clinton]]&gt;Table1[[#This Row],[orig_vote_trump]],Table1[[#This Row],[electoral_votes]],0)</f>
        <v>0</v>
      </c>
      <c r="J14" s="21">
        <f>IF(Table1[[#This Row],[orig_vote_trump]]&gt;Table1[[#This Row],[orig_vote_clinton]],Table1[[#This Row],[electoral_votes]],0)</f>
        <v>3</v>
      </c>
      <c r="K14" s="21">
        <f>Table1[[#This Row],[orig_vote_clinton]]+Table1[[#This Row],[orig_vote_stein]]*pct_stein_to_clinton+Table1[[#This Row],[orig_vote_johnson]]*pct_johnson_to_clinton</f>
        <v>101472</v>
      </c>
      <c r="L14" s="21">
        <f>Table1[[#This Row],[orig_vote_trump]]+Table1[[#This Row],[orig_vote_stein]]*pct_stein_to_trump+Table1[[#This Row],[orig_vote_johnson]]*pct_johnson_to_trump</f>
        <v>139245</v>
      </c>
      <c r="M14" s="21">
        <f>Table1[[#This Row],[adjusted_vote_trump]]-Table1[[#This Row],[adjusted_vote_clinton]]</f>
        <v>37773</v>
      </c>
      <c r="N14" s="21">
        <f>IF(Table1[[#This Row],[adjusted_vote_clinton]]&gt;Table1[[#This Row],[adjusted_vote_trump]],0,Table1[[#This Row],[electoral_votes]])</f>
        <v>3</v>
      </c>
      <c r="O14" s="21">
        <f>IF(Table1[[#This Row],[adjusted_vote_clinton]]&gt;Table1[[#This Row],[adjusted_vote_trump]],Table1[[#This Row],[electoral_votes]],0)</f>
        <v>0</v>
      </c>
      <c r="P14" s="21" t="str">
        <f>IF(Table1[[#This Row],[orig_spread]]&gt;0,"Trump","Clinton")</f>
        <v>Trump</v>
      </c>
      <c r="Q14" s="21" t="str">
        <f>IF(Table1[[#This Row],[adjusted_spread]]&gt;0,"Trump","Clinton")</f>
        <v>Trump</v>
      </c>
      <c r="R14" s="21" t="b">
        <f>AND(Table1[[#This Row],[orig_outcome]]="Trump",Table1[[#This Row],[adjusted_outcome]]="Clinton")</f>
        <v>0</v>
      </c>
      <c r="S14" s="21" t="b">
        <f>AND(Table1[[#This Row],[orig_outcome]]="Clinton",Table1[[#This Row],[adjusted_outcome]]="Trump")</f>
        <v>0</v>
      </c>
      <c r="T14" s="22">
        <f>Table1[[#This Row],[adjusted_electors_trump]]+Table1[[#This Row],[adjusted_electors_clinton]]-Table1[[#This Row],[electoral_votes]]</f>
        <v>0</v>
      </c>
      <c r="V14"/>
    </row>
    <row r="15" spans="2:22">
      <c r="B15" s="19" t="s">
        <v>15</v>
      </c>
      <c r="C15" s="20">
        <v>11</v>
      </c>
      <c r="D15" s="11">
        <v>888374</v>
      </c>
      <c r="E15" s="11">
        <v>972900</v>
      </c>
      <c r="F15" s="11">
        <v>75082</v>
      </c>
      <c r="G15" s="11">
        <v>23697</v>
      </c>
      <c r="H15" s="21">
        <f>Table1[[#This Row],[orig_vote_trump]]-Table1[[#This Row],[orig_vote_clinton]]</f>
        <v>84526</v>
      </c>
      <c r="I15" s="21">
        <f>IF(Table1[[#This Row],[orig_vote_clinton]]&gt;Table1[[#This Row],[orig_vote_trump]],Table1[[#This Row],[electoral_votes]],0)</f>
        <v>0</v>
      </c>
      <c r="J15" s="21">
        <f>IF(Table1[[#This Row],[orig_vote_trump]]&gt;Table1[[#This Row],[orig_vote_clinton]],Table1[[#This Row],[electoral_votes]],0)</f>
        <v>11</v>
      </c>
      <c r="K15" s="21">
        <f>Table1[[#This Row],[orig_vote_clinton]]+Table1[[#This Row],[orig_vote_stein]]*pct_stein_to_clinton+Table1[[#This Row],[orig_vote_johnson]]*pct_johnson_to_clinton</f>
        <v>937763.5</v>
      </c>
      <c r="L15" s="21">
        <f>Table1[[#This Row],[orig_vote_trump]]+Table1[[#This Row],[orig_vote_stein]]*pct_stein_to_trump+Table1[[#This Row],[orig_vote_johnson]]*pct_johnson_to_trump</f>
        <v>1022289.5</v>
      </c>
      <c r="M15" s="21">
        <f>Table1[[#This Row],[adjusted_vote_trump]]-Table1[[#This Row],[adjusted_vote_clinton]]</f>
        <v>84526</v>
      </c>
      <c r="N15" s="21">
        <f>IF(Table1[[#This Row],[adjusted_vote_clinton]]&gt;Table1[[#This Row],[adjusted_vote_trump]],0,Table1[[#This Row],[electoral_votes]])</f>
        <v>11</v>
      </c>
      <c r="O15" s="21">
        <f>IF(Table1[[#This Row],[adjusted_vote_clinton]]&gt;Table1[[#This Row],[adjusted_vote_trump]],Table1[[#This Row],[electoral_votes]],0)</f>
        <v>0</v>
      </c>
      <c r="P15" s="21" t="str">
        <f>IF(Table1[[#This Row],[orig_spread]]&gt;0,"Trump","Clinton")</f>
        <v>Trump</v>
      </c>
      <c r="Q15" s="21" t="str">
        <f>IF(Table1[[#This Row],[adjusted_spread]]&gt;0,"Trump","Clinton")</f>
        <v>Trump</v>
      </c>
      <c r="R15" s="21" t="b">
        <f>AND(Table1[[#This Row],[orig_outcome]]="Trump",Table1[[#This Row],[adjusted_outcome]]="Clinton")</f>
        <v>0</v>
      </c>
      <c r="S15" s="21" t="b">
        <f>AND(Table1[[#This Row],[orig_outcome]]="Clinton",Table1[[#This Row],[adjusted_outcome]]="Trump")</f>
        <v>0</v>
      </c>
      <c r="T15" s="22">
        <f>Table1[[#This Row],[adjusted_electors_trump]]+Table1[[#This Row],[adjusted_electors_clinton]]-Table1[[#This Row],[electoral_votes]]</f>
        <v>0</v>
      </c>
      <c r="V15"/>
    </row>
    <row r="16" spans="2:22">
      <c r="B16" s="19" t="s">
        <v>16</v>
      </c>
      <c r="C16" s="20">
        <v>6</v>
      </c>
      <c r="D16" s="9">
        <v>378729</v>
      </c>
      <c r="E16" s="9">
        <v>677904</v>
      </c>
      <c r="F16" s="9">
        <v>29518</v>
      </c>
      <c r="G16" s="9">
        <v>9837</v>
      </c>
      <c r="H16" s="21">
        <f>Table1[[#This Row],[orig_vote_trump]]-Table1[[#This Row],[orig_vote_clinton]]</f>
        <v>299175</v>
      </c>
      <c r="I16" s="21">
        <f>IF(Table1[[#This Row],[orig_vote_clinton]]&gt;Table1[[#This Row],[orig_vote_trump]],Table1[[#This Row],[electoral_votes]],0)</f>
        <v>0</v>
      </c>
      <c r="J16" s="21">
        <f>IF(Table1[[#This Row],[orig_vote_trump]]&gt;Table1[[#This Row],[orig_vote_clinton]],Table1[[#This Row],[electoral_votes]],0)</f>
        <v>6</v>
      </c>
      <c r="K16" s="21">
        <f>Table1[[#This Row],[orig_vote_clinton]]+Table1[[#This Row],[orig_vote_stein]]*pct_stein_to_clinton+Table1[[#This Row],[orig_vote_johnson]]*pct_johnson_to_clinton</f>
        <v>398406.5</v>
      </c>
      <c r="L16" s="21">
        <f>Table1[[#This Row],[orig_vote_trump]]+Table1[[#This Row],[orig_vote_stein]]*pct_stein_to_trump+Table1[[#This Row],[orig_vote_johnson]]*pct_johnson_to_trump</f>
        <v>697581.5</v>
      </c>
      <c r="M16" s="21">
        <f>Table1[[#This Row],[adjusted_vote_trump]]-Table1[[#This Row],[adjusted_vote_clinton]]</f>
        <v>299175</v>
      </c>
      <c r="N16" s="21">
        <f>IF(Table1[[#This Row],[adjusted_vote_clinton]]&gt;Table1[[#This Row],[adjusted_vote_trump]],0,Table1[[#This Row],[electoral_votes]])</f>
        <v>6</v>
      </c>
      <c r="O16" s="21">
        <f>IF(Table1[[#This Row],[adjusted_vote_clinton]]&gt;Table1[[#This Row],[adjusted_vote_trump]],Table1[[#This Row],[electoral_votes]],0)</f>
        <v>0</v>
      </c>
      <c r="P16" s="21" t="str">
        <f>IF(Table1[[#This Row],[orig_spread]]&gt;0,"Trump","Clinton")</f>
        <v>Trump</v>
      </c>
      <c r="Q16" s="21" t="str">
        <f>IF(Table1[[#This Row],[adjusted_spread]]&gt;0,"Trump","Clinton")</f>
        <v>Trump</v>
      </c>
      <c r="R16" s="21" t="b">
        <f>AND(Table1[[#This Row],[orig_outcome]]="Trump",Table1[[#This Row],[adjusted_outcome]]="Clinton")</f>
        <v>0</v>
      </c>
      <c r="S16" s="21" t="b">
        <f>AND(Table1[[#This Row],[orig_outcome]]="Clinton",Table1[[#This Row],[adjusted_outcome]]="Trump")</f>
        <v>0</v>
      </c>
      <c r="T16" s="22">
        <f>Table1[[#This Row],[adjusted_electors_trump]]+Table1[[#This Row],[adjusted_electors_clinton]]-Table1[[#This Row],[electoral_votes]]</f>
        <v>0</v>
      </c>
      <c r="V16"/>
    </row>
    <row r="17" spans="2:22">
      <c r="B17" s="19" t="s">
        <v>17</v>
      </c>
      <c r="C17" s="20">
        <v>55</v>
      </c>
      <c r="D17" s="9">
        <v>5482166</v>
      </c>
      <c r="E17" s="9">
        <v>2966654</v>
      </c>
      <c r="F17" s="9">
        <v>281536</v>
      </c>
      <c r="G17" s="9">
        <v>152333</v>
      </c>
      <c r="H17" s="21">
        <f>Table1[[#This Row],[orig_vote_trump]]-Table1[[#This Row],[orig_vote_clinton]]</f>
        <v>-2515512</v>
      </c>
      <c r="I17" s="21">
        <f>IF(Table1[[#This Row],[orig_vote_clinton]]&gt;Table1[[#This Row],[orig_vote_trump]],Table1[[#This Row],[electoral_votes]],0)</f>
        <v>55</v>
      </c>
      <c r="J17" s="21">
        <f>IF(Table1[[#This Row],[orig_vote_trump]]&gt;Table1[[#This Row],[orig_vote_clinton]],Table1[[#This Row],[electoral_votes]],0)</f>
        <v>0</v>
      </c>
      <c r="K17" s="21">
        <f>Table1[[#This Row],[orig_vote_clinton]]+Table1[[#This Row],[orig_vote_stein]]*pct_stein_to_clinton+Table1[[#This Row],[orig_vote_johnson]]*pct_johnson_to_clinton</f>
        <v>5699100.5</v>
      </c>
      <c r="L17" s="21">
        <f>Table1[[#This Row],[orig_vote_trump]]+Table1[[#This Row],[orig_vote_stein]]*pct_stein_to_trump+Table1[[#This Row],[orig_vote_johnson]]*pct_johnson_to_trump</f>
        <v>3183588.5</v>
      </c>
      <c r="M17" s="21">
        <f>Table1[[#This Row],[adjusted_vote_trump]]-Table1[[#This Row],[adjusted_vote_clinton]]</f>
        <v>-2515512</v>
      </c>
      <c r="N17" s="21">
        <f>IF(Table1[[#This Row],[adjusted_vote_clinton]]&gt;Table1[[#This Row],[adjusted_vote_trump]],0,Table1[[#This Row],[electoral_votes]])</f>
        <v>0</v>
      </c>
      <c r="O17" s="21">
        <f>IF(Table1[[#This Row],[adjusted_vote_clinton]]&gt;Table1[[#This Row],[adjusted_vote_trump]],Table1[[#This Row],[electoral_votes]],0)</f>
        <v>55</v>
      </c>
      <c r="P17" s="21" t="str">
        <f>IF(Table1[[#This Row],[orig_spread]]&gt;0,"Trump","Clinton")</f>
        <v>Clinton</v>
      </c>
      <c r="Q17" s="21" t="str">
        <f>IF(Table1[[#This Row],[adjusted_spread]]&gt;0,"Trump","Clinton")</f>
        <v>Clinton</v>
      </c>
      <c r="R17" s="21" t="b">
        <f>AND(Table1[[#This Row],[orig_outcome]]="Trump",Table1[[#This Row],[adjusted_outcome]]="Clinton")</f>
        <v>0</v>
      </c>
      <c r="S17" s="21" t="b">
        <f>AND(Table1[[#This Row],[orig_outcome]]="Clinton",Table1[[#This Row],[adjusted_outcome]]="Trump")</f>
        <v>0</v>
      </c>
      <c r="T17" s="22">
        <f>Table1[[#This Row],[adjusted_electors_trump]]+Table1[[#This Row],[adjusted_electors_clinton]]-Table1[[#This Row],[electoral_votes]]</f>
        <v>0</v>
      </c>
      <c r="V17"/>
    </row>
    <row r="18" spans="2:22">
      <c r="B18" s="19" t="s">
        <v>18</v>
      </c>
      <c r="C18" s="20">
        <v>9</v>
      </c>
      <c r="D18" s="9">
        <v>1126384</v>
      </c>
      <c r="E18" s="9">
        <v>1075770</v>
      </c>
      <c r="F18" s="9">
        <v>117906</v>
      </c>
      <c r="G18" s="9">
        <v>29299</v>
      </c>
      <c r="H18" s="21">
        <f>Table1[[#This Row],[orig_vote_trump]]-Table1[[#This Row],[orig_vote_clinton]]</f>
        <v>-50614</v>
      </c>
      <c r="I18" s="21">
        <f>IF(Table1[[#This Row],[orig_vote_clinton]]&gt;Table1[[#This Row],[orig_vote_trump]],Table1[[#This Row],[electoral_votes]],0)</f>
        <v>9</v>
      </c>
      <c r="J18" s="21">
        <f>IF(Table1[[#This Row],[orig_vote_trump]]&gt;Table1[[#This Row],[orig_vote_clinton]],Table1[[#This Row],[electoral_votes]],0)</f>
        <v>0</v>
      </c>
      <c r="K18" s="21">
        <f>Table1[[#This Row],[orig_vote_clinton]]+Table1[[#This Row],[orig_vote_stein]]*pct_stein_to_clinton+Table1[[#This Row],[orig_vote_johnson]]*pct_johnson_to_clinton</f>
        <v>1199986.5</v>
      </c>
      <c r="L18" s="21">
        <f>Table1[[#This Row],[orig_vote_trump]]+Table1[[#This Row],[orig_vote_stein]]*pct_stein_to_trump+Table1[[#This Row],[orig_vote_johnson]]*pct_johnson_to_trump</f>
        <v>1149372.5</v>
      </c>
      <c r="M18" s="21">
        <f>Table1[[#This Row],[adjusted_vote_trump]]-Table1[[#This Row],[adjusted_vote_clinton]]</f>
        <v>-50614</v>
      </c>
      <c r="N18" s="21">
        <f>IF(Table1[[#This Row],[adjusted_vote_clinton]]&gt;Table1[[#This Row],[adjusted_vote_trump]],0,Table1[[#This Row],[electoral_votes]])</f>
        <v>0</v>
      </c>
      <c r="O18" s="21">
        <f>IF(Table1[[#This Row],[adjusted_vote_clinton]]&gt;Table1[[#This Row],[adjusted_vote_trump]],Table1[[#This Row],[electoral_votes]],0)</f>
        <v>9</v>
      </c>
      <c r="P18" s="21" t="str">
        <f>IF(Table1[[#This Row],[orig_spread]]&gt;0,"Trump","Clinton")</f>
        <v>Clinton</v>
      </c>
      <c r="Q18" s="21" t="str">
        <f>IF(Table1[[#This Row],[adjusted_spread]]&gt;0,"Trump","Clinton")</f>
        <v>Clinton</v>
      </c>
      <c r="R18" s="21" t="b">
        <f>AND(Table1[[#This Row],[orig_outcome]]="Trump",Table1[[#This Row],[adjusted_outcome]]="Clinton")</f>
        <v>0</v>
      </c>
      <c r="S18" s="21" t="b">
        <f>AND(Table1[[#This Row],[orig_outcome]]="Clinton",Table1[[#This Row],[adjusted_outcome]]="Trump")</f>
        <v>0</v>
      </c>
      <c r="T18" s="22">
        <f>Table1[[#This Row],[adjusted_electors_trump]]+Table1[[#This Row],[adjusted_electors_clinton]]-Table1[[#This Row],[electoral_votes]]</f>
        <v>0</v>
      </c>
      <c r="V18"/>
    </row>
    <row r="19" spans="2:22">
      <c r="B19" s="19" t="s">
        <v>19</v>
      </c>
      <c r="C19" s="20">
        <v>7</v>
      </c>
      <c r="D19" s="9">
        <v>823360</v>
      </c>
      <c r="E19" s="9">
        <v>637919</v>
      </c>
      <c r="F19" s="9">
        <v>45999</v>
      </c>
      <c r="G19" s="9">
        <v>21539</v>
      </c>
      <c r="H19" s="21">
        <f>Table1[[#This Row],[orig_vote_trump]]-Table1[[#This Row],[orig_vote_clinton]]</f>
        <v>-185441</v>
      </c>
      <c r="I19" s="21">
        <f>IF(Table1[[#This Row],[orig_vote_clinton]]&gt;Table1[[#This Row],[orig_vote_trump]],Table1[[#This Row],[electoral_votes]],0)</f>
        <v>7</v>
      </c>
      <c r="J19" s="21">
        <f>IF(Table1[[#This Row],[orig_vote_trump]]&gt;Table1[[#This Row],[orig_vote_clinton]],Table1[[#This Row],[electoral_votes]],0)</f>
        <v>0</v>
      </c>
      <c r="K19" s="21">
        <f>Table1[[#This Row],[orig_vote_clinton]]+Table1[[#This Row],[orig_vote_stein]]*pct_stein_to_clinton+Table1[[#This Row],[orig_vote_johnson]]*pct_johnson_to_clinton</f>
        <v>857129</v>
      </c>
      <c r="L19" s="21">
        <f>Table1[[#This Row],[orig_vote_trump]]+Table1[[#This Row],[orig_vote_stein]]*pct_stein_to_trump+Table1[[#This Row],[orig_vote_johnson]]*pct_johnson_to_trump</f>
        <v>671688</v>
      </c>
      <c r="M19" s="21">
        <f>Table1[[#This Row],[adjusted_vote_trump]]-Table1[[#This Row],[adjusted_vote_clinton]]</f>
        <v>-185441</v>
      </c>
      <c r="N19" s="21">
        <f>IF(Table1[[#This Row],[adjusted_vote_clinton]]&gt;Table1[[#This Row],[adjusted_vote_trump]],0,Table1[[#This Row],[electoral_votes]])</f>
        <v>0</v>
      </c>
      <c r="O19" s="21">
        <f>IF(Table1[[#This Row],[adjusted_vote_clinton]]&gt;Table1[[#This Row],[adjusted_vote_trump]],Table1[[#This Row],[electoral_votes]],0)</f>
        <v>7</v>
      </c>
      <c r="P19" s="21" t="str">
        <f>IF(Table1[[#This Row],[orig_spread]]&gt;0,"Trump","Clinton")</f>
        <v>Clinton</v>
      </c>
      <c r="Q19" s="21" t="str">
        <f>IF(Table1[[#This Row],[adjusted_spread]]&gt;0,"Trump","Clinton")</f>
        <v>Clinton</v>
      </c>
      <c r="R19" s="21" t="b">
        <f>AND(Table1[[#This Row],[orig_outcome]]="Trump",Table1[[#This Row],[adjusted_outcome]]="Clinton")</f>
        <v>0</v>
      </c>
      <c r="S19" s="21" t="b">
        <f>AND(Table1[[#This Row],[orig_outcome]]="Clinton",Table1[[#This Row],[adjusted_outcome]]="Trump")</f>
        <v>0</v>
      </c>
      <c r="T19" s="22">
        <f>Table1[[#This Row],[adjusted_electors_trump]]+Table1[[#This Row],[adjusted_electors_clinton]]-Table1[[#This Row],[electoral_votes]]</f>
        <v>0</v>
      </c>
      <c r="V19"/>
    </row>
    <row r="20" spans="2:22">
      <c r="B20" s="19" t="s">
        <v>57</v>
      </c>
      <c r="C20" s="20">
        <v>3</v>
      </c>
      <c r="D20" s="9">
        <v>260223</v>
      </c>
      <c r="E20" s="9">
        <v>11553</v>
      </c>
      <c r="F20" s="9">
        <v>4501</v>
      </c>
      <c r="G20" s="9">
        <v>3995</v>
      </c>
      <c r="H20" s="21">
        <f>Table1[[#This Row],[orig_vote_trump]]-Table1[[#This Row],[orig_vote_clinton]]</f>
        <v>-248670</v>
      </c>
      <c r="I20" s="21">
        <f>IF(Table1[[#This Row],[orig_vote_clinton]]&gt;Table1[[#This Row],[orig_vote_trump]],Table1[[#This Row],[electoral_votes]],0)</f>
        <v>3</v>
      </c>
      <c r="J20" s="21">
        <f>IF(Table1[[#This Row],[orig_vote_trump]]&gt;Table1[[#This Row],[orig_vote_clinton]],Table1[[#This Row],[electoral_votes]],0)</f>
        <v>0</v>
      </c>
      <c r="K20" s="21">
        <f>Table1[[#This Row],[orig_vote_clinton]]+Table1[[#This Row],[orig_vote_stein]]*pct_stein_to_clinton+Table1[[#This Row],[orig_vote_johnson]]*pct_johnson_to_clinton</f>
        <v>264471</v>
      </c>
      <c r="L20" s="21">
        <f>Table1[[#This Row],[orig_vote_trump]]+Table1[[#This Row],[orig_vote_stein]]*pct_stein_to_trump+Table1[[#This Row],[orig_vote_johnson]]*pct_johnson_to_trump</f>
        <v>15801</v>
      </c>
      <c r="M20" s="21">
        <f>Table1[[#This Row],[adjusted_vote_trump]]-Table1[[#This Row],[adjusted_vote_clinton]]</f>
        <v>-248670</v>
      </c>
      <c r="N20" s="21">
        <f>IF(Table1[[#This Row],[adjusted_vote_clinton]]&gt;Table1[[#This Row],[adjusted_vote_trump]],0,Table1[[#This Row],[electoral_votes]])</f>
        <v>0</v>
      </c>
      <c r="O20" s="21">
        <f>IF(Table1[[#This Row],[adjusted_vote_clinton]]&gt;Table1[[#This Row],[adjusted_vote_trump]],Table1[[#This Row],[electoral_votes]],0)</f>
        <v>3</v>
      </c>
      <c r="P20" s="21" t="str">
        <f>IF(Table1[[#This Row],[orig_spread]]&gt;0,"Trump","Clinton")</f>
        <v>Clinton</v>
      </c>
      <c r="Q20" s="21" t="str">
        <f>IF(Table1[[#This Row],[adjusted_spread]]&gt;0,"Trump","Clinton")</f>
        <v>Clinton</v>
      </c>
      <c r="R20" s="21" t="b">
        <f>AND(Table1[[#This Row],[orig_outcome]]="Trump",Table1[[#This Row],[adjusted_outcome]]="Clinton")</f>
        <v>0</v>
      </c>
      <c r="S20" s="21" t="b">
        <f>AND(Table1[[#This Row],[orig_outcome]]="Clinton",Table1[[#This Row],[adjusted_outcome]]="Trump")</f>
        <v>0</v>
      </c>
      <c r="T20" s="22">
        <f>Table1[[#This Row],[adjusted_electors_trump]]+Table1[[#This Row],[adjusted_electors_clinton]]-Table1[[#This Row],[electoral_votes]]</f>
        <v>0</v>
      </c>
      <c r="V20"/>
    </row>
    <row r="21" spans="2:22">
      <c r="B21" s="19" t="s">
        <v>20</v>
      </c>
      <c r="C21" s="20">
        <v>3</v>
      </c>
      <c r="D21" s="9">
        <v>235581</v>
      </c>
      <c r="E21" s="9">
        <v>185103</v>
      </c>
      <c r="F21" s="9">
        <v>14751</v>
      </c>
      <c r="G21" s="9">
        <v>6100</v>
      </c>
      <c r="H21" s="21">
        <f>Table1[[#This Row],[orig_vote_trump]]-Table1[[#This Row],[orig_vote_clinton]]</f>
        <v>-50478</v>
      </c>
      <c r="I21" s="21">
        <f>IF(Table1[[#This Row],[orig_vote_clinton]]&gt;Table1[[#This Row],[orig_vote_trump]],Table1[[#This Row],[electoral_votes]],0)</f>
        <v>3</v>
      </c>
      <c r="J21" s="21">
        <f>IF(Table1[[#This Row],[orig_vote_trump]]&gt;Table1[[#This Row],[orig_vote_clinton]],Table1[[#This Row],[electoral_votes]],0)</f>
        <v>0</v>
      </c>
      <c r="K21" s="21">
        <f>Table1[[#This Row],[orig_vote_clinton]]+Table1[[#This Row],[orig_vote_stein]]*pct_stein_to_clinton+Table1[[#This Row],[orig_vote_johnson]]*pct_johnson_to_clinton</f>
        <v>246006.5</v>
      </c>
      <c r="L21" s="21">
        <f>Table1[[#This Row],[orig_vote_trump]]+Table1[[#This Row],[orig_vote_stein]]*pct_stein_to_trump+Table1[[#This Row],[orig_vote_johnson]]*pct_johnson_to_trump</f>
        <v>195528.5</v>
      </c>
      <c r="M21" s="21">
        <f>Table1[[#This Row],[adjusted_vote_trump]]-Table1[[#This Row],[adjusted_vote_clinton]]</f>
        <v>-50478</v>
      </c>
      <c r="N21" s="21">
        <f>IF(Table1[[#This Row],[adjusted_vote_clinton]]&gt;Table1[[#This Row],[adjusted_vote_trump]],0,Table1[[#This Row],[electoral_votes]])</f>
        <v>0</v>
      </c>
      <c r="O21" s="21">
        <f>IF(Table1[[#This Row],[adjusted_vote_clinton]]&gt;Table1[[#This Row],[adjusted_vote_trump]],Table1[[#This Row],[electoral_votes]],0)</f>
        <v>3</v>
      </c>
      <c r="P21" s="21" t="str">
        <f>IF(Table1[[#This Row],[orig_spread]]&gt;0,"Trump","Clinton")</f>
        <v>Clinton</v>
      </c>
      <c r="Q21" s="21" t="str">
        <f>IF(Table1[[#This Row],[adjusted_spread]]&gt;0,"Trump","Clinton")</f>
        <v>Clinton</v>
      </c>
      <c r="R21" s="21" t="b">
        <f>AND(Table1[[#This Row],[orig_outcome]]="Trump",Table1[[#This Row],[adjusted_outcome]]="Clinton")</f>
        <v>0</v>
      </c>
      <c r="S21" s="21" t="b">
        <f>AND(Table1[[#This Row],[orig_outcome]]="Clinton",Table1[[#This Row],[adjusted_outcome]]="Trump")</f>
        <v>0</v>
      </c>
      <c r="T21" s="22">
        <f>Table1[[#This Row],[adjusted_electors_trump]]+Table1[[#This Row],[adjusted_electors_clinton]]-Table1[[#This Row],[electoral_votes]]</f>
        <v>0</v>
      </c>
      <c r="V21"/>
    </row>
    <row r="22" spans="2:22">
      <c r="B22" s="19" t="s">
        <v>3</v>
      </c>
      <c r="C22" s="20">
        <v>29</v>
      </c>
      <c r="D22" s="10">
        <v>4485745</v>
      </c>
      <c r="E22" s="10">
        <v>4605515</v>
      </c>
      <c r="F22" s="10">
        <v>206007</v>
      </c>
      <c r="G22" s="10">
        <v>64019</v>
      </c>
      <c r="H22" s="21">
        <f>Table1[[#This Row],[orig_vote_trump]]-Table1[[#This Row],[orig_vote_clinton]]</f>
        <v>119770</v>
      </c>
      <c r="I22" s="21">
        <f>IF(Table1[[#This Row],[orig_vote_clinton]]&gt;Table1[[#This Row],[orig_vote_trump]],Table1[[#This Row],[electoral_votes]],0)</f>
        <v>0</v>
      </c>
      <c r="J22" s="21">
        <f>IF(Table1[[#This Row],[orig_vote_trump]]&gt;Table1[[#This Row],[orig_vote_clinton]],Table1[[#This Row],[electoral_votes]],0)</f>
        <v>29</v>
      </c>
      <c r="K22" s="21">
        <f>Table1[[#This Row],[orig_vote_clinton]]+Table1[[#This Row],[orig_vote_stein]]*pct_stein_to_clinton+Table1[[#This Row],[orig_vote_johnson]]*pct_johnson_to_clinton</f>
        <v>4620758</v>
      </c>
      <c r="L22" s="21">
        <f>Table1[[#This Row],[orig_vote_trump]]+Table1[[#This Row],[orig_vote_stein]]*pct_stein_to_trump+Table1[[#This Row],[orig_vote_johnson]]*pct_johnson_to_trump</f>
        <v>4740528</v>
      </c>
      <c r="M22" s="21">
        <f>Table1[[#This Row],[adjusted_vote_trump]]-Table1[[#This Row],[adjusted_vote_clinton]]</f>
        <v>119770</v>
      </c>
      <c r="N22" s="21">
        <f>IF(Table1[[#This Row],[adjusted_vote_clinton]]&gt;Table1[[#This Row],[adjusted_vote_trump]],0,Table1[[#This Row],[electoral_votes]])</f>
        <v>29</v>
      </c>
      <c r="O22" s="21">
        <f>IF(Table1[[#This Row],[adjusted_vote_clinton]]&gt;Table1[[#This Row],[adjusted_vote_trump]],Table1[[#This Row],[electoral_votes]],0)</f>
        <v>0</v>
      </c>
      <c r="P22" s="21" t="str">
        <f>IF(Table1[[#This Row],[orig_spread]]&gt;0,"Trump","Clinton")</f>
        <v>Trump</v>
      </c>
      <c r="Q22" s="21" t="str">
        <f>IF(Table1[[#This Row],[adjusted_spread]]&gt;0,"Trump","Clinton")</f>
        <v>Trump</v>
      </c>
      <c r="R22" s="21" t="b">
        <f>AND(Table1[[#This Row],[orig_outcome]]="Trump",Table1[[#This Row],[adjusted_outcome]]="Clinton")</f>
        <v>0</v>
      </c>
      <c r="S22" s="21" t="b">
        <f>AND(Table1[[#This Row],[orig_outcome]]="Clinton",Table1[[#This Row],[adjusted_outcome]]="Trump")</f>
        <v>0</v>
      </c>
      <c r="T22" s="22">
        <f>Table1[[#This Row],[adjusted_electors_trump]]+Table1[[#This Row],[adjusted_electors_clinton]]-Table1[[#This Row],[electoral_votes]]</f>
        <v>0</v>
      </c>
      <c r="V22"/>
    </row>
    <row r="23" spans="2:22">
      <c r="B23" s="19" t="s">
        <v>21</v>
      </c>
      <c r="C23" s="20">
        <v>16</v>
      </c>
      <c r="D23" s="9">
        <v>1837300</v>
      </c>
      <c r="E23" s="9">
        <v>2068623</v>
      </c>
      <c r="F23" s="9">
        <v>123641</v>
      </c>
      <c r="G23" s="10"/>
      <c r="H23" s="21">
        <f>Table1[[#This Row],[orig_vote_trump]]-Table1[[#This Row],[orig_vote_clinton]]</f>
        <v>231323</v>
      </c>
      <c r="I23" s="21">
        <f>IF(Table1[[#This Row],[orig_vote_clinton]]&gt;Table1[[#This Row],[orig_vote_trump]],Table1[[#This Row],[electoral_votes]],0)</f>
        <v>0</v>
      </c>
      <c r="J23" s="21">
        <f>IF(Table1[[#This Row],[orig_vote_trump]]&gt;Table1[[#This Row],[orig_vote_clinton]],Table1[[#This Row],[electoral_votes]],0)</f>
        <v>16</v>
      </c>
      <c r="K23" s="21">
        <f>Table1[[#This Row],[orig_vote_clinton]]+Table1[[#This Row],[orig_vote_stein]]*pct_stein_to_clinton+Table1[[#This Row],[orig_vote_johnson]]*pct_johnson_to_clinton</f>
        <v>1899120.5</v>
      </c>
      <c r="L23" s="21">
        <f>Table1[[#This Row],[orig_vote_trump]]+Table1[[#This Row],[orig_vote_stein]]*pct_stein_to_trump+Table1[[#This Row],[orig_vote_johnson]]*pct_johnson_to_trump</f>
        <v>2130443.5</v>
      </c>
      <c r="M23" s="21">
        <f>Table1[[#This Row],[adjusted_vote_trump]]-Table1[[#This Row],[adjusted_vote_clinton]]</f>
        <v>231323</v>
      </c>
      <c r="N23" s="21">
        <f>IF(Table1[[#This Row],[adjusted_vote_clinton]]&gt;Table1[[#This Row],[adjusted_vote_trump]],0,Table1[[#This Row],[electoral_votes]])</f>
        <v>16</v>
      </c>
      <c r="O23" s="21">
        <f>IF(Table1[[#This Row],[adjusted_vote_clinton]]&gt;Table1[[#This Row],[adjusted_vote_trump]],Table1[[#This Row],[electoral_votes]],0)</f>
        <v>0</v>
      </c>
      <c r="P23" s="21" t="str">
        <f>IF(Table1[[#This Row],[orig_spread]]&gt;0,"Trump","Clinton")</f>
        <v>Trump</v>
      </c>
      <c r="Q23" s="21" t="str">
        <f>IF(Table1[[#This Row],[adjusted_spread]]&gt;0,"Trump","Clinton")</f>
        <v>Trump</v>
      </c>
      <c r="R23" s="21" t="b">
        <f>AND(Table1[[#This Row],[orig_outcome]]="Trump",Table1[[#This Row],[adjusted_outcome]]="Clinton")</f>
        <v>0</v>
      </c>
      <c r="S23" s="21" t="b">
        <f>AND(Table1[[#This Row],[orig_outcome]]="Clinton",Table1[[#This Row],[adjusted_outcome]]="Trump")</f>
        <v>0</v>
      </c>
      <c r="T23" s="22">
        <f>Table1[[#This Row],[adjusted_electors_trump]]+Table1[[#This Row],[adjusted_electors_clinton]]-Table1[[#This Row],[electoral_votes]]</f>
        <v>0</v>
      </c>
      <c r="V23"/>
    </row>
    <row r="24" spans="2:22">
      <c r="B24" s="19" t="s">
        <v>22</v>
      </c>
      <c r="C24" s="20">
        <v>4</v>
      </c>
      <c r="D24" s="11">
        <v>266827</v>
      </c>
      <c r="E24" s="11">
        <v>128815</v>
      </c>
      <c r="F24" s="11">
        <v>15949</v>
      </c>
      <c r="G24" s="11">
        <v>12727</v>
      </c>
      <c r="H24" s="21">
        <f>Table1[[#This Row],[orig_vote_trump]]-Table1[[#This Row],[orig_vote_clinton]]</f>
        <v>-138012</v>
      </c>
      <c r="I24" s="21">
        <f>IF(Table1[[#This Row],[orig_vote_clinton]]&gt;Table1[[#This Row],[orig_vote_trump]],Table1[[#This Row],[electoral_votes]],0)</f>
        <v>4</v>
      </c>
      <c r="J24" s="21">
        <f>IF(Table1[[#This Row],[orig_vote_trump]]&gt;Table1[[#This Row],[orig_vote_clinton]],Table1[[#This Row],[electoral_votes]],0)</f>
        <v>0</v>
      </c>
      <c r="K24" s="21">
        <f>Table1[[#This Row],[orig_vote_clinton]]+Table1[[#This Row],[orig_vote_stein]]*pct_stein_to_clinton+Table1[[#This Row],[orig_vote_johnson]]*pct_johnson_to_clinton</f>
        <v>281165</v>
      </c>
      <c r="L24" s="21">
        <f>Table1[[#This Row],[orig_vote_trump]]+Table1[[#This Row],[orig_vote_stein]]*pct_stein_to_trump+Table1[[#This Row],[orig_vote_johnson]]*pct_johnson_to_trump</f>
        <v>143153</v>
      </c>
      <c r="M24" s="21">
        <f>Table1[[#This Row],[adjusted_vote_trump]]-Table1[[#This Row],[adjusted_vote_clinton]]</f>
        <v>-138012</v>
      </c>
      <c r="N24" s="21">
        <f>IF(Table1[[#This Row],[adjusted_vote_clinton]]&gt;Table1[[#This Row],[adjusted_vote_trump]],0,Table1[[#This Row],[electoral_votes]])</f>
        <v>0</v>
      </c>
      <c r="O24" s="21">
        <f>IF(Table1[[#This Row],[adjusted_vote_clinton]]&gt;Table1[[#This Row],[adjusted_vote_trump]],Table1[[#This Row],[electoral_votes]],0)</f>
        <v>4</v>
      </c>
      <c r="P24" s="21" t="str">
        <f>IF(Table1[[#This Row],[orig_spread]]&gt;0,"Trump","Clinton")</f>
        <v>Clinton</v>
      </c>
      <c r="Q24" s="21" t="str">
        <f>IF(Table1[[#This Row],[adjusted_spread]]&gt;0,"Trump","Clinton")</f>
        <v>Clinton</v>
      </c>
      <c r="R24" s="21" t="b">
        <f>AND(Table1[[#This Row],[orig_outcome]]="Trump",Table1[[#This Row],[adjusted_outcome]]="Clinton")</f>
        <v>0</v>
      </c>
      <c r="S24" s="21" t="b">
        <f>AND(Table1[[#This Row],[orig_outcome]]="Clinton",Table1[[#This Row],[adjusted_outcome]]="Trump")</f>
        <v>0</v>
      </c>
      <c r="T24" s="22">
        <f>Table1[[#This Row],[adjusted_electors_trump]]+Table1[[#This Row],[adjusted_electors_clinton]]-Table1[[#This Row],[electoral_votes]]</f>
        <v>0</v>
      </c>
      <c r="V24"/>
    </row>
    <row r="25" spans="2:22">
      <c r="B25" s="19" t="s">
        <v>23</v>
      </c>
      <c r="C25" s="20">
        <v>4</v>
      </c>
      <c r="D25" s="11">
        <v>189677</v>
      </c>
      <c r="E25" s="11">
        <v>407199</v>
      </c>
      <c r="F25" s="11">
        <v>28256</v>
      </c>
      <c r="G25" s="11">
        <v>8464</v>
      </c>
      <c r="H25" s="21">
        <f>Table1[[#This Row],[orig_vote_trump]]-Table1[[#This Row],[orig_vote_clinton]]</f>
        <v>217522</v>
      </c>
      <c r="I25" s="21">
        <f>IF(Table1[[#This Row],[orig_vote_clinton]]&gt;Table1[[#This Row],[orig_vote_trump]],Table1[[#This Row],[electoral_votes]],0)</f>
        <v>0</v>
      </c>
      <c r="J25" s="21">
        <f>IF(Table1[[#This Row],[orig_vote_trump]]&gt;Table1[[#This Row],[orig_vote_clinton]],Table1[[#This Row],[electoral_votes]],0)</f>
        <v>4</v>
      </c>
      <c r="K25" s="21">
        <f>Table1[[#This Row],[orig_vote_clinton]]+Table1[[#This Row],[orig_vote_stein]]*pct_stein_to_clinton+Table1[[#This Row],[orig_vote_johnson]]*pct_johnson_to_clinton</f>
        <v>208037</v>
      </c>
      <c r="L25" s="21">
        <f>Table1[[#This Row],[orig_vote_trump]]+Table1[[#This Row],[orig_vote_stein]]*pct_stein_to_trump+Table1[[#This Row],[orig_vote_johnson]]*pct_johnson_to_trump</f>
        <v>425559</v>
      </c>
      <c r="M25" s="21">
        <f>Table1[[#This Row],[adjusted_vote_trump]]-Table1[[#This Row],[adjusted_vote_clinton]]</f>
        <v>217522</v>
      </c>
      <c r="N25" s="21">
        <f>IF(Table1[[#This Row],[adjusted_vote_clinton]]&gt;Table1[[#This Row],[adjusted_vote_trump]],0,Table1[[#This Row],[electoral_votes]])</f>
        <v>4</v>
      </c>
      <c r="O25" s="21">
        <f>IF(Table1[[#This Row],[adjusted_vote_clinton]]&gt;Table1[[#This Row],[adjusted_vote_trump]],Table1[[#This Row],[electoral_votes]],0)</f>
        <v>0</v>
      </c>
      <c r="P25" s="21" t="str">
        <f>IF(Table1[[#This Row],[orig_spread]]&gt;0,"Trump","Clinton")</f>
        <v>Trump</v>
      </c>
      <c r="Q25" s="21" t="str">
        <f>IF(Table1[[#This Row],[adjusted_spread]]&gt;0,"Trump","Clinton")</f>
        <v>Trump</v>
      </c>
      <c r="R25" s="21" t="b">
        <f>AND(Table1[[#This Row],[orig_outcome]]="Trump",Table1[[#This Row],[adjusted_outcome]]="Clinton")</f>
        <v>0</v>
      </c>
      <c r="S25" s="21" t="b">
        <f>AND(Table1[[#This Row],[orig_outcome]]="Clinton",Table1[[#This Row],[adjusted_outcome]]="Trump")</f>
        <v>0</v>
      </c>
      <c r="T25" s="22">
        <f>Table1[[#This Row],[adjusted_electors_trump]]+Table1[[#This Row],[adjusted_electors_clinton]]-Table1[[#This Row],[electoral_votes]]</f>
        <v>0</v>
      </c>
      <c r="V25"/>
    </row>
    <row r="26" spans="2:22">
      <c r="B26" s="19" t="s">
        <v>24</v>
      </c>
      <c r="C26" s="20">
        <v>20</v>
      </c>
      <c r="D26" s="11">
        <v>2977498</v>
      </c>
      <c r="E26" s="11">
        <v>2118179</v>
      </c>
      <c r="F26" s="11">
        <v>204491</v>
      </c>
      <c r="G26" s="11">
        <v>74112</v>
      </c>
      <c r="H26" s="21">
        <f>Table1[[#This Row],[orig_vote_trump]]-Table1[[#This Row],[orig_vote_clinton]]</f>
        <v>-859319</v>
      </c>
      <c r="I26" s="21">
        <f>IF(Table1[[#This Row],[orig_vote_clinton]]&gt;Table1[[#This Row],[orig_vote_trump]],Table1[[#This Row],[electoral_votes]],0)</f>
        <v>20</v>
      </c>
      <c r="J26" s="21">
        <f>IF(Table1[[#This Row],[orig_vote_trump]]&gt;Table1[[#This Row],[orig_vote_clinton]],Table1[[#This Row],[electoral_votes]],0)</f>
        <v>0</v>
      </c>
      <c r="K26" s="21">
        <f>Table1[[#This Row],[orig_vote_clinton]]+Table1[[#This Row],[orig_vote_stein]]*pct_stein_to_clinton+Table1[[#This Row],[orig_vote_johnson]]*pct_johnson_to_clinton</f>
        <v>3116799.5</v>
      </c>
      <c r="L26" s="21">
        <f>Table1[[#This Row],[orig_vote_trump]]+Table1[[#This Row],[orig_vote_stein]]*pct_stein_to_trump+Table1[[#This Row],[orig_vote_johnson]]*pct_johnson_to_trump</f>
        <v>2257480.5</v>
      </c>
      <c r="M26" s="21">
        <f>Table1[[#This Row],[adjusted_vote_trump]]-Table1[[#This Row],[adjusted_vote_clinton]]</f>
        <v>-859319</v>
      </c>
      <c r="N26" s="21">
        <f>IF(Table1[[#This Row],[adjusted_vote_clinton]]&gt;Table1[[#This Row],[adjusted_vote_trump]],0,Table1[[#This Row],[electoral_votes]])</f>
        <v>0</v>
      </c>
      <c r="O26" s="21">
        <f>IF(Table1[[#This Row],[adjusted_vote_clinton]]&gt;Table1[[#This Row],[adjusted_vote_trump]],Table1[[#This Row],[electoral_votes]],0)</f>
        <v>20</v>
      </c>
      <c r="P26" s="21" t="str">
        <f>IF(Table1[[#This Row],[orig_spread]]&gt;0,"Trump","Clinton")</f>
        <v>Clinton</v>
      </c>
      <c r="Q26" s="21" t="str">
        <f>IF(Table1[[#This Row],[adjusted_spread]]&gt;0,"Trump","Clinton")</f>
        <v>Clinton</v>
      </c>
      <c r="R26" s="21" t="b">
        <f>AND(Table1[[#This Row],[orig_outcome]]="Trump",Table1[[#This Row],[adjusted_outcome]]="Clinton")</f>
        <v>0</v>
      </c>
      <c r="S26" s="21" t="b">
        <f>AND(Table1[[#This Row],[orig_outcome]]="Clinton",Table1[[#This Row],[adjusted_outcome]]="Trump")</f>
        <v>0</v>
      </c>
      <c r="T26" s="22">
        <f>Table1[[#This Row],[adjusted_electors_trump]]+Table1[[#This Row],[adjusted_electors_clinton]]-Table1[[#This Row],[electoral_votes]]</f>
        <v>0</v>
      </c>
      <c r="V26"/>
    </row>
    <row r="27" spans="2:22">
      <c r="B27" s="19" t="s">
        <v>25</v>
      </c>
      <c r="C27" s="20">
        <v>11</v>
      </c>
      <c r="D27" s="11">
        <v>1029197</v>
      </c>
      <c r="E27" s="11">
        <v>1555020</v>
      </c>
      <c r="F27" s="11">
        <v>133623</v>
      </c>
      <c r="G27" s="23"/>
      <c r="H27" s="21">
        <f>Table1[[#This Row],[orig_vote_trump]]-Table1[[#This Row],[orig_vote_clinton]]</f>
        <v>525823</v>
      </c>
      <c r="I27" s="21">
        <f>IF(Table1[[#This Row],[orig_vote_clinton]]&gt;Table1[[#This Row],[orig_vote_trump]],Table1[[#This Row],[electoral_votes]],0)</f>
        <v>0</v>
      </c>
      <c r="J27" s="21">
        <f>IF(Table1[[#This Row],[orig_vote_trump]]&gt;Table1[[#This Row],[orig_vote_clinton]],Table1[[#This Row],[electoral_votes]],0)</f>
        <v>11</v>
      </c>
      <c r="K27" s="21">
        <f>Table1[[#This Row],[orig_vote_clinton]]+Table1[[#This Row],[orig_vote_stein]]*pct_stein_to_clinton+Table1[[#This Row],[orig_vote_johnson]]*pct_johnson_to_clinton</f>
        <v>1096008.5</v>
      </c>
      <c r="L27" s="21">
        <f>Table1[[#This Row],[orig_vote_trump]]+Table1[[#This Row],[orig_vote_stein]]*pct_stein_to_trump+Table1[[#This Row],[orig_vote_johnson]]*pct_johnson_to_trump</f>
        <v>1621831.5</v>
      </c>
      <c r="M27" s="21">
        <f>Table1[[#This Row],[adjusted_vote_trump]]-Table1[[#This Row],[adjusted_vote_clinton]]</f>
        <v>525823</v>
      </c>
      <c r="N27" s="21">
        <f>IF(Table1[[#This Row],[adjusted_vote_clinton]]&gt;Table1[[#This Row],[adjusted_vote_trump]],0,Table1[[#This Row],[electoral_votes]])</f>
        <v>11</v>
      </c>
      <c r="O27" s="21">
        <f>IF(Table1[[#This Row],[adjusted_vote_clinton]]&gt;Table1[[#This Row],[adjusted_vote_trump]],Table1[[#This Row],[electoral_votes]],0)</f>
        <v>0</v>
      </c>
      <c r="P27" s="21" t="str">
        <f>IF(Table1[[#This Row],[orig_spread]]&gt;0,"Trump","Clinton")</f>
        <v>Trump</v>
      </c>
      <c r="Q27" s="21" t="str">
        <f>IF(Table1[[#This Row],[adjusted_spread]]&gt;0,"Trump","Clinton")</f>
        <v>Trump</v>
      </c>
      <c r="R27" s="21" t="b">
        <f>AND(Table1[[#This Row],[orig_outcome]]="Trump",Table1[[#This Row],[adjusted_outcome]]="Clinton")</f>
        <v>0</v>
      </c>
      <c r="S27" s="21" t="b">
        <f>AND(Table1[[#This Row],[orig_outcome]]="Clinton",Table1[[#This Row],[adjusted_outcome]]="Trump")</f>
        <v>0</v>
      </c>
      <c r="T27" s="22">
        <f>Table1[[#This Row],[adjusted_electors_trump]]+Table1[[#This Row],[adjusted_electors_clinton]]-Table1[[#This Row],[electoral_votes]]</f>
        <v>0</v>
      </c>
      <c r="V27"/>
    </row>
    <row r="28" spans="2:22">
      <c r="B28" s="19" t="s">
        <v>26</v>
      </c>
      <c r="C28" s="20">
        <v>6</v>
      </c>
      <c r="D28" s="11">
        <v>650790</v>
      </c>
      <c r="E28" s="11">
        <v>798923</v>
      </c>
      <c r="F28" s="11">
        <v>57322</v>
      </c>
      <c r="G28" s="11">
        <v>11119</v>
      </c>
      <c r="H28" s="21">
        <f>Table1[[#This Row],[orig_vote_trump]]-Table1[[#This Row],[orig_vote_clinton]]</f>
        <v>148133</v>
      </c>
      <c r="I28" s="21">
        <f>IF(Table1[[#This Row],[orig_vote_clinton]]&gt;Table1[[#This Row],[orig_vote_trump]],Table1[[#This Row],[electoral_votes]],0)</f>
        <v>0</v>
      </c>
      <c r="J28" s="21">
        <f>IF(Table1[[#This Row],[orig_vote_trump]]&gt;Table1[[#This Row],[orig_vote_clinton]],Table1[[#This Row],[electoral_votes]],0)</f>
        <v>6</v>
      </c>
      <c r="K28" s="21">
        <f>Table1[[#This Row],[orig_vote_clinton]]+Table1[[#This Row],[orig_vote_stein]]*pct_stein_to_clinton+Table1[[#This Row],[orig_vote_johnson]]*pct_johnson_to_clinton</f>
        <v>685010.5</v>
      </c>
      <c r="L28" s="21">
        <f>Table1[[#This Row],[orig_vote_trump]]+Table1[[#This Row],[orig_vote_stein]]*pct_stein_to_trump+Table1[[#This Row],[orig_vote_johnson]]*pct_johnson_to_trump</f>
        <v>833143.5</v>
      </c>
      <c r="M28" s="21">
        <f>Table1[[#This Row],[adjusted_vote_trump]]-Table1[[#This Row],[adjusted_vote_clinton]]</f>
        <v>148133</v>
      </c>
      <c r="N28" s="21">
        <f>IF(Table1[[#This Row],[adjusted_vote_clinton]]&gt;Table1[[#This Row],[adjusted_vote_trump]],0,Table1[[#This Row],[electoral_votes]])</f>
        <v>6</v>
      </c>
      <c r="O28" s="21">
        <f>IF(Table1[[#This Row],[adjusted_vote_clinton]]&gt;Table1[[#This Row],[adjusted_vote_trump]],Table1[[#This Row],[electoral_votes]],0)</f>
        <v>0</v>
      </c>
      <c r="P28" s="21" t="str">
        <f>IF(Table1[[#This Row],[orig_spread]]&gt;0,"Trump","Clinton")</f>
        <v>Trump</v>
      </c>
      <c r="Q28" s="21" t="str">
        <f>IF(Table1[[#This Row],[adjusted_spread]]&gt;0,"Trump","Clinton")</f>
        <v>Trump</v>
      </c>
      <c r="R28" s="21" t="b">
        <f>AND(Table1[[#This Row],[orig_outcome]]="Trump",Table1[[#This Row],[adjusted_outcome]]="Clinton")</f>
        <v>0</v>
      </c>
      <c r="S28" s="21" t="b">
        <f>AND(Table1[[#This Row],[orig_outcome]]="Clinton",Table1[[#This Row],[adjusted_outcome]]="Trump")</f>
        <v>0</v>
      </c>
      <c r="T28" s="22">
        <f>Table1[[#This Row],[adjusted_electors_trump]]+Table1[[#This Row],[adjusted_electors_clinton]]-Table1[[#This Row],[electoral_votes]]</f>
        <v>0</v>
      </c>
      <c r="V28"/>
    </row>
    <row r="29" spans="2:22">
      <c r="B29" s="19" t="s">
        <v>27</v>
      </c>
      <c r="C29" s="20">
        <v>6</v>
      </c>
      <c r="D29" s="11">
        <v>414788</v>
      </c>
      <c r="E29" s="11">
        <v>656009</v>
      </c>
      <c r="F29" s="11">
        <v>53648</v>
      </c>
      <c r="G29" s="11">
        <v>22698</v>
      </c>
      <c r="H29" s="21">
        <f>Table1[[#This Row],[orig_vote_trump]]-Table1[[#This Row],[orig_vote_clinton]]</f>
        <v>241221</v>
      </c>
      <c r="I29" s="21">
        <f>IF(Table1[[#This Row],[orig_vote_clinton]]&gt;Table1[[#This Row],[orig_vote_trump]],Table1[[#This Row],[electoral_votes]],0)</f>
        <v>0</v>
      </c>
      <c r="J29" s="21">
        <f>IF(Table1[[#This Row],[orig_vote_trump]]&gt;Table1[[#This Row],[orig_vote_clinton]],Table1[[#This Row],[electoral_votes]],0)</f>
        <v>6</v>
      </c>
      <c r="K29" s="21">
        <f>Table1[[#This Row],[orig_vote_clinton]]+Table1[[#This Row],[orig_vote_stein]]*pct_stein_to_clinton+Table1[[#This Row],[orig_vote_johnson]]*pct_johnson_to_clinton</f>
        <v>452961</v>
      </c>
      <c r="L29" s="21">
        <f>Table1[[#This Row],[orig_vote_trump]]+Table1[[#This Row],[orig_vote_stein]]*pct_stein_to_trump+Table1[[#This Row],[orig_vote_johnson]]*pct_johnson_to_trump</f>
        <v>694182</v>
      </c>
      <c r="M29" s="21">
        <f>Table1[[#This Row],[adjusted_vote_trump]]-Table1[[#This Row],[adjusted_vote_clinton]]</f>
        <v>241221</v>
      </c>
      <c r="N29" s="21">
        <f>IF(Table1[[#This Row],[adjusted_vote_clinton]]&gt;Table1[[#This Row],[adjusted_vote_trump]],0,Table1[[#This Row],[electoral_votes]])</f>
        <v>6</v>
      </c>
      <c r="O29" s="21">
        <f>IF(Table1[[#This Row],[adjusted_vote_clinton]]&gt;Table1[[#This Row],[adjusted_vote_trump]],Table1[[#This Row],[electoral_votes]],0)</f>
        <v>0</v>
      </c>
      <c r="P29" s="21" t="str">
        <f>IF(Table1[[#This Row],[orig_spread]]&gt;0,"Trump","Clinton")</f>
        <v>Trump</v>
      </c>
      <c r="Q29" s="21" t="str">
        <f>IF(Table1[[#This Row],[adjusted_spread]]&gt;0,"Trump","Clinton")</f>
        <v>Trump</v>
      </c>
      <c r="R29" s="21" t="b">
        <f>AND(Table1[[#This Row],[orig_outcome]]="Trump",Table1[[#This Row],[adjusted_outcome]]="Clinton")</f>
        <v>0</v>
      </c>
      <c r="S29" s="21" t="b">
        <f>AND(Table1[[#This Row],[orig_outcome]]="Clinton",Table1[[#This Row],[adjusted_outcome]]="Trump")</f>
        <v>0</v>
      </c>
      <c r="T29" s="22">
        <f>Table1[[#This Row],[adjusted_electors_trump]]+Table1[[#This Row],[adjusted_electors_clinton]]-Table1[[#This Row],[electoral_votes]]</f>
        <v>0</v>
      </c>
      <c r="V29"/>
    </row>
    <row r="30" spans="2:22">
      <c r="B30" s="19" t="s">
        <v>28</v>
      </c>
      <c r="C30" s="20">
        <v>8</v>
      </c>
      <c r="D30" s="11">
        <v>628834</v>
      </c>
      <c r="E30" s="11">
        <v>1202942</v>
      </c>
      <c r="F30" s="11">
        <v>53749</v>
      </c>
      <c r="G30" s="11">
        <v>13913</v>
      </c>
      <c r="H30" s="21">
        <f>Table1[[#This Row],[orig_vote_trump]]-Table1[[#This Row],[orig_vote_clinton]]</f>
        <v>574108</v>
      </c>
      <c r="I30" s="21">
        <f>IF(Table1[[#This Row],[orig_vote_clinton]]&gt;Table1[[#This Row],[orig_vote_trump]],Table1[[#This Row],[electoral_votes]],0)</f>
        <v>0</v>
      </c>
      <c r="J30" s="21">
        <f>IF(Table1[[#This Row],[orig_vote_trump]]&gt;Table1[[#This Row],[orig_vote_clinton]],Table1[[#This Row],[electoral_votes]],0)</f>
        <v>8</v>
      </c>
      <c r="K30" s="21">
        <f>Table1[[#This Row],[orig_vote_clinton]]+Table1[[#This Row],[orig_vote_stein]]*pct_stein_to_clinton+Table1[[#This Row],[orig_vote_johnson]]*pct_johnson_to_clinton</f>
        <v>662665</v>
      </c>
      <c r="L30" s="21">
        <f>Table1[[#This Row],[orig_vote_trump]]+Table1[[#This Row],[orig_vote_stein]]*pct_stein_to_trump+Table1[[#This Row],[orig_vote_johnson]]*pct_johnson_to_trump</f>
        <v>1236773</v>
      </c>
      <c r="M30" s="21">
        <f>Table1[[#This Row],[adjusted_vote_trump]]-Table1[[#This Row],[adjusted_vote_clinton]]</f>
        <v>574108</v>
      </c>
      <c r="N30" s="21">
        <f>IF(Table1[[#This Row],[adjusted_vote_clinton]]&gt;Table1[[#This Row],[adjusted_vote_trump]],0,Table1[[#This Row],[electoral_votes]])</f>
        <v>8</v>
      </c>
      <c r="O30" s="21">
        <f>IF(Table1[[#This Row],[adjusted_vote_clinton]]&gt;Table1[[#This Row],[adjusted_vote_trump]],Table1[[#This Row],[electoral_votes]],0)</f>
        <v>0</v>
      </c>
      <c r="P30" s="21" t="str">
        <f>IF(Table1[[#This Row],[orig_spread]]&gt;0,"Trump","Clinton")</f>
        <v>Trump</v>
      </c>
      <c r="Q30" s="21" t="str">
        <f>IF(Table1[[#This Row],[adjusted_spread]]&gt;0,"Trump","Clinton")</f>
        <v>Trump</v>
      </c>
      <c r="R30" s="21" t="b">
        <f>AND(Table1[[#This Row],[orig_outcome]]="Trump",Table1[[#This Row],[adjusted_outcome]]="Clinton")</f>
        <v>0</v>
      </c>
      <c r="S30" s="21" t="b">
        <f>AND(Table1[[#This Row],[orig_outcome]]="Clinton",Table1[[#This Row],[adjusted_outcome]]="Trump")</f>
        <v>0</v>
      </c>
      <c r="T30" s="22">
        <f>Table1[[#This Row],[adjusted_electors_trump]]+Table1[[#This Row],[adjusted_electors_clinton]]-Table1[[#This Row],[electoral_votes]]</f>
        <v>0</v>
      </c>
      <c r="V30"/>
    </row>
    <row r="31" spans="2:22">
      <c r="B31" s="19" t="s">
        <v>29</v>
      </c>
      <c r="C31" s="20">
        <v>8</v>
      </c>
      <c r="D31" s="11">
        <v>779535</v>
      </c>
      <c r="E31" s="11">
        <v>1178004</v>
      </c>
      <c r="F31" s="11">
        <v>37950</v>
      </c>
      <c r="G31" s="11">
        <v>14018</v>
      </c>
      <c r="H31" s="21">
        <f>Table1[[#This Row],[orig_vote_trump]]-Table1[[#This Row],[orig_vote_clinton]]</f>
        <v>398469</v>
      </c>
      <c r="I31" s="21">
        <f>IF(Table1[[#This Row],[orig_vote_clinton]]&gt;Table1[[#This Row],[orig_vote_trump]],Table1[[#This Row],[electoral_votes]],0)</f>
        <v>0</v>
      </c>
      <c r="J31" s="21">
        <f>IF(Table1[[#This Row],[orig_vote_trump]]&gt;Table1[[#This Row],[orig_vote_clinton]],Table1[[#This Row],[electoral_votes]],0)</f>
        <v>8</v>
      </c>
      <c r="K31" s="21">
        <f>Table1[[#This Row],[orig_vote_clinton]]+Table1[[#This Row],[orig_vote_stein]]*pct_stein_to_clinton+Table1[[#This Row],[orig_vote_johnson]]*pct_johnson_to_clinton</f>
        <v>805519</v>
      </c>
      <c r="L31" s="21">
        <f>Table1[[#This Row],[orig_vote_trump]]+Table1[[#This Row],[orig_vote_stein]]*pct_stein_to_trump+Table1[[#This Row],[orig_vote_johnson]]*pct_johnson_to_trump</f>
        <v>1203988</v>
      </c>
      <c r="M31" s="21">
        <f>Table1[[#This Row],[adjusted_vote_trump]]-Table1[[#This Row],[adjusted_vote_clinton]]</f>
        <v>398469</v>
      </c>
      <c r="N31" s="21">
        <f>IF(Table1[[#This Row],[adjusted_vote_clinton]]&gt;Table1[[#This Row],[adjusted_vote_trump]],0,Table1[[#This Row],[electoral_votes]])</f>
        <v>8</v>
      </c>
      <c r="O31" s="21">
        <f>IF(Table1[[#This Row],[adjusted_vote_clinton]]&gt;Table1[[#This Row],[adjusted_vote_trump]],Table1[[#This Row],[electoral_votes]],0)</f>
        <v>0</v>
      </c>
      <c r="P31" s="21" t="str">
        <f>IF(Table1[[#This Row],[orig_spread]]&gt;0,"Trump","Clinton")</f>
        <v>Trump</v>
      </c>
      <c r="Q31" s="21" t="str">
        <f>IF(Table1[[#This Row],[adjusted_spread]]&gt;0,"Trump","Clinton")</f>
        <v>Trump</v>
      </c>
      <c r="R31" s="21" t="b">
        <f>AND(Table1[[#This Row],[orig_outcome]]="Trump",Table1[[#This Row],[adjusted_outcome]]="Clinton")</f>
        <v>0</v>
      </c>
      <c r="S31" s="21" t="b">
        <f>AND(Table1[[#This Row],[orig_outcome]]="Clinton",Table1[[#This Row],[adjusted_outcome]]="Trump")</f>
        <v>0</v>
      </c>
      <c r="T31" s="22">
        <f>Table1[[#This Row],[adjusted_electors_trump]]+Table1[[#This Row],[adjusted_electors_clinton]]-Table1[[#This Row],[electoral_votes]]</f>
        <v>0</v>
      </c>
      <c r="V31"/>
    </row>
    <row r="32" spans="2:22">
      <c r="B32" s="19" t="s">
        <v>30</v>
      </c>
      <c r="C32" s="20">
        <v>5</v>
      </c>
      <c r="D32" s="11">
        <v>352485</v>
      </c>
      <c r="E32" s="11">
        <v>332591</v>
      </c>
      <c r="F32" s="11">
        <v>37578</v>
      </c>
      <c r="G32" s="11">
        <v>14006</v>
      </c>
      <c r="H32" s="21">
        <f>Table1[[#This Row],[orig_vote_trump]]-Table1[[#This Row],[orig_vote_clinton]]</f>
        <v>-19894</v>
      </c>
      <c r="I32" s="21">
        <f>IF(Table1[[#This Row],[orig_vote_clinton]]&gt;Table1[[#This Row],[orig_vote_trump]],Table1[[#This Row],[electoral_votes]],0)</f>
        <v>5</v>
      </c>
      <c r="J32" s="21">
        <f>IF(Table1[[#This Row],[orig_vote_trump]]&gt;Table1[[#This Row],[orig_vote_clinton]],Table1[[#This Row],[electoral_votes]],0)</f>
        <v>0</v>
      </c>
      <c r="K32" s="21">
        <f>Table1[[#This Row],[orig_vote_clinton]]+Table1[[#This Row],[orig_vote_stein]]*pct_stein_to_clinton+Table1[[#This Row],[orig_vote_johnson]]*pct_johnson_to_clinton</f>
        <v>378277</v>
      </c>
      <c r="L32" s="21">
        <f>Table1[[#This Row],[orig_vote_trump]]+Table1[[#This Row],[orig_vote_stein]]*pct_stein_to_trump+Table1[[#This Row],[orig_vote_johnson]]*pct_johnson_to_trump</f>
        <v>358383</v>
      </c>
      <c r="M32" s="21">
        <f>Table1[[#This Row],[adjusted_vote_trump]]-Table1[[#This Row],[adjusted_vote_clinton]]</f>
        <v>-19894</v>
      </c>
      <c r="N32" s="21">
        <f>IF(Table1[[#This Row],[adjusted_vote_clinton]]&gt;Table1[[#This Row],[adjusted_vote_trump]],0,Table1[[#This Row],[electoral_votes]])</f>
        <v>0</v>
      </c>
      <c r="O32" s="21">
        <f>IF(Table1[[#This Row],[adjusted_vote_clinton]]&gt;Table1[[#This Row],[adjusted_vote_trump]],Table1[[#This Row],[electoral_votes]],0)</f>
        <v>5</v>
      </c>
      <c r="P32" s="21" t="str">
        <f>IF(Table1[[#This Row],[orig_spread]]&gt;0,"Trump","Clinton")</f>
        <v>Clinton</v>
      </c>
      <c r="Q32" s="21" t="str">
        <f>IF(Table1[[#This Row],[adjusted_spread]]&gt;0,"Trump","Clinton")</f>
        <v>Clinton</v>
      </c>
      <c r="R32" s="21" t="b">
        <f>AND(Table1[[#This Row],[orig_outcome]]="Trump",Table1[[#This Row],[adjusted_outcome]]="Clinton")</f>
        <v>0</v>
      </c>
      <c r="S32" s="21" t="b">
        <f>AND(Table1[[#This Row],[orig_outcome]]="Clinton",Table1[[#This Row],[adjusted_outcome]]="Trump")</f>
        <v>0</v>
      </c>
      <c r="T32" s="22">
        <f>Table1[[#This Row],[adjusted_electors_trump]]+Table1[[#This Row],[adjusted_electors_clinton]]-Table1[[#This Row],[electoral_votes]]</f>
        <v>0</v>
      </c>
      <c r="V32"/>
    </row>
    <row r="33" spans="2:22">
      <c r="B33" s="19" t="s">
        <v>31</v>
      </c>
      <c r="C33" s="20">
        <v>10</v>
      </c>
      <c r="D33" s="11">
        <v>1497951</v>
      </c>
      <c r="E33" s="11">
        <v>873646</v>
      </c>
      <c r="F33" s="11">
        <v>71107</v>
      </c>
      <c r="G33" s="11">
        <v>31839</v>
      </c>
      <c r="H33" s="21">
        <f>Table1[[#This Row],[orig_vote_trump]]-Table1[[#This Row],[orig_vote_clinton]]</f>
        <v>-624305</v>
      </c>
      <c r="I33" s="21">
        <f>IF(Table1[[#This Row],[orig_vote_clinton]]&gt;Table1[[#This Row],[orig_vote_trump]],Table1[[#This Row],[electoral_votes]],0)</f>
        <v>10</v>
      </c>
      <c r="J33" s="21">
        <f>IF(Table1[[#This Row],[orig_vote_trump]]&gt;Table1[[#This Row],[orig_vote_clinton]],Table1[[#This Row],[electoral_votes]],0)</f>
        <v>0</v>
      </c>
      <c r="K33" s="21">
        <f>Table1[[#This Row],[orig_vote_clinton]]+Table1[[#This Row],[orig_vote_stein]]*pct_stein_to_clinton+Table1[[#This Row],[orig_vote_johnson]]*pct_johnson_to_clinton</f>
        <v>1549424</v>
      </c>
      <c r="L33" s="21">
        <f>Table1[[#This Row],[orig_vote_trump]]+Table1[[#This Row],[orig_vote_stein]]*pct_stein_to_trump+Table1[[#This Row],[orig_vote_johnson]]*pct_johnson_to_trump</f>
        <v>925119</v>
      </c>
      <c r="M33" s="21">
        <f>Table1[[#This Row],[adjusted_vote_trump]]-Table1[[#This Row],[adjusted_vote_clinton]]</f>
        <v>-624305</v>
      </c>
      <c r="N33" s="21">
        <f>IF(Table1[[#This Row],[adjusted_vote_clinton]]&gt;Table1[[#This Row],[adjusted_vote_trump]],0,Table1[[#This Row],[electoral_votes]])</f>
        <v>0</v>
      </c>
      <c r="O33" s="21">
        <f>IF(Table1[[#This Row],[adjusted_vote_clinton]]&gt;Table1[[#This Row],[adjusted_vote_trump]],Table1[[#This Row],[electoral_votes]],0)</f>
        <v>10</v>
      </c>
      <c r="P33" s="21" t="str">
        <f>IF(Table1[[#This Row],[orig_spread]]&gt;0,"Trump","Clinton")</f>
        <v>Clinton</v>
      </c>
      <c r="Q33" s="21" t="str">
        <f>IF(Table1[[#This Row],[adjusted_spread]]&gt;0,"Trump","Clinton")</f>
        <v>Clinton</v>
      </c>
      <c r="R33" s="21" t="b">
        <f>AND(Table1[[#This Row],[orig_outcome]]="Trump",Table1[[#This Row],[adjusted_outcome]]="Clinton")</f>
        <v>0</v>
      </c>
      <c r="S33" s="21" t="b">
        <f>AND(Table1[[#This Row],[orig_outcome]]="Clinton",Table1[[#This Row],[adjusted_outcome]]="Trump")</f>
        <v>0</v>
      </c>
      <c r="T33" s="22">
        <f>Table1[[#This Row],[adjusted_electors_trump]]+Table1[[#This Row],[adjusted_electors_clinton]]-Table1[[#This Row],[electoral_votes]]</f>
        <v>0</v>
      </c>
      <c r="V33"/>
    </row>
    <row r="34" spans="2:22">
      <c r="B34" s="19" t="s">
        <v>32</v>
      </c>
      <c r="C34" s="20">
        <v>10</v>
      </c>
      <c r="D34" s="11">
        <v>1497951</v>
      </c>
      <c r="E34" s="11">
        <v>873646</v>
      </c>
      <c r="F34" s="11">
        <v>71107</v>
      </c>
      <c r="G34" s="11">
        <v>31839</v>
      </c>
      <c r="H34" s="21">
        <f>Table1[[#This Row],[orig_vote_trump]]-Table1[[#This Row],[orig_vote_clinton]]</f>
        <v>-624305</v>
      </c>
      <c r="I34" s="21">
        <f>IF(Table1[[#This Row],[orig_vote_clinton]]&gt;Table1[[#This Row],[orig_vote_trump]],Table1[[#This Row],[electoral_votes]],0)</f>
        <v>10</v>
      </c>
      <c r="J34" s="21">
        <f>IF(Table1[[#This Row],[orig_vote_trump]]&gt;Table1[[#This Row],[orig_vote_clinton]],Table1[[#This Row],[electoral_votes]],0)</f>
        <v>0</v>
      </c>
      <c r="K34" s="21">
        <f>Table1[[#This Row],[orig_vote_clinton]]+Table1[[#This Row],[orig_vote_stein]]*pct_stein_to_clinton+Table1[[#This Row],[orig_vote_johnson]]*pct_johnson_to_clinton</f>
        <v>1549424</v>
      </c>
      <c r="L34" s="21">
        <f>Table1[[#This Row],[orig_vote_trump]]+Table1[[#This Row],[orig_vote_stein]]*pct_stein_to_trump+Table1[[#This Row],[orig_vote_johnson]]*pct_johnson_to_trump</f>
        <v>925119</v>
      </c>
      <c r="M34" s="21">
        <f>Table1[[#This Row],[adjusted_vote_trump]]-Table1[[#This Row],[adjusted_vote_clinton]]</f>
        <v>-624305</v>
      </c>
      <c r="N34" s="21">
        <f>IF(Table1[[#This Row],[adjusted_vote_clinton]]&gt;Table1[[#This Row],[adjusted_vote_trump]],0,Table1[[#This Row],[electoral_votes]])</f>
        <v>0</v>
      </c>
      <c r="O34" s="21">
        <f>IF(Table1[[#This Row],[adjusted_vote_clinton]]&gt;Table1[[#This Row],[adjusted_vote_trump]],Table1[[#This Row],[electoral_votes]],0)</f>
        <v>10</v>
      </c>
      <c r="P34" s="21" t="str">
        <f>IF(Table1[[#This Row],[orig_spread]]&gt;0,"Trump","Clinton")</f>
        <v>Clinton</v>
      </c>
      <c r="Q34" s="21" t="str">
        <f>IF(Table1[[#This Row],[adjusted_spread]]&gt;0,"Trump","Clinton")</f>
        <v>Clinton</v>
      </c>
      <c r="R34" s="21" t="b">
        <f>AND(Table1[[#This Row],[orig_outcome]]="Trump",Table1[[#This Row],[adjusted_outcome]]="Clinton")</f>
        <v>0</v>
      </c>
      <c r="S34" s="21" t="b">
        <f>AND(Table1[[#This Row],[orig_outcome]]="Clinton",Table1[[#This Row],[adjusted_outcome]]="Trump")</f>
        <v>0</v>
      </c>
      <c r="T34" s="22">
        <f>Table1[[#This Row],[adjusted_electors_trump]]+Table1[[#This Row],[adjusted_electors_clinton]]-Table1[[#This Row],[electoral_votes]]</f>
        <v>0</v>
      </c>
      <c r="V34"/>
    </row>
    <row r="35" spans="2:22">
      <c r="B35" s="19" t="s">
        <v>1</v>
      </c>
      <c r="C35" s="20">
        <v>16</v>
      </c>
      <c r="D35" s="23">
        <v>2267373</v>
      </c>
      <c r="E35" s="23">
        <v>2279210</v>
      </c>
      <c r="F35" s="23">
        <v>173021</v>
      </c>
      <c r="G35" s="23">
        <v>50686</v>
      </c>
      <c r="H35" s="21">
        <f>Table1[[#This Row],[orig_vote_trump]]-Table1[[#This Row],[orig_vote_clinton]]</f>
        <v>11837</v>
      </c>
      <c r="I35" s="21">
        <f>IF(Table1[[#This Row],[orig_vote_clinton]]&gt;Table1[[#This Row],[orig_vote_trump]],Table1[[#This Row],[electoral_votes]],0)</f>
        <v>0</v>
      </c>
      <c r="J35" s="21">
        <f>IF(Table1[[#This Row],[orig_vote_trump]]&gt;Table1[[#This Row],[orig_vote_clinton]],Table1[[#This Row],[electoral_votes]],0)</f>
        <v>16</v>
      </c>
      <c r="K35" s="21">
        <f>Table1[[#This Row],[orig_vote_clinton]]+Table1[[#This Row],[orig_vote_stein]]*pct_stein_to_clinton+Table1[[#This Row],[orig_vote_johnson]]*pct_johnson_to_clinton</f>
        <v>2379226.5</v>
      </c>
      <c r="L35" s="21">
        <f>Table1[[#This Row],[orig_vote_trump]]+Table1[[#This Row],[orig_vote_stein]]*pct_stein_to_trump+Table1[[#This Row],[orig_vote_johnson]]*pct_johnson_to_trump</f>
        <v>2391063.5</v>
      </c>
      <c r="M35" s="21">
        <f>Table1[[#This Row],[adjusted_vote_trump]]-Table1[[#This Row],[adjusted_vote_clinton]]</f>
        <v>11837</v>
      </c>
      <c r="N35" s="21">
        <f>IF(Table1[[#This Row],[adjusted_vote_clinton]]&gt;Table1[[#This Row],[adjusted_vote_trump]],0,Table1[[#This Row],[electoral_votes]])</f>
        <v>16</v>
      </c>
      <c r="O35" s="21">
        <f>IF(Table1[[#This Row],[adjusted_vote_clinton]]&gt;Table1[[#This Row],[adjusted_vote_trump]],Table1[[#This Row],[electoral_votes]],0)</f>
        <v>0</v>
      </c>
      <c r="P35" s="21" t="str">
        <f>IF(Table1[[#This Row],[orig_spread]]&gt;0,"Trump","Clinton")</f>
        <v>Trump</v>
      </c>
      <c r="Q35" s="21" t="str">
        <f>IF(Table1[[#This Row],[adjusted_spread]]&gt;0,"Trump","Clinton")</f>
        <v>Trump</v>
      </c>
      <c r="R35" s="21" t="b">
        <f>AND(Table1[[#This Row],[orig_outcome]]="Trump",Table1[[#This Row],[adjusted_outcome]]="Clinton")</f>
        <v>0</v>
      </c>
      <c r="S35" s="21" t="b">
        <f>AND(Table1[[#This Row],[orig_outcome]]="Clinton",Table1[[#This Row],[adjusted_outcome]]="Trump")</f>
        <v>0</v>
      </c>
      <c r="T35" s="22">
        <f>Table1[[#This Row],[adjusted_electors_trump]]+Table1[[#This Row],[adjusted_electors_clinton]]-Table1[[#This Row],[electoral_votes]]</f>
        <v>0</v>
      </c>
      <c r="V35"/>
    </row>
    <row r="36" spans="2:22">
      <c r="B36" s="19" t="s">
        <v>33</v>
      </c>
      <c r="C36" s="20">
        <v>10</v>
      </c>
      <c r="D36" s="11">
        <v>1364067</v>
      </c>
      <c r="E36" s="11">
        <v>1321120</v>
      </c>
      <c r="F36" s="11">
        <v>112778</v>
      </c>
      <c r="G36" s="11">
        <v>36921</v>
      </c>
      <c r="H36" s="21">
        <f>Table1[[#This Row],[orig_vote_trump]]-Table1[[#This Row],[orig_vote_clinton]]</f>
        <v>-42947</v>
      </c>
      <c r="I36" s="21">
        <f>IF(Table1[[#This Row],[orig_vote_clinton]]&gt;Table1[[#This Row],[orig_vote_trump]],Table1[[#This Row],[electoral_votes]],0)</f>
        <v>10</v>
      </c>
      <c r="J36" s="21">
        <f>IF(Table1[[#This Row],[orig_vote_trump]]&gt;Table1[[#This Row],[orig_vote_clinton]],Table1[[#This Row],[electoral_votes]],0)</f>
        <v>0</v>
      </c>
      <c r="K36" s="21">
        <f>Table1[[#This Row],[orig_vote_clinton]]+Table1[[#This Row],[orig_vote_stein]]*pct_stein_to_clinton+Table1[[#This Row],[orig_vote_johnson]]*pct_johnson_to_clinton</f>
        <v>1438916.5</v>
      </c>
      <c r="L36" s="21">
        <f>Table1[[#This Row],[orig_vote_trump]]+Table1[[#This Row],[orig_vote_stein]]*pct_stein_to_trump+Table1[[#This Row],[orig_vote_johnson]]*pct_johnson_to_trump</f>
        <v>1395969.5</v>
      </c>
      <c r="M36" s="21">
        <f>Table1[[#This Row],[adjusted_vote_trump]]-Table1[[#This Row],[adjusted_vote_clinton]]</f>
        <v>-42947</v>
      </c>
      <c r="N36" s="21">
        <f>IF(Table1[[#This Row],[adjusted_vote_clinton]]&gt;Table1[[#This Row],[adjusted_vote_trump]],0,Table1[[#This Row],[electoral_votes]])</f>
        <v>0</v>
      </c>
      <c r="O36" s="21">
        <f>IF(Table1[[#This Row],[adjusted_vote_clinton]]&gt;Table1[[#This Row],[adjusted_vote_trump]],Table1[[#This Row],[electoral_votes]],0)</f>
        <v>10</v>
      </c>
      <c r="P36" s="21" t="str">
        <f>IF(Table1[[#This Row],[orig_spread]]&gt;0,"Trump","Clinton")</f>
        <v>Clinton</v>
      </c>
      <c r="Q36" s="21" t="str">
        <f>IF(Table1[[#This Row],[adjusted_spread]]&gt;0,"Trump","Clinton")</f>
        <v>Clinton</v>
      </c>
      <c r="R36" s="21" t="b">
        <f>AND(Table1[[#This Row],[orig_outcome]]="Trump",Table1[[#This Row],[adjusted_outcome]]="Clinton")</f>
        <v>0</v>
      </c>
      <c r="S36" s="21" t="b">
        <f>AND(Table1[[#This Row],[orig_outcome]]="Clinton",Table1[[#This Row],[adjusted_outcome]]="Trump")</f>
        <v>0</v>
      </c>
      <c r="T36" s="22">
        <f>Table1[[#This Row],[adjusted_electors_trump]]+Table1[[#This Row],[adjusted_electors_clinton]]-Table1[[#This Row],[electoral_votes]]</f>
        <v>0</v>
      </c>
      <c r="V36"/>
    </row>
    <row r="37" spans="2:22">
      <c r="B37" s="19" t="s">
        <v>34</v>
      </c>
      <c r="C37" s="20">
        <v>6</v>
      </c>
      <c r="D37" s="11">
        <v>462250</v>
      </c>
      <c r="E37" s="11">
        <v>677782</v>
      </c>
      <c r="F37" s="11">
        <v>13817</v>
      </c>
      <c r="G37" s="11">
        <v>3595</v>
      </c>
      <c r="H37" s="21">
        <f>Table1[[#This Row],[orig_vote_trump]]-Table1[[#This Row],[orig_vote_clinton]]</f>
        <v>215532</v>
      </c>
      <c r="I37" s="21">
        <f>IF(Table1[[#This Row],[orig_vote_clinton]]&gt;Table1[[#This Row],[orig_vote_trump]],Table1[[#This Row],[electoral_votes]],0)</f>
        <v>0</v>
      </c>
      <c r="J37" s="21">
        <f>IF(Table1[[#This Row],[orig_vote_trump]]&gt;Table1[[#This Row],[orig_vote_clinton]],Table1[[#This Row],[electoral_votes]],0)</f>
        <v>6</v>
      </c>
      <c r="K37" s="21">
        <f>Table1[[#This Row],[orig_vote_clinton]]+Table1[[#This Row],[orig_vote_stein]]*pct_stein_to_clinton+Table1[[#This Row],[orig_vote_johnson]]*pct_johnson_to_clinton</f>
        <v>470956</v>
      </c>
      <c r="L37" s="21">
        <f>Table1[[#This Row],[orig_vote_trump]]+Table1[[#This Row],[orig_vote_stein]]*pct_stein_to_trump+Table1[[#This Row],[orig_vote_johnson]]*pct_johnson_to_trump</f>
        <v>686488</v>
      </c>
      <c r="M37" s="21">
        <f>Table1[[#This Row],[adjusted_vote_trump]]-Table1[[#This Row],[adjusted_vote_clinton]]</f>
        <v>215532</v>
      </c>
      <c r="N37" s="21">
        <f>IF(Table1[[#This Row],[adjusted_vote_clinton]]&gt;Table1[[#This Row],[adjusted_vote_trump]],0,Table1[[#This Row],[electoral_votes]])</f>
        <v>6</v>
      </c>
      <c r="O37" s="21">
        <f>IF(Table1[[#This Row],[adjusted_vote_clinton]]&gt;Table1[[#This Row],[adjusted_vote_trump]],Table1[[#This Row],[electoral_votes]],0)</f>
        <v>0</v>
      </c>
      <c r="P37" s="21" t="str">
        <f>IF(Table1[[#This Row],[orig_spread]]&gt;0,"Trump","Clinton")</f>
        <v>Trump</v>
      </c>
      <c r="Q37" s="21" t="str">
        <f>IF(Table1[[#This Row],[adjusted_spread]]&gt;0,"Trump","Clinton")</f>
        <v>Trump</v>
      </c>
      <c r="R37" s="21" t="b">
        <f>AND(Table1[[#This Row],[orig_outcome]]="Trump",Table1[[#This Row],[adjusted_outcome]]="Clinton")</f>
        <v>0</v>
      </c>
      <c r="S37" s="21" t="b">
        <f>AND(Table1[[#This Row],[orig_outcome]]="Clinton",Table1[[#This Row],[adjusted_outcome]]="Trump")</f>
        <v>0</v>
      </c>
      <c r="T37" s="22">
        <f>Table1[[#This Row],[adjusted_electors_trump]]+Table1[[#This Row],[adjusted_electors_clinton]]-Table1[[#This Row],[electoral_votes]]</f>
        <v>0</v>
      </c>
      <c r="V37"/>
    </row>
    <row r="38" spans="2:22">
      <c r="B38" s="19" t="s">
        <v>35</v>
      </c>
      <c r="C38" s="20">
        <v>10</v>
      </c>
      <c r="D38" s="11">
        <v>1054889</v>
      </c>
      <c r="E38" s="11">
        <v>1585753</v>
      </c>
      <c r="F38" s="11">
        <v>96404</v>
      </c>
      <c r="G38" s="11">
        <v>25086</v>
      </c>
      <c r="H38" s="21">
        <f>Table1[[#This Row],[orig_vote_trump]]-Table1[[#This Row],[orig_vote_clinton]]</f>
        <v>530864</v>
      </c>
      <c r="I38" s="21">
        <f>IF(Table1[[#This Row],[orig_vote_clinton]]&gt;Table1[[#This Row],[orig_vote_trump]],Table1[[#This Row],[electoral_votes]],0)</f>
        <v>0</v>
      </c>
      <c r="J38" s="21">
        <f>IF(Table1[[#This Row],[orig_vote_trump]]&gt;Table1[[#This Row],[orig_vote_clinton]],Table1[[#This Row],[electoral_votes]],0)</f>
        <v>10</v>
      </c>
      <c r="K38" s="21">
        <f>Table1[[#This Row],[orig_vote_clinton]]+Table1[[#This Row],[orig_vote_stein]]*pct_stein_to_clinton+Table1[[#This Row],[orig_vote_johnson]]*pct_johnson_to_clinton</f>
        <v>1115634</v>
      </c>
      <c r="L38" s="21">
        <f>Table1[[#This Row],[orig_vote_trump]]+Table1[[#This Row],[orig_vote_stein]]*pct_stein_to_trump+Table1[[#This Row],[orig_vote_johnson]]*pct_johnson_to_trump</f>
        <v>1646498</v>
      </c>
      <c r="M38" s="21">
        <f>Table1[[#This Row],[adjusted_vote_trump]]-Table1[[#This Row],[adjusted_vote_clinton]]</f>
        <v>530864</v>
      </c>
      <c r="N38" s="21">
        <f>IF(Table1[[#This Row],[adjusted_vote_clinton]]&gt;Table1[[#This Row],[adjusted_vote_trump]],0,Table1[[#This Row],[electoral_votes]])</f>
        <v>10</v>
      </c>
      <c r="O38" s="21">
        <f>IF(Table1[[#This Row],[adjusted_vote_clinton]]&gt;Table1[[#This Row],[adjusted_vote_trump]],Table1[[#This Row],[electoral_votes]],0)</f>
        <v>0</v>
      </c>
      <c r="P38" s="21" t="str">
        <f>IF(Table1[[#This Row],[orig_spread]]&gt;0,"Trump","Clinton")</f>
        <v>Trump</v>
      </c>
      <c r="Q38" s="21" t="str">
        <f>IF(Table1[[#This Row],[adjusted_spread]]&gt;0,"Trump","Clinton")</f>
        <v>Trump</v>
      </c>
      <c r="R38" s="21" t="b">
        <f>AND(Table1[[#This Row],[orig_outcome]]="Trump",Table1[[#This Row],[adjusted_outcome]]="Clinton")</f>
        <v>0</v>
      </c>
      <c r="S38" s="21" t="b">
        <f>AND(Table1[[#This Row],[orig_outcome]]="Clinton",Table1[[#This Row],[adjusted_outcome]]="Trump")</f>
        <v>0</v>
      </c>
      <c r="T38" s="22">
        <f>Table1[[#This Row],[adjusted_electors_trump]]+Table1[[#This Row],[adjusted_electors_clinton]]-Table1[[#This Row],[electoral_votes]]</f>
        <v>0</v>
      </c>
      <c r="V38"/>
    </row>
    <row r="39" spans="2:22">
      <c r="B39" s="19" t="s">
        <v>36</v>
      </c>
      <c r="C39" s="20">
        <v>3</v>
      </c>
      <c r="D39" s="11">
        <v>174249</v>
      </c>
      <c r="E39" s="11">
        <v>273696</v>
      </c>
      <c r="F39" s="11">
        <v>27188</v>
      </c>
      <c r="G39" s="11">
        <v>7654</v>
      </c>
      <c r="H39" s="21">
        <f>Table1[[#This Row],[orig_vote_trump]]-Table1[[#This Row],[orig_vote_clinton]]</f>
        <v>99447</v>
      </c>
      <c r="I39" s="21">
        <f>IF(Table1[[#This Row],[orig_vote_clinton]]&gt;Table1[[#This Row],[orig_vote_trump]],Table1[[#This Row],[electoral_votes]],0)</f>
        <v>0</v>
      </c>
      <c r="J39" s="21">
        <f>IF(Table1[[#This Row],[orig_vote_trump]]&gt;Table1[[#This Row],[orig_vote_clinton]],Table1[[#This Row],[electoral_votes]],0)</f>
        <v>3</v>
      </c>
      <c r="K39" s="21">
        <f>Table1[[#This Row],[orig_vote_clinton]]+Table1[[#This Row],[orig_vote_stein]]*pct_stein_to_clinton+Table1[[#This Row],[orig_vote_johnson]]*pct_johnson_to_clinton</f>
        <v>191670</v>
      </c>
      <c r="L39" s="21">
        <f>Table1[[#This Row],[orig_vote_trump]]+Table1[[#This Row],[orig_vote_stein]]*pct_stein_to_trump+Table1[[#This Row],[orig_vote_johnson]]*pct_johnson_to_trump</f>
        <v>291117</v>
      </c>
      <c r="M39" s="21">
        <f>Table1[[#This Row],[adjusted_vote_trump]]-Table1[[#This Row],[adjusted_vote_clinton]]</f>
        <v>99447</v>
      </c>
      <c r="N39" s="21">
        <f>IF(Table1[[#This Row],[adjusted_vote_clinton]]&gt;Table1[[#This Row],[adjusted_vote_trump]],0,Table1[[#This Row],[electoral_votes]])</f>
        <v>3</v>
      </c>
      <c r="O39" s="21">
        <f>IF(Table1[[#This Row],[adjusted_vote_clinton]]&gt;Table1[[#This Row],[adjusted_vote_trump]],Table1[[#This Row],[electoral_votes]],0)</f>
        <v>0</v>
      </c>
      <c r="P39" s="21" t="str">
        <f>IF(Table1[[#This Row],[orig_spread]]&gt;0,"Trump","Clinton")</f>
        <v>Trump</v>
      </c>
      <c r="Q39" s="21" t="str">
        <f>IF(Table1[[#This Row],[adjusted_spread]]&gt;0,"Trump","Clinton")</f>
        <v>Trump</v>
      </c>
      <c r="R39" s="21" t="b">
        <f>AND(Table1[[#This Row],[orig_outcome]]="Trump",Table1[[#This Row],[adjusted_outcome]]="Clinton")</f>
        <v>0</v>
      </c>
      <c r="S39" s="21" t="b">
        <f>AND(Table1[[#This Row],[orig_outcome]]="Clinton",Table1[[#This Row],[adjusted_outcome]]="Trump")</f>
        <v>0</v>
      </c>
      <c r="T39" s="22">
        <f>Table1[[#This Row],[adjusted_electors_trump]]+Table1[[#This Row],[adjusted_electors_clinton]]-Table1[[#This Row],[electoral_votes]]</f>
        <v>0</v>
      </c>
      <c r="V39"/>
    </row>
    <row r="40" spans="2:22">
      <c r="B40" s="19" t="s">
        <v>37</v>
      </c>
      <c r="C40" s="20">
        <v>5</v>
      </c>
      <c r="D40" s="11">
        <v>174249</v>
      </c>
      <c r="E40" s="11">
        <v>273696</v>
      </c>
      <c r="F40" s="11">
        <v>27188</v>
      </c>
      <c r="G40" s="11">
        <v>7654</v>
      </c>
      <c r="H40" s="21">
        <f>Table1[[#This Row],[orig_vote_trump]]-Table1[[#This Row],[orig_vote_clinton]]</f>
        <v>99447</v>
      </c>
      <c r="I40" s="21">
        <f>IF(Table1[[#This Row],[orig_vote_clinton]]&gt;Table1[[#This Row],[orig_vote_trump]],Table1[[#This Row],[electoral_votes]],0)</f>
        <v>0</v>
      </c>
      <c r="J40" s="21">
        <f>IF(Table1[[#This Row],[orig_vote_trump]]&gt;Table1[[#This Row],[orig_vote_clinton]],Table1[[#This Row],[electoral_votes]],0)</f>
        <v>5</v>
      </c>
      <c r="K40" s="21">
        <f>Table1[[#This Row],[orig_vote_clinton]]+Table1[[#This Row],[orig_vote_stein]]*pct_stein_to_clinton+Table1[[#This Row],[orig_vote_johnson]]*pct_johnson_to_clinton</f>
        <v>191670</v>
      </c>
      <c r="L40" s="21">
        <f>Table1[[#This Row],[orig_vote_trump]]+Table1[[#This Row],[orig_vote_stein]]*pct_stein_to_trump+Table1[[#This Row],[orig_vote_johnson]]*pct_johnson_to_trump</f>
        <v>291117</v>
      </c>
      <c r="M40" s="21">
        <f>Table1[[#This Row],[adjusted_vote_trump]]-Table1[[#This Row],[adjusted_vote_clinton]]</f>
        <v>99447</v>
      </c>
      <c r="N40" s="21">
        <f>IF(Table1[[#This Row],[adjusted_vote_clinton]]&gt;Table1[[#This Row],[adjusted_vote_trump]],0,Table1[[#This Row],[electoral_votes]])</f>
        <v>5</v>
      </c>
      <c r="O40" s="21">
        <f>IF(Table1[[#This Row],[adjusted_vote_clinton]]&gt;Table1[[#This Row],[adjusted_vote_trump]],Table1[[#This Row],[electoral_votes]],0)</f>
        <v>0</v>
      </c>
      <c r="P40" s="21" t="str">
        <f>IF(Table1[[#This Row],[orig_spread]]&gt;0,"Trump","Clinton")</f>
        <v>Trump</v>
      </c>
      <c r="Q40" s="21" t="str">
        <f>IF(Table1[[#This Row],[adjusted_spread]]&gt;0,"Trump","Clinton")</f>
        <v>Trump</v>
      </c>
      <c r="R40" s="21" t="b">
        <f>AND(Table1[[#This Row],[orig_outcome]]="Trump",Table1[[#This Row],[adjusted_outcome]]="Clinton")</f>
        <v>0</v>
      </c>
      <c r="S40" s="21" t="b">
        <f>AND(Table1[[#This Row],[orig_outcome]]="Clinton",Table1[[#This Row],[adjusted_outcome]]="Trump")</f>
        <v>0</v>
      </c>
      <c r="T40" s="22">
        <f>Table1[[#This Row],[adjusted_electors_trump]]+Table1[[#This Row],[adjusted_electors_clinton]]-Table1[[#This Row],[electoral_votes]]</f>
        <v>0</v>
      </c>
      <c r="V40"/>
    </row>
    <row r="41" spans="2:22">
      <c r="B41" s="19" t="s">
        <v>38</v>
      </c>
      <c r="C41" s="20">
        <v>6</v>
      </c>
      <c r="D41" s="11">
        <v>537753</v>
      </c>
      <c r="E41" s="11">
        <v>511319</v>
      </c>
      <c r="F41" s="11">
        <v>37299</v>
      </c>
      <c r="G41" s="23"/>
      <c r="H41" s="21">
        <f>Table1[[#This Row],[orig_vote_trump]]-Table1[[#This Row],[orig_vote_clinton]]</f>
        <v>-26434</v>
      </c>
      <c r="I41" s="21">
        <f>IF(Table1[[#This Row],[orig_vote_clinton]]&gt;Table1[[#This Row],[orig_vote_trump]],Table1[[#This Row],[electoral_votes]],0)</f>
        <v>6</v>
      </c>
      <c r="J41" s="21">
        <f>IF(Table1[[#This Row],[orig_vote_trump]]&gt;Table1[[#This Row],[orig_vote_clinton]],Table1[[#This Row],[electoral_votes]],0)</f>
        <v>0</v>
      </c>
      <c r="K41" s="21">
        <f>Table1[[#This Row],[orig_vote_clinton]]+Table1[[#This Row],[orig_vote_stein]]*pct_stein_to_clinton+Table1[[#This Row],[orig_vote_johnson]]*pct_johnson_to_clinton</f>
        <v>556402.5</v>
      </c>
      <c r="L41" s="21">
        <f>Table1[[#This Row],[orig_vote_trump]]+Table1[[#This Row],[orig_vote_stein]]*pct_stein_to_trump+Table1[[#This Row],[orig_vote_johnson]]*pct_johnson_to_trump</f>
        <v>529968.5</v>
      </c>
      <c r="M41" s="21">
        <f>Table1[[#This Row],[adjusted_vote_trump]]-Table1[[#This Row],[adjusted_vote_clinton]]</f>
        <v>-26434</v>
      </c>
      <c r="N41" s="21">
        <f>IF(Table1[[#This Row],[adjusted_vote_clinton]]&gt;Table1[[#This Row],[adjusted_vote_trump]],0,Table1[[#This Row],[electoral_votes]])</f>
        <v>0</v>
      </c>
      <c r="O41" s="21">
        <f>IF(Table1[[#This Row],[adjusted_vote_clinton]]&gt;Table1[[#This Row],[adjusted_vote_trump]],Table1[[#This Row],[electoral_votes]],0)</f>
        <v>6</v>
      </c>
      <c r="P41" s="21" t="str">
        <f>IF(Table1[[#This Row],[orig_spread]]&gt;0,"Trump","Clinton")</f>
        <v>Clinton</v>
      </c>
      <c r="Q41" s="21" t="str">
        <f>IF(Table1[[#This Row],[adjusted_spread]]&gt;0,"Trump","Clinton")</f>
        <v>Clinton</v>
      </c>
      <c r="R41" s="21" t="b">
        <f>AND(Table1[[#This Row],[orig_outcome]]="Trump",Table1[[#This Row],[adjusted_outcome]]="Clinton")</f>
        <v>0</v>
      </c>
      <c r="S41" s="21" t="b">
        <f>AND(Table1[[#This Row],[orig_outcome]]="Clinton",Table1[[#This Row],[adjusted_outcome]]="Trump")</f>
        <v>0</v>
      </c>
      <c r="T41" s="22">
        <f>Table1[[#This Row],[adjusted_electors_trump]]+Table1[[#This Row],[adjusted_electors_clinton]]-Table1[[#This Row],[electoral_votes]]</f>
        <v>0</v>
      </c>
      <c r="V41"/>
    </row>
    <row r="42" spans="2:22">
      <c r="B42" s="19" t="s">
        <v>8</v>
      </c>
      <c r="C42" s="20">
        <v>4</v>
      </c>
      <c r="D42" s="11">
        <v>346816</v>
      </c>
      <c r="E42" s="11">
        <v>345379</v>
      </c>
      <c r="F42" s="11">
        <v>30500</v>
      </c>
      <c r="G42" s="11">
        <v>6265</v>
      </c>
      <c r="H42" s="21">
        <f>Table1[[#This Row],[orig_vote_trump]]-Table1[[#This Row],[orig_vote_clinton]]</f>
        <v>-1437</v>
      </c>
      <c r="I42" s="21">
        <f>IF(Table1[[#This Row],[orig_vote_clinton]]&gt;Table1[[#This Row],[orig_vote_trump]],Table1[[#This Row],[electoral_votes]],0)</f>
        <v>4</v>
      </c>
      <c r="J42" s="21">
        <f>IF(Table1[[#This Row],[orig_vote_trump]]&gt;Table1[[#This Row],[orig_vote_clinton]],Table1[[#This Row],[electoral_votes]],0)</f>
        <v>0</v>
      </c>
      <c r="K42" s="21">
        <f>Table1[[#This Row],[orig_vote_clinton]]+Table1[[#This Row],[orig_vote_stein]]*pct_stein_to_clinton+Table1[[#This Row],[orig_vote_johnson]]*pct_johnson_to_clinton</f>
        <v>365198.5</v>
      </c>
      <c r="L42" s="21">
        <f>Table1[[#This Row],[orig_vote_trump]]+Table1[[#This Row],[orig_vote_stein]]*pct_stein_to_trump+Table1[[#This Row],[orig_vote_johnson]]*pct_johnson_to_trump</f>
        <v>363761.5</v>
      </c>
      <c r="M42" s="21">
        <f>Table1[[#This Row],[adjusted_vote_trump]]-Table1[[#This Row],[adjusted_vote_clinton]]</f>
        <v>-1437</v>
      </c>
      <c r="N42" s="21">
        <f>IF(Table1[[#This Row],[adjusted_vote_clinton]]&gt;Table1[[#This Row],[adjusted_vote_trump]],0,Table1[[#This Row],[electoral_votes]])</f>
        <v>0</v>
      </c>
      <c r="O42" s="21">
        <f>IF(Table1[[#This Row],[adjusted_vote_clinton]]&gt;Table1[[#This Row],[adjusted_vote_trump]],Table1[[#This Row],[electoral_votes]],0)</f>
        <v>4</v>
      </c>
      <c r="P42" s="21" t="str">
        <f>IF(Table1[[#This Row],[orig_spread]]&gt;0,"Trump","Clinton")</f>
        <v>Clinton</v>
      </c>
      <c r="Q42" s="21" t="str">
        <f>IF(Table1[[#This Row],[adjusted_spread]]&gt;0,"Trump","Clinton")</f>
        <v>Clinton</v>
      </c>
      <c r="R42" s="21" t="b">
        <f>AND(Table1[[#This Row],[orig_outcome]]="Trump",Table1[[#This Row],[adjusted_outcome]]="Clinton")</f>
        <v>0</v>
      </c>
      <c r="S42" s="21" t="b">
        <f>AND(Table1[[#This Row],[orig_outcome]]="Clinton",Table1[[#This Row],[adjusted_outcome]]="Trump")</f>
        <v>0</v>
      </c>
      <c r="T42" s="22">
        <f>Table1[[#This Row],[adjusted_electors_trump]]+Table1[[#This Row],[adjusted_electors_clinton]]-Table1[[#This Row],[electoral_votes]]</f>
        <v>0</v>
      </c>
      <c r="V42"/>
    </row>
    <row r="43" spans="2:22">
      <c r="B43" s="19" t="s">
        <v>39</v>
      </c>
      <c r="C43" s="20">
        <v>14</v>
      </c>
      <c r="D43" s="11">
        <v>1979768</v>
      </c>
      <c r="E43" s="11">
        <v>1516915</v>
      </c>
      <c r="F43" s="11">
        <v>67520</v>
      </c>
      <c r="G43" s="11">
        <v>35503</v>
      </c>
      <c r="H43" s="21">
        <f>Table1[[#This Row],[orig_vote_trump]]-Table1[[#This Row],[orig_vote_clinton]]</f>
        <v>-462853</v>
      </c>
      <c r="I43" s="21">
        <f>IF(Table1[[#This Row],[orig_vote_clinton]]&gt;Table1[[#This Row],[orig_vote_trump]],Table1[[#This Row],[electoral_votes]],0)</f>
        <v>14</v>
      </c>
      <c r="J43" s="21">
        <f>IF(Table1[[#This Row],[orig_vote_trump]]&gt;Table1[[#This Row],[orig_vote_clinton]],Table1[[#This Row],[electoral_votes]],0)</f>
        <v>0</v>
      </c>
      <c r="K43" s="21">
        <f>Table1[[#This Row],[orig_vote_clinton]]+Table1[[#This Row],[orig_vote_stein]]*pct_stein_to_clinton+Table1[[#This Row],[orig_vote_johnson]]*pct_johnson_to_clinton</f>
        <v>2031279.5</v>
      </c>
      <c r="L43" s="21">
        <f>Table1[[#This Row],[orig_vote_trump]]+Table1[[#This Row],[orig_vote_stein]]*pct_stein_to_trump+Table1[[#This Row],[orig_vote_johnson]]*pct_johnson_to_trump</f>
        <v>1568426.5</v>
      </c>
      <c r="M43" s="21">
        <f>Table1[[#This Row],[adjusted_vote_trump]]-Table1[[#This Row],[adjusted_vote_clinton]]</f>
        <v>-462853</v>
      </c>
      <c r="N43" s="21">
        <f>IF(Table1[[#This Row],[adjusted_vote_clinton]]&gt;Table1[[#This Row],[adjusted_vote_trump]],0,Table1[[#This Row],[electoral_votes]])</f>
        <v>0</v>
      </c>
      <c r="O43" s="21">
        <f>IF(Table1[[#This Row],[adjusted_vote_clinton]]&gt;Table1[[#This Row],[adjusted_vote_trump]],Table1[[#This Row],[electoral_votes]],0)</f>
        <v>14</v>
      </c>
      <c r="P43" s="21" t="str">
        <f>IF(Table1[[#This Row],[orig_spread]]&gt;0,"Trump","Clinton")</f>
        <v>Clinton</v>
      </c>
      <c r="Q43" s="21" t="str">
        <f>IF(Table1[[#This Row],[adjusted_spread]]&gt;0,"Trump","Clinton")</f>
        <v>Clinton</v>
      </c>
      <c r="R43" s="21" t="b">
        <f>AND(Table1[[#This Row],[orig_outcome]]="Trump",Table1[[#This Row],[adjusted_outcome]]="Clinton")</f>
        <v>0</v>
      </c>
      <c r="S43" s="21" t="b">
        <f>AND(Table1[[#This Row],[orig_outcome]]="Clinton",Table1[[#This Row],[adjusted_outcome]]="Trump")</f>
        <v>0</v>
      </c>
      <c r="T43" s="22">
        <f>Table1[[#This Row],[adjusted_electors_trump]]+Table1[[#This Row],[adjusted_electors_clinton]]-Table1[[#This Row],[electoral_votes]]</f>
        <v>0</v>
      </c>
      <c r="V43"/>
    </row>
    <row r="44" spans="2:22">
      <c r="B44" s="19" t="s">
        <v>40</v>
      </c>
      <c r="C44" s="20">
        <v>5</v>
      </c>
      <c r="D44" s="11">
        <v>380724</v>
      </c>
      <c r="E44" s="11">
        <v>315875</v>
      </c>
      <c r="F44" s="11">
        <v>73669</v>
      </c>
      <c r="G44" s="11">
        <v>9729</v>
      </c>
      <c r="H44" s="21">
        <f>Table1[[#This Row],[orig_vote_trump]]-Table1[[#This Row],[orig_vote_clinton]]</f>
        <v>-64849</v>
      </c>
      <c r="I44" s="21">
        <f>IF(Table1[[#This Row],[orig_vote_clinton]]&gt;Table1[[#This Row],[orig_vote_trump]],Table1[[#This Row],[electoral_votes]],0)</f>
        <v>5</v>
      </c>
      <c r="J44" s="21">
        <f>IF(Table1[[#This Row],[orig_vote_trump]]&gt;Table1[[#This Row],[orig_vote_clinton]],Table1[[#This Row],[electoral_votes]],0)</f>
        <v>0</v>
      </c>
      <c r="K44" s="21">
        <f>Table1[[#This Row],[orig_vote_clinton]]+Table1[[#This Row],[orig_vote_stein]]*pct_stein_to_clinton+Table1[[#This Row],[orig_vote_johnson]]*pct_johnson_to_clinton</f>
        <v>422423</v>
      </c>
      <c r="L44" s="21">
        <f>Table1[[#This Row],[orig_vote_trump]]+Table1[[#This Row],[orig_vote_stein]]*pct_stein_to_trump+Table1[[#This Row],[orig_vote_johnson]]*pct_johnson_to_trump</f>
        <v>357574</v>
      </c>
      <c r="M44" s="21">
        <f>Table1[[#This Row],[adjusted_vote_trump]]-Table1[[#This Row],[adjusted_vote_clinton]]</f>
        <v>-64849</v>
      </c>
      <c r="N44" s="21">
        <f>IF(Table1[[#This Row],[adjusted_vote_clinton]]&gt;Table1[[#This Row],[adjusted_vote_trump]],0,Table1[[#This Row],[electoral_votes]])</f>
        <v>0</v>
      </c>
      <c r="O44" s="21">
        <f>IF(Table1[[#This Row],[adjusted_vote_clinton]]&gt;Table1[[#This Row],[adjusted_vote_trump]],Table1[[#This Row],[electoral_votes]],0)</f>
        <v>5</v>
      </c>
      <c r="P44" s="21" t="str">
        <f>IF(Table1[[#This Row],[orig_spread]]&gt;0,"Trump","Clinton")</f>
        <v>Clinton</v>
      </c>
      <c r="Q44" s="21" t="str">
        <f>IF(Table1[[#This Row],[adjusted_spread]]&gt;0,"Trump","Clinton")</f>
        <v>Clinton</v>
      </c>
      <c r="R44" s="21" t="b">
        <f>AND(Table1[[#This Row],[orig_outcome]]="Trump",Table1[[#This Row],[adjusted_outcome]]="Clinton")</f>
        <v>0</v>
      </c>
      <c r="S44" s="21" t="b">
        <f>AND(Table1[[#This Row],[orig_outcome]]="Clinton",Table1[[#This Row],[adjusted_outcome]]="Trump")</f>
        <v>0</v>
      </c>
      <c r="T44" s="22">
        <f>Table1[[#This Row],[adjusted_electors_trump]]+Table1[[#This Row],[adjusted_electors_clinton]]-Table1[[#This Row],[electoral_votes]]</f>
        <v>0</v>
      </c>
      <c r="V44"/>
    </row>
    <row r="45" spans="2:22">
      <c r="B45" s="19" t="s">
        <v>41</v>
      </c>
      <c r="C45" s="20">
        <v>29</v>
      </c>
      <c r="D45" s="11">
        <v>4143541</v>
      </c>
      <c r="E45" s="11">
        <v>2637678</v>
      </c>
      <c r="F45" s="11">
        <v>161857</v>
      </c>
      <c r="G45" s="11">
        <v>99880</v>
      </c>
      <c r="H45" s="21">
        <f>Table1[[#This Row],[orig_vote_trump]]-Table1[[#This Row],[orig_vote_clinton]]</f>
        <v>-1505863</v>
      </c>
      <c r="I45" s="21">
        <f>IF(Table1[[#This Row],[orig_vote_clinton]]&gt;Table1[[#This Row],[orig_vote_trump]],Table1[[#This Row],[electoral_votes]],0)</f>
        <v>29</v>
      </c>
      <c r="J45" s="21">
        <f>IF(Table1[[#This Row],[orig_vote_trump]]&gt;Table1[[#This Row],[orig_vote_clinton]],Table1[[#This Row],[electoral_votes]],0)</f>
        <v>0</v>
      </c>
      <c r="K45" s="21">
        <f>Table1[[#This Row],[orig_vote_clinton]]+Table1[[#This Row],[orig_vote_stein]]*pct_stein_to_clinton+Table1[[#This Row],[orig_vote_johnson]]*pct_johnson_to_clinton</f>
        <v>4274409.5</v>
      </c>
      <c r="L45" s="21">
        <f>Table1[[#This Row],[orig_vote_trump]]+Table1[[#This Row],[orig_vote_stein]]*pct_stein_to_trump+Table1[[#This Row],[orig_vote_johnson]]*pct_johnson_to_trump</f>
        <v>2768546.5</v>
      </c>
      <c r="M45" s="21">
        <f>Table1[[#This Row],[adjusted_vote_trump]]-Table1[[#This Row],[adjusted_vote_clinton]]</f>
        <v>-1505863</v>
      </c>
      <c r="N45" s="21">
        <f>IF(Table1[[#This Row],[adjusted_vote_clinton]]&gt;Table1[[#This Row],[adjusted_vote_trump]],0,Table1[[#This Row],[electoral_votes]])</f>
        <v>0</v>
      </c>
      <c r="O45" s="21">
        <f>IF(Table1[[#This Row],[adjusted_vote_clinton]]&gt;Table1[[#This Row],[adjusted_vote_trump]],Table1[[#This Row],[electoral_votes]],0)</f>
        <v>29</v>
      </c>
      <c r="P45" s="21" t="str">
        <f>IF(Table1[[#This Row],[orig_spread]]&gt;0,"Trump","Clinton")</f>
        <v>Clinton</v>
      </c>
      <c r="Q45" s="21" t="str">
        <f>IF(Table1[[#This Row],[adjusted_spread]]&gt;0,"Trump","Clinton")</f>
        <v>Clinton</v>
      </c>
      <c r="R45" s="21" t="b">
        <f>AND(Table1[[#This Row],[orig_outcome]]="Trump",Table1[[#This Row],[adjusted_outcome]]="Clinton")</f>
        <v>0</v>
      </c>
      <c r="S45" s="21" t="b">
        <f>AND(Table1[[#This Row],[orig_outcome]]="Clinton",Table1[[#This Row],[adjusted_outcome]]="Trump")</f>
        <v>0</v>
      </c>
      <c r="T45" s="22">
        <f>Table1[[#This Row],[adjusted_electors_trump]]+Table1[[#This Row],[adjusted_electors_clinton]]-Table1[[#This Row],[electoral_votes]]</f>
        <v>0</v>
      </c>
      <c r="V45"/>
    </row>
    <row r="46" spans="2:22">
      <c r="B46" s="19" t="s">
        <v>9</v>
      </c>
      <c r="C46" s="20">
        <v>15</v>
      </c>
      <c r="D46" s="11">
        <v>2162074</v>
      </c>
      <c r="E46" s="11">
        <v>2339603</v>
      </c>
      <c r="F46" s="11">
        <v>127794</v>
      </c>
      <c r="G46" s="23"/>
      <c r="H46" s="21">
        <f>Table1[[#This Row],[orig_vote_trump]]-Table1[[#This Row],[orig_vote_clinton]]</f>
        <v>177529</v>
      </c>
      <c r="I46" s="21">
        <f>IF(Table1[[#This Row],[orig_vote_clinton]]&gt;Table1[[#This Row],[orig_vote_trump]],Table1[[#This Row],[electoral_votes]],0)</f>
        <v>0</v>
      </c>
      <c r="J46" s="21">
        <f>IF(Table1[[#This Row],[orig_vote_trump]]&gt;Table1[[#This Row],[orig_vote_clinton]],Table1[[#This Row],[electoral_votes]],0)</f>
        <v>15</v>
      </c>
      <c r="K46" s="21">
        <f>Table1[[#This Row],[orig_vote_clinton]]+Table1[[#This Row],[orig_vote_stein]]*pct_stein_to_clinton+Table1[[#This Row],[orig_vote_johnson]]*pct_johnson_to_clinton</f>
        <v>2225971</v>
      </c>
      <c r="L46" s="21">
        <f>Table1[[#This Row],[orig_vote_trump]]+Table1[[#This Row],[orig_vote_stein]]*pct_stein_to_trump+Table1[[#This Row],[orig_vote_johnson]]*pct_johnson_to_trump</f>
        <v>2403500</v>
      </c>
      <c r="M46" s="21">
        <f>Table1[[#This Row],[adjusted_vote_trump]]-Table1[[#This Row],[adjusted_vote_clinton]]</f>
        <v>177529</v>
      </c>
      <c r="N46" s="21">
        <f>IF(Table1[[#This Row],[adjusted_vote_clinton]]&gt;Table1[[#This Row],[adjusted_vote_trump]],0,Table1[[#This Row],[electoral_votes]])</f>
        <v>15</v>
      </c>
      <c r="O46" s="21">
        <f>IF(Table1[[#This Row],[adjusted_vote_clinton]]&gt;Table1[[#This Row],[adjusted_vote_trump]],Table1[[#This Row],[electoral_votes]],0)</f>
        <v>0</v>
      </c>
      <c r="P46" s="21" t="str">
        <f>IF(Table1[[#This Row],[orig_spread]]&gt;0,"Trump","Clinton")</f>
        <v>Trump</v>
      </c>
      <c r="Q46" s="21" t="str">
        <f>IF(Table1[[#This Row],[adjusted_spread]]&gt;0,"Trump","Clinton")</f>
        <v>Trump</v>
      </c>
      <c r="R46" s="21" t="b">
        <f>AND(Table1[[#This Row],[orig_outcome]]="Trump",Table1[[#This Row],[adjusted_outcome]]="Clinton")</f>
        <v>0</v>
      </c>
      <c r="S46" s="21" t="b">
        <f>AND(Table1[[#This Row],[orig_outcome]]="Clinton",Table1[[#This Row],[adjusted_outcome]]="Trump")</f>
        <v>0</v>
      </c>
      <c r="T46" s="22">
        <f>Table1[[#This Row],[adjusted_electors_trump]]+Table1[[#This Row],[adjusted_electors_clinton]]-Table1[[#This Row],[electoral_votes]]</f>
        <v>0</v>
      </c>
      <c r="V46"/>
    </row>
    <row r="47" spans="2:22">
      <c r="B47" s="19" t="s">
        <v>42</v>
      </c>
      <c r="C47" s="20">
        <v>3</v>
      </c>
      <c r="D47" s="11">
        <v>93526</v>
      </c>
      <c r="E47" s="11">
        <v>216133</v>
      </c>
      <c r="F47" s="11">
        <v>21351</v>
      </c>
      <c r="G47" s="11">
        <v>3769</v>
      </c>
      <c r="H47" s="21">
        <f>Table1[[#This Row],[orig_vote_trump]]-Table1[[#This Row],[orig_vote_clinton]]</f>
        <v>122607</v>
      </c>
      <c r="I47" s="21">
        <f>IF(Table1[[#This Row],[orig_vote_clinton]]&gt;Table1[[#This Row],[orig_vote_trump]],Table1[[#This Row],[electoral_votes]],0)</f>
        <v>0</v>
      </c>
      <c r="J47" s="21">
        <f>IF(Table1[[#This Row],[orig_vote_trump]]&gt;Table1[[#This Row],[orig_vote_clinton]],Table1[[#This Row],[electoral_votes]],0)</f>
        <v>3</v>
      </c>
      <c r="K47" s="21">
        <f>Table1[[#This Row],[orig_vote_clinton]]+Table1[[#This Row],[orig_vote_stein]]*pct_stein_to_clinton+Table1[[#This Row],[orig_vote_johnson]]*pct_johnson_to_clinton</f>
        <v>106086</v>
      </c>
      <c r="L47" s="21">
        <f>Table1[[#This Row],[orig_vote_trump]]+Table1[[#This Row],[orig_vote_stein]]*pct_stein_to_trump+Table1[[#This Row],[orig_vote_johnson]]*pct_johnson_to_trump</f>
        <v>228693</v>
      </c>
      <c r="M47" s="21">
        <f>Table1[[#This Row],[adjusted_vote_trump]]-Table1[[#This Row],[adjusted_vote_clinton]]</f>
        <v>122607</v>
      </c>
      <c r="N47" s="21">
        <f>IF(Table1[[#This Row],[adjusted_vote_clinton]]&gt;Table1[[#This Row],[adjusted_vote_trump]],0,Table1[[#This Row],[electoral_votes]])</f>
        <v>3</v>
      </c>
      <c r="O47" s="21">
        <f>IF(Table1[[#This Row],[adjusted_vote_clinton]]&gt;Table1[[#This Row],[adjusted_vote_trump]],Table1[[#This Row],[electoral_votes]],0)</f>
        <v>0</v>
      </c>
      <c r="P47" s="21" t="str">
        <f>IF(Table1[[#This Row],[orig_spread]]&gt;0,"Trump","Clinton")</f>
        <v>Trump</v>
      </c>
      <c r="Q47" s="21" t="str">
        <f>IF(Table1[[#This Row],[adjusted_spread]]&gt;0,"Trump","Clinton")</f>
        <v>Trump</v>
      </c>
      <c r="R47" s="21" t="b">
        <f>AND(Table1[[#This Row],[orig_outcome]]="Trump",Table1[[#This Row],[adjusted_outcome]]="Clinton")</f>
        <v>0</v>
      </c>
      <c r="S47" s="21" t="b">
        <f>AND(Table1[[#This Row],[orig_outcome]]="Clinton",Table1[[#This Row],[adjusted_outcome]]="Trump")</f>
        <v>0</v>
      </c>
      <c r="T47" s="22">
        <f>Table1[[#This Row],[adjusted_electors_trump]]+Table1[[#This Row],[adjusted_electors_clinton]]-Table1[[#This Row],[electoral_votes]]</f>
        <v>0</v>
      </c>
      <c r="V47"/>
    </row>
    <row r="48" spans="2:22">
      <c r="B48" s="19" t="s">
        <v>43</v>
      </c>
      <c r="C48" s="20">
        <v>18</v>
      </c>
      <c r="D48" s="11">
        <v>2317001</v>
      </c>
      <c r="E48" s="11">
        <v>2771984</v>
      </c>
      <c r="F48" s="11">
        <v>168599</v>
      </c>
      <c r="G48" s="11">
        <v>44310</v>
      </c>
      <c r="H48" s="21">
        <f>Table1[[#This Row],[orig_vote_trump]]-Table1[[#This Row],[orig_vote_clinton]]</f>
        <v>454983</v>
      </c>
      <c r="I48" s="21">
        <f>IF(Table1[[#This Row],[orig_vote_clinton]]&gt;Table1[[#This Row],[orig_vote_trump]],Table1[[#This Row],[electoral_votes]],0)</f>
        <v>0</v>
      </c>
      <c r="J48" s="21">
        <f>IF(Table1[[#This Row],[orig_vote_trump]]&gt;Table1[[#This Row],[orig_vote_clinton]],Table1[[#This Row],[electoral_votes]],0)</f>
        <v>18</v>
      </c>
      <c r="K48" s="21">
        <f>Table1[[#This Row],[orig_vote_clinton]]+Table1[[#This Row],[orig_vote_stein]]*pct_stein_to_clinton+Table1[[#This Row],[orig_vote_johnson]]*pct_johnson_to_clinton</f>
        <v>2423455.5</v>
      </c>
      <c r="L48" s="21">
        <f>Table1[[#This Row],[orig_vote_trump]]+Table1[[#This Row],[orig_vote_stein]]*pct_stein_to_trump+Table1[[#This Row],[orig_vote_johnson]]*pct_johnson_to_trump</f>
        <v>2878438.5</v>
      </c>
      <c r="M48" s="21">
        <f>Table1[[#This Row],[adjusted_vote_trump]]-Table1[[#This Row],[adjusted_vote_clinton]]</f>
        <v>454983</v>
      </c>
      <c r="N48" s="21">
        <f>IF(Table1[[#This Row],[adjusted_vote_clinton]]&gt;Table1[[#This Row],[adjusted_vote_trump]],0,Table1[[#This Row],[electoral_votes]])</f>
        <v>18</v>
      </c>
      <c r="O48" s="21">
        <f>IF(Table1[[#This Row],[adjusted_vote_clinton]]&gt;Table1[[#This Row],[adjusted_vote_trump]],Table1[[#This Row],[electoral_votes]],0)</f>
        <v>0</v>
      </c>
      <c r="P48" s="21" t="str">
        <f>IF(Table1[[#This Row],[orig_spread]]&gt;0,"Trump","Clinton")</f>
        <v>Trump</v>
      </c>
      <c r="Q48" s="21" t="str">
        <f>IF(Table1[[#This Row],[adjusted_spread]]&gt;0,"Trump","Clinton")</f>
        <v>Trump</v>
      </c>
      <c r="R48" s="21" t="b">
        <f>AND(Table1[[#This Row],[orig_outcome]]="Trump",Table1[[#This Row],[adjusted_outcome]]="Clinton")</f>
        <v>0</v>
      </c>
      <c r="S48" s="21" t="b">
        <f>AND(Table1[[#This Row],[orig_outcome]]="Clinton",Table1[[#This Row],[adjusted_outcome]]="Trump")</f>
        <v>0</v>
      </c>
      <c r="T48" s="22">
        <f>Table1[[#This Row],[adjusted_electors_trump]]+Table1[[#This Row],[adjusted_electors_clinton]]-Table1[[#This Row],[electoral_votes]]</f>
        <v>0</v>
      </c>
      <c r="V48"/>
    </row>
    <row r="49" spans="2:22">
      <c r="B49" s="19" t="s">
        <v>44</v>
      </c>
      <c r="C49" s="20">
        <v>7</v>
      </c>
      <c r="D49" s="11">
        <v>419788</v>
      </c>
      <c r="E49" s="11">
        <v>947934</v>
      </c>
      <c r="F49" s="11">
        <v>83334</v>
      </c>
      <c r="G49" s="23"/>
      <c r="H49" s="21">
        <f>Table1[[#This Row],[orig_vote_trump]]-Table1[[#This Row],[orig_vote_clinton]]</f>
        <v>528146</v>
      </c>
      <c r="I49" s="21">
        <f>IF(Table1[[#This Row],[orig_vote_clinton]]&gt;Table1[[#This Row],[orig_vote_trump]],Table1[[#This Row],[electoral_votes]],0)</f>
        <v>0</v>
      </c>
      <c r="J49" s="21">
        <f>IF(Table1[[#This Row],[orig_vote_trump]]&gt;Table1[[#This Row],[orig_vote_clinton]],Table1[[#This Row],[electoral_votes]],0)</f>
        <v>7</v>
      </c>
      <c r="K49" s="21">
        <f>Table1[[#This Row],[orig_vote_clinton]]+Table1[[#This Row],[orig_vote_stein]]*pct_stein_to_clinton+Table1[[#This Row],[orig_vote_johnson]]*pct_johnson_to_clinton</f>
        <v>461455</v>
      </c>
      <c r="L49" s="21">
        <f>Table1[[#This Row],[orig_vote_trump]]+Table1[[#This Row],[orig_vote_stein]]*pct_stein_to_trump+Table1[[#This Row],[orig_vote_johnson]]*pct_johnson_to_trump</f>
        <v>989601</v>
      </c>
      <c r="M49" s="21">
        <f>Table1[[#This Row],[adjusted_vote_trump]]-Table1[[#This Row],[adjusted_vote_clinton]]</f>
        <v>528146</v>
      </c>
      <c r="N49" s="21">
        <f>IF(Table1[[#This Row],[adjusted_vote_clinton]]&gt;Table1[[#This Row],[adjusted_vote_trump]],0,Table1[[#This Row],[electoral_votes]])</f>
        <v>7</v>
      </c>
      <c r="O49" s="21">
        <f>IF(Table1[[#This Row],[adjusted_vote_clinton]]&gt;Table1[[#This Row],[adjusted_vote_trump]],Table1[[#This Row],[electoral_votes]],0)</f>
        <v>0</v>
      </c>
      <c r="P49" s="21" t="str">
        <f>IF(Table1[[#This Row],[orig_spread]]&gt;0,"Trump","Clinton")</f>
        <v>Trump</v>
      </c>
      <c r="Q49" s="21" t="str">
        <f>IF(Table1[[#This Row],[adjusted_spread]]&gt;0,"Trump","Clinton")</f>
        <v>Trump</v>
      </c>
      <c r="R49" s="21" t="b">
        <f>AND(Table1[[#This Row],[orig_outcome]]="Trump",Table1[[#This Row],[adjusted_outcome]]="Clinton")</f>
        <v>0</v>
      </c>
      <c r="S49" s="21" t="b">
        <f>AND(Table1[[#This Row],[orig_outcome]]="Clinton",Table1[[#This Row],[adjusted_outcome]]="Trump")</f>
        <v>0</v>
      </c>
      <c r="T49" s="22">
        <f>Table1[[#This Row],[adjusted_electors_trump]]+Table1[[#This Row],[adjusted_electors_clinton]]-Table1[[#This Row],[electoral_votes]]</f>
        <v>0</v>
      </c>
      <c r="V49"/>
    </row>
    <row r="50" spans="2:22">
      <c r="B50" s="19" t="s">
        <v>45</v>
      </c>
      <c r="C50" s="20">
        <v>7</v>
      </c>
      <c r="D50" s="11">
        <v>934631</v>
      </c>
      <c r="E50" s="11">
        <v>742506</v>
      </c>
      <c r="F50" s="11">
        <v>86306</v>
      </c>
      <c r="G50" s="11">
        <v>45132</v>
      </c>
      <c r="H50" s="21">
        <f>Table1[[#This Row],[orig_vote_trump]]-Table1[[#This Row],[orig_vote_clinton]]</f>
        <v>-192125</v>
      </c>
      <c r="I50" s="21">
        <f>IF(Table1[[#This Row],[orig_vote_clinton]]&gt;Table1[[#This Row],[orig_vote_trump]],Table1[[#This Row],[electoral_votes]],0)</f>
        <v>7</v>
      </c>
      <c r="J50" s="21">
        <f>IF(Table1[[#This Row],[orig_vote_trump]]&gt;Table1[[#This Row],[orig_vote_clinton]],Table1[[#This Row],[electoral_votes]],0)</f>
        <v>0</v>
      </c>
      <c r="K50" s="21">
        <f>Table1[[#This Row],[orig_vote_clinton]]+Table1[[#This Row],[orig_vote_stein]]*pct_stein_to_clinton+Table1[[#This Row],[orig_vote_johnson]]*pct_johnson_to_clinton</f>
        <v>1000350</v>
      </c>
      <c r="L50" s="21">
        <f>Table1[[#This Row],[orig_vote_trump]]+Table1[[#This Row],[orig_vote_stein]]*pct_stein_to_trump+Table1[[#This Row],[orig_vote_johnson]]*pct_johnson_to_trump</f>
        <v>808225</v>
      </c>
      <c r="M50" s="21">
        <f>Table1[[#This Row],[adjusted_vote_trump]]-Table1[[#This Row],[adjusted_vote_clinton]]</f>
        <v>-192125</v>
      </c>
      <c r="N50" s="21">
        <f>IF(Table1[[#This Row],[adjusted_vote_clinton]]&gt;Table1[[#This Row],[adjusted_vote_trump]],0,Table1[[#This Row],[electoral_votes]])</f>
        <v>0</v>
      </c>
      <c r="O50" s="21">
        <f>IF(Table1[[#This Row],[adjusted_vote_clinton]]&gt;Table1[[#This Row],[adjusted_vote_trump]],Table1[[#This Row],[electoral_votes]],0)</f>
        <v>7</v>
      </c>
      <c r="P50" s="21" t="str">
        <f>IF(Table1[[#This Row],[orig_spread]]&gt;0,"Trump","Clinton")</f>
        <v>Clinton</v>
      </c>
      <c r="Q50" s="21" t="str">
        <f>IF(Table1[[#This Row],[adjusted_spread]]&gt;0,"Trump","Clinton")</f>
        <v>Clinton</v>
      </c>
      <c r="R50" s="21" t="b">
        <f>AND(Table1[[#This Row],[orig_outcome]]="Trump",Table1[[#This Row],[adjusted_outcome]]="Clinton")</f>
        <v>0</v>
      </c>
      <c r="S50" s="21" t="b">
        <f>AND(Table1[[#This Row],[orig_outcome]]="Clinton",Table1[[#This Row],[adjusted_outcome]]="Trump")</f>
        <v>0</v>
      </c>
      <c r="T50" s="22">
        <f>Table1[[#This Row],[adjusted_electors_trump]]+Table1[[#This Row],[adjusted_electors_clinton]]-Table1[[#This Row],[electoral_votes]]</f>
        <v>0</v>
      </c>
      <c r="V50"/>
    </row>
    <row r="51" spans="2:22">
      <c r="B51" s="19" t="s">
        <v>2</v>
      </c>
      <c r="C51" s="20">
        <v>20</v>
      </c>
      <c r="D51" s="23">
        <v>2844705</v>
      </c>
      <c r="E51" s="23">
        <v>2912941</v>
      </c>
      <c r="F51" s="23">
        <v>142653</v>
      </c>
      <c r="G51" s="23">
        <v>48912</v>
      </c>
      <c r="H51" s="21">
        <f>Table1[[#This Row],[orig_vote_trump]]-Table1[[#This Row],[orig_vote_clinton]]</f>
        <v>68236</v>
      </c>
      <c r="I51" s="21">
        <f>IF(Table1[[#This Row],[orig_vote_clinton]]&gt;Table1[[#This Row],[orig_vote_trump]],Table1[[#This Row],[electoral_votes]],0)</f>
        <v>0</v>
      </c>
      <c r="J51" s="21">
        <f>IF(Table1[[#This Row],[orig_vote_trump]]&gt;Table1[[#This Row],[orig_vote_clinton]],Table1[[#This Row],[electoral_votes]],0)</f>
        <v>20</v>
      </c>
      <c r="K51" s="21">
        <f>Table1[[#This Row],[orig_vote_clinton]]+Table1[[#This Row],[orig_vote_stein]]*pct_stein_to_clinton+Table1[[#This Row],[orig_vote_johnson]]*pct_johnson_to_clinton</f>
        <v>2940487.5</v>
      </c>
      <c r="L51" s="21">
        <f>Table1[[#This Row],[orig_vote_trump]]+Table1[[#This Row],[orig_vote_stein]]*pct_stein_to_trump+Table1[[#This Row],[orig_vote_johnson]]*pct_johnson_to_trump</f>
        <v>3008723.5</v>
      </c>
      <c r="M51" s="21">
        <f>Table1[[#This Row],[adjusted_vote_trump]]-Table1[[#This Row],[adjusted_vote_clinton]]</f>
        <v>68236</v>
      </c>
      <c r="N51" s="21">
        <f>IF(Table1[[#This Row],[adjusted_vote_clinton]]&gt;Table1[[#This Row],[adjusted_vote_trump]],0,Table1[[#This Row],[electoral_votes]])</f>
        <v>20</v>
      </c>
      <c r="O51" s="21">
        <f>IF(Table1[[#This Row],[adjusted_vote_clinton]]&gt;Table1[[#This Row],[adjusted_vote_trump]],Table1[[#This Row],[electoral_votes]],0)</f>
        <v>0</v>
      </c>
      <c r="P51" s="21" t="str">
        <f>IF(Table1[[#This Row],[orig_spread]]&gt;0,"Trump","Clinton")</f>
        <v>Trump</v>
      </c>
      <c r="Q51" s="21" t="str">
        <f>IF(Table1[[#This Row],[adjusted_spread]]&gt;0,"Trump","Clinton")</f>
        <v>Trump</v>
      </c>
      <c r="R51" s="21" t="b">
        <f>AND(Table1[[#This Row],[orig_outcome]]="Trump",Table1[[#This Row],[adjusted_outcome]]="Clinton")</f>
        <v>0</v>
      </c>
      <c r="S51" s="21" t="b">
        <f>AND(Table1[[#This Row],[orig_outcome]]="Clinton",Table1[[#This Row],[adjusted_outcome]]="Trump")</f>
        <v>0</v>
      </c>
      <c r="T51" s="22">
        <f>Table1[[#This Row],[adjusted_electors_trump]]+Table1[[#This Row],[adjusted_electors_clinton]]-Table1[[#This Row],[electoral_votes]]</f>
        <v>0</v>
      </c>
      <c r="V51"/>
    </row>
    <row r="52" spans="2:22">
      <c r="B52" s="19" t="s">
        <v>46</v>
      </c>
      <c r="C52" s="20">
        <v>4</v>
      </c>
      <c r="D52" s="11">
        <v>934631</v>
      </c>
      <c r="E52" s="11">
        <v>742506</v>
      </c>
      <c r="F52" s="11">
        <v>86306</v>
      </c>
      <c r="G52" s="11">
        <v>45132</v>
      </c>
      <c r="H52" s="21">
        <f>Table1[[#This Row],[orig_vote_trump]]-Table1[[#This Row],[orig_vote_clinton]]</f>
        <v>-192125</v>
      </c>
      <c r="I52" s="21">
        <f>IF(Table1[[#This Row],[orig_vote_clinton]]&gt;Table1[[#This Row],[orig_vote_trump]],Table1[[#This Row],[electoral_votes]],0)</f>
        <v>4</v>
      </c>
      <c r="J52" s="21">
        <f>IF(Table1[[#This Row],[orig_vote_trump]]&gt;Table1[[#This Row],[orig_vote_clinton]],Table1[[#This Row],[electoral_votes]],0)</f>
        <v>0</v>
      </c>
      <c r="K52" s="21">
        <f>Table1[[#This Row],[orig_vote_clinton]]+Table1[[#This Row],[orig_vote_stein]]*pct_stein_to_clinton+Table1[[#This Row],[orig_vote_johnson]]*pct_johnson_to_clinton</f>
        <v>1000350</v>
      </c>
      <c r="L52" s="21">
        <f>Table1[[#This Row],[orig_vote_trump]]+Table1[[#This Row],[orig_vote_stein]]*pct_stein_to_trump+Table1[[#This Row],[orig_vote_johnson]]*pct_johnson_to_trump</f>
        <v>808225</v>
      </c>
      <c r="M52" s="21">
        <f>Table1[[#This Row],[adjusted_vote_trump]]-Table1[[#This Row],[adjusted_vote_clinton]]</f>
        <v>-192125</v>
      </c>
      <c r="N52" s="21">
        <f>IF(Table1[[#This Row],[adjusted_vote_clinton]]&gt;Table1[[#This Row],[adjusted_vote_trump]],0,Table1[[#This Row],[electoral_votes]])</f>
        <v>0</v>
      </c>
      <c r="O52" s="21">
        <f>IF(Table1[[#This Row],[adjusted_vote_clinton]]&gt;Table1[[#This Row],[adjusted_vote_trump]],Table1[[#This Row],[electoral_votes]],0)</f>
        <v>4</v>
      </c>
      <c r="P52" s="21" t="str">
        <f>IF(Table1[[#This Row],[orig_spread]]&gt;0,"Trump","Clinton")</f>
        <v>Clinton</v>
      </c>
      <c r="Q52" s="21" t="str">
        <f>IF(Table1[[#This Row],[adjusted_spread]]&gt;0,"Trump","Clinton")</f>
        <v>Clinton</v>
      </c>
      <c r="R52" s="21" t="b">
        <f>AND(Table1[[#This Row],[orig_outcome]]="Trump",Table1[[#This Row],[adjusted_outcome]]="Clinton")</f>
        <v>0</v>
      </c>
      <c r="S52" s="21" t="b">
        <f>AND(Table1[[#This Row],[orig_outcome]]="Clinton",Table1[[#This Row],[adjusted_outcome]]="Trump")</f>
        <v>0</v>
      </c>
      <c r="T52" s="22">
        <f>Table1[[#This Row],[adjusted_electors_trump]]+Table1[[#This Row],[adjusted_electors_clinton]]-Table1[[#This Row],[electoral_votes]]</f>
        <v>0</v>
      </c>
      <c r="V52"/>
    </row>
    <row r="53" spans="2:22">
      <c r="B53" s="19" t="s">
        <v>48</v>
      </c>
      <c r="C53" s="20">
        <v>9</v>
      </c>
      <c r="D53" s="11">
        <v>849469</v>
      </c>
      <c r="E53" s="11">
        <v>1143611</v>
      </c>
      <c r="F53" s="11">
        <v>48715</v>
      </c>
      <c r="G53" s="11">
        <v>12917</v>
      </c>
      <c r="H53" s="21">
        <f>Table1[[#This Row],[orig_vote_trump]]-Table1[[#This Row],[orig_vote_clinton]]</f>
        <v>294142</v>
      </c>
      <c r="I53" s="21">
        <f>IF(Table1[[#This Row],[orig_vote_clinton]]&gt;Table1[[#This Row],[orig_vote_trump]],Table1[[#This Row],[electoral_votes]],0)</f>
        <v>0</v>
      </c>
      <c r="J53" s="21">
        <f>IF(Table1[[#This Row],[orig_vote_trump]]&gt;Table1[[#This Row],[orig_vote_clinton]],Table1[[#This Row],[electoral_votes]],0)</f>
        <v>9</v>
      </c>
      <c r="K53" s="21">
        <f>Table1[[#This Row],[orig_vote_clinton]]+Table1[[#This Row],[orig_vote_stein]]*pct_stein_to_clinton+Table1[[#This Row],[orig_vote_johnson]]*pct_johnson_to_clinton</f>
        <v>880285</v>
      </c>
      <c r="L53" s="21">
        <f>Table1[[#This Row],[orig_vote_trump]]+Table1[[#This Row],[orig_vote_stein]]*pct_stein_to_trump+Table1[[#This Row],[orig_vote_johnson]]*pct_johnson_to_trump</f>
        <v>1174427</v>
      </c>
      <c r="M53" s="21">
        <f>Table1[[#This Row],[adjusted_vote_trump]]-Table1[[#This Row],[adjusted_vote_clinton]]</f>
        <v>294142</v>
      </c>
      <c r="N53" s="21">
        <f>IF(Table1[[#This Row],[adjusted_vote_clinton]]&gt;Table1[[#This Row],[adjusted_vote_trump]],0,Table1[[#This Row],[electoral_votes]])</f>
        <v>9</v>
      </c>
      <c r="O53" s="21">
        <f>IF(Table1[[#This Row],[adjusted_vote_clinton]]&gt;Table1[[#This Row],[adjusted_vote_trump]],Table1[[#This Row],[electoral_votes]],0)</f>
        <v>0</v>
      </c>
      <c r="P53" s="21" t="str">
        <f>IF(Table1[[#This Row],[orig_spread]]&gt;0,"Trump","Clinton")</f>
        <v>Trump</v>
      </c>
      <c r="Q53" s="21" t="str">
        <f>IF(Table1[[#This Row],[adjusted_spread]]&gt;0,"Trump","Clinton")</f>
        <v>Trump</v>
      </c>
      <c r="R53" s="21" t="b">
        <f>AND(Table1[[#This Row],[orig_outcome]]="Trump",Table1[[#This Row],[adjusted_outcome]]="Clinton")</f>
        <v>0</v>
      </c>
      <c r="S53" s="21" t="b">
        <f>AND(Table1[[#This Row],[orig_outcome]]="Clinton",Table1[[#This Row],[adjusted_outcome]]="Trump")</f>
        <v>0</v>
      </c>
      <c r="T53" s="22">
        <f>Table1[[#This Row],[adjusted_electors_trump]]+Table1[[#This Row],[adjusted_electors_clinton]]-Table1[[#This Row],[electoral_votes]]</f>
        <v>0</v>
      </c>
      <c r="V53"/>
    </row>
    <row r="54" spans="2:22">
      <c r="B54" s="19" t="s">
        <v>47</v>
      </c>
      <c r="C54" s="20">
        <v>3</v>
      </c>
      <c r="D54" s="11">
        <v>117442</v>
      </c>
      <c r="E54" s="11">
        <v>227701</v>
      </c>
      <c r="F54" s="11">
        <v>20845</v>
      </c>
      <c r="G54" s="23"/>
      <c r="H54" s="21">
        <f>Table1[[#This Row],[orig_vote_trump]]-Table1[[#This Row],[orig_vote_clinton]]</f>
        <v>110259</v>
      </c>
      <c r="I54" s="21">
        <f>IF(Table1[[#This Row],[orig_vote_clinton]]&gt;Table1[[#This Row],[orig_vote_trump]],Table1[[#This Row],[electoral_votes]],0)</f>
        <v>0</v>
      </c>
      <c r="J54" s="21">
        <f>IF(Table1[[#This Row],[orig_vote_trump]]&gt;Table1[[#This Row],[orig_vote_clinton]],Table1[[#This Row],[electoral_votes]],0)</f>
        <v>3</v>
      </c>
      <c r="K54" s="21">
        <f>Table1[[#This Row],[orig_vote_clinton]]+Table1[[#This Row],[orig_vote_stein]]*pct_stein_to_clinton+Table1[[#This Row],[orig_vote_johnson]]*pct_johnson_to_clinton</f>
        <v>127864.5</v>
      </c>
      <c r="L54" s="21">
        <f>Table1[[#This Row],[orig_vote_trump]]+Table1[[#This Row],[orig_vote_stein]]*pct_stein_to_trump+Table1[[#This Row],[orig_vote_johnson]]*pct_johnson_to_trump</f>
        <v>238123.5</v>
      </c>
      <c r="M54" s="21">
        <f>Table1[[#This Row],[adjusted_vote_trump]]-Table1[[#This Row],[adjusted_vote_clinton]]</f>
        <v>110259</v>
      </c>
      <c r="N54" s="21">
        <f>IF(Table1[[#This Row],[adjusted_vote_clinton]]&gt;Table1[[#This Row],[adjusted_vote_trump]],0,Table1[[#This Row],[electoral_votes]])</f>
        <v>3</v>
      </c>
      <c r="O54" s="21">
        <f>IF(Table1[[#This Row],[adjusted_vote_clinton]]&gt;Table1[[#This Row],[adjusted_vote_trump]],Table1[[#This Row],[electoral_votes]],0)</f>
        <v>0</v>
      </c>
      <c r="P54" s="21" t="str">
        <f>IF(Table1[[#This Row],[orig_spread]]&gt;0,"Trump","Clinton")</f>
        <v>Trump</v>
      </c>
      <c r="Q54" s="21" t="str">
        <f>IF(Table1[[#This Row],[adjusted_spread]]&gt;0,"Trump","Clinton")</f>
        <v>Trump</v>
      </c>
      <c r="R54" s="21" t="b">
        <f>AND(Table1[[#This Row],[orig_outcome]]="Trump",Table1[[#This Row],[adjusted_outcome]]="Clinton")</f>
        <v>0</v>
      </c>
      <c r="S54" s="21" t="b">
        <f>AND(Table1[[#This Row],[orig_outcome]]="Clinton",Table1[[#This Row],[adjusted_outcome]]="Trump")</f>
        <v>0</v>
      </c>
      <c r="T54" s="22">
        <f>Table1[[#This Row],[adjusted_electors_trump]]+Table1[[#This Row],[adjusted_electors_clinton]]-Table1[[#This Row],[electoral_votes]]</f>
        <v>0</v>
      </c>
      <c r="V54"/>
    </row>
    <row r="55" spans="2:22">
      <c r="B55" s="19" t="s">
        <v>49</v>
      </c>
      <c r="C55" s="20">
        <v>11</v>
      </c>
      <c r="D55" s="11">
        <v>867110</v>
      </c>
      <c r="E55" s="11">
        <v>1517402</v>
      </c>
      <c r="F55" s="11">
        <v>70084</v>
      </c>
      <c r="G55" s="11">
        <v>15919</v>
      </c>
      <c r="H55" s="21">
        <f>Table1[[#This Row],[orig_vote_trump]]-Table1[[#This Row],[orig_vote_clinton]]</f>
        <v>650292</v>
      </c>
      <c r="I55" s="21">
        <f>IF(Table1[[#This Row],[orig_vote_clinton]]&gt;Table1[[#This Row],[orig_vote_trump]],Table1[[#This Row],[electoral_votes]],0)</f>
        <v>0</v>
      </c>
      <c r="J55" s="21">
        <f>IF(Table1[[#This Row],[orig_vote_trump]]&gt;Table1[[#This Row],[orig_vote_clinton]],Table1[[#This Row],[electoral_votes]],0)</f>
        <v>11</v>
      </c>
      <c r="K55" s="21">
        <f>Table1[[#This Row],[orig_vote_clinton]]+Table1[[#This Row],[orig_vote_stein]]*pct_stein_to_clinton+Table1[[#This Row],[orig_vote_johnson]]*pct_johnson_to_clinton</f>
        <v>910111.5</v>
      </c>
      <c r="L55" s="21">
        <f>Table1[[#This Row],[orig_vote_trump]]+Table1[[#This Row],[orig_vote_stein]]*pct_stein_to_trump+Table1[[#This Row],[orig_vote_johnson]]*pct_johnson_to_trump</f>
        <v>1560403.5</v>
      </c>
      <c r="M55" s="21">
        <f>Table1[[#This Row],[adjusted_vote_trump]]-Table1[[#This Row],[adjusted_vote_clinton]]</f>
        <v>650292</v>
      </c>
      <c r="N55" s="21">
        <f>IF(Table1[[#This Row],[adjusted_vote_clinton]]&gt;Table1[[#This Row],[adjusted_vote_trump]],0,Table1[[#This Row],[electoral_votes]])</f>
        <v>11</v>
      </c>
      <c r="O55" s="21">
        <f>IF(Table1[[#This Row],[adjusted_vote_clinton]]&gt;Table1[[#This Row],[adjusted_vote_trump]],Table1[[#This Row],[electoral_votes]],0)</f>
        <v>0</v>
      </c>
      <c r="P55" s="21" t="str">
        <f>IF(Table1[[#This Row],[orig_spread]]&gt;0,"Trump","Clinton")</f>
        <v>Trump</v>
      </c>
      <c r="Q55" s="21" t="str">
        <f>IF(Table1[[#This Row],[adjusted_spread]]&gt;0,"Trump","Clinton")</f>
        <v>Trump</v>
      </c>
      <c r="R55" s="21" t="b">
        <f>AND(Table1[[#This Row],[orig_outcome]]="Trump",Table1[[#This Row],[adjusted_outcome]]="Clinton")</f>
        <v>0</v>
      </c>
      <c r="S55" s="21" t="b">
        <f>AND(Table1[[#This Row],[orig_outcome]]="Clinton",Table1[[#This Row],[adjusted_outcome]]="Trump")</f>
        <v>0</v>
      </c>
      <c r="T55" s="22">
        <f>Table1[[#This Row],[adjusted_electors_trump]]+Table1[[#This Row],[adjusted_electors_clinton]]-Table1[[#This Row],[electoral_votes]]</f>
        <v>0</v>
      </c>
      <c r="V55"/>
    </row>
    <row r="56" spans="2:22">
      <c r="B56" s="19" t="s">
        <v>50</v>
      </c>
      <c r="C56" s="20">
        <v>38</v>
      </c>
      <c r="D56" s="11">
        <v>3867816</v>
      </c>
      <c r="E56" s="11">
        <v>4681590</v>
      </c>
      <c r="F56" s="11">
        <v>282524</v>
      </c>
      <c r="G56" s="11">
        <v>71307</v>
      </c>
      <c r="H56" s="21">
        <f>Table1[[#This Row],[orig_vote_trump]]-Table1[[#This Row],[orig_vote_clinton]]</f>
        <v>813774</v>
      </c>
      <c r="I56" s="21">
        <f>IF(Table1[[#This Row],[orig_vote_clinton]]&gt;Table1[[#This Row],[orig_vote_trump]],Table1[[#This Row],[electoral_votes]],0)</f>
        <v>0</v>
      </c>
      <c r="J56" s="21">
        <f>IF(Table1[[#This Row],[orig_vote_trump]]&gt;Table1[[#This Row],[orig_vote_clinton]],Table1[[#This Row],[electoral_votes]],0)</f>
        <v>38</v>
      </c>
      <c r="K56" s="21">
        <f>Table1[[#This Row],[orig_vote_clinton]]+Table1[[#This Row],[orig_vote_stein]]*pct_stein_to_clinton+Table1[[#This Row],[orig_vote_johnson]]*pct_johnson_to_clinton</f>
        <v>4044731.5</v>
      </c>
      <c r="L56" s="21">
        <f>Table1[[#This Row],[orig_vote_trump]]+Table1[[#This Row],[orig_vote_stein]]*pct_stein_to_trump+Table1[[#This Row],[orig_vote_johnson]]*pct_johnson_to_trump</f>
        <v>4858505.5</v>
      </c>
      <c r="M56" s="21">
        <f>Table1[[#This Row],[adjusted_vote_trump]]-Table1[[#This Row],[adjusted_vote_clinton]]</f>
        <v>813774</v>
      </c>
      <c r="N56" s="21">
        <f>IF(Table1[[#This Row],[adjusted_vote_clinton]]&gt;Table1[[#This Row],[adjusted_vote_trump]],0,Table1[[#This Row],[electoral_votes]])</f>
        <v>38</v>
      </c>
      <c r="O56" s="21">
        <f>IF(Table1[[#This Row],[adjusted_vote_clinton]]&gt;Table1[[#This Row],[adjusted_vote_trump]],Table1[[#This Row],[electoral_votes]],0)</f>
        <v>0</v>
      </c>
      <c r="P56" s="21" t="str">
        <f>IF(Table1[[#This Row],[orig_spread]]&gt;0,"Trump","Clinton")</f>
        <v>Trump</v>
      </c>
      <c r="Q56" s="21" t="str">
        <f>IF(Table1[[#This Row],[adjusted_spread]]&gt;0,"Trump","Clinton")</f>
        <v>Trump</v>
      </c>
      <c r="R56" s="21" t="b">
        <f>AND(Table1[[#This Row],[orig_outcome]]="Trump",Table1[[#This Row],[adjusted_outcome]]="Clinton")</f>
        <v>0</v>
      </c>
      <c r="S56" s="21" t="b">
        <f>AND(Table1[[#This Row],[orig_outcome]]="Clinton",Table1[[#This Row],[adjusted_outcome]]="Trump")</f>
        <v>0</v>
      </c>
      <c r="T56" s="22">
        <f>Table1[[#This Row],[adjusted_electors_trump]]+Table1[[#This Row],[adjusted_electors_clinton]]-Table1[[#This Row],[electoral_votes]]</f>
        <v>0</v>
      </c>
      <c r="V56"/>
    </row>
    <row r="57" spans="2:22">
      <c r="B57" s="19" t="s">
        <v>51</v>
      </c>
      <c r="C57" s="20">
        <v>6</v>
      </c>
      <c r="D57" s="11">
        <v>222858</v>
      </c>
      <c r="E57" s="11">
        <v>375006</v>
      </c>
      <c r="F57" s="11">
        <v>222858</v>
      </c>
      <c r="G57" s="11">
        <v>5484</v>
      </c>
      <c r="H57" s="21">
        <f>Table1[[#This Row],[orig_vote_trump]]-Table1[[#This Row],[orig_vote_clinton]]</f>
        <v>152148</v>
      </c>
      <c r="I57" s="21">
        <f>IF(Table1[[#This Row],[orig_vote_clinton]]&gt;Table1[[#This Row],[orig_vote_trump]],Table1[[#This Row],[electoral_votes]],0)</f>
        <v>0</v>
      </c>
      <c r="J57" s="21">
        <f>IF(Table1[[#This Row],[orig_vote_trump]]&gt;Table1[[#This Row],[orig_vote_clinton]],Table1[[#This Row],[electoral_votes]],0)</f>
        <v>6</v>
      </c>
      <c r="K57" s="21">
        <f>Table1[[#This Row],[orig_vote_clinton]]+Table1[[#This Row],[orig_vote_stein]]*pct_stein_to_clinton+Table1[[#This Row],[orig_vote_johnson]]*pct_johnson_to_clinton</f>
        <v>337029</v>
      </c>
      <c r="L57" s="21">
        <f>Table1[[#This Row],[orig_vote_trump]]+Table1[[#This Row],[orig_vote_stein]]*pct_stein_to_trump+Table1[[#This Row],[orig_vote_johnson]]*pct_johnson_to_trump</f>
        <v>489177</v>
      </c>
      <c r="M57" s="21">
        <f>Table1[[#This Row],[adjusted_vote_trump]]-Table1[[#This Row],[adjusted_vote_clinton]]</f>
        <v>152148</v>
      </c>
      <c r="N57" s="21">
        <f>IF(Table1[[#This Row],[adjusted_vote_clinton]]&gt;Table1[[#This Row],[adjusted_vote_trump]],0,Table1[[#This Row],[electoral_votes]])</f>
        <v>6</v>
      </c>
      <c r="O57" s="21">
        <f>IF(Table1[[#This Row],[adjusted_vote_clinton]]&gt;Table1[[#This Row],[adjusted_vote_trump]],Table1[[#This Row],[electoral_votes]],0)</f>
        <v>0</v>
      </c>
      <c r="P57" s="21" t="str">
        <f>IF(Table1[[#This Row],[orig_spread]]&gt;0,"Trump","Clinton")</f>
        <v>Trump</v>
      </c>
      <c r="Q57" s="21" t="str">
        <f>IF(Table1[[#This Row],[adjusted_spread]]&gt;0,"Trump","Clinton")</f>
        <v>Trump</v>
      </c>
      <c r="R57" s="21" t="b">
        <f>AND(Table1[[#This Row],[orig_outcome]]="Trump",Table1[[#This Row],[adjusted_outcome]]="Clinton")</f>
        <v>0</v>
      </c>
      <c r="S57" s="21" t="b">
        <f>AND(Table1[[#This Row],[orig_outcome]]="Clinton",Table1[[#This Row],[adjusted_outcome]]="Trump")</f>
        <v>0</v>
      </c>
      <c r="T57" s="22">
        <f>Table1[[#This Row],[adjusted_electors_trump]]+Table1[[#This Row],[adjusted_electors_clinton]]-Table1[[#This Row],[electoral_votes]]</f>
        <v>0</v>
      </c>
      <c r="V57"/>
    </row>
    <row r="58" spans="2:22">
      <c r="B58" s="19" t="s">
        <v>52</v>
      </c>
      <c r="C58" s="20">
        <v>3</v>
      </c>
      <c r="D58" s="11">
        <v>178072</v>
      </c>
      <c r="E58" s="11">
        <v>95027</v>
      </c>
      <c r="F58" s="11">
        <v>10041</v>
      </c>
      <c r="G58" s="11">
        <v>6742</v>
      </c>
      <c r="H58" s="21">
        <f>Table1[[#This Row],[orig_vote_trump]]-Table1[[#This Row],[orig_vote_clinton]]</f>
        <v>-83045</v>
      </c>
      <c r="I58" s="21">
        <f>IF(Table1[[#This Row],[orig_vote_clinton]]&gt;Table1[[#This Row],[orig_vote_trump]],Table1[[#This Row],[electoral_votes]],0)</f>
        <v>3</v>
      </c>
      <c r="J58" s="21">
        <f>IF(Table1[[#This Row],[orig_vote_trump]]&gt;Table1[[#This Row],[orig_vote_clinton]],Table1[[#This Row],[electoral_votes]],0)</f>
        <v>0</v>
      </c>
      <c r="K58" s="21">
        <f>Table1[[#This Row],[orig_vote_clinton]]+Table1[[#This Row],[orig_vote_stein]]*pct_stein_to_clinton+Table1[[#This Row],[orig_vote_johnson]]*pct_johnson_to_clinton</f>
        <v>186463.5</v>
      </c>
      <c r="L58" s="21">
        <f>Table1[[#This Row],[orig_vote_trump]]+Table1[[#This Row],[orig_vote_stein]]*pct_stein_to_trump+Table1[[#This Row],[orig_vote_johnson]]*pct_johnson_to_trump</f>
        <v>103418.5</v>
      </c>
      <c r="M58" s="21">
        <f>Table1[[#This Row],[adjusted_vote_trump]]-Table1[[#This Row],[adjusted_vote_clinton]]</f>
        <v>-83045</v>
      </c>
      <c r="N58" s="21">
        <f>IF(Table1[[#This Row],[adjusted_vote_clinton]]&gt;Table1[[#This Row],[adjusted_vote_trump]],0,Table1[[#This Row],[electoral_votes]])</f>
        <v>0</v>
      </c>
      <c r="O58" s="21">
        <f>IF(Table1[[#This Row],[adjusted_vote_clinton]]&gt;Table1[[#This Row],[adjusted_vote_trump]],Table1[[#This Row],[electoral_votes]],0)</f>
        <v>3</v>
      </c>
      <c r="P58" s="21" t="str">
        <f>IF(Table1[[#This Row],[orig_spread]]&gt;0,"Trump","Clinton")</f>
        <v>Clinton</v>
      </c>
      <c r="Q58" s="21" t="str">
        <f>IF(Table1[[#This Row],[adjusted_spread]]&gt;0,"Trump","Clinton")</f>
        <v>Clinton</v>
      </c>
      <c r="R58" s="21" t="b">
        <f>AND(Table1[[#This Row],[orig_outcome]]="Trump",Table1[[#This Row],[adjusted_outcome]]="Clinton")</f>
        <v>0</v>
      </c>
      <c r="S58" s="21" t="b">
        <f>AND(Table1[[#This Row],[orig_outcome]]="Clinton",Table1[[#This Row],[adjusted_outcome]]="Trump")</f>
        <v>0</v>
      </c>
      <c r="T58" s="22">
        <f>Table1[[#This Row],[adjusted_electors_trump]]+Table1[[#This Row],[adjusted_electors_clinton]]-Table1[[#This Row],[electoral_votes]]</f>
        <v>0</v>
      </c>
      <c r="V58"/>
    </row>
    <row r="59" spans="2:22">
      <c r="B59" s="19" t="s">
        <v>53</v>
      </c>
      <c r="C59" s="20">
        <v>13</v>
      </c>
      <c r="D59" s="11">
        <v>1916845</v>
      </c>
      <c r="E59" s="11">
        <v>1731156</v>
      </c>
      <c r="F59" s="11">
        <v>116600</v>
      </c>
      <c r="G59" s="11">
        <v>27272</v>
      </c>
      <c r="H59" s="21">
        <f>Table1[[#This Row],[orig_vote_trump]]-Table1[[#This Row],[orig_vote_clinton]]</f>
        <v>-185689</v>
      </c>
      <c r="I59" s="21">
        <f>IF(Table1[[#This Row],[orig_vote_clinton]]&gt;Table1[[#This Row],[orig_vote_trump]],Table1[[#This Row],[electoral_votes]],0)</f>
        <v>13</v>
      </c>
      <c r="J59" s="21">
        <f>IF(Table1[[#This Row],[orig_vote_trump]]&gt;Table1[[#This Row],[orig_vote_clinton]],Table1[[#This Row],[electoral_votes]],0)</f>
        <v>0</v>
      </c>
      <c r="K59" s="21">
        <f>Table1[[#This Row],[orig_vote_clinton]]+Table1[[#This Row],[orig_vote_stein]]*pct_stein_to_clinton+Table1[[#This Row],[orig_vote_johnson]]*pct_johnson_to_clinton</f>
        <v>1988781</v>
      </c>
      <c r="L59" s="21">
        <f>Table1[[#This Row],[orig_vote_trump]]+Table1[[#This Row],[orig_vote_stein]]*pct_stein_to_trump+Table1[[#This Row],[orig_vote_johnson]]*pct_johnson_to_trump</f>
        <v>1803092</v>
      </c>
      <c r="M59" s="21">
        <f>Table1[[#This Row],[adjusted_vote_trump]]-Table1[[#This Row],[adjusted_vote_clinton]]</f>
        <v>-185689</v>
      </c>
      <c r="N59" s="21">
        <f>IF(Table1[[#This Row],[adjusted_vote_clinton]]&gt;Table1[[#This Row],[adjusted_vote_trump]],0,Table1[[#This Row],[electoral_votes]])</f>
        <v>0</v>
      </c>
      <c r="O59" s="21">
        <f>IF(Table1[[#This Row],[adjusted_vote_clinton]]&gt;Table1[[#This Row],[adjusted_vote_trump]],Table1[[#This Row],[electoral_votes]],0)</f>
        <v>13</v>
      </c>
      <c r="P59" s="21" t="str">
        <f>IF(Table1[[#This Row],[orig_spread]]&gt;0,"Trump","Clinton")</f>
        <v>Clinton</v>
      </c>
      <c r="Q59" s="21" t="str">
        <f>IF(Table1[[#This Row],[adjusted_spread]]&gt;0,"Trump","Clinton")</f>
        <v>Clinton</v>
      </c>
      <c r="R59" s="21" t="b">
        <f>AND(Table1[[#This Row],[orig_outcome]]="Trump",Table1[[#This Row],[adjusted_outcome]]="Clinton")</f>
        <v>0</v>
      </c>
      <c r="S59" s="21" t="b">
        <f>AND(Table1[[#This Row],[orig_outcome]]="Clinton",Table1[[#This Row],[adjusted_outcome]]="Trump")</f>
        <v>0</v>
      </c>
      <c r="T59" s="22">
        <f>Table1[[#This Row],[adjusted_electors_trump]]+Table1[[#This Row],[adjusted_electors_clinton]]-Table1[[#This Row],[electoral_votes]]</f>
        <v>0</v>
      </c>
      <c r="V59"/>
    </row>
    <row r="60" spans="2:22">
      <c r="B60" s="19" t="s">
        <v>54</v>
      </c>
      <c r="C60" s="20">
        <v>12</v>
      </c>
      <c r="D60" s="11">
        <v>1207943</v>
      </c>
      <c r="E60" s="11">
        <v>827555</v>
      </c>
      <c r="F60" s="11">
        <v>91053</v>
      </c>
      <c r="G60" s="11">
        <v>30416</v>
      </c>
      <c r="H60" s="21">
        <f>Table1[[#This Row],[orig_vote_trump]]-Table1[[#This Row],[orig_vote_clinton]]</f>
        <v>-380388</v>
      </c>
      <c r="I60" s="21">
        <f>IF(Table1[[#This Row],[orig_vote_clinton]]&gt;Table1[[#This Row],[orig_vote_trump]],Table1[[#This Row],[electoral_votes]],0)</f>
        <v>12</v>
      </c>
      <c r="J60" s="21">
        <f>IF(Table1[[#This Row],[orig_vote_trump]]&gt;Table1[[#This Row],[orig_vote_clinton]],Table1[[#This Row],[electoral_votes]],0)</f>
        <v>0</v>
      </c>
      <c r="K60" s="21">
        <f>Table1[[#This Row],[orig_vote_clinton]]+Table1[[#This Row],[orig_vote_stein]]*pct_stein_to_clinton+Table1[[#This Row],[orig_vote_johnson]]*pct_johnson_to_clinton</f>
        <v>1268677.5</v>
      </c>
      <c r="L60" s="21">
        <f>Table1[[#This Row],[orig_vote_trump]]+Table1[[#This Row],[orig_vote_stein]]*pct_stein_to_trump+Table1[[#This Row],[orig_vote_johnson]]*pct_johnson_to_trump</f>
        <v>888289.5</v>
      </c>
      <c r="M60" s="21">
        <f>Table1[[#This Row],[adjusted_vote_trump]]-Table1[[#This Row],[adjusted_vote_clinton]]</f>
        <v>-380388</v>
      </c>
      <c r="N60" s="21">
        <f>IF(Table1[[#This Row],[adjusted_vote_clinton]]&gt;Table1[[#This Row],[adjusted_vote_trump]],0,Table1[[#This Row],[electoral_votes]])</f>
        <v>0</v>
      </c>
      <c r="O60" s="21">
        <f>IF(Table1[[#This Row],[adjusted_vote_clinton]]&gt;Table1[[#This Row],[adjusted_vote_trump]],Table1[[#This Row],[electoral_votes]],0)</f>
        <v>12</v>
      </c>
      <c r="P60" s="21" t="str">
        <f>IF(Table1[[#This Row],[orig_spread]]&gt;0,"Trump","Clinton")</f>
        <v>Clinton</v>
      </c>
      <c r="Q60" s="21" t="str">
        <f>IF(Table1[[#This Row],[adjusted_spread]]&gt;0,"Trump","Clinton")</f>
        <v>Clinton</v>
      </c>
      <c r="R60" s="21" t="b">
        <f>AND(Table1[[#This Row],[orig_outcome]]="Trump",Table1[[#This Row],[adjusted_outcome]]="Clinton")</f>
        <v>0</v>
      </c>
      <c r="S60" s="21" t="b">
        <f>AND(Table1[[#This Row],[orig_outcome]]="Clinton",Table1[[#This Row],[adjusted_outcome]]="Trump")</f>
        <v>0</v>
      </c>
      <c r="T60" s="22">
        <f>Table1[[#This Row],[adjusted_electors_trump]]+Table1[[#This Row],[adjusted_electors_clinton]]-Table1[[#This Row],[electoral_votes]]</f>
        <v>0</v>
      </c>
      <c r="V60"/>
    </row>
    <row r="61" spans="2:22">
      <c r="B61" s="19" t="s">
        <v>55</v>
      </c>
      <c r="C61" s="20">
        <v>5</v>
      </c>
      <c r="D61" s="11">
        <v>187457</v>
      </c>
      <c r="E61" s="11">
        <v>486198</v>
      </c>
      <c r="F61" s="11">
        <v>22798</v>
      </c>
      <c r="G61" s="11">
        <v>8000</v>
      </c>
      <c r="H61" s="21">
        <f>Table1[[#This Row],[orig_vote_trump]]-Table1[[#This Row],[orig_vote_clinton]]</f>
        <v>298741</v>
      </c>
      <c r="I61" s="21">
        <f>IF(Table1[[#This Row],[orig_vote_clinton]]&gt;Table1[[#This Row],[orig_vote_trump]],Table1[[#This Row],[electoral_votes]],0)</f>
        <v>0</v>
      </c>
      <c r="J61" s="21">
        <f>IF(Table1[[#This Row],[orig_vote_trump]]&gt;Table1[[#This Row],[orig_vote_clinton]],Table1[[#This Row],[electoral_votes]],0)</f>
        <v>5</v>
      </c>
      <c r="K61" s="21">
        <f>Table1[[#This Row],[orig_vote_clinton]]+Table1[[#This Row],[orig_vote_stein]]*pct_stein_to_clinton+Table1[[#This Row],[orig_vote_johnson]]*pct_johnson_to_clinton</f>
        <v>202856</v>
      </c>
      <c r="L61" s="21">
        <f>Table1[[#This Row],[orig_vote_trump]]+Table1[[#This Row],[orig_vote_stein]]*pct_stein_to_trump+Table1[[#This Row],[orig_vote_johnson]]*pct_johnson_to_trump</f>
        <v>501597</v>
      </c>
      <c r="M61" s="21">
        <f>Table1[[#This Row],[adjusted_vote_trump]]-Table1[[#This Row],[adjusted_vote_clinton]]</f>
        <v>298741</v>
      </c>
      <c r="N61" s="21">
        <f>IF(Table1[[#This Row],[adjusted_vote_clinton]]&gt;Table1[[#This Row],[adjusted_vote_trump]],0,Table1[[#This Row],[electoral_votes]])</f>
        <v>5</v>
      </c>
      <c r="O61" s="21">
        <f>IF(Table1[[#This Row],[adjusted_vote_clinton]]&gt;Table1[[#This Row],[adjusted_vote_trump]],Table1[[#This Row],[electoral_votes]],0)</f>
        <v>0</v>
      </c>
      <c r="P61" s="21" t="str">
        <f>IF(Table1[[#This Row],[orig_spread]]&gt;0,"Trump","Clinton")</f>
        <v>Trump</v>
      </c>
      <c r="Q61" s="21" t="str">
        <f>IF(Table1[[#This Row],[adjusted_spread]]&gt;0,"Trump","Clinton")</f>
        <v>Trump</v>
      </c>
      <c r="R61" s="21" t="b">
        <f>AND(Table1[[#This Row],[orig_outcome]]="Trump",Table1[[#This Row],[adjusted_outcome]]="Clinton")</f>
        <v>0</v>
      </c>
      <c r="S61" s="21" t="b">
        <f>AND(Table1[[#This Row],[orig_outcome]]="Clinton",Table1[[#This Row],[adjusted_outcome]]="Trump")</f>
        <v>0</v>
      </c>
      <c r="T61" s="22">
        <f>Table1[[#This Row],[adjusted_electors_trump]]+Table1[[#This Row],[adjusted_electors_clinton]]-Table1[[#This Row],[electoral_votes]]</f>
        <v>0</v>
      </c>
      <c r="V61"/>
    </row>
    <row r="62" spans="2:22">
      <c r="B62" s="19" t="s">
        <v>0</v>
      </c>
      <c r="C62" s="9">
        <v>10</v>
      </c>
      <c r="D62" s="9">
        <v>1382210</v>
      </c>
      <c r="E62" s="9">
        <v>1409467</v>
      </c>
      <c r="F62" s="11">
        <v>106442</v>
      </c>
      <c r="G62" s="11">
        <v>30980</v>
      </c>
      <c r="H62" s="21">
        <f>Table1[[#This Row],[orig_vote_trump]]-Table1[[#This Row],[orig_vote_clinton]]</f>
        <v>27257</v>
      </c>
      <c r="I62" s="21">
        <f>IF(Table1[[#This Row],[orig_vote_clinton]]&gt;Table1[[#This Row],[orig_vote_trump]],Table1[[#This Row],[electoral_votes]],0)</f>
        <v>0</v>
      </c>
      <c r="J62" s="21">
        <f>IF(Table1[[#This Row],[orig_vote_trump]]&gt;Table1[[#This Row],[orig_vote_clinton]],Table1[[#This Row],[electoral_votes]],0)</f>
        <v>10</v>
      </c>
      <c r="K62" s="21">
        <f>Table1[[#This Row],[orig_vote_clinton]]+Table1[[#This Row],[orig_vote_stein]]*pct_stein_to_clinton+Table1[[#This Row],[orig_vote_johnson]]*pct_johnson_to_clinton</f>
        <v>1450921</v>
      </c>
      <c r="L62" s="21">
        <f>Table1[[#This Row],[orig_vote_trump]]+Table1[[#This Row],[orig_vote_stein]]*pct_stein_to_trump+Table1[[#This Row],[orig_vote_johnson]]*pct_johnson_to_trump</f>
        <v>1478178</v>
      </c>
      <c r="M62" s="21">
        <f>Table1[[#This Row],[adjusted_vote_trump]]-Table1[[#This Row],[adjusted_vote_clinton]]</f>
        <v>27257</v>
      </c>
      <c r="N62" s="21">
        <f>IF(Table1[[#This Row],[adjusted_vote_clinton]]&gt;Table1[[#This Row],[adjusted_vote_trump]],0,Table1[[#This Row],[electoral_votes]])</f>
        <v>10</v>
      </c>
      <c r="O62" s="21">
        <f>IF(Table1[[#This Row],[adjusted_vote_clinton]]&gt;Table1[[#This Row],[adjusted_vote_trump]],Table1[[#This Row],[electoral_votes]],0)</f>
        <v>0</v>
      </c>
      <c r="P62" s="21" t="str">
        <f>IF(Table1[[#This Row],[orig_spread]]&gt;0,"Trump","Clinton")</f>
        <v>Trump</v>
      </c>
      <c r="Q62" s="21" t="str">
        <f>IF(Table1[[#This Row],[adjusted_spread]]&gt;0,"Trump","Clinton")</f>
        <v>Trump</v>
      </c>
      <c r="R62" s="21" t="b">
        <f>AND(Table1[[#This Row],[orig_outcome]]="Trump",Table1[[#This Row],[adjusted_outcome]]="Clinton")</f>
        <v>0</v>
      </c>
      <c r="S62" s="21" t="b">
        <f>AND(Table1[[#This Row],[orig_outcome]]="Clinton",Table1[[#This Row],[adjusted_outcome]]="Trump")</f>
        <v>0</v>
      </c>
      <c r="T62" s="22">
        <f>Table1[[#This Row],[adjusted_electors_trump]]+Table1[[#This Row],[adjusted_electors_clinton]]-Table1[[#This Row],[electoral_votes]]</f>
        <v>0</v>
      </c>
      <c r="V62"/>
    </row>
    <row r="63" spans="2:22">
      <c r="B63" s="19" t="s">
        <v>56</v>
      </c>
      <c r="C63" s="20">
        <v>3</v>
      </c>
      <c r="D63" s="11">
        <v>55949</v>
      </c>
      <c r="E63" s="11">
        <v>174248</v>
      </c>
      <c r="F63" s="11">
        <v>13285</v>
      </c>
      <c r="G63" s="11">
        <v>2512</v>
      </c>
      <c r="H63" s="21">
        <f>Table1[[#This Row],[orig_vote_trump]]-Table1[[#This Row],[orig_vote_clinton]]</f>
        <v>118299</v>
      </c>
      <c r="I63" s="21">
        <f>IF(Table1[[#This Row],[orig_vote_clinton]]&gt;Table1[[#This Row],[orig_vote_trump]],Table1[[#This Row],[electoral_votes]],0)</f>
        <v>0</v>
      </c>
      <c r="J63" s="21">
        <f>IF(Table1[[#This Row],[orig_vote_trump]]&gt;Table1[[#This Row],[orig_vote_clinton]],Table1[[#This Row],[electoral_votes]],0)</f>
        <v>3</v>
      </c>
      <c r="K63" s="21">
        <f>Table1[[#This Row],[orig_vote_clinton]]+Table1[[#This Row],[orig_vote_stein]]*pct_stein_to_clinton+Table1[[#This Row],[orig_vote_johnson]]*pct_johnson_to_clinton</f>
        <v>63847.5</v>
      </c>
      <c r="L63" s="21">
        <f>Table1[[#This Row],[orig_vote_trump]]+Table1[[#This Row],[orig_vote_stein]]*pct_stein_to_trump+Table1[[#This Row],[orig_vote_johnson]]*pct_johnson_to_trump</f>
        <v>182146.5</v>
      </c>
      <c r="M63" s="21">
        <f>Table1[[#This Row],[adjusted_vote_trump]]-Table1[[#This Row],[adjusted_vote_clinton]]</f>
        <v>118299</v>
      </c>
      <c r="N63" s="21">
        <f>IF(Table1[[#This Row],[adjusted_vote_clinton]]&gt;Table1[[#This Row],[adjusted_vote_trump]],0,Table1[[#This Row],[electoral_votes]])</f>
        <v>3</v>
      </c>
      <c r="O63" s="21">
        <f>IF(Table1[[#This Row],[adjusted_vote_clinton]]&gt;Table1[[#This Row],[adjusted_vote_trump]],Table1[[#This Row],[electoral_votes]],0)</f>
        <v>0</v>
      </c>
      <c r="P63" s="21" t="str">
        <f>IF(Table1[[#This Row],[orig_spread]]&gt;0,"Trump","Clinton")</f>
        <v>Trump</v>
      </c>
      <c r="Q63" s="21" t="str">
        <f>IF(Table1[[#This Row],[adjusted_spread]]&gt;0,"Trump","Clinton")</f>
        <v>Trump</v>
      </c>
      <c r="R63" s="21" t="b">
        <f>AND(Table1[[#This Row],[orig_outcome]]="Trump",Table1[[#This Row],[adjusted_outcome]]="Clinton")</f>
        <v>0</v>
      </c>
      <c r="S63" s="21" t="b">
        <f>AND(Table1[[#This Row],[orig_outcome]]="Clinton",Table1[[#This Row],[adjusted_outcome]]="Trump")</f>
        <v>0</v>
      </c>
      <c r="T63" s="22">
        <f>Table1[[#This Row],[adjusted_electors_trump]]+Table1[[#This Row],[adjusted_electors_clinton]]-Table1[[#This Row],[electoral_votes]]</f>
        <v>0</v>
      </c>
      <c r="V63"/>
    </row>
  </sheetData>
  <conditionalFormatting sqref="C10:J10 N10:O10 R10:S10">
    <cfRule type="cellIs" dxfId="29" priority="53" operator="notEqual">
      <formula>0</formula>
    </cfRule>
  </conditionalFormatting>
  <conditionalFormatting sqref="D5:F5">
    <cfRule type="cellIs" dxfId="28" priority="51" operator="notEqual">
      <formula>0</formula>
    </cfRule>
  </conditionalFormatting>
  <conditionalFormatting sqref="B13:S63">
    <cfRule type="expression" dxfId="20" priority="48">
      <formula>$S13</formula>
    </cfRule>
    <cfRule type="expression" dxfId="19" priority="49">
      <formula>$R13</formula>
    </cfRule>
  </conditionalFormatting>
  <conditionalFormatting sqref="C10">
    <cfRule type="containsBlanks" dxfId="27" priority="57">
      <formula>LEN(TRIM(C10))=0</formula>
    </cfRule>
  </conditionalFormatting>
  <conditionalFormatting sqref="I7:J7">
    <cfRule type="cellIs" dxfId="26" priority="2" operator="notEqual">
      <formula>0</formula>
    </cfRule>
  </conditionalFormatting>
  <dataValidations count="1">
    <dataValidation type="decimal" allowBlank="1" showInputMessage="1" showErrorMessage="1" sqref="D3:E3">
      <formula1>0</formula1>
      <formula2>1</formula2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Iora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iora user</dc:creator>
  <cp:lastModifiedBy>iora user</cp:lastModifiedBy>
  <dcterms:created xsi:type="dcterms:W3CDTF">2016-11-10T01:39:46Z</dcterms:created>
  <dcterms:modified xsi:type="dcterms:W3CDTF">2016-11-10T05:51:22Z</dcterms:modified>
</cp:coreProperties>
</file>