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1" ContentType="application/binary"/>
  <Override PartName="/xl/commentsmeta0" ContentType="application/binary"/>
  <Override PartName="/xl/commentsmeta2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flavi\Google Drive\MSE\Projekte\MA\Report\Attachment\"/>
    </mc:Choice>
  </mc:AlternateContent>
  <xr:revisionPtr revIDLastSave="0" documentId="13_ncr:1_{C8FDD0D8-E293-4174-B326-CCBDB31835F9}" xr6:coauthVersionLast="41" xr6:coauthVersionMax="41" xr10:uidLastSave="{00000000-0000-0000-0000-000000000000}"/>
  <bookViews>
    <workbookView xWindow="-110" yWindow="-110" windowWidth="38620" windowHeight="21220" xr2:uid="{00000000-000D-0000-FFFF-FFFF00000000}"/>
  </bookViews>
  <sheets>
    <sheet name="Flight Test Matrix - Overview" sheetId="1" r:id="rId1"/>
    <sheet name="Finanzen" sheetId="2" r:id="rId2"/>
    <sheet name="Timetable" sheetId="3" r:id="rId3"/>
    <sheet name="Matrix - Detailed" sheetId="4" r:id="rId4"/>
    <sheet name="ADB and Rudder Calibration" sheetId="5" r:id="rId5"/>
  </sheets>
  <definedNames>
    <definedName name="_xlnm._FilterDatabase" localSheetId="3" hidden="1">'Matrix - Detailed'!$A$1:$AA$214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8" roundtripDataSignature="AMtx7mgA9l8vhWBoiUDQXcLR5b6+1/Kf/A=="/>
    </ext>
  </extLst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" i="4"/>
  <c r="U85" i="4" l="1"/>
  <c r="S85" i="4"/>
  <c r="C57" i="2" l="1"/>
  <c r="L3" i="2" l="1"/>
  <c r="N3" i="2" s="1"/>
  <c r="L2" i="2"/>
  <c r="N2" i="2" s="1"/>
  <c r="M2" i="2" l="1"/>
  <c r="M3" i="2"/>
  <c r="B42" i="2"/>
  <c r="L37" i="5" l="1"/>
  <c r="L36" i="5"/>
  <c r="L32" i="5"/>
  <c r="L31" i="5"/>
  <c r="L25" i="5"/>
  <c r="L24" i="5"/>
  <c r="L11" i="5"/>
  <c r="F11" i="5"/>
  <c r="L10" i="5"/>
  <c r="F10" i="5"/>
  <c r="L3" i="5"/>
  <c r="F3" i="5"/>
  <c r="L2" i="5"/>
  <c r="F2" i="5"/>
  <c r="U195" i="4"/>
  <c r="S195" i="4"/>
  <c r="U194" i="4"/>
  <c r="S194" i="4"/>
  <c r="U193" i="4"/>
  <c r="S193" i="4"/>
  <c r="U192" i="4"/>
  <c r="S192" i="4"/>
  <c r="R191" i="4"/>
  <c r="O191" i="4"/>
  <c r="M191" i="4"/>
  <c r="S184" i="4"/>
  <c r="V183" i="4"/>
  <c r="S183" i="4"/>
  <c r="U181" i="4"/>
  <c r="S181" i="4"/>
  <c r="U179" i="4"/>
  <c r="S179" i="4"/>
  <c r="T178" i="4"/>
  <c r="S176" i="4"/>
  <c r="S171" i="4"/>
  <c r="S170" i="4"/>
  <c r="S169" i="4"/>
  <c r="S168" i="4"/>
  <c r="S167" i="4"/>
  <c r="S166" i="4"/>
  <c r="S165" i="4"/>
  <c r="S164" i="4"/>
  <c r="S163" i="4"/>
  <c r="S162" i="4"/>
  <c r="S161" i="4"/>
  <c r="S160" i="4"/>
  <c r="S159" i="4"/>
  <c r="S158" i="4"/>
  <c r="S157" i="4"/>
  <c r="S156" i="4"/>
  <c r="R155" i="4"/>
  <c r="O155" i="4"/>
  <c r="M155" i="4"/>
  <c r="R154" i="4"/>
  <c r="O154" i="4"/>
  <c r="M154" i="4"/>
  <c r="R153" i="4"/>
  <c r="O153" i="4"/>
  <c r="M153" i="4"/>
  <c r="R152" i="4"/>
  <c r="O152" i="4"/>
  <c r="M152" i="4"/>
  <c r="R151" i="4"/>
  <c r="O151" i="4"/>
  <c r="M151" i="4"/>
  <c r="R150" i="4"/>
  <c r="O150" i="4"/>
  <c r="M150" i="4"/>
  <c r="R149" i="4"/>
  <c r="O149" i="4"/>
  <c r="M149" i="4"/>
  <c r="R148" i="4"/>
  <c r="O148" i="4"/>
  <c r="M148" i="4"/>
  <c r="R147" i="4"/>
  <c r="O147" i="4"/>
  <c r="M147" i="4"/>
  <c r="R146" i="4"/>
  <c r="O146" i="4"/>
  <c r="M146" i="4"/>
  <c r="R145" i="4"/>
  <c r="O145" i="4"/>
  <c r="M145" i="4"/>
  <c r="R144" i="4"/>
  <c r="O144" i="4"/>
  <c r="M144" i="4"/>
  <c r="R143" i="4"/>
  <c r="O143" i="4"/>
  <c r="M143" i="4"/>
  <c r="R142" i="4"/>
  <c r="O142" i="4"/>
  <c r="M142" i="4"/>
  <c r="R141" i="4"/>
  <c r="O141" i="4"/>
  <c r="M141" i="4"/>
  <c r="R140" i="4"/>
  <c r="O140" i="4"/>
  <c r="M140" i="4"/>
  <c r="R139" i="4"/>
  <c r="O139" i="4"/>
  <c r="M139" i="4"/>
  <c r="R138" i="4"/>
  <c r="O138" i="4"/>
  <c r="M138" i="4"/>
  <c r="R137" i="4"/>
  <c r="O137" i="4"/>
  <c r="M137" i="4"/>
  <c r="R136" i="4"/>
  <c r="O136" i="4"/>
  <c r="M136" i="4"/>
  <c r="R135" i="4"/>
  <c r="O135" i="4"/>
  <c r="M135" i="4"/>
  <c r="R134" i="4"/>
  <c r="O134" i="4"/>
  <c r="M134" i="4"/>
  <c r="R133" i="4"/>
  <c r="O133" i="4"/>
  <c r="M133" i="4"/>
  <c r="R132" i="4"/>
  <c r="O132" i="4"/>
  <c r="M132" i="4"/>
  <c r="R131" i="4"/>
  <c r="O131" i="4"/>
  <c r="M131" i="4"/>
  <c r="R130" i="4"/>
  <c r="O130" i="4"/>
  <c r="M130" i="4"/>
  <c r="V129" i="4"/>
  <c r="S129" i="4"/>
  <c r="V128" i="4"/>
  <c r="S128" i="4"/>
  <c r="V127" i="4"/>
  <c r="S127" i="4"/>
  <c r="V126" i="4"/>
  <c r="S126" i="4"/>
  <c r="V125" i="4"/>
  <c r="S125" i="4"/>
  <c r="V124" i="4"/>
  <c r="S124" i="4"/>
  <c r="V123" i="4"/>
  <c r="S123" i="4"/>
  <c r="V122" i="4"/>
  <c r="S122" i="4"/>
  <c r="V121" i="4"/>
  <c r="S121" i="4"/>
  <c r="V120" i="4"/>
  <c r="S120" i="4"/>
  <c r="V119" i="4"/>
  <c r="S119" i="4"/>
  <c r="V118" i="4"/>
  <c r="S118" i="4"/>
  <c r="V117" i="4"/>
  <c r="S117" i="4"/>
  <c r="V116" i="4"/>
  <c r="S116" i="4"/>
  <c r="U90" i="4"/>
  <c r="S90" i="4"/>
  <c r="U89" i="4"/>
  <c r="S89" i="4"/>
  <c r="U88" i="4"/>
  <c r="S88" i="4"/>
  <c r="U87" i="4"/>
  <c r="S87" i="4"/>
  <c r="U86" i="4"/>
  <c r="S86" i="4"/>
  <c r="U84" i="4"/>
  <c r="S84" i="4"/>
  <c r="U79" i="4"/>
  <c r="S79" i="4"/>
  <c r="U78" i="4"/>
  <c r="S78" i="4"/>
  <c r="U77" i="4"/>
  <c r="S77" i="4"/>
  <c r="U76" i="4"/>
  <c r="S76" i="4"/>
  <c r="U75" i="4"/>
  <c r="S75" i="4"/>
  <c r="T74" i="4"/>
  <c r="T73" i="4"/>
  <c r="T72" i="4"/>
  <c r="T71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S3" i="4"/>
  <c r="S2" i="4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AB27" i="3"/>
  <c r="AA27" i="3"/>
  <c r="AB26" i="3"/>
  <c r="AA26" i="3"/>
  <c r="AB25" i="3"/>
  <c r="AA25" i="3"/>
  <c r="AB24" i="3"/>
  <c r="AA24" i="3"/>
  <c r="AB23" i="3"/>
  <c r="AA23" i="3"/>
  <c r="AB22" i="3"/>
  <c r="AA22" i="3"/>
  <c r="AB21" i="3"/>
  <c r="AA21" i="3"/>
  <c r="AB20" i="3"/>
  <c r="AA20" i="3"/>
  <c r="AB19" i="3"/>
  <c r="AA19" i="3"/>
  <c r="AB18" i="3"/>
  <c r="AA18" i="3"/>
  <c r="AB17" i="3"/>
  <c r="AA17" i="3"/>
  <c r="AB16" i="3"/>
  <c r="AA16" i="3"/>
  <c r="AB15" i="3"/>
  <c r="AA15" i="3"/>
  <c r="AB14" i="3"/>
  <c r="AA14" i="3"/>
  <c r="AB13" i="3"/>
  <c r="AA13" i="3"/>
  <c r="AB12" i="3"/>
  <c r="AA12" i="3"/>
  <c r="AB11" i="3"/>
  <c r="AA11" i="3"/>
  <c r="AB10" i="3"/>
  <c r="AA10" i="3"/>
  <c r="AB9" i="3"/>
  <c r="AA9" i="3"/>
  <c r="AB8" i="3"/>
  <c r="AA8" i="3"/>
  <c r="AB7" i="3"/>
  <c r="AA7" i="3"/>
  <c r="AB6" i="3"/>
  <c r="AA6" i="3"/>
  <c r="AB5" i="3"/>
  <c r="AA5" i="3"/>
  <c r="B41" i="2"/>
  <c r="C38" i="2"/>
  <c r="C4" i="2"/>
  <c r="G3" i="2"/>
  <c r="E37" i="2" s="1"/>
  <c r="G2" i="2"/>
  <c r="E20" i="2" s="1"/>
  <c r="C2" i="2"/>
  <c r="X36" i="1"/>
  <c r="S36" i="1"/>
  <c r="O36" i="1"/>
  <c r="C36" i="1"/>
  <c r="X35" i="1"/>
  <c r="S35" i="1"/>
  <c r="O35" i="1"/>
  <c r="M211" i="4" s="1"/>
  <c r="C35" i="1"/>
  <c r="X34" i="1"/>
  <c r="S34" i="1"/>
  <c r="O34" i="1"/>
  <c r="M97" i="4" s="1"/>
  <c r="Z19" i="1"/>
  <c r="AB19" i="1" s="1"/>
  <c r="Z18" i="1"/>
  <c r="AB18" i="1" s="1"/>
  <c r="Z17" i="1"/>
  <c r="AB17" i="1" s="1"/>
  <c r="Z16" i="1"/>
  <c r="AB16" i="1" s="1"/>
  <c r="Z15" i="1"/>
  <c r="AB15" i="1" s="1"/>
  <c r="Z14" i="1"/>
  <c r="AB14" i="1" s="1"/>
  <c r="Z13" i="1"/>
  <c r="AB13" i="1" s="1"/>
  <c r="Z12" i="1"/>
  <c r="AB12" i="1" s="1"/>
  <c r="Z11" i="1"/>
  <c r="AB11" i="1" s="1"/>
  <c r="Z10" i="1"/>
  <c r="AB10" i="1" s="1"/>
  <c r="Z9" i="1"/>
  <c r="AB9" i="1" s="1"/>
  <c r="Z8" i="1"/>
  <c r="AB8" i="1" s="1"/>
  <c r="Z7" i="1"/>
  <c r="AB7" i="1" s="1"/>
  <c r="Z6" i="1"/>
  <c r="AB6" i="1" s="1"/>
  <c r="G2" i="1"/>
  <c r="F2" i="1"/>
  <c r="D2" i="1"/>
  <c r="M203" i="4" l="1"/>
  <c r="M94" i="4"/>
  <c r="M85" i="4"/>
  <c r="O94" i="4"/>
  <c r="O85" i="4"/>
  <c r="E29" i="2"/>
  <c r="E25" i="2"/>
  <c r="AA28" i="3"/>
  <c r="C42" i="2"/>
  <c r="M72" i="4"/>
  <c r="S72" i="4" s="1"/>
  <c r="AB20" i="1"/>
  <c r="AB21" i="1" s="1"/>
  <c r="AB23" i="1" s="1"/>
  <c r="E17" i="2"/>
  <c r="E18" i="2"/>
  <c r="E19" i="2"/>
  <c r="E21" i="2"/>
  <c r="E11" i="2"/>
  <c r="E13" i="2"/>
  <c r="M80" i="4"/>
  <c r="E15" i="2"/>
  <c r="M89" i="4"/>
  <c r="C41" i="2"/>
  <c r="E41" i="2" s="1"/>
  <c r="O52" i="4"/>
  <c r="O32" i="4"/>
  <c r="O193" i="4"/>
  <c r="O54" i="4"/>
  <c r="O128" i="4"/>
  <c r="O104" i="4"/>
  <c r="O197" i="4"/>
  <c r="O212" i="4"/>
  <c r="O196" i="4"/>
  <c r="O126" i="4"/>
  <c r="O106" i="4"/>
  <c r="O53" i="4"/>
  <c r="O51" i="4"/>
  <c r="O31" i="4"/>
  <c r="O214" i="4"/>
  <c r="O192" i="4"/>
  <c r="O203" i="4"/>
  <c r="O127" i="4"/>
  <c r="E36" i="2"/>
  <c r="E28" i="2"/>
  <c r="E12" i="2"/>
  <c r="E34" i="2"/>
  <c r="E26" i="2"/>
  <c r="E32" i="2"/>
  <c r="E24" i="2"/>
  <c r="E16" i="2"/>
  <c r="E30" i="2"/>
  <c r="E33" i="2"/>
  <c r="O199" i="4"/>
  <c r="O115" i="4"/>
  <c r="O210" i="4"/>
  <c r="O202" i="4"/>
  <c r="O198" i="4"/>
  <c r="O194" i="4"/>
  <c r="O114" i="4"/>
  <c r="O209" i="4"/>
  <c r="O201" i="4"/>
  <c r="O211" i="4"/>
  <c r="O200" i="4"/>
  <c r="O195" i="4"/>
  <c r="O208" i="4"/>
  <c r="O185" i="4"/>
  <c r="O175" i="4"/>
  <c r="O122" i="4"/>
  <c r="O110" i="4"/>
  <c r="O102" i="4"/>
  <c r="O93" i="4"/>
  <c r="O89" i="4"/>
  <c r="O80" i="4"/>
  <c r="O72" i="4"/>
  <c r="O70" i="4"/>
  <c r="O66" i="4"/>
  <c r="O62" i="4"/>
  <c r="O56" i="4"/>
  <c r="O44" i="4"/>
  <c r="O38" i="4"/>
  <c r="O28" i="4"/>
  <c r="O24" i="4"/>
  <c r="O18" i="4"/>
  <c r="O14" i="4"/>
  <c r="O10" i="4"/>
  <c r="O6" i="4"/>
  <c r="O2" i="4"/>
  <c r="O213" i="4"/>
  <c r="O205" i="4"/>
  <c r="O183" i="4"/>
  <c r="O181" i="4"/>
  <c r="O179" i="4"/>
  <c r="O172" i="4"/>
  <c r="O170" i="4"/>
  <c r="O168" i="4"/>
  <c r="O166" i="4"/>
  <c r="O164" i="4"/>
  <c r="O162" i="4"/>
  <c r="O160" i="4"/>
  <c r="O158" i="4"/>
  <c r="O156" i="4"/>
  <c r="O125" i="4"/>
  <c r="O117" i="4"/>
  <c r="O107" i="4"/>
  <c r="O99" i="4"/>
  <c r="O75" i="4"/>
  <c r="O68" i="4"/>
  <c r="O64" i="4"/>
  <c r="O60" i="4"/>
  <c r="O58" i="4"/>
  <c r="O50" i="4"/>
  <c r="O48" i="4"/>
  <c r="O46" i="4"/>
  <c r="O42" i="4"/>
  <c r="O40" i="4"/>
  <c r="O36" i="4"/>
  <c r="O34" i="4"/>
  <c r="O30" i="4"/>
  <c r="O26" i="4"/>
  <c r="O22" i="4"/>
  <c r="O20" i="4"/>
  <c r="O16" i="4"/>
  <c r="O12" i="4"/>
  <c r="O8" i="4"/>
  <c r="O4" i="4"/>
  <c r="O120" i="4"/>
  <c r="O112" i="4"/>
  <c r="O96" i="4"/>
  <c r="O87" i="4"/>
  <c r="O82" i="4"/>
  <c r="O78" i="4"/>
  <c r="O207" i="4"/>
  <c r="O174" i="4"/>
  <c r="O123" i="4"/>
  <c r="O109" i="4"/>
  <c r="O101" i="4"/>
  <c r="O92" i="4"/>
  <c r="O90" i="4"/>
  <c r="O73" i="4"/>
  <c r="O204" i="4"/>
  <c r="O184" i="4"/>
  <c r="O182" i="4"/>
  <c r="O180" i="4"/>
  <c r="O118" i="4"/>
  <c r="O98" i="4"/>
  <c r="O84" i="4"/>
  <c r="O76" i="4"/>
  <c r="O176" i="4"/>
  <c r="O171" i="4"/>
  <c r="O169" i="4"/>
  <c r="O167" i="4"/>
  <c r="O165" i="4"/>
  <c r="O163" i="4"/>
  <c r="O161" i="4"/>
  <c r="O159" i="4"/>
  <c r="O157" i="4"/>
  <c r="O121" i="4"/>
  <c r="O111" i="4"/>
  <c r="O103" i="4"/>
  <c r="O95" i="4"/>
  <c r="O88" i="4"/>
  <c r="O81" i="4"/>
  <c r="O79" i="4"/>
  <c r="O71" i="4"/>
  <c r="O69" i="4"/>
  <c r="O67" i="4"/>
  <c r="O65" i="4"/>
  <c r="O63" i="4"/>
  <c r="O61" i="4"/>
  <c r="O59" i="4"/>
  <c r="O57" i="4"/>
  <c r="O55" i="4"/>
  <c r="O49" i="4"/>
  <c r="O47" i="4"/>
  <c r="O45" i="4"/>
  <c r="O43" i="4"/>
  <c r="O41" i="4"/>
  <c r="O39" i="4"/>
  <c r="O37" i="4"/>
  <c r="O35" i="4"/>
  <c r="O33" i="4"/>
  <c r="O29" i="4"/>
  <c r="O27" i="4"/>
  <c r="O25" i="4"/>
  <c r="O23" i="4"/>
  <c r="O21" i="4"/>
  <c r="O19" i="4"/>
  <c r="O17" i="4"/>
  <c r="O15" i="4"/>
  <c r="O13" i="4"/>
  <c r="O11" i="4"/>
  <c r="O9" i="4"/>
  <c r="O7" i="4"/>
  <c r="O5" i="4"/>
  <c r="O3" i="4"/>
  <c r="O206" i="4"/>
  <c r="O178" i="4"/>
  <c r="O173" i="4"/>
  <c r="O124" i="4"/>
  <c r="O116" i="4"/>
  <c r="O108" i="4"/>
  <c r="O100" i="4"/>
  <c r="O91" i="4"/>
  <c r="O74" i="4"/>
  <c r="O119" i="4"/>
  <c r="O113" i="4"/>
  <c r="O105" i="4"/>
  <c r="O97" i="4"/>
  <c r="O86" i="4"/>
  <c r="O83" i="4"/>
  <c r="O77" i="4"/>
  <c r="E35" i="2"/>
  <c r="E23" i="2"/>
  <c r="Z29" i="3"/>
  <c r="E27" i="2"/>
  <c r="Z28" i="3"/>
  <c r="E31" i="2"/>
  <c r="M74" i="4"/>
  <c r="S74" i="4" s="1"/>
  <c r="M91" i="4"/>
  <c r="M100" i="4"/>
  <c r="M108" i="4"/>
  <c r="M116" i="4"/>
  <c r="M124" i="4"/>
  <c r="M173" i="4"/>
  <c r="M178" i="4"/>
  <c r="S178" i="4" s="1"/>
  <c r="M192" i="4"/>
  <c r="M206" i="4"/>
  <c r="M214" i="4"/>
  <c r="E14" i="2"/>
  <c r="E22" i="2"/>
  <c r="M3" i="4"/>
  <c r="M5" i="4"/>
  <c r="M7" i="4"/>
  <c r="M9" i="4"/>
  <c r="M11" i="4"/>
  <c r="M13" i="4"/>
  <c r="M15" i="4"/>
  <c r="M17" i="4"/>
  <c r="M19" i="4"/>
  <c r="M21" i="4"/>
  <c r="M23" i="4"/>
  <c r="M25" i="4"/>
  <c r="M27" i="4"/>
  <c r="M29" i="4"/>
  <c r="M31" i="4"/>
  <c r="M33" i="4"/>
  <c r="M35" i="4"/>
  <c r="M37" i="4"/>
  <c r="M39" i="4"/>
  <c r="M41" i="4"/>
  <c r="M43" i="4"/>
  <c r="M45" i="4"/>
  <c r="M47" i="4"/>
  <c r="M49" i="4"/>
  <c r="M51" i="4"/>
  <c r="M53" i="4"/>
  <c r="M55" i="4"/>
  <c r="S55" i="4" s="1"/>
  <c r="M57" i="4"/>
  <c r="S57" i="4" s="1"/>
  <c r="M59" i="4"/>
  <c r="S59" i="4" s="1"/>
  <c r="M61" i="4"/>
  <c r="S61" i="4" s="1"/>
  <c r="M63" i="4"/>
  <c r="S63" i="4" s="1"/>
  <c r="M65" i="4"/>
  <c r="S65" i="4" s="1"/>
  <c r="M67" i="4"/>
  <c r="S67" i="4" s="1"/>
  <c r="M69" i="4"/>
  <c r="S69" i="4" s="1"/>
  <c r="M71" i="4"/>
  <c r="S71" i="4" s="1"/>
  <c r="M79" i="4"/>
  <c r="M81" i="4"/>
  <c r="M88" i="4"/>
  <c r="M95" i="4"/>
  <c r="M103" i="4"/>
  <c r="M111" i="4"/>
  <c r="M121" i="4"/>
  <c r="M129" i="4"/>
  <c r="M157" i="4"/>
  <c r="M159" i="4"/>
  <c r="M161" i="4"/>
  <c r="M163" i="4"/>
  <c r="M165" i="4"/>
  <c r="M167" i="4"/>
  <c r="M169" i="4"/>
  <c r="M171" i="4"/>
  <c r="M176" i="4"/>
  <c r="M201" i="4"/>
  <c r="M209" i="4"/>
  <c r="M76" i="4"/>
  <c r="M84" i="4"/>
  <c r="M98" i="4"/>
  <c r="M106" i="4"/>
  <c r="M114" i="4"/>
  <c r="M118" i="4"/>
  <c r="M126" i="4"/>
  <c r="M180" i="4"/>
  <c r="M182" i="4"/>
  <c r="M184" i="4"/>
  <c r="M194" i="4"/>
  <c r="M204" i="4"/>
  <c r="M212" i="4"/>
  <c r="M73" i="4"/>
  <c r="S73" i="4" s="1"/>
  <c r="M90" i="4"/>
  <c r="M92" i="4"/>
  <c r="M101" i="4"/>
  <c r="M109" i="4"/>
  <c r="M123" i="4"/>
  <c r="M174" i="4"/>
  <c r="M207" i="4"/>
  <c r="M78" i="4"/>
  <c r="M82" i="4"/>
  <c r="M87" i="4"/>
  <c r="M96" i="4"/>
  <c r="M104" i="4"/>
  <c r="M112" i="4"/>
  <c r="M120" i="4"/>
  <c r="M128" i="4"/>
  <c r="M202" i="4"/>
  <c r="M210" i="4"/>
  <c r="M2" i="4"/>
  <c r="M4" i="4"/>
  <c r="M6" i="4"/>
  <c r="M8" i="4"/>
  <c r="M10" i="4"/>
  <c r="M12" i="4"/>
  <c r="M14" i="4"/>
  <c r="M16" i="4"/>
  <c r="M18" i="4"/>
  <c r="M20" i="4"/>
  <c r="M22" i="4"/>
  <c r="M24" i="4"/>
  <c r="M26" i="4"/>
  <c r="M28" i="4"/>
  <c r="M30" i="4"/>
  <c r="M32" i="4"/>
  <c r="M34" i="4"/>
  <c r="M36" i="4"/>
  <c r="M38" i="4"/>
  <c r="M40" i="4"/>
  <c r="M42" i="4"/>
  <c r="M44" i="4"/>
  <c r="M46" i="4"/>
  <c r="M48" i="4"/>
  <c r="M50" i="4"/>
  <c r="M52" i="4"/>
  <c r="M54" i="4"/>
  <c r="M56" i="4"/>
  <c r="S56" i="4" s="1"/>
  <c r="M58" i="4"/>
  <c r="S58" i="4" s="1"/>
  <c r="M60" i="4"/>
  <c r="S60" i="4" s="1"/>
  <c r="M62" i="4"/>
  <c r="S62" i="4" s="1"/>
  <c r="M64" i="4"/>
  <c r="S64" i="4" s="1"/>
  <c r="M66" i="4"/>
  <c r="S66" i="4" s="1"/>
  <c r="M68" i="4"/>
  <c r="S68" i="4" s="1"/>
  <c r="M70" i="4"/>
  <c r="S70" i="4" s="1"/>
  <c r="M75" i="4"/>
  <c r="M99" i="4"/>
  <c r="M107" i="4"/>
  <c r="M115" i="4"/>
  <c r="M117" i="4"/>
  <c r="M125" i="4"/>
  <c r="M156" i="4"/>
  <c r="M158" i="4"/>
  <c r="M160" i="4"/>
  <c r="M162" i="4"/>
  <c r="M164" i="4"/>
  <c r="M166" i="4"/>
  <c r="M168" i="4"/>
  <c r="M170" i="4"/>
  <c r="M172" i="4"/>
  <c r="M177" i="4"/>
  <c r="S177" i="4" s="1"/>
  <c r="M179" i="4"/>
  <c r="M181" i="4"/>
  <c r="M183" i="4"/>
  <c r="M193" i="4"/>
  <c r="M205" i="4"/>
  <c r="M213" i="4"/>
  <c r="M93" i="4"/>
  <c r="M102" i="4"/>
  <c r="M110" i="4"/>
  <c r="M122" i="4"/>
  <c r="M175" i="4"/>
  <c r="M185" i="4"/>
  <c r="M208" i="4"/>
  <c r="M77" i="4"/>
  <c r="M83" i="4"/>
  <c r="M86" i="4"/>
  <c r="M105" i="4"/>
  <c r="M113" i="4"/>
  <c r="M119" i="4"/>
  <c r="M127" i="4"/>
  <c r="M195" i="4"/>
  <c r="M200" i="4"/>
  <c r="E42" i="2" l="1"/>
  <c r="C5" i="2" s="1"/>
  <c r="E38" i="2"/>
  <c r="C6" i="2" s="1"/>
  <c r="C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" authorId="0" shapeId="0" xr:uid="{00000000-0006-0000-0000-000001000000}">
      <text>
        <r>
          <rPr>
            <sz val="11"/>
            <color rgb="FF000000"/>
            <rFont val="Calibri"/>
            <family val="2"/>
          </rPr>
          <t>======
ID#AAAADLXwNNk
Autor    (2019-07-04 12:04:12)
Anzahl Flüge
- Pushover-pullup, Thrust variation, zero/full flap T/O</t>
        </r>
      </text>
    </comment>
    <comment ref="N6" authorId="0" shapeId="0" xr:uid="{00000000-0006-0000-0000-000002000000}">
      <text>
        <r>
          <rPr>
            <sz val="11"/>
            <color rgb="FF000000"/>
            <rFont val="Calibri"/>
            <family val="2"/>
          </rPr>
          <t>======
ID#AAAADLXwNNc
Autor    (2019-07-04 12:04:12)
nicht eher low?</t>
        </r>
      </text>
    </comment>
    <comment ref="AA9" authorId="0" shapeId="0" xr:uid="{00000000-0006-0000-0000-000003000000}">
      <text>
        <r>
          <rPr>
            <sz val="11"/>
            <color rgb="FF000000"/>
            <rFont val="Calibri"/>
            <family val="2"/>
          </rPr>
          <t>======
ID#AAAADLXwNNs
Autor    (2019-07-04 12:04:12)
inlcuding regaining of ALT</t>
        </r>
      </text>
    </comment>
    <comment ref="A10" authorId="0" shapeId="0" xr:uid="{00000000-0006-0000-0000-000004000000}">
      <text>
        <r>
          <rPr>
            <sz val="11"/>
            <color rgb="FF000000"/>
            <rFont val="Calibri"/>
            <family val="2"/>
          </rPr>
          <t>======
ID#AAAADLXwNNw
Autor    (2019-07-04 12:04:12)
nur ein Bank Angle?
Coordinated turn?</t>
        </r>
      </text>
    </comment>
    <comment ref="A11" authorId="0" shapeId="0" xr:uid="{00000000-0006-0000-0000-000005000000}">
      <text>
        <r>
          <rPr>
            <sz val="11"/>
            <color rgb="FF000000"/>
            <rFont val="Calibri"/>
            <family val="2"/>
          </rPr>
          <t>======
ID#AAAADLXwNNo
Autor    (2019-07-04 12:04:12)
Do climb performance instead, when departing/returning? It is for performance validation?
AND: only on one altitude?</t>
        </r>
      </text>
    </comment>
    <comment ref="V11" authorId="0" shapeId="0" xr:uid="{00000000-0006-0000-0000-000006000000}">
      <text>
        <r>
          <rPr>
            <sz val="11"/>
            <color rgb="FF000000"/>
            <rFont val="Calibri"/>
            <family val="2"/>
          </rPr>
          <t>======
ID#AAAADLXwNNY
Autor    (2019-07-04 12:04:12)
mixer? Note positions! (FlightTestCard)</t>
        </r>
      </text>
    </comment>
    <comment ref="A12" authorId="0" shapeId="0" xr:uid="{00000000-0006-0000-0000-000007000000}">
      <text>
        <r>
          <rPr>
            <sz val="11"/>
            <color rgb="FF000000"/>
            <rFont val="Calibri"/>
            <family val="2"/>
          </rPr>
          <t>======
ID#AAAADLXwNOU
Autor    (2019-07-04 12:04:12)
Do this before dutch roll</t>
        </r>
      </text>
    </comment>
    <comment ref="A13" authorId="0" shapeId="0" xr:uid="{00000000-0006-0000-0000-000008000000}">
      <text>
        <r>
          <rPr>
            <sz val="11"/>
            <color rgb="FF000000"/>
            <rFont val="Calibri"/>
            <family val="2"/>
          </rPr>
          <t>======
ID#AAAADLXwNN8
Autor    (2019-07-04 12:04:12)
do this after bank-to-bank</t>
        </r>
      </text>
    </comment>
    <comment ref="A16" authorId="0" shapeId="0" xr:uid="{00000000-0006-0000-0000-000009000000}">
      <text>
        <r>
          <rPr>
            <sz val="11"/>
            <color rgb="FF000000"/>
            <rFont val="Calibri"/>
            <family val="2"/>
          </rPr>
          <t>======
ID#AAAADNk1yxg
Autor    (2019-07-04 12:04:12)
T/O Zero and Full Flaps not done</t>
        </r>
      </text>
    </comment>
    <comment ref="J17" authorId="0" shapeId="0" xr:uid="{00000000-0006-0000-0000-00000A000000}">
      <text>
        <r>
          <rPr>
            <sz val="11"/>
            <color rgb="FF000000"/>
            <rFont val="Calibri"/>
            <family val="2"/>
          </rPr>
          <t>======
ID#AAAADLXwNOY
Autor    (2019-07-04 12:04:12)
transition</t>
        </r>
      </text>
    </comment>
    <comment ref="A18" authorId="0" shapeId="0" xr:uid="{00000000-0006-0000-0000-00000B000000}">
      <text>
        <r>
          <rPr>
            <sz val="11"/>
            <color rgb="FF000000"/>
            <rFont val="Calibri"/>
            <family val="2"/>
          </rPr>
          <t>======
ID#AAAADLXwNOA
Autor    (2019-07-04 12:04:12)
offsett bankangle
Does A/C come back or diverge?</t>
        </r>
      </text>
    </comment>
    <comment ref="H19" authorId="0" shapeId="0" xr:uid="{00000000-0006-0000-0000-00000C000000}">
      <text>
        <r>
          <rPr>
            <sz val="11"/>
            <color rgb="FF000000"/>
            <rFont val="Calibri"/>
            <family val="2"/>
          </rPr>
          <t>======
ID#AAAADLXwNOQ
Autor    (2019-07-04 12:04:12)
Stall without flaps?</t>
        </r>
      </text>
    </comment>
    <comment ref="AA22" authorId="0" shapeId="0" xr:uid="{00000000-0006-0000-0000-00000D000000}">
      <text>
        <r>
          <rPr>
            <sz val="11"/>
            <color rgb="FF000000"/>
            <rFont val="Calibri"/>
            <family val="2"/>
          </rPr>
          <t>======
ID#AAAADLXwNN4
Autor    (2019-07-04 12:04:12)
Time required for airport leave/return and 10% margin for errorous tests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3oGVyuY4iKQGmOVkQJR3g7DHMy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B3" authorId="0" shapeId="0" xr:uid="{00000000-0006-0000-0200-000001000000}">
      <text>
        <r>
          <rPr>
            <sz val="11"/>
            <color rgb="FF000000"/>
            <rFont val="Calibri"/>
            <family val="2"/>
          </rPr>
          <t>======
ID#AAAADLXwNN0
Autor    (2019-07-04 12:04:12)
see Detailed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nE1Bo9L0o8T4yP33xuPKKmmmw0Q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N31" authorId="0" shapeId="0" xr:uid="{00000000-0006-0000-0300-000001000000}">
      <text>
        <r>
          <rPr>
            <sz val="11"/>
            <color rgb="FF000000"/>
            <rFont val="Calibri"/>
            <family val="2"/>
          </rPr>
          <t>======
ID#AAAADLXwNOc
Autor    (2019-07-04 12:04:12)
instead of Medium</t>
        </r>
      </text>
    </comment>
    <comment ref="N32" authorId="0" shapeId="0" xr:uid="{00000000-0006-0000-0300-000002000000}">
      <text>
        <r>
          <rPr>
            <sz val="11"/>
            <color rgb="FF000000"/>
            <rFont val="Calibri"/>
            <family val="2"/>
          </rPr>
          <t>======
ID#AAAADLXwNOE
Autor    (2019-07-04 12:04:12)
instead of Medium</t>
        </r>
      </text>
    </comment>
    <comment ref="P104" authorId="0" shapeId="0" xr:uid="{00000000-0006-0000-0300-000003000000}">
      <text>
        <r>
          <rPr>
            <sz val="11"/>
            <color rgb="FF000000"/>
            <rFont val="Calibri"/>
            <family val="2"/>
          </rPr>
          <t>======
ID#AAAADLXwNOI
Autor    (2019-07-04 12:04:12)
instead of LEFT-RIGHT</t>
        </r>
      </text>
    </comment>
    <comment ref="P106" authorId="0" shapeId="0" xr:uid="{00000000-0006-0000-0300-000004000000}">
      <text>
        <r>
          <rPr>
            <sz val="11"/>
            <color rgb="FF000000"/>
            <rFont val="Calibri"/>
            <family val="2"/>
          </rPr>
          <t>======
ID#AAAADLXwNOM
Autor    (2019-07-04 12:04:12)
instead of LEFT-RIGHT</t>
        </r>
      </text>
    </comment>
    <comment ref="P114" authorId="0" shapeId="0" xr:uid="{00000000-0006-0000-0300-000005000000}">
      <text>
        <r>
          <rPr>
            <sz val="11"/>
            <color rgb="FF000000"/>
            <rFont val="Calibri"/>
            <family val="2"/>
          </rPr>
          <t>======
ID#AAAADLXwNNg
Autor    (2019-07-04 12:04:12)
instead of LEFT-RIGHT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IjJvGllFle+9kf31XPrcASEh4FA=="/>
    </ext>
  </extLst>
</comments>
</file>

<file path=xl/sharedStrings.xml><?xml version="1.0" encoding="utf-8"?>
<sst xmlns="http://schemas.openxmlformats.org/spreadsheetml/2006/main" count="3719" uniqueCount="259">
  <si>
    <t>Manoeuvre</t>
  </si>
  <si>
    <t>Completed:</t>
  </si>
  <si>
    <t>Verfügbar</t>
  </si>
  <si>
    <t>CG</t>
  </si>
  <si>
    <t>Flugminute Hans:</t>
  </si>
  <si>
    <t>Bau</t>
  </si>
  <si>
    <t>Flugminute Dave:</t>
  </si>
  <si>
    <t>Duration</t>
  </si>
  <si>
    <t>Mechaniker</t>
  </si>
  <si>
    <t>GND</t>
  </si>
  <si>
    <t>SDF</t>
  </si>
  <si>
    <t>Landung LSPV:</t>
  </si>
  <si>
    <t>Standzeit</t>
  </si>
  <si>
    <t>Total</t>
  </si>
  <si>
    <t>Start LSZN:</t>
  </si>
  <si>
    <t>Flüge</t>
  </si>
  <si>
    <t>Mass and Balance</t>
  </si>
  <si>
    <t>Datum</t>
  </si>
  <si>
    <t>Flug</t>
  </si>
  <si>
    <t>Flugzeit [min]</t>
  </si>
  <si>
    <t>Landungen</t>
  </si>
  <si>
    <t>Kosten</t>
  </si>
  <si>
    <t>Programm</t>
  </si>
  <si>
    <t>Pilot</t>
  </si>
  <si>
    <t>Flight Test Engineer</t>
  </si>
  <si>
    <t>C_H</t>
  </si>
  <si>
    <t>Fwd</t>
  </si>
  <si>
    <t>Aft</t>
  </si>
  <si>
    <t>Res.</t>
  </si>
  <si>
    <t>Checkflug Hans</t>
  </si>
  <si>
    <t>Hans</t>
  </si>
  <si>
    <t>-</t>
  </si>
  <si>
    <t>Soll</t>
  </si>
  <si>
    <t>Ist</t>
  </si>
  <si>
    <t>Planned</t>
  </si>
  <si>
    <t>C_D</t>
  </si>
  <si>
    <t>Checkflug Dave</t>
  </si>
  <si>
    <t>Dave</t>
  </si>
  <si>
    <t>M1</t>
  </si>
  <si>
    <t>Flaps</t>
  </si>
  <si>
    <t>Symmetry</t>
  </si>
  <si>
    <t>Speed</t>
  </si>
  <si>
    <t>Hinflug Einbau</t>
  </si>
  <si>
    <t>M2</t>
  </si>
  <si>
    <t>Rückflug Einbau</t>
  </si>
  <si>
    <t>Flavio</t>
  </si>
  <si>
    <t>Kevin</t>
  </si>
  <si>
    <t>Power</t>
  </si>
  <si>
    <t>Flug 1 und 3 failed</t>
  </si>
  <si>
    <t>Altitude</t>
  </si>
  <si>
    <t>Flug 2 und 4</t>
  </si>
  <si>
    <t>Amount</t>
  </si>
  <si>
    <t>Flug 1 und 3</t>
  </si>
  <si>
    <t>Duration [min]</t>
  </si>
  <si>
    <t>Flug 6 und 8</t>
  </si>
  <si>
    <t>Flug 11 und 13</t>
  </si>
  <si>
    <t>Light</t>
  </si>
  <si>
    <t>Flug 7 und 9</t>
  </si>
  <si>
    <t>Medium</t>
  </si>
  <si>
    <t>Flug 15</t>
  </si>
  <si>
    <t>Heavy</t>
  </si>
  <si>
    <t>Centre</t>
  </si>
  <si>
    <t>Up</t>
  </si>
  <si>
    <t>10°</t>
  </si>
  <si>
    <t>25°</t>
  </si>
  <si>
    <t>40°</t>
  </si>
  <si>
    <t>oposite</t>
  </si>
  <si>
    <t>Min</t>
  </si>
  <si>
    <t>Low</t>
  </si>
  <si>
    <t>Med</t>
  </si>
  <si>
    <t>High</t>
  </si>
  <si>
    <t>Max</t>
  </si>
  <si>
    <t>M3</t>
  </si>
  <si>
    <t>Repeats</t>
  </si>
  <si>
    <t>M4</t>
  </si>
  <si>
    <t>Number</t>
  </si>
  <si>
    <t>Short Period #1</t>
  </si>
  <si>
    <t>Bis jetzt</t>
  </si>
  <si>
    <t>Verlängert</t>
  </si>
  <si>
    <t>Short Period Manoeuvre #1</t>
  </si>
  <si>
    <t>Short Period Manoeuvre #2</t>
  </si>
  <si>
    <t>Short Period #2</t>
  </si>
  <si>
    <t>Phugoid</t>
  </si>
  <si>
    <t>Phugoid Manoeuvre</t>
  </si>
  <si>
    <t>Pushover-pull-up</t>
  </si>
  <si>
    <t>Level turn</t>
  </si>
  <si>
    <t>Thrust variation</t>
  </si>
  <si>
    <t>Manoeuvre ID</t>
  </si>
  <si>
    <t>Rheinfolge</t>
  </si>
  <si>
    <t>Flight ID</t>
  </si>
  <si>
    <t>Completed</t>
  </si>
  <si>
    <t>Usable</t>
  </si>
  <si>
    <t>Altitude_s</t>
  </si>
  <si>
    <t>Altitude_i</t>
  </si>
  <si>
    <t>Speed_s</t>
  </si>
  <si>
    <t>Speed_i</t>
  </si>
  <si>
    <t>Power_s</t>
  </si>
  <si>
    <t>Power_i</t>
  </si>
  <si>
    <t>Initial Input</t>
  </si>
  <si>
    <t>Stick</t>
  </si>
  <si>
    <t>1st Step</t>
  </si>
  <si>
    <t>2nd Step</t>
  </si>
  <si>
    <t>3rd Step</t>
  </si>
  <si>
    <t>4th Step</t>
  </si>
  <si>
    <t>5th Step</t>
  </si>
  <si>
    <t>6th Step</t>
  </si>
  <si>
    <t>7th Step</t>
  </si>
  <si>
    <t>Restrictions</t>
  </si>
  <si>
    <t>Bank-to-bank roll</t>
  </si>
  <si>
    <t>Notes</t>
  </si>
  <si>
    <t>Success Criteria</t>
  </si>
  <si>
    <t>Short period #1</t>
  </si>
  <si>
    <t>Dutch roll manoeuvre</t>
  </si>
  <si>
    <t>remove</t>
  </si>
  <si>
    <t>PUSH-PULL</t>
  </si>
  <si>
    <t>free / fixed</t>
  </si>
  <si>
    <t>Set configuration, A/C must keep attitude for 20s</t>
  </si>
  <si>
    <t>Steady heading steady sideslip #1</t>
  </si>
  <si>
    <t>Bring yoke back to trim position</t>
  </si>
  <si>
    <t>Wait until oscillation disapears</t>
  </si>
  <si>
    <t>Do not exceed 111 kt</t>
  </si>
  <si>
    <t>Avoid maintaining angle of attack</t>
  </si>
  <si>
    <t>Several oscillations on lateral axis</t>
  </si>
  <si>
    <t>Steady heading steady sideslip #2</t>
  </si>
  <si>
    <t>T/O</t>
  </si>
  <si>
    <t>PULL-PUSH</t>
  </si>
  <si>
    <t>Landing</t>
  </si>
  <si>
    <t>Go around</t>
  </si>
  <si>
    <t>Spiral-Check</t>
  </si>
  <si>
    <t>T/O and Landing</t>
  </si>
  <si>
    <t>Stall</t>
  </si>
  <si>
    <t>Test time [min]</t>
  </si>
  <si>
    <t>Test time [h]</t>
  </si>
  <si>
    <t>Time Margin</t>
  </si>
  <si>
    <t>Total Time [h]</t>
  </si>
  <si>
    <t>Mass</t>
  </si>
  <si>
    <t>Balance</t>
  </si>
  <si>
    <t>Power (RPM, tbd)</t>
  </si>
  <si>
    <t>Empty:</t>
  </si>
  <si>
    <t>706 kg</t>
  </si>
  <si>
    <t>Max Fwd:</t>
  </si>
  <si>
    <t>83.8 in</t>
  </si>
  <si>
    <t>Time [min]</t>
  </si>
  <si>
    <t>descent</t>
  </si>
  <si>
    <t>3500 ft</t>
  </si>
  <si>
    <t>Utility:</t>
  </si>
  <si>
    <t>916 kg</t>
  </si>
  <si>
    <t>Max Aft:</t>
  </si>
  <si>
    <t>93 in</t>
  </si>
  <si>
    <t>fly level</t>
  </si>
  <si>
    <t>5500 ft</t>
  </si>
  <si>
    <t>Planned (see Detailed)</t>
  </si>
  <si>
    <t>Normal:</t>
  </si>
  <si>
    <t>1106 kg</t>
  </si>
  <si>
    <t>climb</t>
  </si>
  <si>
    <t>6500 ft</t>
  </si>
  <si>
    <t>86 in</t>
  </si>
  <si>
    <t>Light:</t>
  </si>
  <si>
    <t>850 kg</t>
  </si>
  <si>
    <t>kn = KIAS</t>
  </si>
  <si>
    <t>Medium:</t>
  </si>
  <si>
    <t>930 kg</t>
  </si>
  <si>
    <t>89 in</t>
  </si>
  <si>
    <t>Heavy:</t>
  </si>
  <si>
    <t>1010 kg</t>
  </si>
  <si>
    <t>Limits</t>
  </si>
  <si>
    <t>V_S</t>
  </si>
  <si>
    <t>Short period #2</t>
  </si>
  <si>
    <t>PUSH</t>
  </si>
  <si>
    <t>free</t>
  </si>
  <si>
    <t>Wait at least for 2 periods, then abort to level flight</t>
  </si>
  <si>
    <t>If possible, three full cycles</t>
  </si>
  <si>
    <t>PULL</t>
  </si>
  <si>
    <t>Push stick slowly and return to trim condition</t>
  </si>
  <si>
    <t>Constant power</t>
  </si>
  <si>
    <t>Smooth/continuous change in IAS</t>
  </si>
  <si>
    <t>LEFT</t>
  </si>
  <si>
    <t>Keep angle for 15s</t>
  </si>
  <si>
    <t>Return to wings-level trim condition</t>
  </si>
  <si>
    <t>Hold altitude with additional power</t>
  </si>
  <si>
    <t>Undisturbed</t>
  </si>
  <si>
    <t>RIGHT</t>
  </si>
  <si>
    <t>Single</t>
  </si>
  <si>
    <t>Remove hands from yoke and feet from pedals</t>
  </si>
  <si>
    <t>Push power rapidly to maxiumum</t>
  </si>
  <si>
    <t>Wait until A/C stabilized again</t>
  </si>
  <si>
    <t>Pull power lever rapidly to idle</t>
  </si>
  <si>
    <t>Return to trim condition</t>
  </si>
  <si>
    <t>Engine must not over-rev</t>
  </si>
  <si>
    <t>Keep angle for 10s</t>
  </si>
  <si>
    <t>Keep angle for 10 seconds</t>
  </si>
  <si>
    <t>LEFT-RIGHT</t>
  </si>
  <si>
    <t>Doublet input until ball about 1 off</t>
  </si>
  <si>
    <t>Set pedals back to neutral</t>
  </si>
  <si>
    <t>Several dutch roll oscillations</t>
  </si>
  <si>
    <t>RIGHT-LEFT</t>
  </si>
  <si>
    <t>Maintain sideslip and heading for 10-15s using ailerons</t>
  </si>
  <si>
    <t>Pedal to neutral and wait for 10s</t>
  </si>
  <si>
    <t>Maintain track angle by adjust bank by applying aileron, no dutch roll motion!</t>
  </si>
  <si>
    <t>UP</t>
  </si>
  <si>
    <t>Perform T/O according to AFM</t>
  </si>
  <si>
    <t>Perform Landing according to AFM</t>
  </si>
  <si>
    <t>Perform Go around according to AFM</t>
  </si>
  <si>
    <t>Remove hands and feet from inputs</t>
  </si>
  <si>
    <t>Terminate manoeuvre if bank angle outside 10° to 45°</t>
  </si>
  <si>
    <t>Abort test if it lasts longer than 60s</t>
  </si>
  <si>
    <t>Manoeuvre lasts for at least 20s</t>
  </si>
  <si>
    <t>AOA</t>
  </si>
  <si>
    <t>Elevator</t>
  </si>
  <si>
    <t>Trim down</t>
  </si>
  <si>
    <t>vane points up</t>
  </si>
  <si>
    <t>Gain:</t>
  </si>
  <si>
    <t>Pitch down</t>
  </si>
  <si>
    <t>Elevator 6.8</t>
  </si>
  <si>
    <t>Offset:</t>
  </si>
  <si>
    <t>Elevator -10</t>
  </si>
  <si>
    <t>vane points down</t>
  </si>
  <si>
    <t>Pitch up</t>
  </si>
  <si>
    <t>Trim up</t>
  </si>
  <si>
    <t>AOS</t>
  </si>
  <si>
    <t>Aileron Left</t>
  </si>
  <si>
    <t>vane points right</t>
  </si>
  <si>
    <t>Left up</t>
  </si>
  <si>
    <t>vane points left</t>
  </si>
  <si>
    <t>Left down</t>
  </si>
  <si>
    <t>Aileron Right</t>
  </si>
  <si>
    <t>Right up</t>
  </si>
  <si>
    <t>Right down</t>
  </si>
  <si>
    <t>Rudder</t>
  </si>
  <si>
    <t>Rudder left</t>
  </si>
  <si>
    <t>Rudder right</t>
  </si>
  <si>
    <t>Decrease power</t>
  </si>
  <si>
    <t>Speed should decrease with 1kn/s</t>
  </si>
  <si>
    <t>Hold altitude with elevator</t>
  </si>
  <si>
    <t>Wait until attitude negative, accelerate back to initial condition</t>
  </si>
  <si>
    <t>Wings level during whole manoeuvre</t>
  </si>
  <si>
    <t>Avoid maintaining angle of attack, Get a feeling for the input to excite A/C the best</t>
  </si>
  <si>
    <t>If possible, three full cycles, Check whether initial speed is to high or to low in order not to exceed VNE or undershoot VS</t>
  </si>
  <si>
    <t>Constant power, Check whether initial speed is to high or to low in order not to exceed VNE or undershoot VS</t>
  </si>
  <si>
    <t>Hold altitude with additional power, Check whether 10 °=s is to fast for a smooth turn</t>
  </si>
  <si>
    <t>Engine must not over-rev, Find out the optimal maximum power lever setting which will not over-rev the engine</t>
  </si>
  <si>
    <t>Check for practicability</t>
  </si>
  <si>
    <t>Maintain track angle by adjust bank by applying aileron, no dutch roll motion!, Check for practicability</t>
  </si>
  <si>
    <t>Abort test if it lasts longer than 60s, Check for practicability</t>
  </si>
  <si>
    <t>2400rpm</t>
  </si>
  <si>
    <t>Gradual pedal input to LEFT</t>
  </si>
  <si>
    <t>Gradual pedal input to RIGHT</t>
  </si>
  <si>
    <t>Climb</t>
  </si>
  <si>
    <t>Glide Performance</t>
  </si>
  <si>
    <t>Engine Ground Test</t>
  </si>
  <si>
    <t>Roll Control Forces</t>
  </si>
  <si>
    <t>Flug 16</t>
  </si>
  <si>
    <t>Rechnungen</t>
  </si>
  <si>
    <t>Kaution</t>
  </si>
  <si>
    <t>Konstruktion Kevin</t>
  </si>
  <si>
    <t>Messinstrumentierung</t>
  </si>
  <si>
    <t>ASFG Hans</t>
  </si>
  <si>
    <t>ASFG</t>
  </si>
  <si>
    <t>Berechnung Strafstunden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</si>
</sst>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CHF&quot;\ * #,##0.00_ ;_ &quot;CHF&quot;\ * \-#,##0.00_ ;_ &quot;CHF&quot;\ * &quot;-&quot;??_ ;_ @_ "/>
    <numFmt numFmtId="164" formatCode="dd/mm/"/>
    <numFmt numFmtId="165" formatCode="000"/>
    <numFmt numFmtId="166" formatCode="0.0"/>
    <numFmt numFmtId="167" formatCode="0.0\ &quot;h&quot;"/>
  </numFmts>
  <fonts count="9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9C6500"/>
      <name val="Calibri"/>
      <family val="2"/>
    </font>
    <font>
      <strike/>
      <sz val="11"/>
      <color rgb="FF000000"/>
      <name val="Calibri"/>
      <family val="2"/>
    </font>
    <font>
      <sz val="11"/>
      <color rgb="FF0061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E2EFD9"/>
        <bgColor rgb="FFE2EFD9"/>
      </patternFill>
    </fill>
    <fill>
      <patternFill patternType="solid">
        <fgColor rgb="FFDADADA"/>
        <bgColor rgb="FFDADADA"/>
      </patternFill>
    </fill>
    <fill>
      <patternFill patternType="solid">
        <fgColor rgb="FFB4C6E7"/>
        <bgColor rgb="FFB4C6E7"/>
      </patternFill>
    </fill>
    <fill>
      <patternFill patternType="solid">
        <fgColor rgb="FFFFE598"/>
        <bgColor rgb="FFFFE598"/>
      </patternFill>
    </fill>
    <fill>
      <patternFill patternType="solid">
        <fgColor rgb="FFC6EFCE"/>
        <bgColor rgb="FFC6EFCE"/>
      </patternFill>
    </fill>
    <fill>
      <patternFill patternType="solid">
        <fgColor rgb="FFED7D31"/>
        <bgColor rgb="FFED7D31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</fills>
  <borders count="3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118">
    <xf numFmtId="0" fontId="0" fillId="0" borderId="0" xfId="0" applyFont="1" applyAlignment="1"/>
    <xf numFmtId="0" fontId="1" fillId="0" borderId="1" xfId="0" applyFont="1" applyBorder="1"/>
    <xf numFmtId="44" fontId="0" fillId="0" borderId="0" xfId="0" applyNumberFormat="1" applyFont="1"/>
    <xf numFmtId="0" fontId="1" fillId="0" borderId="2" xfId="0" applyFont="1" applyBorder="1"/>
    <xf numFmtId="0" fontId="1" fillId="0" borderId="3" xfId="0" applyFont="1" applyBorder="1"/>
    <xf numFmtId="9" fontId="0" fillId="0" borderId="0" xfId="0" applyNumberFormat="1" applyFont="1"/>
    <xf numFmtId="0" fontId="1" fillId="0" borderId="4" xfId="0" applyFont="1" applyBorder="1"/>
    <xf numFmtId="0" fontId="0" fillId="0" borderId="0" xfId="0" applyFont="1"/>
    <xf numFmtId="44" fontId="1" fillId="0" borderId="4" xfId="0" applyNumberFormat="1" applyFont="1" applyBorder="1"/>
    <xf numFmtId="2" fontId="0" fillId="0" borderId="0" xfId="0" applyNumberFormat="1" applyFont="1"/>
    <xf numFmtId="0" fontId="1" fillId="0" borderId="0" xfId="0" applyFont="1"/>
    <xf numFmtId="0" fontId="1" fillId="0" borderId="5" xfId="0" applyFont="1" applyBorder="1"/>
    <xf numFmtId="14" fontId="0" fillId="0" borderId="0" xfId="0" applyNumberFormat="1" applyFont="1"/>
    <xf numFmtId="0" fontId="1" fillId="0" borderId="6" xfId="0" applyFont="1" applyBorder="1"/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left"/>
    </xf>
    <xf numFmtId="0" fontId="0" fillId="0" borderId="7" xfId="0" applyFont="1" applyBorder="1"/>
    <xf numFmtId="0" fontId="0" fillId="0" borderId="2" xfId="0" applyFont="1" applyBorder="1" applyAlignment="1">
      <alignment horizontal="center"/>
    </xf>
    <xf numFmtId="0" fontId="0" fillId="0" borderId="8" xfId="0" applyFont="1" applyBorder="1"/>
    <xf numFmtId="0" fontId="1" fillId="0" borderId="9" xfId="0" applyFont="1" applyBorder="1"/>
    <xf numFmtId="164" fontId="1" fillId="0" borderId="7" xfId="0" applyNumberFormat="1" applyFont="1" applyBorder="1"/>
    <xf numFmtId="0" fontId="0" fillId="0" borderId="7" xfId="0" applyFont="1" applyBorder="1" applyAlignment="1">
      <alignment horizontal="center"/>
    </xf>
    <xf numFmtId="164" fontId="1" fillId="0" borderId="9" xfId="0" applyNumberFormat="1" applyFont="1" applyBorder="1"/>
    <xf numFmtId="0" fontId="0" fillId="0" borderId="8" xfId="0" applyFont="1" applyBorder="1" applyAlignment="1">
      <alignment horizontal="center"/>
    </xf>
    <xf numFmtId="0" fontId="2" fillId="0" borderId="0" xfId="0" applyFont="1" applyAlignment="1"/>
    <xf numFmtId="0" fontId="0" fillId="0" borderId="9" xfId="0" applyFont="1" applyBorder="1" applyAlignment="1">
      <alignment horizontal="center"/>
    </xf>
    <xf numFmtId="164" fontId="1" fillId="0" borderId="0" xfId="0" applyNumberFormat="1" applyFont="1"/>
    <xf numFmtId="0" fontId="0" fillId="0" borderId="7" xfId="0" quotePrefix="1" applyFont="1" applyBorder="1" applyAlignment="1">
      <alignment horizontal="center"/>
    </xf>
    <xf numFmtId="0" fontId="1" fillId="0" borderId="7" xfId="0" applyFont="1" applyBorder="1"/>
    <xf numFmtId="0" fontId="0" fillId="0" borderId="5" xfId="0" applyFont="1" applyBorder="1" applyAlignment="1">
      <alignment horizontal="center"/>
    </xf>
    <xf numFmtId="0" fontId="0" fillId="0" borderId="9" xfId="0" applyFont="1" applyBorder="1"/>
    <xf numFmtId="0" fontId="0" fillId="0" borderId="6" xfId="0" applyFont="1" applyBorder="1" applyAlignment="1">
      <alignment horizontal="center"/>
    </xf>
    <xf numFmtId="0" fontId="0" fillId="0" borderId="1" xfId="0" applyFont="1" applyBorder="1"/>
    <xf numFmtId="0" fontId="0" fillId="0" borderId="6" xfId="0" applyFont="1" applyBorder="1"/>
    <xf numFmtId="0" fontId="0" fillId="0" borderId="2" xfId="0" applyFont="1" applyBorder="1"/>
    <xf numFmtId="0" fontId="0" fillId="0" borderId="10" xfId="0" applyFont="1" applyBorder="1"/>
    <xf numFmtId="0" fontId="0" fillId="0" borderId="3" xfId="0" applyFont="1" applyBorder="1"/>
    <xf numFmtId="0" fontId="0" fillId="0" borderId="3" xfId="0" applyFont="1" applyBorder="1" applyAlignment="1">
      <alignment horizontal="center"/>
    </xf>
    <xf numFmtId="0" fontId="0" fillId="0" borderId="5" xfId="0" applyFont="1" applyBorder="1"/>
    <xf numFmtId="0" fontId="0" fillId="0" borderId="11" xfId="0" applyFont="1" applyBorder="1"/>
    <xf numFmtId="0" fontId="0" fillId="0" borderId="12" xfId="0" applyFont="1" applyBorder="1"/>
    <xf numFmtId="0" fontId="0" fillId="0" borderId="13" xfId="0" applyFont="1" applyBorder="1"/>
    <xf numFmtId="0" fontId="3" fillId="0" borderId="14" xfId="0" applyFont="1" applyBorder="1"/>
    <xf numFmtId="0" fontId="4" fillId="0" borderId="5" xfId="0" applyFont="1" applyBorder="1" applyAlignment="1">
      <alignment horizontal="center"/>
    </xf>
    <xf numFmtId="0" fontId="0" fillId="0" borderId="15" xfId="0" applyFont="1" applyBorder="1"/>
    <xf numFmtId="0" fontId="3" fillId="0" borderId="0" xfId="0" applyFont="1" applyAlignment="1">
      <alignment horizontal="center"/>
    </xf>
    <xf numFmtId="0" fontId="0" fillId="0" borderId="16" xfId="0" applyFont="1" applyBorder="1"/>
    <xf numFmtId="0" fontId="3" fillId="0" borderId="5" xfId="0" applyFont="1" applyBorder="1" applyAlignment="1">
      <alignment horizontal="center"/>
    </xf>
    <xf numFmtId="0" fontId="0" fillId="0" borderId="17" xfId="0" applyFont="1" applyBorder="1"/>
    <xf numFmtId="0" fontId="3" fillId="0" borderId="6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3" fillId="0" borderId="0" xfId="0" applyFont="1"/>
    <xf numFmtId="0" fontId="0" fillId="0" borderId="14" xfId="0" applyFont="1" applyBorder="1"/>
    <xf numFmtId="0" fontId="0" fillId="0" borderId="0" xfId="0" applyFont="1" applyAlignment="1">
      <alignment horizontal="center"/>
    </xf>
    <xf numFmtId="0" fontId="5" fillId="2" borderId="18" xfId="0" applyFont="1" applyFill="1" applyBorder="1"/>
    <xf numFmtId="0" fontId="0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165" fontId="0" fillId="0" borderId="0" xfId="0" applyNumberFormat="1" applyFont="1"/>
    <xf numFmtId="0" fontId="0" fillId="2" borderId="20" xfId="0" applyFont="1" applyFill="1" applyBorder="1" applyAlignment="1">
      <alignment horizontal="center"/>
    </xf>
    <xf numFmtId="0" fontId="0" fillId="2" borderId="19" xfId="0" applyFont="1" applyFill="1" applyBorder="1"/>
    <xf numFmtId="0" fontId="0" fillId="2" borderId="21" xfId="0" applyFont="1" applyFill="1" applyBorder="1"/>
    <xf numFmtId="0" fontId="0" fillId="2" borderId="20" xfId="0" applyFont="1" applyFill="1" applyBorder="1"/>
    <xf numFmtId="0" fontId="0" fillId="2" borderId="18" xfId="0" applyFont="1" applyFill="1" applyBorder="1"/>
    <xf numFmtId="0" fontId="3" fillId="2" borderId="18" xfId="0" applyFont="1" applyFill="1" applyBorder="1"/>
    <xf numFmtId="0" fontId="4" fillId="2" borderId="19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3" fillId="2" borderId="19" xfId="0" applyFont="1" applyFill="1" applyBorder="1"/>
    <xf numFmtId="0" fontId="3" fillId="2" borderId="21" xfId="0" applyFont="1" applyFill="1" applyBorder="1"/>
    <xf numFmtId="0" fontId="3" fillId="2" borderId="20" xfId="0" applyFont="1" applyFill="1" applyBorder="1"/>
    <xf numFmtId="0" fontId="0" fillId="0" borderId="22" xfId="0" applyFont="1" applyBorder="1"/>
    <xf numFmtId="0" fontId="0" fillId="0" borderId="23" xfId="0" applyFont="1" applyBorder="1"/>
    <xf numFmtId="0" fontId="0" fillId="0" borderId="24" xfId="0" applyFont="1" applyBorder="1"/>
    <xf numFmtId="166" fontId="0" fillId="0" borderId="6" xfId="0" applyNumberFormat="1" applyFont="1" applyBorder="1"/>
    <xf numFmtId="0" fontId="0" fillId="0" borderId="25" xfId="0" applyFont="1" applyBorder="1"/>
    <xf numFmtId="166" fontId="0" fillId="0" borderId="0" xfId="0" applyNumberFormat="1" applyFont="1"/>
    <xf numFmtId="166" fontId="1" fillId="0" borderId="9" xfId="0" applyNumberFormat="1" applyFont="1" applyBorder="1"/>
    <xf numFmtId="0" fontId="0" fillId="2" borderId="26" xfId="0" applyFont="1" applyFill="1" applyBorder="1"/>
    <xf numFmtId="0" fontId="0" fillId="4" borderId="30" xfId="0" applyFont="1" applyFill="1" applyBorder="1"/>
    <xf numFmtId="0" fontId="0" fillId="3" borderId="20" xfId="0" applyFont="1" applyFill="1" applyBorder="1"/>
    <xf numFmtId="0" fontId="0" fillId="2" borderId="31" xfId="0" applyFont="1" applyFill="1" applyBorder="1"/>
    <xf numFmtId="0" fontId="1" fillId="3" borderId="20" xfId="0" applyFont="1" applyFill="1" applyBorder="1"/>
    <xf numFmtId="0" fontId="0" fillId="2" borderId="30" xfId="0" applyFont="1" applyFill="1" applyBorder="1"/>
    <xf numFmtId="0" fontId="0" fillId="2" borderId="32" xfId="0" applyFont="1" applyFill="1" applyBorder="1"/>
    <xf numFmtId="0" fontId="0" fillId="3" borderId="20" xfId="0" applyFont="1" applyFill="1" applyBorder="1" applyAlignment="1">
      <alignment horizontal="right"/>
    </xf>
    <xf numFmtId="0" fontId="0" fillId="2" borderId="33" xfId="0" applyFont="1" applyFill="1" applyBorder="1"/>
    <xf numFmtId="0" fontId="0" fillId="0" borderId="34" xfId="0" applyFont="1" applyBorder="1"/>
    <xf numFmtId="0" fontId="0" fillId="0" borderId="0" xfId="0" applyFont="1" applyAlignment="1">
      <alignment horizontal="right"/>
    </xf>
    <xf numFmtId="167" fontId="0" fillId="0" borderId="35" xfId="0" applyNumberFormat="1" applyFont="1" applyBorder="1"/>
    <xf numFmtId="0" fontId="0" fillId="5" borderId="20" xfId="0" applyFont="1" applyFill="1" applyBorder="1"/>
    <xf numFmtId="0" fontId="6" fillId="7" borderId="20" xfId="0" applyFont="1" applyFill="1" applyBorder="1"/>
    <xf numFmtId="165" fontId="0" fillId="8" borderId="20" xfId="0" applyNumberFormat="1" applyFont="1" applyFill="1" applyBorder="1"/>
    <xf numFmtId="0" fontId="0" fillId="8" borderId="20" xfId="0" applyFont="1" applyFill="1" applyBorder="1"/>
    <xf numFmtId="0" fontId="0" fillId="9" borderId="20" xfId="0" applyFont="1" applyFill="1" applyBorder="1"/>
    <xf numFmtId="0" fontId="0" fillId="10" borderId="20" xfId="0" applyFont="1" applyFill="1" applyBorder="1"/>
    <xf numFmtId="44" fontId="0" fillId="0" borderId="0" xfId="0" applyNumberFormat="1" applyFont="1" applyAlignment="1"/>
    <xf numFmtId="14" fontId="0" fillId="0" borderId="0" xfId="0" applyNumberFormat="1" applyFont="1" applyAlignment="1"/>
    <xf numFmtId="44" fontId="0" fillId="0" borderId="0" xfId="1" applyFont="1" applyAlignment="1"/>
    <xf numFmtId="0" fontId="1" fillId="3" borderId="27" xfId="0" applyFont="1" applyFill="1" applyBorder="1" applyAlignment="1">
      <alignment horizontal="left"/>
    </xf>
    <xf numFmtId="0" fontId="2" fillId="0" borderId="29" xfId="0" applyFont="1" applyBorder="1"/>
    <xf numFmtId="0" fontId="0" fillId="0" borderId="1" xfId="0" applyFont="1" applyBorder="1" applyAlignment="1">
      <alignment horizontal="center"/>
    </xf>
    <xf numFmtId="0" fontId="2" fillId="0" borderId="3" xfId="0" applyFont="1" applyBorder="1"/>
    <xf numFmtId="0" fontId="2" fillId="0" borderId="2" xfId="0" applyFont="1" applyBorder="1"/>
    <xf numFmtId="0" fontId="0" fillId="3" borderId="27" xfId="0" applyFont="1" applyFill="1" applyBorder="1" applyAlignment="1">
      <alignment horizontal="right"/>
    </xf>
    <xf numFmtId="0" fontId="0" fillId="3" borderId="27" xfId="0" applyFont="1" applyFill="1" applyBorder="1" applyAlignment="1">
      <alignment horizontal="left"/>
    </xf>
    <xf numFmtId="0" fontId="0" fillId="6" borderId="27" xfId="0" applyFont="1" applyFill="1" applyBorder="1" applyAlignment="1">
      <alignment horizontal="left"/>
    </xf>
    <xf numFmtId="0" fontId="2" fillId="0" borderId="28" xfId="0" applyFont="1" applyBorder="1"/>
    <xf numFmtId="0" fontId="0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6" xfId="0" applyFont="1" applyBorder="1" applyAlignment="1"/>
    <xf numFmtId="0" fontId="0" fillId="0" borderId="36" xfId="0" applyFont="1" applyBorder="1" applyAlignment="1"/>
    <xf numFmtId="0" fontId="1" fillId="0" borderId="37" xfId="0" applyFont="1" applyBorder="1"/>
    <xf numFmtId="44" fontId="1" fillId="0" borderId="37" xfId="0" applyNumberFormat="1" applyFont="1" applyBorder="1"/>
    <xf numFmtId="0" fontId="0" fillId="0" borderId="37" xfId="0" applyFont="1" applyBorder="1" applyAlignment="1"/>
    <xf numFmtId="0" fontId="1" fillId="0" borderId="36" xfId="0" applyFont="1" applyBorder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Calibri"/>
              </a:defRPr>
            </a:pPr>
            <a:r>
              <a:rPr lang="de-CH"/>
              <a:t>Elevator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'ADB and Rudder Calibration'!$J$1</c:f>
              <c:strCache>
                <c:ptCount val="1"/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trendline>
            <c:spPr>
              <a:ln w="19050">
                <a:solidFill>
                  <a:srgbClr val="5B9BD5"/>
                </a:solidFill>
              </a:ln>
            </c:spPr>
            <c:trendlineType val="linear"/>
            <c:dispRSqr val="0"/>
            <c:dispEq val="0"/>
          </c:trendline>
          <c:xVal>
            <c:numRef>
              <c:f>'ADB and Rudder Calibration'!$I$2:$I$6</c:f>
              <c:numCache>
                <c:formatCode>General</c:formatCode>
                <c:ptCount val="5"/>
                <c:pt idx="0">
                  <c:v>6.8</c:v>
                </c:pt>
                <c:pt idx="2">
                  <c:v>0</c:v>
                </c:pt>
                <c:pt idx="4">
                  <c:v>-10</c:v>
                </c:pt>
              </c:numCache>
            </c:numRef>
          </c:xVal>
          <c:yVal>
            <c:numRef>
              <c:f>'ADB and Rudder Calibration'!$J$2:$J$6</c:f>
              <c:numCache>
                <c:formatCode>General</c:formatCode>
                <c:ptCount val="5"/>
                <c:pt idx="0">
                  <c:v>-0.18840299999999999</c:v>
                </c:pt>
                <c:pt idx="2">
                  <c:v>-0.114625</c:v>
                </c:pt>
                <c:pt idx="4">
                  <c:v>-1.6745900000000001E-3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2C-4BC6-A01F-3EDC7E0A5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98552"/>
        <c:axId val="325512125"/>
      </c:scatterChart>
      <c:valAx>
        <c:axId val="142898552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325512125"/>
        <c:crosses val="autoZero"/>
        <c:crossBetween val="midCat"/>
      </c:valAx>
      <c:valAx>
        <c:axId val="325512125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142898552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Calibri"/>
              </a:defRPr>
            </a:pPr>
            <a:r>
              <a:rPr lang="de-CH"/>
              <a:t>Aileron Left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xVal>
            <c:numRef>
              <c:f>'ADB and Rudder Calibration'!$J$10:$J$14</c:f>
              <c:numCache>
                <c:formatCode>General</c:formatCode>
                <c:ptCount val="5"/>
                <c:pt idx="0">
                  <c:v>-0.35192000000000001</c:v>
                </c:pt>
                <c:pt idx="1">
                  <c:v>-0.28222000000000003</c:v>
                </c:pt>
                <c:pt idx="2">
                  <c:v>-0.20841299999999999</c:v>
                </c:pt>
                <c:pt idx="3">
                  <c:v>-0.12764900000000001</c:v>
                </c:pt>
                <c:pt idx="4">
                  <c:v>-4.5142599999999998E-2</c:v>
                </c:pt>
              </c:numCache>
            </c:numRef>
          </c:xVal>
          <c:yVal>
            <c:numRef>
              <c:f>'ADB and Rudder Calibration'!$I$10:$I$14</c:f>
              <c:numCache>
                <c:formatCode>General</c:formatCode>
                <c:ptCount val="5"/>
                <c:pt idx="0">
                  <c:v>-25</c:v>
                </c:pt>
                <c:pt idx="1">
                  <c:v>-15</c:v>
                </c:pt>
                <c:pt idx="2">
                  <c:v>-7</c:v>
                </c:pt>
                <c:pt idx="3">
                  <c:v>0</c:v>
                </c:pt>
                <c:pt idx="4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77-4C56-9E30-899F41CDB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193556"/>
        <c:axId val="587656491"/>
      </c:scatterChart>
      <c:valAx>
        <c:axId val="1626193556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87656491"/>
        <c:crosses val="autoZero"/>
        <c:crossBetween val="midCat"/>
      </c:valAx>
      <c:valAx>
        <c:axId val="587656491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1626193556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Calibri"/>
              </a:defRPr>
            </a:pPr>
            <a:r>
              <a:rPr lang="de-CH"/>
              <a:t>Aileron Right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xVal>
            <c:numRef>
              <c:f>'ADB and Rudder Calibration'!$J$19:$J$24</c:f>
              <c:numCache>
                <c:formatCode>General</c:formatCode>
                <c:ptCount val="6"/>
                <c:pt idx="0">
                  <c:v>0.10828599999999999</c:v>
                </c:pt>
                <c:pt idx="1">
                  <c:v>3.7770650000000003E-2</c:v>
                </c:pt>
                <c:pt idx="2">
                  <c:v>-4.0531299999999999E-2</c:v>
                </c:pt>
                <c:pt idx="3">
                  <c:v>-0.124496</c:v>
                </c:pt>
                <c:pt idx="4">
                  <c:v>-0.203565</c:v>
                </c:pt>
                <c:pt idx="5">
                  <c:v>-0.32684200000000002</c:v>
                </c:pt>
              </c:numCache>
            </c:numRef>
          </c:xVal>
          <c:yVal>
            <c:numRef>
              <c:f>'ADB and Rudder Calibration'!$I$19:$I$24</c:f>
              <c:numCache>
                <c:formatCode>General</c:formatCode>
                <c:ptCount val="6"/>
                <c:pt idx="0">
                  <c:v>25</c:v>
                </c:pt>
                <c:pt idx="1">
                  <c:v>15</c:v>
                </c:pt>
                <c:pt idx="2">
                  <c:v>7</c:v>
                </c:pt>
                <c:pt idx="3">
                  <c:v>0</c:v>
                </c:pt>
                <c:pt idx="4">
                  <c:v>-6</c:v>
                </c:pt>
                <c:pt idx="5">
                  <c:v>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24-4C81-ABF7-883AF864A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473739"/>
        <c:axId val="777807481"/>
      </c:scatterChart>
      <c:valAx>
        <c:axId val="1172473739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777807481"/>
        <c:crosses val="autoZero"/>
        <c:crossBetween val="midCat"/>
      </c:valAx>
      <c:valAx>
        <c:axId val="777807481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1172473739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Calibri"/>
              </a:defRPr>
            </a:pPr>
            <a:r>
              <a:rPr lang="de-CH"/>
              <a:t>Rudder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trendline>
            <c:spPr>
              <a:ln w="19050">
                <a:solidFill>
                  <a:srgbClr val="5B9BD5"/>
                </a:solidFill>
              </a:ln>
            </c:spPr>
            <c:trendlineType val="linear"/>
            <c:dispRSqr val="0"/>
            <c:dispEq val="0"/>
          </c:trendline>
          <c:xVal>
            <c:numRef>
              <c:f>'ADB and Rudder Calibration'!$I$29:$I$31</c:f>
              <c:numCache>
                <c:formatCode>General</c:formatCode>
                <c:ptCount val="3"/>
                <c:pt idx="0">
                  <c:v>25.5</c:v>
                </c:pt>
                <c:pt idx="1">
                  <c:v>0</c:v>
                </c:pt>
                <c:pt idx="2">
                  <c:v>-30</c:v>
                </c:pt>
              </c:numCache>
            </c:numRef>
          </c:xVal>
          <c:yVal>
            <c:numRef>
              <c:f>'ADB and Rudder Calibration'!$J$29:$J$31</c:f>
              <c:numCache>
                <c:formatCode>General</c:formatCode>
                <c:ptCount val="3"/>
                <c:pt idx="0">
                  <c:v>1.5527300000000001E-2</c:v>
                </c:pt>
                <c:pt idx="1">
                  <c:v>-7.7481099999999997E-2</c:v>
                </c:pt>
                <c:pt idx="2">
                  <c:v>-0.17852699999999999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3D-4227-97D1-827D4C41E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40057"/>
        <c:axId val="379320662"/>
      </c:scatterChart>
      <c:valAx>
        <c:axId val="181540057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379320662"/>
        <c:crosses val="autoZero"/>
        <c:crossBetween val="midCat"/>
      </c:valAx>
      <c:valAx>
        <c:axId val="37932066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181540057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Calibri"/>
              </a:defRPr>
            </a:pPr>
            <a:r>
              <a:rPr lang="de-CH"/>
              <a:t>Power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trendline>
            <c:spPr>
              <a:ln w="19050">
                <a:solidFill>
                  <a:srgbClr val="5B9BD5"/>
                </a:solidFill>
              </a:ln>
            </c:spPr>
            <c:trendlineType val="linear"/>
            <c:dispRSqr val="0"/>
            <c:dispEq val="0"/>
          </c:trendline>
          <c:xVal>
            <c:numRef>
              <c:f>'ADB and Rudder Calibration'!$I$36:$I$40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'ADB and Rudder Calibration'!$J$36:$J$40</c:f>
              <c:numCache>
                <c:formatCode>General</c:formatCode>
                <c:ptCount val="5"/>
                <c:pt idx="0">
                  <c:v>-0.16884099999999999</c:v>
                </c:pt>
                <c:pt idx="1">
                  <c:v>-0.23088</c:v>
                </c:pt>
                <c:pt idx="2">
                  <c:v>-0.30235800000000002</c:v>
                </c:pt>
                <c:pt idx="3">
                  <c:v>-0.38214999999999999</c:v>
                </c:pt>
                <c:pt idx="4">
                  <c:v>-0.42944300000000002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46-4C79-9F6D-9DDD04DD9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8305899"/>
        <c:axId val="549580888"/>
      </c:scatterChart>
      <c:valAx>
        <c:axId val="1608305899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49580888"/>
        <c:crosses val="autoZero"/>
        <c:crossBetween val="midCat"/>
      </c:valAx>
      <c:valAx>
        <c:axId val="54958088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1608305899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561975</xdr:colOff>
      <xdr:row>0</xdr:row>
      <xdr:rowOff>0</xdr:rowOff>
    </xdr:from>
    <xdr:ext cx="2876550" cy="2305050"/>
    <xdr:graphicFrame macro="">
      <xdr:nvGraphicFramePr>
        <xdr:cNvPr id="50576944" name="Chart 1">
          <a:extLst>
            <a:ext uri="{FF2B5EF4-FFF2-40B4-BE49-F238E27FC236}">
              <a16:creationId xmlns:a16="http://schemas.microsoft.com/office/drawing/2014/main" id="{00000000-0008-0000-0400-000030BE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</xdr:col>
      <xdr:colOff>533400</xdr:colOff>
      <xdr:row>13</xdr:row>
      <xdr:rowOff>104775</xdr:rowOff>
    </xdr:from>
    <xdr:ext cx="2809875" cy="2095500"/>
    <xdr:graphicFrame macro="">
      <xdr:nvGraphicFramePr>
        <xdr:cNvPr id="1438111150" name="Chart 2">
          <a:extLst>
            <a:ext uri="{FF2B5EF4-FFF2-40B4-BE49-F238E27FC236}">
              <a16:creationId xmlns:a16="http://schemas.microsoft.com/office/drawing/2014/main" id="{00000000-0008-0000-0400-0000AED5B7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16</xdr:col>
      <xdr:colOff>647700</xdr:colOff>
      <xdr:row>13</xdr:row>
      <xdr:rowOff>85725</xdr:rowOff>
    </xdr:from>
    <xdr:ext cx="2838450" cy="2095500"/>
    <xdr:graphicFrame macro="">
      <xdr:nvGraphicFramePr>
        <xdr:cNvPr id="1492547622" name="Chart 3">
          <a:extLst>
            <a:ext uri="{FF2B5EF4-FFF2-40B4-BE49-F238E27FC236}">
              <a16:creationId xmlns:a16="http://schemas.microsoft.com/office/drawing/2014/main" id="{00000000-0008-0000-0400-00002678F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12</xdr:col>
      <xdr:colOff>628650</xdr:colOff>
      <xdr:row>26</xdr:row>
      <xdr:rowOff>0</xdr:rowOff>
    </xdr:from>
    <xdr:ext cx="2619375" cy="1600200"/>
    <xdr:graphicFrame macro="">
      <xdr:nvGraphicFramePr>
        <xdr:cNvPr id="1489472825" name="Chart 4">
          <a:extLst>
            <a:ext uri="{FF2B5EF4-FFF2-40B4-BE49-F238E27FC236}">
              <a16:creationId xmlns:a16="http://schemas.microsoft.com/office/drawing/2014/main" id="{00000000-0008-0000-0400-0000398DC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13</xdr:col>
      <xdr:colOff>9525</xdr:colOff>
      <xdr:row>35</xdr:row>
      <xdr:rowOff>85725</xdr:rowOff>
    </xdr:from>
    <xdr:ext cx="2686050" cy="1847850"/>
    <xdr:graphicFrame macro="">
      <xdr:nvGraphicFramePr>
        <xdr:cNvPr id="1600536327" name="Chart 5">
          <a:extLst>
            <a:ext uri="{FF2B5EF4-FFF2-40B4-BE49-F238E27FC236}">
              <a16:creationId xmlns:a16="http://schemas.microsoft.com/office/drawing/2014/main" id="{00000000-0008-0000-0400-0000073F6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998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F47" sqref="F47"/>
    </sheetView>
  </sheetViews>
  <sheetFormatPr baseColWidth="10" defaultColWidth="14.453125" defaultRowHeight="15" customHeight="1" x14ac:dyDescent="0.35"/>
  <cols>
    <col min="1" max="1" width="33.1796875" customWidth="1"/>
    <col min="2" max="2" width="6" customWidth="1"/>
    <col min="3" max="3" width="8.7265625" customWidth="1"/>
    <col min="4" max="4" width="7.7265625" customWidth="1"/>
    <col min="5" max="5" width="4.81640625" customWidth="1"/>
    <col min="6" max="6" width="7" customWidth="1"/>
    <col min="7" max="8" width="3.7265625" customWidth="1"/>
    <col min="9" max="11" width="3.81640625" customWidth="1"/>
    <col min="12" max="12" width="2.1796875" customWidth="1"/>
    <col min="13" max="13" width="8.1796875" customWidth="1"/>
    <col min="14" max="14" width="4.7265625" customWidth="1"/>
    <col min="15" max="15" width="5.81640625" customWidth="1"/>
    <col min="16" max="16" width="5.1796875" customWidth="1"/>
    <col min="17" max="17" width="6.7265625" customWidth="1"/>
    <col min="18" max="18" width="4.7265625" customWidth="1"/>
    <col min="19" max="19" width="6.1796875" customWidth="1"/>
    <col min="20" max="20" width="4.81640625" customWidth="1"/>
    <col min="21" max="21" width="2.1796875" customWidth="1"/>
    <col min="22" max="22" width="5.26953125" customWidth="1"/>
    <col min="23" max="23" width="8.7265625" customWidth="1"/>
    <col min="24" max="24" width="7" customWidth="1"/>
    <col min="25" max="25" width="8.7265625" customWidth="1"/>
    <col min="26" max="26" width="8.453125" customWidth="1"/>
    <col min="27" max="27" width="15.1796875" customWidth="1"/>
    <col min="28" max="28" width="5.81640625" customWidth="1"/>
    <col min="29" max="30" width="10.7265625" customWidth="1"/>
  </cols>
  <sheetData>
    <row r="1" spans="1:30" ht="14.25" customHeight="1" x14ac:dyDescent="0.35"/>
    <row r="2" spans="1:30" ht="14.25" customHeight="1" x14ac:dyDescent="0.35">
      <c r="B2" t="s">
        <v>1</v>
      </c>
      <c r="D2" s="5">
        <f>SUM('Matrix - Detailed'!E2:E214)/(COUNT('Matrix - Detailed'!E2:E214)-16)</f>
        <v>0.84771573604060912</v>
      </c>
      <c r="F2">
        <f>COUNT('Matrix - Detailed'!E2:E214)-16</f>
        <v>197</v>
      </c>
      <c r="G2">
        <f>SUM('Matrix - Detailed'!E2:E214)</f>
        <v>167</v>
      </c>
      <c r="Y2" s="7"/>
      <c r="Z2" s="7"/>
      <c r="AA2" s="7"/>
    </row>
    <row r="3" spans="1:30" ht="14.25" customHeight="1" x14ac:dyDescent="0.35">
      <c r="Y3" s="7"/>
      <c r="Z3" s="7"/>
      <c r="AA3" s="7"/>
    </row>
    <row r="4" spans="1:30" ht="14.25" customHeight="1" x14ac:dyDescent="0.35">
      <c r="B4" s="103" t="s">
        <v>16</v>
      </c>
      <c r="C4" s="105"/>
      <c r="D4" s="105"/>
      <c r="E4" s="105"/>
      <c r="F4" s="105"/>
      <c r="G4" s="104"/>
      <c r="H4" s="103" t="s">
        <v>39</v>
      </c>
      <c r="I4" s="105"/>
      <c r="J4" s="105"/>
      <c r="K4" s="105"/>
      <c r="L4" s="103" t="s">
        <v>40</v>
      </c>
      <c r="M4" s="104"/>
      <c r="N4" s="110" t="s">
        <v>41</v>
      </c>
      <c r="O4" s="105"/>
      <c r="P4" s="105"/>
      <c r="Q4" s="105"/>
      <c r="R4" s="103" t="s">
        <v>47</v>
      </c>
      <c r="S4" s="105"/>
      <c r="T4" s="104"/>
      <c r="U4" s="103" t="s">
        <v>49</v>
      </c>
      <c r="V4" s="105"/>
      <c r="W4" s="105"/>
      <c r="X4" s="105"/>
      <c r="Y4" s="103" t="s">
        <v>51</v>
      </c>
      <c r="Z4" s="104"/>
      <c r="AA4" s="103" t="s">
        <v>53</v>
      </c>
      <c r="AB4" s="104"/>
      <c r="AD4" s="7"/>
    </row>
    <row r="5" spans="1:30" ht="14.25" customHeight="1" x14ac:dyDescent="0.35">
      <c r="B5" s="21" t="s">
        <v>56</v>
      </c>
      <c r="C5" s="23" t="s">
        <v>58</v>
      </c>
      <c r="D5" s="23" t="s">
        <v>60</v>
      </c>
      <c r="E5" s="23" t="s">
        <v>26</v>
      </c>
      <c r="F5" s="23" t="s">
        <v>61</v>
      </c>
      <c r="G5" s="25" t="s">
        <v>27</v>
      </c>
      <c r="H5" s="21" t="s">
        <v>62</v>
      </c>
      <c r="I5" s="23" t="s">
        <v>63</v>
      </c>
      <c r="J5" s="23" t="s">
        <v>64</v>
      </c>
      <c r="K5" s="23" t="s">
        <v>65</v>
      </c>
      <c r="L5" s="27" t="s">
        <v>31</v>
      </c>
      <c r="M5" s="25" t="s">
        <v>66</v>
      </c>
      <c r="N5" s="23" t="s">
        <v>67</v>
      </c>
      <c r="O5" s="23" t="s">
        <v>68</v>
      </c>
      <c r="P5" s="23" t="s">
        <v>69</v>
      </c>
      <c r="Q5" s="23" t="s">
        <v>70</v>
      </c>
      <c r="R5" s="21" t="s">
        <v>68</v>
      </c>
      <c r="S5" s="23" t="s">
        <v>69</v>
      </c>
      <c r="T5" s="25" t="s">
        <v>71</v>
      </c>
      <c r="U5" s="21" t="s">
        <v>31</v>
      </c>
      <c r="V5" s="23" t="s">
        <v>68</v>
      </c>
      <c r="W5" s="23" t="s">
        <v>58</v>
      </c>
      <c r="X5" s="23" t="s">
        <v>70</v>
      </c>
      <c r="Y5" s="29" t="s">
        <v>73</v>
      </c>
      <c r="Z5" s="31" t="s">
        <v>75</v>
      </c>
      <c r="AA5" s="29" t="s">
        <v>0</v>
      </c>
      <c r="AB5" s="33" t="s">
        <v>13</v>
      </c>
      <c r="AD5" s="15"/>
    </row>
    <row r="6" spans="1:30" ht="14.25" customHeight="1" x14ac:dyDescent="0.35">
      <c r="A6" s="35" t="s">
        <v>79</v>
      </c>
      <c r="B6" s="14"/>
      <c r="C6" s="17">
        <v>1</v>
      </c>
      <c r="D6" s="17"/>
      <c r="E6" s="14">
        <v>1</v>
      </c>
      <c r="F6" s="17"/>
      <c r="G6" s="37">
        <v>1</v>
      </c>
      <c r="H6" s="14">
        <v>1</v>
      </c>
      <c r="I6" s="17"/>
      <c r="J6" s="17"/>
      <c r="K6" s="17"/>
      <c r="L6" s="14">
        <v>1</v>
      </c>
      <c r="M6" s="37">
        <v>1</v>
      </c>
      <c r="N6" s="17">
        <v>1</v>
      </c>
      <c r="O6" s="17"/>
      <c r="P6" s="17">
        <v>1</v>
      </c>
      <c r="Q6" s="17">
        <v>1</v>
      </c>
      <c r="R6" s="14"/>
      <c r="S6" s="17">
        <v>1</v>
      </c>
      <c r="T6" s="37"/>
      <c r="U6" s="14"/>
      <c r="V6" s="17"/>
      <c r="W6" s="17">
        <v>1</v>
      </c>
      <c r="X6" s="17">
        <v>1</v>
      </c>
      <c r="Y6" s="32">
        <v>2</v>
      </c>
      <c r="Z6" s="36">
        <f t="shared" ref="Z6:Z19" si="0">IF(SUM(B6:D6)=0,1,SUM(B6:D6))*IF(SUM(E6:G6)=0,1,SUM(E6:G6))*IF(SUM(H6:K6)=0,1,SUM(H6:K6))*IF(SUM(N6:Q6)=0,1,SUM(N6:Q6))*IF(SUM(R6:T6)=0,1,SUM(R6:T6))*IF(SUM(U6:X6)=0,1,SUM(U6:X6))*Y6*SUM(L6:M6)</f>
        <v>48</v>
      </c>
      <c r="AA6" s="34">
        <v>3</v>
      </c>
      <c r="AB6" s="36">
        <f t="shared" ref="AB6:AB19" si="1">Z6*AA6</f>
        <v>144</v>
      </c>
      <c r="AD6" s="7"/>
    </row>
    <row r="7" spans="1:30" ht="14.25" customHeight="1" x14ac:dyDescent="0.35">
      <c r="A7" s="42" t="s">
        <v>80</v>
      </c>
      <c r="B7" s="43"/>
      <c r="C7" s="45">
        <v>1</v>
      </c>
      <c r="D7" s="45"/>
      <c r="E7" s="47">
        <v>1</v>
      </c>
      <c r="F7" s="45"/>
      <c r="G7" s="49"/>
      <c r="H7" s="47">
        <v>1</v>
      </c>
      <c r="I7" s="45"/>
      <c r="J7" s="45"/>
      <c r="K7" s="45"/>
      <c r="L7" s="47">
        <v>1</v>
      </c>
      <c r="M7" s="49"/>
      <c r="N7" s="45"/>
      <c r="O7" s="45"/>
      <c r="P7" s="45">
        <v>1</v>
      </c>
      <c r="Q7" s="45"/>
      <c r="R7" s="47">
        <v>1</v>
      </c>
      <c r="S7" s="45"/>
      <c r="T7" s="49">
        <v>1</v>
      </c>
      <c r="U7" s="43"/>
      <c r="V7" s="50"/>
      <c r="W7" s="45">
        <v>1</v>
      </c>
      <c r="X7" s="45"/>
      <c r="Y7" s="51">
        <v>2</v>
      </c>
      <c r="Z7" s="52">
        <f t="shared" si="0"/>
        <v>4</v>
      </c>
      <c r="AA7" s="53">
        <v>3</v>
      </c>
      <c r="AB7" s="52">
        <f t="shared" si="1"/>
        <v>12</v>
      </c>
      <c r="AD7" s="7"/>
    </row>
    <row r="8" spans="1:30" ht="14.25" customHeight="1" x14ac:dyDescent="0.35">
      <c r="A8" s="54" t="s">
        <v>83</v>
      </c>
      <c r="B8" s="29"/>
      <c r="C8" s="45">
        <v>1</v>
      </c>
      <c r="D8" s="45"/>
      <c r="E8" s="47">
        <v>1</v>
      </c>
      <c r="F8" s="45"/>
      <c r="G8" s="49">
        <v>1</v>
      </c>
      <c r="H8" s="47">
        <v>1</v>
      </c>
      <c r="I8" s="45"/>
      <c r="J8" s="45"/>
      <c r="K8" s="45"/>
      <c r="L8" s="47">
        <v>1</v>
      </c>
      <c r="M8" s="49">
        <v>1</v>
      </c>
      <c r="N8" s="45"/>
      <c r="O8" s="45"/>
      <c r="P8" s="45">
        <v>1</v>
      </c>
      <c r="Q8" s="45"/>
      <c r="R8" s="47"/>
      <c r="S8" s="45">
        <v>1</v>
      </c>
      <c r="T8" s="49"/>
      <c r="U8" s="29"/>
      <c r="V8" s="55"/>
      <c r="W8" s="45">
        <v>1</v>
      </c>
      <c r="X8" s="45">
        <v>1</v>
      </c>
      <c r="Y8" s="51">
        <v>2</v>
      </c>
      <c r="Z8" s="52">
        <f t="shared" si="0"/>
        <v>16</v>
      </c>
      <c r="AA8" s="53">
        <v>5</v>
      </c>
      <c r="AB8" s="52">
        <f t="shared" si="1"/>
        <v>80</v>
      </c>
    </row>
    <row r="9" spans="1:30" ht="14.25" customHeight="1" x14ac:dyDescent="0.35">
      <c r="A9" s="56" t="s">
        <v>84</v>
      </c>
      <c r="B9" s="57"/>
      <c r="C9" s="58">
        <v>1</v>
      </c>
      <c r="D9" s="58"/>
      <c r="E9" s="59">
        <v>1</v>
      </c>
      <c r="F9" s="58"/>
      <c r="G9" s="60">
        <v>1</v>
      </c>
      <c r="H9" s="59">
        <v>1</v>
      </c>
      <c r="I9" s="58"/>
      <c r="J9" s="58"/>
      <c r="K9" s="58"/>
      <c r="L9" s="59">
        <v>1</v>
      </c>
      <c r="M9" s="60"/>
      <c r="N9" s="58"/>
      <c r="O9" s="58"/>
      <c r="P9" s="58">
        <v>1</v>
      </c>
      <c r="Q9" s="58"/>
      <c r="R9" s="59"/>
      <c r="S9" s="58">
        <v>1</v>
      </c>
      <c r="T9" s="60"/>
      <c r="U9" s="57"/>
      <c r="V9" s="62"/>
      <c r="W9" s="62">
        <v>1</v>
      </c>
      <c r="X9" s="62"/>
      <c r="Y9" s="63">
        <v>2</v>
      </c>
      <c r="Z9" s="64">
        <f t="shared" si="0"/>
        <v>4</v>
      </c>
      <c r="AA9" s="65">
        <v>5</v>
      </c>
      <c r="AB9" s="64">
        <f t="shared" si="1"/>
        <v>20</v>
      </c>
      <c r="AC9" t="s">
        <v>113</v>
      </c>
    </row>
    <row r="10" spans="1:30" ht="14.25" customHeight="1" x14ac:dyDescent="0.35">
      <c r="A10" s="66" t="s">
        <v>85</v>
      </c>
      <c r="B10" s="57"/>
      <c r="C10" s="58">
        <v>1</v>
      </c>
      <c r="D10" s="58"/>
      <c r="E10" s="59">
        <v>1</v>
      </c>
      <c r="F10" s="58"/>
      <c r="G10" s="60"/>
      <c r="H10" s="59">
        <v>1</v>
      </c>
      <c r="I10" s="58"/>
      <c r="J10" s="58"/>
      <c r="K10" s="58"/>
      <c r="L10" s="59">
        <v>1</v>
      </c>
      <c r="M10" s="60">
        <v>1</v>
      </c>
      <c r="N10" s="58"/>
      <c r="O10" s="58"/>
      <c r="P10" s="58">
        <v>1</v>
      </c>
      <c r="Q10" s="58"/>
      <c r="R10" s="59"/>
      <c r="S10" s="58">
        <v>1</v>
      </c>
      <c r="T10" s="60"/>
      <c r="U10" s="57"/>
      <c r="V10" s="62"/>
      <c r="W10" s="62">
        <v>1</v>
      </c>
      <c r="X10" s="62"/>
      <c r="Y10" s="63">
        <v>2</v>
      </c>
      <c r="Z10" s="64">
        <f t="shared" si="0"/>
        <v>4</v>
      </c>
      <c r="AA10" s="65">
        <v>3</v>
      </c>
      <c r="AB10" s="64">
        <f t="shared" si="1"/>
        <v>12</v>
      </c>
    </row>
    <row r="11" spans="1:30" ht="14.25" customHeight="1" x14ac:dyDescent="0.35">
      <c r="A11" s="56" t="s">
        <v>86</v>
      </c>
      <c r="B11" s="57"/>
      <c r="C11" s="58">
        <v>1</v>
      </c>
      <c r="D11" s="58"/>
      <c r="E11" s="59">
        <v>1</v>
      </c>
      <c r="F11" s="58"/>
      <c r="G11" s="60"/>
      <c r="H11" s="59">
        <v>1</v>
      </c>
      <c r="I11" s="58"/>
      <c r="J11" s="58"/>
      <c r="K11" s="58"/>
      <c r="L11" s="59">
        <v>1</v>
      </c>
      <c r="M11" s="60"/>
      <c r="N11" s="58"/>
      <c r="O11" s="58"/>
      <c r="P11" s="58">
        <v>1</v>
      </c>
      <c r="Q11" s="58"/>
      <c r="R11" s="59"/>
      <c r="S11" s="58">
        <v>1</v>
      </c>
      <c r="T11" s="60"/>
      <c r="U11" s="57"/>
      <c r="V11" s="62">
        <v>1</v>
      </c>
      <c r="W11" s="62"/>
      <c r="X11" s="62">
        <v>1</v>
      </c>
      <c r="Y11" s="63">
        <v>2</v>
      </c>
      <c r="Z11" s="64">
        <f t="shared" si="0"/>
        <v>4</v>
      </c>
      <c r="AA11" s="65">
        <v>4</v>
      </c>
      <c r="AB11" s="64">
        <f t="shared" si="1"/>
        <v>16</v>
      </c>
    </row>
    <row r="12" spans="1:30" ht="14.25" customHeight="1" x14ac:dyDescent="0.35">
      <c r="A12" s="54" t="s">
        <v>108</v>
      </c>
      <c r="B12" s="29"/>
      <c r="C12" s="45">
        <v>1</v>
      </c>
      <c r="D12" s="45"/>
      <c r="E12" s="47">
        <v>1</v>
      </c>
      <c r="F12" s="45"/>
      <c r="G12" s="49"/>
      <c r="H12" s="47">
        <v>1</v>
      </c>
      <c r="I12" s="45"/>
      <c r="J12" s="45"/>
      <c r="K12" s="45"/>
      <c r="L12" s="47">
        <v>1</v>
      </c>
      <c r="M12" s="49">
        <v>1</v>
      </c>
      <c r="N12" s="45"/>
      <c r="O12" s="45"/>
      <c r="P12" s="45">
        <v>1</v>
      </c>
      <c r="Q12" s="45"/>
      <c r="R12" s="47"/>
      <c r="S12" s="45">
        <v>1</v>
      </c>
      <c r="T12" s="49"/>
      <c r="U12" s="29"/>
      <c r="V12" s="55"/>
      <c r="W12" s="55">
        <v>1</v>
      </c>
      <c r="X12" s="55"/>
      <c r="Y12" s="38">
        <v>2</v>
      </c>
      <c r="Z12" s="33">
        <f t="shared" si="0"/>
        <v>4</v>
      </c>
      <c r="AA12" s="7">
        <v>3</v>
      </c>
      <c r="AB12" s="33">
        <f t="shared" si="1"/>
        <v>12</v>
      </c>
    </row>
    <row r="13" spans="1:30" ht="14.25" customHeight="1" x14ac:dyDescent="0.35">
      <c r="A13" s="54" t="s">
        <v>112</v>
      </c>
      <c r="B13" s="29"/>
      <c r="C13" s="45">
        <v>1</v>
      </c>
      <c r="D13" s="45"/>
      <c r="E13" s="47">
        <v>1</v>
      </c>
      <c r="F13" s="45"/>
      <c r="G13" s="49">
        <v>1</v>
      </c>
      <c r="H13" s="47">
        <v>1</v>
      </c>
      <c r="I13" s="45"/>
      <c r="J13" s="45"/>
      <c r="K13" s="45"/>
      <c r="L13" s="47">
        <v>1</v>
      </c>
      <c r="M13" s="49"/>
      <c r="N13" s="45">
        <v>1</v>
      </c>
      <c r="O13" s="45"/>
      <c r="P13" s="45">
        <v>1</v>
      </c>
      <c r="Q13" s="45">
        <v>1</v>
      </c>
      <c r="R13" s="47"/>
      <c r="S13" s="45">
        <v>1</v>
      </c>
      <c r="T13" s="49"/>
      <c r="U13" s="29"/>
      <c r="V13" s="55"/>
      <c r="W13" s="55">
        <v>1</v>
      </c>
      <c r="X13" s="55">
        <v>1</v>
      </c>
      <c r="Y13" s="38">
        <v>2</v>
      </c>
      <c r="Z13" s="33">
        <f t="shared" si="0"/>
        <v>24</v>
      </c>
      <c r="AA13" s="7">
        <v>3</v>
      </c>
      <c r="AB13" s="33">
        <f t="shared" si="1"/>
        <v>72</v>
      </c>
    </row>
    <row r="14" spans="1:30" ht="14.25" customHeight="1" x14ac:dyDescent="0.35">
      <c r="A14" s="54" t="s">
        <v>117</v>
      </c>
      <c r="B14" s="29"/>
      <c r="C14" s="45">
        <v>1</v>
      </c>
      <c r="D14" s="45"/>
      <c r="E14" s="47">
        <v>1</v>
      </c>
      <c r="F14" s="45"/>
      <c r="G14" s="49"/>
      <c r="H14" s="47">
        <v>1</v>
      </c>
      <c r="I14" s="45"/>
      <c r="J14" s="45"/>
      <c r="K14" s="45"/>
      <c r="L14" s="47">
        <v>1</v>
      </c>
      <c r="M14" s="49">
        <v>1</v>
      </c>
      <c r="N14" s="45"/>
      <c r="O14" s="45">
        <v>1</v>
      </c>
      <c r="P14" s="45">
        <v>1</v>
      </c>
      <c r="Q14" s="45"/>
      <c r="R14" s="47"/>
      <c r="S14" s="45">
        <v>1</v>
      </c>
      <c r="T14" s="49"/>
      <c r="U14" s="29"/>
      <c r="V14" s="55"/>
      <c r="W14" s="45">
        <v>1</v>
      </c>
      <c r="X14" s="45"/>
      <c r="Y14" s="51">
        <v>2</v>
      </c>
      <c r="Z14" s="52">
        <f t="shared" si="0"/>
        <v>8</v>
      </c>
      <c r="AA14" s="53">
        <v>5</v>
      </c>
      <c r="AB14" s="52">
        <f t="shared" si="1"/>
        <v>40</v>
      </c>
    </row>
    <row r="15" spans="1:30" ht="14.25" customHeight="1" x14ac:dyDescent="0.35">
      <c r="A15" s="67" t="s">
        <v>123</v>
      </c>
      <c r="B15" s="68"/>
      <c r="C15" s="58">
        <v>1</v>
      </c>
      <c r="D15" s="58"/>
      <c r="E15" s="59">
        <v>1</v>
      </c>
      <c r="F15" s="58"/>
      <c r="G15" s="60"/>
      <c r="H15" s="59">
        <v>1</v>
      </c>
      <c r="I15" s="58"/>
      <c r="J15" s="58"/>
      <c r="K15" s="58"/>
      <c r="L15" s="59">
        <v>1</v>
      </c>
      <c r="M15" s="60"/>
      <c r="N15" s="58"/>
      <c r="O15" s="58"/>
      <c r="P15" s="58">
        <v>1</v>
      </c>
      <c r="Q15" s="58"/>
      <c r="R15" s="59">
        <v>1</v>
      </c>
      <c r="S15" s="58"/>
      <c r="T15" s="60">
        <v>1</v>
      </c>
      <c r="U15" s="68"/>
      <c r="V15" s="69"/>
      <c r="W15" s="58">
        <v>1</v>
      </c>
      <c r="X15" s="58"/>
      <c r="Y15" s="70">
        <v>2</v>
      </c>
      <c r="Z15" s="71">
        <f t="shared" si="0"/>
        <v>4</v>
      </c>
      <c r="AA15" s="72">
        <v>5</v>
      </c>
      <c r="AB15" s="71">
        <f t="shared" si="1"/>
        <v>20</v>
      </c>
    </row>
    <row r="16" spans="1:30" ht="14.25" customHeight="1" x14ac:dyDescent="0.35">
      <c r="A16" s="66" t="s">
        <v>129</v>
      </c>
      <c r="B16" s="57"/>
      <c r="C16" s="58">
        <v>1</v>
      </c>
      <c r="D16" s="58"/>
      <c r="E16" s="59">
        <v>1</v>
      </c>
      <c r="F16" s="58"/>
      <c r="G16" s="60">
        <v>1</v>
      </c>
      <c r="H16" s="59">
        <v>1</v>
      </c>
      <c r="I16" s="58"/>
      <c r="J16" s="58">
        <v>1</v>
      </c>
      <c r="K16" s="58">
        <v>1</v>
      </c>
      <c r="L16" s="59">
        <v>1</v>
      </c>
      <c r="M16" s="60"/>
      <c r="N16" s="58"/>
      <c r="O16" s="58"/>
      <c r="P16" s="58">
        <v>1</v>
      </c>
      <c r="Q16" s="58"/>
      <c r="R16" s="59"/>
      <c r="S16" s="58">
        <v>1</v>
      </c>
      <c r="T16" s="60"/>
      <c r="U16" s="57">
        <v>1</v>
      </c>
      <c r="V16" s="62"/>
      <c r="W16" s="62"/>
      <c r="X16" s="62"/>
      <c r="Y16" s="63">
        <v>2</v>
      </c>
      <c r="Z16" s="64">
        <f t="shared" si="0"/>
        <v>12</v>
      </c>
      <c r="AA16" s="65">
        <v>7</v>
      </c>
      <c r="AB16" s="64">
        <f t="shared" si="1"/>
        <v>84</v>
      </c>
    </row>
    <row r="17" spans="1:28" ht="14.25" customHeight="1" x14ac:dyDescent="0.35">
      <c r="A17" s="66" t="s">
        <v>127</v>
      </c>
      <c r="B17" s="57"/>
      <c r="C17" s="58">
        <v>1</v>
      </c>
      <c r="D17" s="58"/>
      <c r="E17" s="59">
        <v>1</v>
      </c>
      <c r="F17" s="58"/>
      <c r="G17" s="60"/>
      <c r="H17" s="59"/>
      <c r="I17" s="58"/>
      <c r="J17" s="58">
        <v>1</v>
      </c>
      <c r="K17" s="58"/>
      <c r="L17" s="59">
        <v>1</v>
      </c>
      <c r="M17" s="60"/>
      <c r="N17" s="58"/>
      <c r="O17" s="58"/>
      <c r="P17" s="58">
        <v>1</v>
      </c>
      <c r="Q17" s="58"/>
      <c r="R17" s="59"/>
      <c r="S17" s="58">
        <v>1</v>
      </c>
      <c r="T17" s="60"/>
      <c r="U17" s="57">
        <v>1</v>
      </c>
      <c r="V17" s="62"/>
      <c r="W17" s="62"/>
      <c r="X17" s="62"/>
      <c r="Y17" s="63">
        <v>2</v>
      </c>
      <c r="Z17" s="64">
        <f t="shared" si="0"/>
        <v>2</v>
      </c>
      <c r="AA17" s="65">
        <v>7</v>
      </c>
      <c r="AB17" s="64">
        <f t="shared" si="1"/>
        <v>14</v>
      </c>
    </row>
    <row r="18" spans="1:28" ht="14.25" customHeight="1" x14ac:dyDescent="0.35">
      <c r="A18" s="54" t="s">
        <v>128</v>
      </c>
      <c r="B18" s="29"/>
      <c r="C18" s="55">
        <v>1</v>
      </c>
      <c r="D18" s="55"/>
      <c r="E18" s="29">
        <v>1</v>
      </c>
      <c r="F18" s="55"/>
      <c r="G18" s="31">
        <v>1</v>
      </c>
      <c r="H18" s="29">
        <v>1</v>
      </c>
      <c r="I18" s="55"/>
      <c r="J18" s="55"/>
      <c r="K18" s="55"/>
      <c r="L18" s="29">
        <v>1</v>
      </c>
      <c r="M18" s="31">
        <v>1</v>
      </c>
      <c r="N18" s="55"/>
      <c r="O18" s="55"/>
      <c r="P18" s="55">
        <v>1</v>
      </c>
      <c r="Q18" s="55"/>
      <c r="R18" s="29"/>
      <c r="S18" s="55">
        <v>1</v>
      </c>
      <c r="T18" s="31"/>
      <c r="U18" s="29"/>
      <c r="V18" s="55"/>
      <c r="W18" s="55">
        <v>1</v>
      </c>
      <c r="X18" s="55">
        <v>1</v>
      </c>
      <c r="Y18" s="38">
        <v>2</v>
      </c>
      <c r="Z18" s="33">
        <f t="shared" si="0"/>
        <v>16</v>
      </c>
      <c r="AA18" s="7">
        <v>4</v>
      </c>
      <c r="AB18" s="33">
        <f t="shared" si="1"/>
        <v>64</v>
      </c>
    </row>
    <row r="19" spans="1:28" ht="14.25" customHeight="1" x14ac:dyDescent="0.35">
      <c r="A19" s="73" t="s">
        <v>130</v>
      </c>
      <c r="B19" s="21"/>
      <c r="C19" s="23">
        <v>1</v>
      </c>
      <c r="D19" s="23"/>
      <c r="E19" s="21">
        <v>1</v>
      </c>
      <c r="F19" s="23"/>
      <c r="G19" s="25">
        <v>1</v>
      </c>
      <c r="H19" s="21">
        <v>1</v>
      </c>
      <c r="I19" s="23">
        <v>1</v>
      </c>
      <c r="J19" s="23"/>
      <c r="K19" s="23"/>
      <c r="L19" s="21">
        <v>1</v>
      </c>
      <c r="M19" s="25"/>
      <c r="N19" s="23"/>
      <c r="O19" s="23"/>
      <c r="P19" s="23">
        <v>1</v>
      </c>
      <c r="Q19" s="23"/>
      <c r="R19" s="21"/>
      <c r="S19" s="23">
        <v>1</v>
      </c>
      <c r="T19" s="25"/>
      <c r="U19" s="21"/>
      <c r="V19" s="23"/>
      <c r="W19" s="23">
        <v>1</v>
      </c>
      <c r="X19" s="23"/>
      <c r="Y19" s="16">
        <v>2</v>
      </c>
      <c r="Z19" s="30">
        <f t="shared" si="0"/>
        <v>8</v>
      </c>
      <c r="AA19" s="18">
        <v>5</v>
      </c>
      <c r="AB19" s="30">
        <f t="shared" si="1"/>
        <v>40</v>
      </c>
    </row>
    <row r="20" spans="1:28" ht="14.25" customHeight="1" x14ac:dyDescent="0.35">
      <c r="Y20" s="7"/>
      <c r="Z20" s="7"/>
      <c r="AA20" s="38" t="s">
        <v>131</v>
      </c>
      <c r="AB20" s="33">
        <f>SUM(AB6:AB19)</f>
        <v>630</v>
      </c>
    </row>
    <row r="21" spans="1:28" ht="14.25" customHeight="1" x14ac:dyDescent="0.35">
      <c r="Y21" s="7"/>
      <c r="Z21" s="7"/>
      <c r="AA21" s="38" t="s">
        <v>132</v>
      </c>
      <c r="AB21" s="76">
        <f>AB20/60</f>
        <v>10.5</v>
      </c>
    </row>
    <row r="22" spans="1:28" ht="14.25" customHeight="1" x14ac:dyDescent="0.35">
      <c r="Y22" s="7"/>
      <c r="Z22" s="7"/>
      <c r="AA22" s="38" t="s">
        <v>133</v>
      </c>
      <c r="AB22" s="33">
        <v>1.9</v>
      </c>
    </row>
    <row r="23" spans="1:28" ht="14.25" customHeight="1" x14ac:dyDescent="0.35">
      <c r="Y23" s="7"/>
      <c r="Z23" s="78"/>
      <c r="AA23" s="28" t="s">
        <v>134</v>
      </c>
      <c r="AB23" s="79">
        <f>AB21*AB22</f>
        <v>19.95</v>
      </c>
    </row>
    <row r="24" spans="1:28" ht="14.25" customHeight="1" x14ac:dyDescent="0.35">
      <c r="B24" s="101" t="s">
        <v>135</v>
      </c>
      <c r="C24" s="109"/>
      <c r="D24" s="102"/>
      <c r="E24" s="7"/>
      <c r="F24" s="101" t="s">
        <v>136</v>
      </c>
      <c r="G24" s="102"/>
      <c r="H24" s="82"/>
      <c r="I24" s="82"/>
      <c r="J24" s="7"/>
      <c r="M24" s="84" t="s">
        <v>41</v>
      </c>
      <c r="N24" s="82"/>
      <c r="O24" s="82"/>
      <c r="Q24" s="84" t="s">
        <v>137</v>
      </c>
      <c r="R24" s="82"/>
      <c r="S24" s="82"/>
      <c r="V24" s="101" t="s">
        <v>49</v>
      </c>
      <c r="W24" s="102"/>
      <c r="X24" s="82"/>
    </row>
    <row r="25" spans="1:28" ht="14.25" customHeight="1" x14ac:dyDescent="0.35">
      <c r="B25" s="107" t="s">
        <v>138</v>
      </c>
      <c r="C25" s="102"/>
      <c r="D25" s="87" t="s">
        <v>139</v>
      </c>
      <c r="E25" s="7"/>
      <c r="F25" s="107" t="s">
        <v>140</v>
      </c>
      <c r="G25" s="102"/>
      <c r="H25" s="106" t="s">
        <v>141</v>
      </c>
      <c r="I25" s="102"/>
      <c r="J25" s="90"/>
      <c r="M25" s="82" t="s">
        <v>68</v>
      </c>
      <c r="N25" s="82"/>
      <c r="O25" s="82">
        <v>70</v>
      </c>
      <c r="Q25" s="82" t="s">
        <v>68</v>
      </c>
      <c r="R25" s="82"/>
      <c r="S25" s="87" t="s">
        <v>143</v>
      </c>
      <c r="V25" s="82" t="s">
        <v>68</v>
      </c>
      <c r="W25" s="82"/>
      <c r="X25" s="87" t="s">
        <v>144</v>
      </c>
    </row>
    <row r="26" spans="1:28" ht="14.25" customHeight="1" x14ac:dyDescent="0.35">
      <c r="B26" s="107" t="s">
        <v>145</v>
      </c>
      <c r="C26" s="102"/>
      <c r="D26" s="87" t="s">
        <v>146</v>
      </c>
      <c r="E26" s="7"/>
      <c r="F26" s="107" t="s">
        <v>147</v>
      </c>
      <c r="G26" s="102"/>
      <c r="H26" s="106" t="s">
        <v>148</v>
      </c>
      <c r="I26" s="102"/>
      <c r="J26" s="90"/>
      <c r="M26" s="82" t="s">
        <v>58</v>
      </c>
      <c r="N26" s="82"/>
      <c r="O26" s="82">
        <v>80</v>
      </c>
      <c r="Q26" s="82" t="s">
        <v>58</v>
      </c>
      <c r="R26" s="82"/>
      <c r="S26" s="87" t="s">
        <v>149</v>
      </c>
      <c r="V26" s="82" t="s">
        <v>58</v>
      </c>
      <c r="W26" s="82"/>
      <c r="X26" s="87" t="s">
        <v>150</v>
      </c>
    </row>
    <row r="27" spans="1:28" ht="14.25" customHeight="1" x14ac:dyDescent="0.35">
      <c r="B27" s="107" t="s">
        <v>152</v>
      </c>
      <c r="C27" s="102"/>
      <c r="D27" s="87" t="s">
        <v>153</v>
      </c>
      <c r="E27" s="7"/>
      <c r="F27" s="82"/>
      <c r="G27" s="82"/>
      <c r="H27" s="87"/>
      <c r="I27" s="87"/>
      <c r="J27" s="90"/>
      <c r="M27" s="82" t="s">
        <v>70</v>
      </c>
      <c r="N27" s="82"/>
      <c r="O27" s="82">
        <v>95</v>
      </c>
      <c r="Q27" s="82" t="s">
        <v>70</v>
      </c>
      <c r="R27" s="82"/>
      <c r="S27" s="87" t="s">
        <v>154</v>
      </c>
      <c r="V27" s="82" t="s">
        <v>70</v>
      </c>
      <c r="W27" s="82"/>
      <c r="X27" s="87" t="s">
        <v>155</v>
      </c>
    </row>
    <row r="28" spans="1:28" ht="14.25" customHeight="1" x14ac:dyDescent="0.35">
      <c r="B28" s="82"/>
      <c r="C28" s="82"/>
      <c r="D28" s="82"/>
      <c r="E28" s="7"/>
      <c r="F28" s="82" t="s">
        <v>26</v>
      </c>
      <c r="G28" s="82"/>
      <c r="H28" s="106" t="s">
        <v>156</v>
      </c>
      <c r="I28" s="102"/>
      <c r="J28" s="90"/>
    </row>
    <row r="29" spans="1:28" ht="14.25" customHeight="1" x14ac:dyDescent="0.35">
      <c r="B29" s="82" t="s">
        <v>157</v>
      </c>
      <c r="C29" s="82"/>
      <c r="D29" s="87" t="s">
        <v>158</v>
      </c>
      <c r="E29" s="90"/>
      <c r="F29" s="82" t="s">
        <v>61</v>
      </c>
      <c r="G29" s="82"/>
      <c r="H29" s="87"/>
      <c r="I29" s="87"/>
      <c r="J29" s="90"/>
      <c r="M29" s="108" t="s">
        <v>159</v>
      </c>
      <c r="N29" s="109"/>
      <c r="O29" s="102"/>
    </row>
    <row r="30" spans="1:28" ht="14.25" customHeight="1" x14ac:dyDescent="0.35">
      <c r="B30" s="107" t="s">
        <v>160</v>
      </c>
      <c r="C30" s="102"/>
      <c r="D30" s="87" t="s">
        <v>161</v>
      </c>
      <c r="F30" s="82" t="s">
        <v>27</v>
      </c>
      <c r="G30" s="82"/>
      <c r="H30" s="106" t="s">
        <v>162</v>
      </c>
      <c r="I30" s="102"/>
      <c r="J30" s="90"/>
    </row>
    <row r="31" spans="1:28" ht="14.25" customHeight="1" x14ac:dyDescent="0.35">
      <c r="B31" s="107" t="s">
        <v>163</v>
      </c>
      <c r="C31" s="102"/>
      <c r="D31" s="87" t="s">
        <v>164</v>
      </c>
    </row>
    <row r="32" spans="1:28" ht="14.25" customHeight="1" x14ac:dyDescent="0.35"/>
    <row r="33" spans="2:24" ht="14.25" customHeight="1" x14ac:dyDescent="0.35"/>
    <row r="34" spans="2:24" ht="14.25" customHeight="1" x14ac:dyDescent="0.35">
      <c r="B34" t="s">
        <v>165</v>
      </c>
      <c r="M34" t="s">
        <v>70</v>
      </c>
      <c r="O34">
        <f>O27</f>
        <v>95</v>
      </c>
      <c r="Q34" t="s">
        <v>70</v>
      </c>
      <c r="S34" s="90" t="str">
        <f>S27</f>
        <v>climb</v>
      </c>
      <c r="V34" t="s">
        <v>70</v>
      </c>
      <c r="X34" t="str">
        <f>X27</f>
        <v>6500 ft</v>
      </c>
    </row>
    <row r="35" spans="2:24" ht="14.25" customHeight="1" x14ac:dyDescent="0.35">
      <c r="B35" t="s">
        <v>166</v>
      </c>
      <c r="C35">
        <f>1010*2.2</f>
        <v>2222</v>
      </c>
      <c r="D35">
        <v>48</v>
      </c>
      <c r="M35" t="s">
        <v>68</v>
      </c>
      <c r="O35">
        <f t="shared" ref="O35:O36" si="2">O25</f>
        <v>70</v>
      </c>
      <c r="Q35" t="s">
        <v>68</v>
      </c>
      <c r="S35" s="90" t="str">
        <f t="shared" ref="S35:S36" si="3">S25</f>
        <v>descent</v>
      </c>
      <c r="V35" t="s">
        <v>68</v>
      </c>
      <c r="X35" t="str">
        <f t="shared" ref="X35:X36" si="4">X25</f>
        <v>3500 ft</v>
      </c>
    </row>
    <row r="36" spans="2:24" ht="14.25" customHeight="1" x14ac:dyDescent="0.35">
      <c r="B36" t="s">
        <v>166</v>
      </c>
      <c r="C36">
        <f>850*2.2</f>
        <v>1870.0000000000002</v>
      </c>
      <c r="D36">
        <v>45</v>
      </c>
      <c r="M36" t="s">
        <v>58</v>
      </c>
      <c r="O36">
        <f t="shared" si="2"/>
        <v>80</v>
      </c>
      <c r="Q36" t="s">
        <v>58</v>
      </c>
      <c r="S36" s="90" t="str">
        <f t="shared" si="3"/>
        <v>fly level</v>
      </c>
      <c r="V36" t="s">
        <v>58</v>
      </c>
      <c r="X36" t="str">
        <f t="shared" si="4"/>
        <v>5500 ft</v>
      </c>
    </row>
    <row r="37" spans="2:24" ht="14.25" customHeight="1" x14ac:dyDescent="0.35"/>
    <row r="38" spans="2:24" ht="14.25" customHeight="1" x14ac:dyDescent="0.35"/>
    <row r="39" spans="2:24" ht="14.25" customHeight="1" x14ac:dyDescent="0.35"/>
    <row r="40" spans="2:24" ht="14.25" customHeight="1" x14ac:dyDescent="0.35"/>
    <row r="41" spans="2:24" ht="14.25" customHeight="1" x14ac:dyDescent="0.35"/>
    <row r="42" spans="2:24" ht="14.25" customHeight="1" x14ac:dyDescent="0.35"/>
    <row r="43" spans="2:24" ht="14.25" customHeight="1" x14ac:dyDescent="0.35"/>
    <row r="44" spans="2:24" ht="14.25" customHeight="1" x14ac:dyDescent="0.35"/>
    <row r="45" spans="2:24" ht="14.25" customHeight="1" x14ac:dyDescent="0.35"/>
    <row r="46" spans="2:24" ht="14.25" customHeight="1" x14ac:dyDescent="0.35"/>
    <row r="47" spans="2:24" ht="14.25" customHeight="1" x14ac:dyDescent="0.35"/>
    <row r="48" spans="2:24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</sheetData>
  <mergeCells count="23">
    <mergeCell ref="B31:C31"/>
    <mergeCell ref="B27:C27"/>
    <mergeCell ref="B30:C30"/>
    <mergeCell ref="B26:C26"/>
    <mergeCell ref="B25:C25"/>
    <mergeCell ref="B24:D24"/>
    <mergeCell ref="B4:G4"/>
    <mergeCell ref="H25:I25"/>
    <mergeCell ref="H26:I26"/>
    <mergeCell ref="H28:I28"/>
    <mergeCell ref="H30:I30"/>
    <mergeCell ref="F25:G25"/>
    <mergeCell ref="F26:G26"/>
    <mergeCell ref="M29:O29"/>
    <mergeCell ref="R4:T4"/>
    <mergeCell ref="N4:Q4"/>
    <mergeCell ref="F24:G24"/>
    <mergeCell ref="H4:K4"/>
    <mergeCell ref="V24:W24"/>
    <mergeCell ref="Y4:Z4"/>
    <mergeCell ref="AA4:AB4"/>
    <mergeCell ref="L4:M4"/>
    <mergeCell ref="U4:X4"/>
  </mergeCells>
  <pageMargins left="0.25" right="0.25" top="0.75" bottom="0.75" header="0" footer="0"/>
  <pageSetup paperSize="9" orientation="landscape"/>
  <colBreaks count="1" manualBreakCount="1">
    <brk id="28" man="1"/>
  </colBreak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01"/>
  <sheetViews>
    <sheetView workbookViewId="0">
      <selection activeCell="M38" sqref="M38"/>
    </sheetView>
  </sheetViews>
  <sheetFormatPr baseColWidth="10" defaultColWidth="14.453125" defaultRowHeight="15" customHeight="1" x14ac:dyDescent="0.35"/>
  <cols>
    <col min="1" max="1" width="10.54296875" customWidth="1"/>
    <col min="2" max="2" width="7" customWidth="1"/>
    <col min="3" max="3" width="13.453125" customWidth="1"/>
    <col min="4" max="4" width="10" customWidth="1"/>
    <col min="5" max="5" width="12.54296875" customWidth="1"/>
    <col min="6" max="6" width="16" customWidth="1"/>
    <col min="7" max="7" width="10" customWidth="1"/>
    <col min="8" max="8" width="16.54296875" customWidth="1"/>
    <col min="9" max="11" width="10.7265625" customWidth="1"/>
    <col min="12" max="12" width="4" bestFit="1" customWidth="1"/>
    <col min="13" max="13" width="12.7265625" bestFit="1" customWidth="1"/>
    <col min="14" max="26" width="10.7265625" customWidth="1"/>
  </cols>
  <sheetData>
    <row r="1" spans="1:14" ht="14.25" customHeight="1" x14ac:dyDescent="0.35"/>
    <row r="2" spans="1:14" ht="14.25" customHeight="1" x14ac:dyDescent="0.35">
      <c r="A2" t="s">
        <v>2</v>
      </c>
      <c r="C2" s="2">
        <f>9000+3000</f>
        <v>12000</v>
      </c>
      <c r="F2" t="s">
        <v>4</v>
      </c>
      <c r="G2" s="2">
        <f>(285+100)/60</f>
        <v>6.416666666666667</v>
      </c>
      <c r="H2" s="2"/>
      <c r="K2" t="s">
        <v>30</v>
      </c>
      <c r="L2">
        <f>SUMIFS(C11:C23,G11:G23,"Hans")</f>
        <v>687</v>
      </c>
      <c r="M2" s="100">
        <f>L2/60*100</f>
        <v>1145</v>
      </c>
      <c r="N2">
        <f>L2/60</f>
        <v>11.45</v>
      </c>
    </row>
    <row r="3" spans="1:14" ht="14.25" customHeight="1" x14ac:dyDescent="0.35">
      <c r="A3" t="s">
        <v>5</v>
      </c>
      <c r="C3" s="2">
        <v>-1000.55</v>
      </c>
      <c r="F3" t="s">
        <v>6</v>
      </c>
      <c r="G3" s="2">
        <f>(285+150)/60</f>
        <v>7.25</v>
      </c>
      <c r="K3" t="s">
        <v>37</v>
      </c>
      <c r="L3">
        <f>SUMIFS(C11:C23,G11:G23,"Dave")</f>
        <v>65</v>
      </c>
      <c r="M3" s="100">
        <f>L3/60*150</f>
        <v>162.5</v>
      </c>
      <c r="N3">
        <f>L3/60</f>
        <v>1.0833333333333333</v>
      </c>
    </row>
    <row r="4" spans="1:14" ht="14.25" customHeight="1" x14ac:dyDescent="0.35">
      <c r="A4" t="s">
        <v>8</v>
      </c>
      <c r="C4" s="2">
        <f>-(16+7)*130</f>
        <v>-2990</v>
      </c>
      <c r="F4" t="s">
        <v>11</v>
      </c>
      <c r="G4" s="2">
        <v>13</v>
      </c>
      <c r="L4" s="98"/>
    </row>
    <row r="5" spans="1:14" ht="14.25" customHeight="1" x14ac:dyDescent="0.35">
      <c r="A5" t="s">
        <v>12</v>
      </c>
      <c r="C5" s="2">
        <f>-E42</f>
        <v>-1766.3333333333335</v>
      </c>
      <c r="F5" t="s">
        <v>14</v>
      </c>
      <c r="G5" s="2">
        <v>25</v>
      </c>
      <c r="L5" s="98"/>
    </row>
    <row r="6" spans="1:14" ht="14.25" customHeight="1" x14ac:dyDescent="0.35">
      <c r="A6" t="s">
        <v>15</v>
      </c>
      <c r="C6" s="2">
        <f>-E38</f>
        <v>-5428.5</v>
      </c>
    </row>
    <row r="7" spans="1:14" ht="14.25" customHeight="1" x14ac:dyDescent="0.35">
      <c r="A7" s="6" t="s">
        <v>13</v>
      </c>
      <c r="B7" s="6"/>
      <c r="C7" s="8">
        <f>SUM(C2:C6)</f>
        <v>814.61666666666679</v>
      </c>
      <c r="G7" s="9"/>
      <c r="L7" s="98"/>
    </row>
    <row r="8" spans="1:14" ht="14.25" customHeight="1" x14ac:dyDescent="0.35">
      <c r="L8" s="98"/>
    </row>
    <row r="9" spans="1:14" ht="14.25" customHeight="1" x14ac:dyDescent="0.35">
      <c r="L9" s="98"/>
    </row>
    <row r="10" spans="1:14" ht="14.25" customHeight="1" x14ac:dyDescent="0.35">
      <c r="A10" s="117" t="s">
        <v>17</v>
      </c>
      <c r="B10" s="117" t="s">
        <v>18</v>
      </c>
      <c r="C10" s="117" t="s">
        <v>19</v>
      </c>
      <c r="D10" s="117" t="s">
        <v>20</v>
      </c>
      <c r="E10" s="117" t="s">
        <v>21</v>
      </c>
      <c r="F10" s="117" t="s">
        <v>22</v>
      </c>
      <c r="G10" s="117" t="s">
        <v>23</v>
      </c>
      <c r="H10" s="117" t="s">
        <v>24</v>
      </c>
    </row>
    <row r="11" spans="1:14" ht="14.25" customHeight="1" x14ac:dyDescent="0.35">
      <c r="A11" s="12">
        <v>43599</v>
      </c>
      <c r="B11" s="7" t="s">
        <v>25</v>
      </c>
      <c r="C11" s="7">
        <v>70</v>
      </c>
      <c r="D11" s="7">
        <v>1</v>
      </c>
      <c r="E11" s="2">
        <f t="shared" ref="E11:E37" si="0">C11*IF(G11="Hans",$G$2,$G$3)+D11*$G$5</f>
        <v>474.16666666666669</v>
      </c>
      <c r="F11" t="s">
        <v>29</v>
      </c>
      <c r="G11" t="s">
        <v>30</v>
      </c>
      <c r="H11" t="s">
        <v>31</v>
      </c>
      <c r="N11" s="98"/>
    </row>
    <row r="12" spans="1:14" ht="14.25" customHeight="1" x14ac:dyDescent="0.35">
      <c r="A12" s="12">
        <v>43592</v>
      </c>
      <c r="B12" s="7" t="s">
        <v>35</v>
      </c>
      <c r="C12" s="7">
        <v>30</v>
      </c>
      <c r="D12" s="7">
        <v>1</v>
      </c>
      <c r="E12" s="2">
        <f t="shared" si="0"/>
        <v>242.5</v>
      </c>
      <c r="F12" t="s">
        <v>36</v>
      </c>
      <c r="G12" t="s">
        <v>37</v>
      </c>
      <c r="H12" t="s">
        <v>31</v>
      </c>
    </row>
    <row r="13" spans="1:14" ht="14.25" customHeight="1" x14ac:dyDescent="0.35">
      <c r="A13" s="12">
        <v>43619</v>
      </c>
      <c r="B13" s="15" t="s">
        <v>38</v>
      </c>
      <c r="C13" s="7">
        <v>30</v>
      </c>
      <c r="D13" s="7">
        <v>1</v>
      </c>
      <c r="E13" s="2">
        <f t="shared" si="0"/>
        <v>217.5</v>
      </c>
      <c r="F13" t="s">
        <v>42</v>
      </c>
      <c r="G13" t="s">
        <v>30</v>
      </c>
      <c r="H13" t="s">
        <v>31</v>
      </c>
    </row>
    <row r="14" spans="1:14" ht="14.25" customHeight="1" x14ac:dyDescent="0.35">
      <c r="A14" s="12">
        <v>43621</v>
      </c>
      <c r="B14" s="15" t="s">
        <v>43</v>
      </c>
      <c r="C14" s="7">
        <v>15</v>
      </c>
      <c r="D14" s="7">
        <v>1</v>
      </c>
      <c r="E14" s="2">
        <f t="shared" si="0"/>
        <v>121.25</v>
      </c>
      <c r="F14" t="s">
        <v>44</v>
      </c>
      <c r="G14" t="s">
        <v>30</v>
      </c>
      <c r="H14" t="s">
        <v>45</v>
      </c>
    </row>
    <row r="15" spans="1:14" ht="14.25" customHeight="1" x14ac:dyDescent="0.35">
      <c r="A15" s="12">
        <v>43622</v>
      </c>
      <c r="B15" s="15" t="s">
        <v>10</v>
      </c>
      <c r="C15" s="7">
        <v>80</v>
      </c>
      <c r="D15" s="7">
        <v>1</v>
      </c>
      <c r="E15" s="2">
        <f t="shared" si="0"/>
        <v>538.33333333333337</v>
      </c>
      <c r="G15" t="s">
        <v>30</v>
      </c>
      <c r="H15" s="2" t="s">
        <v>46</v>
      </c>
    </row>
    <row r="16" spans="1:14" ht="14.25" customHeight="1" x14ac:dyDescent="0.35">
      <c r="A16" s="12">
        <v>43623</v>
      </c>
      <c r="B16" s="15">
        <v>1</v>
      </c>
      <c r="C16" s="7">
        <v>35</v>
      </c>
      <c r="D16" s="7">
        <v>1</v>
      </c>
      <c r="E16" s="2">
        <f t="shared" si="0"/>
        <v>278.75</v>
      </c>
      <c r="F16" t="s">
        <v>48</v>
      </c>
      <c r="G16" t="s">
        <v>37</v>
      </c>
      <c r="H16" t="s">
        <v>45</v>
      </c>
    </row>
    <row r="17" spans="1:8" ht="14.25" customHeight="1" x14ac:dyDescent="0.35">
      <c r="A17" s="12">
        <v>43624</v>
      </c>
      <c r="B17" s="15">
        <v>2</v>
      </c>
      <c r="C17" s="7">
        <v>66</v>
      </c>
      <c r="D17" s="7">
        <v>1</v>
      </c>
      <c r="E17" s="2">
        <f t="shared" si="0"/>
        <v>448.5</v>
      </c>
      <c r="F17" t="s">
        <v>50</v>
      </c>
      <c r="G17" t="s">
        <v>30</v>
      </c>
      <c r="H17" t="s">
        <v>46</v>
      </c>
    </row>
    <row r="18" spans="1:8" ht="14.25" customHeight="1" x14ac:dyDescent="0.35">
      <c r="A18" s="12">
        <v>43628</v>
      </c>
      <c r="B18" s="15">
        <v>3</v>
      </c>
      <c r="C18" s="7">
        <v>63</v>
      </c>
      <c r="D18" s="7">
        <v>1</v>
      </c>
      <c r="E18" s="2">
        <f t="shared" si="0"/>
        <v>429.25</v>
      </c>
      <c r="F18" t="s">
        <v>52</v>
      </c>
      <c r="G18" t="s">
        <v>30</v>
      </c>
      <c r="H18" t="s">
        <v>45</v>
      </c>
    </row>
    <row r="19" spans="1:8" ht="14.25" customHeight="1" x14ac:dyDescent="0.35">
      <c r="A19" s="12">
        <v>43629</v>
      </c>
      <c r="B19" s="15">
        <v>4</v>
      </c>
      <c r="C19" s="7">
        <v>83</v>
      </c>
      <c r="D19" s="7">
        <v>1</v>
      </c>
      <c r="E19" s="2">
        <f t="shared" si="0"/>
        <v>557.58333333333337</v>
      </c>
      <c r="F19" t="s">
        <v>54</v>
      </c>
      <c r="G19" t="s">
        <v>30</v>
      </c>
      <c r="H19" t="s">
        <v>46</v>
      </c>
    </row>
    <row r="20" spans="1:8" ht="14.25" customHeight="1" x14ac:dyDescent="0.35">
      <c r="A20" s="12">
        <v>43629</v>
      </c>
      <c r="B20" s="15">
        <v>5</v>
      </c>
      <c r="C20">
        <v>84</v>
      </c>
      <c r="D20" s="7">
        <v>1</v>
      </c>
      <c r="E20" s="2">
        <f t="shared" si="0"/>
        <v>564</v>
      </c>
      <c r="F20" t="s">
        <v>55</v>
      </c>
      <c r="G20" t="s">
        <v>30</v>
      </c>
      <c r="H20" t="s">
        <v>46</v>
      </c>
    </row>
    <row r="21" spans="1:8" ht="14.25" customHeight="1" x14ac:dyDescent="0.35">
      <c r="A21" s="12">
        <v>43630</v>
      </c>
      <c r="B21" s="15">
        <v>6</v>
      </c>
      <c r="C21">
        <v>82</v>
      </c>
      <c r="D21" s="7">
        <v>1</v>
      </c>
      <c r="E21" s="2">
        <f t="shared" si="0"/>
        <v>551.16666666666674</v>
      </c>
      <c r="F21" t="s">
        <v>57</v>
      </c>
      <c r="G21" t="s">
        <v>30</v>
      </c>
      <c r="H21" t="s">
        <v>46</v>
      </c>
    </row>
    <row r="22" spans="1:8" ht="14.25" customHeight="1" x14ac:dyDescent="0.35">
      <c r="A22" s="12">
        <v>43630</v>
      </c>
      <c r="B22" s="15">
        <v>7</v>
      </c>
      <c r="C22">
        <v>44</v>
      </c>
      <c r="D22">
        <v>1</v>
      </c>
      <c r="E22" s="2">
        <f t="shared" si="0"/>
        <v>307.33333333333337</v>
      </c>
      <c r="F22" t="s">
        <v>59</v>
      </c>
      <c r="G22" t="s">
        <v>30</v>
      </c>
      <c r="H22" t="s">
        <v>46</v>
      </c>
    </row>
    <row r="23" spans="1:8" ht="14.25" customHeight="1" x14ac:dyDescent="0.35">
      <c r="A23" s="99">
        <v>43633</v>
      </c>
      <c r="B23" s="15">
        <v>8</v>
      </c>
      <c r="C23">
        <v>70</v>
      </c>
      <c r="D23">
        <v>1</v>
      </c>
      <c r="E23" s="2">
        <f t="shared" si="0"/>
        <v>474.16666666666669</v>
      </c>
      <c r="F23" t="s">
        <v>251</v>
      </c>
      <c r="G23" t="s">
        <v>30</v>
      </c>
      <c r="H23" t="s">
        <v>45</v>
      </c>
    </row>
    <row r="24" spans="1:8" ht="14.25" customHeight="1" x14ac:dyDescent="0.35">
      <c r="B24" s="15">
        <v>9</v>
      </c>
      <c r="E24" s="2">
        <f t="shared" si="0"/>
        <v>0</v>
      </c>
    </row>
    <row r="25" spans="1:8" ht="14.25" customHeight="1" x14ac:dyDescent="0.35">
      <c r="B25" s="15">
        <v>10</v>
      </c>
      <c r="C25" s="24"/>
      <c r="E25" s="2">
        <f t="shared" si="0"/>
        <v>0</v>
      </c>
    </row>
    <row r="26" spans="1:8" ht="14.25" customHeight="1" x14ac:dyDescent="0.35">
      <c r="B26" s="15">
        <v>11</v>
      </c>
      <c r="C26" s="24"/>
      <c r="D26" s="24"/>
      <c r="E26" s="2">
        <f t="shared" si="0"/>
        <v>0</v>
      </c>
    </row>
    <row r="27" spans="1:8" ht="14.25" customHeight="1" x14ac:dyDescent="0.35">
      <c r="B27" s="15">
        <v>12</v>
      </c>
      <c r="E27" s="2">
        <f t="shared" si="0"/>
        <v>0</v>
      </c>
    </row>
    <row r="28" spans="1:8" ht="14.25" customHeight="1" x14ac:dyDescent="0.35">
      <c r="B28" s="15">
        <v>13</v>
      </c>
      <c r="E28" s="2">
        <f t="shared" si="0"/>
        <v>0</v>
      </c>
    </row>
    <row r="29" spans="1:8" ht="14.25" customHeight="1" x14ac:dyDescent="0.35">
      <c r="B29" s="15">
        <v>14</v>
      </c>
      <c r="E29" s="2">
        <f t="shared" si="0"/>
        <v>0</v>
      </c>
    </row>
    <row r="30" spans="1:8" ht="14.25" customHeight="1" x14ac:dyDescent="0.35">
      <c r="B30" s="15">
        <v>15</v>
      </c>
      <c r="E30" s="2">
        <f t="shared" si="0"/>
        <v>0</v>
      </c>
    </row>
    <row r="31" spans="1:8" ht="14.25" customHeight="1" x14ac:dyDescent="0.35">
      <c r="B31" s="15">
        <v>16</v>
      </c>
      <c r="E31" s="2">
        <f t="shared" si="0"/>
        <v>0</v>
      </c>
    </row>
    <row r="32" spans="1:8" ht="14.25" customHeight="1" x14ac:dyDescent="0.35">
      <c r="B32" s="15">
        <v>17</v>
      </c>
      <c r="E32" s="2">
        <f t="shared" si="0"/>
        <v>0</v>
      </c>
    </row>
    <row r="33" spans="1:8" ht="14.25" customHeight="1" x14ac:dyDescent="0.35">
      <c r="B33" s="15">
        <v>18</v>
      </c>
      <c r="E33" s="2">
        <f t="shared" si="0"/>
        <v>0</v>
      </c>
    </row>
    <row r="34" spans="1:8" ht="14.25" customHeight="1" x14ac:dyDescent="0.35">
      <c r="B34" s="15">
        <v>19</v>
      </c>
      <c r="E34" s="2">
        <f t="shared" si="0"/>
        <v>0</v>
      </c>
    </row>
    <row r="35" spans="1:8" ht="14.25" customHeight="1" x14ac:dyDescent="0.35">
      <c r="B35" s="15">
        <v>20</v>
      </c>
      <c r="E35" s="2">
        <f t="shared" si="0"/>
        <v>0</v>
      </c>
    </row>
    <row r="36" spans="1:8" ht="14.25" customHeight="1" x14ac:dyDescent="0.35">
      <c r="B36" t="s">
        <v>72</v>
      </c>
      <c r="C36">
        <v>10</v>
      </c>
      <c r="D36">
        <v>1</v>
      </c>
      <c r="E36" s="2">
        <f t="shared" si="0"/>
        <v>97.5</v>
      </c>
    </row>
    <row r="37" spans="1:8" ht="14.25" customHeight="1" x14ac:dyDescent="0.35">
      <c r="B37" t="s">
        <v>74</v>
      </c>
      <c r="C37">
        <v>14</v>
      </c>
      <c r="D37">
        <v>1</v>
      </c>
      <c r="E37" s="2">
        <f t="shared" si="0"/>
        <v>126.5</v>
      </c>
    </row>
    <row r="38" spans="1:8" ht="14.25" customHeight="1" thickBot="1" x14ac:dyDescent="0.4">
      <c r="A38" s="114" t="s">
        <v>13</v>
      </c>
      <c r="B38" s="114"/>
      <c r="C38" s="114">
        <f>(SUM(C11:C37))/60</f>
        <v>12.933333333333334</v>
      </c>
      <c r="D38" s="114"/>
      <c r="E38" s="115">
        <f>SUM(E11:E37)</f>
        <v>5428.5</v>
      </c>
      <c r="F38" s="116"/>
      <c r="G38" s="116"/>
      <c r="H38" s="116"/>
    </row>
    <row r="39" spans="1:8" ht="14.25" customHeight="1" thickTop="1" x14ac:dyDescent="0.35"/>
    <row r="40" spans="1:8" ht="14.25" customHeight="1" x14ac:dyDescent="0.35">
      <c r="A40" s="112" t="s">
        <v>258</v>
      </c>
      <c r="B40" s="113"/>
      <c r="C40" s="113"/>
      <c r="D40" s="113"/>
      <c r="E40" s="113"/>
      <c r="F40" s="113"/>
      <c r="G40" s="113"/>
      <c r="H40" s="113"/>
    </row>
    <row r="41" spans="1:8" ht="14.25" customHeight="1" x14ac:dyDescent="0.35">
      <c r="A41" t="s">
        <v>77</v>
      </c>
      <c r="B41">
        <f>9*2+3*3</f>
        <v>27</v>
      </c>
      <c r="C41">
        <f>C38-C11/60</f>
        <v>11.766666666666667</v>
      </c>
      <c r="E41">
        <f t="shared" ref="E41:E42" si="1">(B41-C41)*70</f>
        <v>1066.3333333333333</v>
      </c>
    </row>
    <row r="42" spans="1:8" ht="14.25" customHeight="1" x14ac:dyDescent="0.35">
      <c r="A42" t="s">
        <v>78</v>
      </c>
      <c r="B42">
        <f>11*2+5*3</f>
        <v>37</v>
      </c>
      <c r="C42">
        <f>C38-C11/60</f>
        <v>11.766666666666667</v>
      </c>
      <c r="E42">
        <f t="shared" si="1"/>
        <v>1766.3333333333335</v>
      </c>
    </row>
    <row r="43" spans="1:8" ht="14.25" customHeight="1" x14ac:dyDescent="0.35"/>
    <row r="44" spans="1:8" ht="14.25" customHeight="1" x14ac:dyDescent="0.35"/>
    <row r="45" spans="1:8" ht="14.25" customHeight="1" x14ac:dyDescent="0.35">
      <c r="A45" s="112" t="s">
        <v>252</v>
      </c>
      <c r="B45" s="113"/>
      <c r="C45" s="113"/>
      <c r="D45" s="113"/>
      <c r="E45" s="113"/>
      <c r="F45" s="113"/>
      <c r="G45" s="113"/>
      <c r="H45" s="113"/>
    </row>
    <row r="46" spans="1:8" ht="14.25" customHeight="1" x14ac:dyDescent="0.35">
      <c r="A46" t="s">
        <v>253</v>
      </c>
      <c r="C46">
        <v>0</v>
      </c>
    </row>
    <row r="47" spans="1:8" ht="14.25" customHeight="1" x14ac:dyDescent="0.35">
      <c r="A47" t="s">
        <v>254</v>
      </c>
      <c r="C47">
        <v>106.9</v>
      </c>
    </row>
    <row r="48" spans="1:8" ht="14.25" customHeight="1" x14ac:dyDescent="0.35">
      <c r="A48" t="s">
        <v>254</v>
      </c>
      <c r="C48">
        <v>299.75</v>
      </c>
    </row>
    <row r="49" spans="1:3" ht="14.25" customHeight="1" x14ac:dyDescent="0.35">
      <c r="A49" t="s">
        <v>254</v>
      </c>
      <c r="C49">
        <v>560.04999999999995</v>
      </c>
    </row>
    <row r="50" spans="1:3" ht="14.25" customHeight="1" x14ac:dyDescent="0.35">
      <c r="A50" t="s">
        <v>254</v>
      </c>
      <c r="C50">
        <v>33.85</v>
      </c>
    </row>
    <row r="51" spans="1:3" ht="14.25" customHeight="1" x14ac:dyDescent="0.35">
      <c r="A51" t="s">
        <v>255</v>
      </c>
      <c r="C51">
        <v>29.5</v>
      </c>
    </row>
    <row r="52" spans="1:3" ht="14.25" customHeight="1" x14ac:dyDescent="0.35">
      <c r="A52" t="s">
        <v>8</v>
      </c>
      <c r="C52">
        <v>3354</v>
      </c>
    </row>
    <row r="53" spans="1:3" ht="14.25" customHeight="1" x14ac:dyDescent="0.35">
      <c r="A53" t="s">
        <v>256</v>
      </c>
      <c r="C53">
        <v>704.25</v>
      </c>
    </row>
    <row r="54" spans="1:3" ht="14.25" customHeight="1" x14ac:dyDescent="0.35">
      <c r="A54" t="s">
        <v>257</v>
      </c>
      <c r="C54">
        <v>1911.7</v>
      </c>
    </row>
    <row r="55" spans="1:3" ht="14.25" customHeight="1" x14ac:dyDescent="0.35">
      <c r="A55" t="s">
        <v>257</v>
      </c>
      <c r="C55">
        <v>3191.3</v>
      </c>
    </row>
    <row r="56" spans="1:3" ht="14.25" customHeight="1" x14ac:dyDescent="0.35"/>
    <row r="57" spans="1:3" ht="14.25" customHeight="1" x14ac:dyDescent="0.35">
      <c r="C57">
        <f>SUM(C47:C55)</f>
        <v>10191.299999999999</v>
      </c>
    </row>
    <row r="58" spans="1:3" ht="14.25" customHeight="1" x14ac:dyDescent="0.35"/>
    <row r="59" spans="1:3" ht="14.25" customHeight="1" x14ac:dyDescent="0.35"/>
    <row r="60" spans="1:3" ht="14.25" customHeight="1" x14ac:dyDescent="0.35"/>
    <row r="61" spans="1:3" ht="14.25" customHeight="1" x14ac:dyDescent="0.35"/>
    <row r="62" spans="1:3" ht="14.25" customHeight="1" x14ac:dyDescent="0.35"/>
    <row r="63" spans="1:3" ht="14.25" customHeight="1" x14ac:dyDescent="0.35"/>
    <row r="64" spans="1:3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</sheetData>
  <pageMargins left="0.7" right="0.7" top="0.78740157499999996" bottom="0.78740157499999996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000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G36" sqref="G36"/>
    </sheetView>
  </sheetViews>
  <sheetFormatPr baseColWidth="10" defaultColWidth="14.453125" defaultRowHeight="15" customHeight="1" x14ac:dyDescent="0.35"/>
  <cols>
    <col min="1" max="1" width="32.7265625" customWidth="1"/>
    <col min="2" max="2" width="4.26953125" customWidth="1"/>
    <col min="3" max="3" width="8.7265625" customWidth="1"/>
    <col min="4" max="25" width="6.1796875" customWidth="1"/>
    <col min="26" max="26" width="5.81640625" customWidth="1"/>
    <col min="27" max="27" width="3.81640625" customWidth="1"/>
    <col min="28" max="28" width="7.54296875" customWidth="1"/>
  </cols>
  <sheetData>
    <row r="1" spans="1:28" ht="14.25" customHeight="1" x14ac:dyDescent="0.35"/>
    <row r="2" spans="1:28" ht="14.25" customHeight="1" x14ac:dyDescent="0.35">
      <c r="A2" s="1" t="s">
        <v>0</v>
      </c>
      <c r="B2" s="3" t="s">
        <v>3</v>
      </c>
      <c r="C2" s="4" t="s">
        <v>7</v>
      </c>
      <c r="D2" s="1" t="s">
        <v>9</v>
      </c>
      <c r="E2" s="4" t="s">
        <v>10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O2" s="3">
        <v>10</v>
      </c>
      <c r="P2" s="3">
        <v>11</v>
      </c>
      <c r="Q2" s="3">
        <v>12</v>
      </c>
      <c r="R2" s="3">
        <v>13</v>
      </c>
      <c r="S2" s="3">
        <v>14</v>
      </c>
      <c r="T2" s="3">
        <v>15</v>
      </c>
      <c r="U2" s="3">
        <v>16</v>
      </c>
      <c r="V2" s="3">
        <v>17</v>
      </c>
      <c r="W2" s="3">
        <v>18</v>
      </c>
      <c r="X2" s="3">
        <v>19</v>
      </c>
      <c r="Y2" s="3">
        <v>20</v>
      </c>
      <c r="Z2" s="111" t="s">
        <v>13</v>
      </c>
      <c r="AA2" s="105"/>
      <c r="AB2" s="104"/>
    </row>
    <row r="3" spans="1:28" ht="14.25" customHeight="1" x14ac:dyDescent="0.35">
      <c r="A3" s="11"/>
      <c r="B3" s="10"/>
      <c r="C3" s="13"/>
      <c r="D3" s="11"/>
      <c r="E3" s="13"/>
      <c r="F3" s="10" t="s">
        <v>26</v>
      </c>
      <c r="G3" s="10" t="s">
        <v>27</v>
      </c>
      <c r="H3" s="10" t="s">
        <v>26</v>
      </c>
      <c r="I3" s="10" t="s">
        <v>27</v>
      </c>
      <c r="J3" s="10" t="s">
        <v>26</v>
      </c>
      <c r="K3" s="10" t="s">
        <v>27</v>
      </c>
      <c r="L3" s="10" t="s">
        <v>26</v>
      </c>
      <c r="M3" s="10" t="s">
        <v>27</v>
      </c>
      <c r="N3" s="10" t="s">
        <v>26</v>
      </c>
      <c r="O3" s="10" t="s">
        <v>27</v>
      </c>
      <c r="P3" s="10" t="s">
        <v>26</v>
      </c>
      <c r="Q3" s="10" t="s">
        <v>27</v>
      </c>
      <c r="R3" s="10" t="s">
        <v>26</v>
      </c>
      <c r="S3" s="10" t="s">
        <v>26</v>
      </c>
      <c r="T3" s="10" t="s">
        <v>28</v>
      </c>
      <c r="U3" s="10" t="s">
        <v>28</v>
      </c>
      <c r="V3" s="10" t="s">
        <v>28</v>
      </c>
      <c r="W3" s="10" t="s">
        <v>28</v>
      </c>
      <c r="X3" s="10" t="s">
        <v>28</v>
      </c>
      <c r="Y3" s="10" t="s">
        <v>28</v>
      </c>
      <c r="Z3" s="11" t="s">
        <v>32</v>
      </c>
      <c r="AA3" s="10" t="s">
        <v>33</v>
      </c>
      <c r="AB3" s="13" t="s">
        <v>34</v>
      </c>
    </row>
    <row r="4" spans="1:28" ht="14.25" customHeight="1" x14ac:dyDescent="0.35">
      <c r="A4" s="16"/>
      <c r="B4" s="18"/>
      <c r="C4" s="19"/>
      <c r="D4" s="20">
        <v>43588</v>
      </c>
      <c r="E4" s="22">
        <v>43589</v>
      </c>
      <c r="F4" s="26">
        <v>43590</v>
      </c>
      <c r="G4" s="26">
        <v>43590</v>
      </c>
      <c r="H4" s="26">
        <v>43591</v>
      </c>
      <c r="I4" s="26">
        <v>43591</v>
      </c>
      <c r="J4" s="26">
        <v>43592</v>
      </c>
      <c r="K4" s="26">
        <v>43592</v>
      </c>
      <c r="L4" s="26">
        <v>43593</v>
      </c>
      <c r="M4" s="26">
        <v>43593</v>
      </c>
      <c r="N4" s="26">
        <v>43594</v>
      </c>
      <c r="O4" s="26">
        <v>43594</v>
      </c>
      <c r="P4" s="26">
        <v>43595</v>
      </c>
      <c r="Q4" s="26">
        <v>43595</v>
      </c>
      <c r="R4" s="26">
        <v>43596</v>
      </c>
      <c r="S4" s="26">
        <v>43596</v>
      </c>
      <c r="T4" s="26">
        <v>43597</v>
      </c>
      <c r="U4" s="26">
        <v>43597</v>
      </c>
      <c r="V4" s="26">
        <v>43598</v>
      </c>
      <c r="W4" s="26">
        <v>43598</v>
      </c>
      <c r="X4" s="26">
        <v>43599</v>
      </c>
      <c r="Y4" s="26">
        <v>43599</v>
      </c>
      <c r="Z4" s="28"/>
      <c r="AA4" s="18"/>
      <c r="AB4" s="30"/>
    </row>
    <row r="5" spans="1:28" ht="14.25" customHeight="1" x14ac:dyDescent="0.35">
      <c r="A5" s="32" t="s">
        <v>76</v>
      </c>
      <c r="B5" s="34" t="s">
        <v>26</v>
      </c>
      <c r="C5" s="36">
        <v>3</v>
      </c>
      <c r="D5" s="38"/>
      <c r="E5" s="7">
        <v>2</v>
      </c>
      <c r="F5" s="39">
        <v>3</v>
      </c>
      <c r="G5" s="40"/>
      <c r="H5" s="40">
        <v>2</v>
      </c>
      <c r="I5" s="40"/>
      <c r="J5" s="40">
        <v>2</v>
      </c>
      <c r="K5" s="40"/>
      <c r="L5" s="40">
        <v>3</v>
      </c>
      <c r="M5" s="40"/>
      <c r="N5" s="40">
        <v>3</v>
      </c>
      <c r="O5" s="40"/>
      <c r="P5" s="40">
        <v>3</v>
      </c>
      <c r="Q5" s="40"/>
      <c r="R5" s="40">
        <v>4</v>
      </c>
      <c r="S5" s="40">
        <v>4</v>
      </c>
      <c r="T5" s="40"/>
      <c r="U5" s="40"/>
      <c r="V5" s="40"/>
      <c r="W5" s="40"/>
      <c r="X5" s="40"/>
      <c r="Y5" s="41"/>
      <c r="Z5" s="7">
        <v>24</v>
      </c>
      <c r="AA5" s="7">
        <f t="shared" ref="AA5:AA27" si="0">SUM(F5:Y5)</f>
        <v>24</v>
      </c>
      <c r="AB5" s="33">
        <f>COUNTIFS('Matrix - Detailed'!$D$2:$D$184,A5,'Matrix - Detailed'!$H$2:$H$184,B5)</f>
        <v>24</v>
      </c>
    </row>
    <row r="6" spans="1:28" ht="14.25" customHeight="1" x14ac:dyDescent="0.35">
      <c r="A6" s="38" t="s">
        <v>76</v>
      </c>
      <c r="B6" s="7" t="s">
        <v>27</v>
      </c>
      <c r="C6" s="33">
        <v>3</v>
      </c>
      <c r="D6" s="38"/>
      <c r="E6" s="7"/>
      <c r="F6" s="44"/>
      <c r="G6" s="46">
        <v>5</v>
      </c>
      <c r="H6" s="46"/>
      <c r="I6" s="46">
        <v>4</v>
      </c>
      <c r="J6" s="46"/>
      <c r="K6" s="46">
        <v>4</v>
      </c>
      <c r="L6" s="46"/>
      <c r="M6" s="46">
        <v>5</v>
      </c>
      <c r="N6" s="46"/>
      <c r="O6" s="46">
        <v>3</v>
      </c>
      <c r="P6" s="46"/>
      <c r="Q6" s="46">
        <v>3</v>
      </c>
      <c r="R6" s="46"/>
      <c r="S6" s="46"/>
      <c r="T6" s="46"/>
      <c r="U6" s="46"/>
      <c r="V6" s="46"/>
      <c r="W6" s="46"/>
      <c r="X6" s="46"/>
      <c r="Y6" s="48"/>
      <c r="Z6" s="7">
        <v>24</v>
      </c>
      <c r="AA6" s="7">
        <f t="shared" si="0"/>
        <v>24</v>
      </c>
      <c r="AB6" s="33">
        <f>COUNTIFS('Matrix - Detailed'!$D$2:$D$184,A6,'Matrix - Detailed'!$H$2:$H$184,B6)</f>
        <v>26</v>
      </c>
    </row>
    <row r="7" spans="1:28" ht="14.25" customHeight="1" x14ac:dyDescent="0.35">
      <c r="A7" s="38" t="s">
        <v>81</v>
      </c>
      <c r="B7" s="7" t="s">
        <v>26</v>
      </c>
      <c r="C7" s="33">
        <v>3</v>
      </c>
      <c r="D7" s="38"/>
      <c r="E7" s="7"/>
      <c r="F7" s="44"/>
      <c r="G7" s="46"/>
      <c r="H7" s="46">
        <v>1</v>
      </c>
      <c r="I7" s="46"/>
      <c r="J7" s="46">
        <v>1</v>
      </c>
      <c r="K7" s="46"/>
      <c r="L7" s="46">
        <v>1</v>
      </c>
      <c r="M7" s="46"/>
      <c r="N7" s="46"/>
      <c r="O7" s="46"/>
      <c r="P7" s="46">
        <v>1</v>
      </c>
      <c r="Q7" s="46"/>
      <c r="R7" s="46"/>
      <c r="S7" s="46"/>
      <c r="T7" s="46"/>
      <c r="U7" s="46"/>
      <c r="V7" s="46"/>
      <c r="W7" s="46"/>
      <c r="X7" s="46"/>
      <c r="Y7" s="48"/>
      <c r="Z7" s="7">
        <v>4</v>
      </c>
      <c r="AA7" s="7">
        <f t="shared" si="0"/>
        <v>4</v>
      </c>
      <c r="AB7" s="33">
        <f>COUNTIFS('Matrix - Detailed'!$D$2:$D$184,A7,'Matrix - Detailed'!$H$2:$H$184,B7)</f>
        <v>4</v>
      </c>
    </row>
    <row r="8" spans="1:28" ht="14.25" customHeight="1" x14ac:dyDescent="0.35">
      <c r="A8" s="38" t="s">
        <v>82</v>
      </c>
      <c r="B8" s="7" t="s">
        <v>26</v>
      </c>
      <c r="C8" s="33">
        <v>5</v>
      </c>
      <c r="D8" s="38"/>
      <c r="E8" s="7">
        <v>2</v>
      </c>
      <c r="F8" s="44">
        <v>1</v>
      </c>
      <c r="G8" s="46"/>
      <c r="H8" s="46">
        <v>1</v>
      </c>
      <c r="I8" s="46"/>
      <c r="J8" s="46">
        <v>1</v>
      </c>
      <c r="K8" s="46"/>
      <c r="L8" s="46">
        <v>1</v>
      </c>
      <c r="M8" s="46"/>
      <c r="N8" s="46">
        <v>1</v>
      </c>
      <c r="O8" s="46"/>
      <c r="P8" s="46">
        <v>1</v>
      </c>
      <c r="Q8" s="46"/>
      <c r="R8" s="46">
        <v>2</v>
      </c>
      <c r="S8" s="46"/>
      <c r="T8" s="46"/>
      <c r="U8" s="46"/>
      <c r="V8" s="46"/>
      <c r="W8" s="46"/>
      <c r="X8" s="46"/>
      <c r="Y8" s="48"/>
      <c r="Z8" s="7">
        <v>8</v>
      </c>
      <c r="AA8" s="7">
        <f t="shared" si="0"/>
        <v>8</v>
      </c>
      <c r="AB8" s="33">
        <f>COUNTIFS('Matrix - Detailed'!$D$2:$D$184,A8,'Matrix - Detailed'!$H$2:$H$184,B8)</f>
        <v>8</v>
      </c>
    </row>
    <row r="9" spans="1:28" ht="14.25" customHeight="1" x14ac:dyDescent="0.35">
      <c r="A9" s="38" t="s">
        <v>82</v>
      </c>
      <c r="B9" s="7" t="s">
        <v>27</v>
      </c>
      <c r="C9" s="33">
        <v>5</v>
      </c>
      <c r="D9" s="38"/>
      <c r="E9" s="7"/>
      <c r="F9" s="44"/>
      <c r="G9" s="46">
        <v>1</v>
      </c>
      <c r="H9" s="46"/>
      <c r="I9" s="46">
        <v>1</v>
      </c>
      <c r="J9" s="46"/>
      <c r="K9" s="46">
        <v>2</v>
      </c>
      <c r="L9" s="46"/>
      <c r="M9" s="46">
        <v>1</v>
      </c>
      <c r="N9" s="46"/>
      <c r="O9" s="46">
        <v>2</v>
      </c>
      <c r="P9" s="46"/>
      <c r="Q9" s="46">
        <v>1</v>
      </c>
      <c r="R9" s="46"/>
      <c r="S9" s="46"/>
      <c r="T9" s="46"/>
      <c r="U9" s="46"/>
      <c r="V9" s="46"/>
      <c r="W9" s="46"/>
      <c r="X9" s="46"/>
      <c r="Y9" s="48"/>
      <c r="Z9" s="7">
        <v>8</v>
      </c>
      <c r="AA9" s="7">
        <f t="shared" si="0"/>
        <v>8</v>
      </c>
      <c r="AB9" s="33">
        <f>COUNTIFS('Matrix - Detailed'!$D$2:$D$184,A9,'Matrix - Detailed'!$H$2:$H$184,B9)</f>
        <v>9</v>
      </c>
    </row>
    <row r="10" spans="1:28" ht="14.25" customHeight="1" x14ac:dyDescent="0.35">
      <c r="A10" s="38" t="s">
        <v>84</v>
      </c>
      <c r="B10" s="7" t="s">
        <v>26</v>
      </c>
      <c r="C10" s="33">
        <v>5</v>
      </c>
      <c r="D10" s="38"/>
      <c r="E10" s="7">
        <v>2</v>
      </c>
      <c r="F10" s="44">
        <v>1</v>
      </c>
      <c r="G10" s="46"/>
      <c r="H10" s="46"/>
      <c r="I10" s="46"/>
      <c r="J10" s="46"/>
      <c r="K10" s="46"/>
      <c r="L10" s="46">
        <v>1</v>
      </c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8"/>
      <c r="Z10" s="7">
        <v>2</v>
      </c>
      <c r="AA10" s="7">
        <f t="shared" si="0"/>
        <v>2</v>
      </c>
      <c r="AB10" s="33">
        <f>COUNTIFS('Matrix - Detailed'!$D$2:$D$184,A10,'Matrix - Detailed'!$H$2:$H$184,B10)</f>
        <v>2</v>
      </c>
    </row>
    <row r="11" spans="1:28" ht="14.25" customHeight="1" x14ac:dyDescent="0.35">
      <c r="A11" s="38" t="s">
        <v>84</v>
      </c>
      <c r="B11" s="7" t="s">
        <v>27</v>
      </c>
      <c r="C11" s="33">
        <v>5</v>
      </c>
      <c r="D11" s="38"/>
      <c r="E11" s="7"/>
      <c r="F11" s="44"/>
      <c r="G11" s="46"/>
      <c r="H11" s="46"/>
      <c r="I11" s="46">
        <v>1</v>
      </c>
      <c r="J11" s="46"/>
      <c r="K11" s="46"/>
      <c r="L11" s="46"/>
      <c r="M11" s="46"/>
      <c r="N11" s="46"/>
      <c r="O11" s="46">
        <v>1</v>
      </c>
      <c r="P11" s="46"/>
      <c r="Q11" s="46"/>
      <c r="R11" s="46"/>
      <c r="S11" s="46"/>
      <c r="T11" s="46"/>
      <c r="U11" s="46"/>
      <c r="V11" s="46"/>
      <c r="W11" s="46"/>
      <c r="X11" s="46"/>
      <c r="Y11" s="48"/>
      <c r="Z11" s="7">
        <v>2</v>
      </c>
      <c r="AA11" s="7">
        <f t="shared" si="0"/>
        <v>2</v>
      </c>
      <c r="AB11" s="33">
        <f>COUNTIFS('Matrix - Detailed'!$D$2:$D$184,A11,'Matrix - Detailed'!$H$2:$H$184,B11)</f>
        <v>3</v>
      </c>
    </row>
    <row r="12" spans="1:28" ht="14.25" customHeight="1" x14ac:dyDescent="0.35">
      <c r="A12" s="38" t="s">
        <v>85</v>
      </c>
      <c r="B12" s="7" t="s">
        <v>26</v>
      </c>
      <c r="C12" s="33">
        <v>3</v>
      </c>
      <c r="D12" s="38"/>
      <c r="E12" s="7">
        <v>1</v>
      </c>
      <c r="F12" s="44"/>
      <c r="G12" s="46"/>
      <c r="H12" s="46">
        <v>1</v>
      </c>
      <c r="I12" s="46"/>
      <c r="J12" s="46">
        <v>1</v>
      </c>
      <c r="K12" s="46"/>
      <c r="L12" s="46"/>
      <c r="M12" s="46"/>
      <c r="N12" s="46"/>
      <c r="O12" s="46"/>
      <c r="P12" s="46">
        <v>1</v>
      </c>
      <c r="Q12" s="46"/>
      <c r="R12" s="46"/>
      <c r="S12" s="46">
        <v>1</v>
      </c>
      <c r="T12" s="46"/>
      <c r="U12" s="46"/>
      <c r="V12" s="46"/>
      <c r="W12" s="46"/>
      <c r="X12" s="46"/>
      <c r="Y12" s="48"/>
      <c r="Z12" s="7">
        <v>4</v>
      </c>
      <c r="AA12" s="7">
        <f t="shared" si="0"/>
        <v>4</v>
      </c>
      <c r="AB12" s="33">
        <f>COUNTIFS('Matrix - Detailed'!$D$2:$D$184,A12,'Matrix - Detailed'!$H$2:$H$184,B12)</f>
        <v>5</v>
      </c>
    </row>
    <row r="13" spans="1:28" ht="14.25" customHeight="1" x14ac:dyDescent="0.35">
      <c r="A13" s="38" t="s">
        <v>86</v>
      </c>
      <c r="B13" s="7" t="s">
        <v>26</v>
      </c>
      <c r="C13" s="33">
        <v>4</v>
      </c>
      <c r="D13" s="38"/>
      <c r="E13" s="7">
        <v>1</v>
      </c>
      <c r="F13" s="44"/>
      <c r="G13" s="46"/>
      <c r="H13" s="46"/>
      <c r="I13" s="46"/>
      <c r="J13" s="46"/>
      <c r="K13" s="46">
        <v>1</v>
      </c>
      <c r="L13" s="46"/>
      <c r="M13" s="46">
        <v>1</v>
      </c>
      <c r="N13" s="46"/>
      <c r="O13" s="46"/>
      <c r="P13" s="46"/>
      <c r="Q13" s="46"/>
      <c r="R13" s="46">
        <v>1</v>
      </c>
      <c r="S13" s="46">
        <v>1</v>
      </c>
      <c r="T13" s="46"/>
      <c r="U13" s="46"/>
      <c r="V13" s="46"/>
      <c r="W13" s="46"/>
      <c r="X13" s="46"/>
      <c r="Y13" s="48"/>
      <c r="Z13" s="7">
        <v>4</v>
      </c>
      <c r="AA13" s="7">
        <f t="shared" si="0"/>
        <v>4</v>
      </c>
      <c r="AB13" s="33">
        <f>COUNTIFS('Matrix - Detailed'!$D$2:$D$184,A13,'Matrix - Detailed'!$H$2:$H$184,B13)</f>
        <v>4</v>
      </c>
    </row>
    <row r="14" spans="1:28" ht="14.25" customHeight="1" x14ac:dyDescent="0.35">
      <c r="A14" s="38" t="s">
        <v>108</v>
      </c>
      <c r="B14" s="7" t="s">
        <v>26</v>
      </c>
      <c r="C14" s="33">
        <v>3</v>
      </c>
      <c r="D14" s="38"/>
      <c r="E14" s="7">
        <v>1</v>
      </c>
      <c r="F14" s="44">
        <v>1</v>
      </c>
      <c r="G14" s="46"/>
      <c r="H14" s="46"/>
      <c r="I14" s="46">
        <v>1</v>
      </c>
      <c r="J14" s="46"/>
      <c r="K14" s="46"/>
      <c r="L14" s="46">
        <v>1</v>
      </c>
      <c r="M14" s="46"/>
      <c r="N14" s="46"/>
      <c r="O14" s="46">
        <v>1</v>
      </c>
      <c r="P14" s="46"/>
      <c r="Q14" s="46"/>
      <c r="R14" s="46"/>
      <c r="S14" s="46"/>
      <c r="T14" s="46"/>
      <c r="U14" s="46"/>
      <c r="V14" s="46"/>
      <c r="W14" s="46"/>
      <c r="X14" s="46"/>
      <c r="Y14" s="48"/>
      <c r="Z14" s="7">
        <v>4</v>
      </c>
      <c r="AA14" s="7">
        <f t="shared" si="0"/>
        <v>4</v>
      </c>
      <c r="AB14" s="33">
        <f>COUNTIFS('Matrix - Detailed'!$D$2:$D$184,A14,'Matrix - Detailed'!$H$2:$H$184,B14)</f>
        <v>7</v>
      </c>
    </row>
    <row r="15" spans="1:28" ht="14.25" customHeight="1" x14ac:dyDescent="0.35">
      <c r="A15" s="38" t="s">
        <v>112</v>
      </c>
      <c r="B15" s="7" t="s">
        <v>26</v>
      </c>
      <c r="C15" s="33">
        <v>3</v>
      </c>
      <c r="D15" s="38"/>
      <c r="E15" s="7">
        <v>1</v>
      </c>
      <c r="F15" s="44">
        <v>2</v>
      </c>
      <c r="G15" s="46"/>
      <c r="H15" s="46">
        <v>1</v>
      </c>
      <c r="I15" s="46"/>
      <c r="J15" s="46">
        <v>2</v>
      </c>
      <c r="K15" s="46"/>
      <c r="L15" s="46">
        <v>1</v>
      </c>
      <c r="M15" s="46"/>
      <c r="N15" s="46">
        <v>2</v>
      </c>
      <c r="O15" s="46"/>
      <c r="P15" s="46">
        <v>2</v>
      </c>
      <c r="Q15" s="46"/>
      <c r="R15" s="46">
        <v>2</v>
      </c>
      <c r="S15" s="46"/>
      <c r="T15" s="46"/>
      <c r="U15" s="46"/>
      <c r="V15" s="46"/>
      <c r="W15" s="46"/>
      <c r="X15" s="46"/>
      <c r="Y15" s="48"/>
      <c r="Z15" s="7">
        <v>12</v>
      </c>
      <c r="AA15" s="7">
        <f t="shared" si="0"/>
        <v>12</v>
      </c>
      <c r="AB15" s="33">
        <f>COUNTIFS('Matrix - Detailed'!$D$2:$D$184,A15,'Matrix - Detailed'!$H$2:$H$184,B15)</f>
        <v>17</v>
      </c>
    </row>
    <row r="16" spans="1:28" ht="14.25" customHeight="1" x14ac:dyDescent="0.35">
      <c r="A16" s="38" t="s">
        <v>112</v>
      </c>
      <c r="B16" s="7" t="s">
        <v>27</v>
      </c>
      <c r="C16" s="33">
        <v>3</v>
      </c>
      <c r="D16" s="38"/>
      <c r="E16" s="7"/>
      <c r="F16" s="44"/>
      <c r="G16" s="46">
        <v>2</v>
      </c>
      <c r="H16" s="46"/>
      <c r="I16" s="46">
        <v>2</v>
      </c>
      <c r="J16" s="46"/>
      <c r="K16" s="46">
        <v>2</v>
      </c>
      <c r="L16" s="46"/>
      <c r="M16" s="46">
        <v>2</v>
      </c>
      <c r="N16" s="46"/>
      <c r="O16" s="46">
        <v>2</v>
      </c>
      <c r="P16" s="46"/>
      <c r="Q16" s="46">
        <v>2</v>
      </c>
      <c r="R16" s="46"/>
      <c r="S16" s="46"/>
      <c r="T16" s="46"/>
      <c r="U16" s="46"/>
      <c r="V16" s="46"/>
      <c r="W16" s="46"/>
      <c r="X16" s="46"/>
      <c r="Y16" s="48"/>
      <c r="Z16" s="7">
        <v>12</v>
      </c>
      <c r="AA16" s="7">
        <f t="shared" si="0"/>
        <v>12</v>
      </c>
      <c r="AB16" s="33">
        <f>COUNTIFS('Matrix - Detailed'!$D$2:$D$184,A16,'Matrix - Detailed'!$H$2:$H$184,B16)</f>
        <v>9</v>
      </c>
    </row>
    <row r="17" spans="1:28" ht="14.25" customHeight="1" x14ac:dyDescent="0.35">
      <c r="A17" s="38" t="s">
        <v>117</v>
      </c>
      <c r="B17" s="7" t="s">
        <v>26</v>
      </c>
      <c r="C17" s="33">
        <v>5</v>
      </c>
      <c r="D17" s="38"/>
      <c r="E17" s="7"/>
      <c r="F17" s="44">
        <v>1</v>
      </c>
      <c r="G17" s="46"/>
      <c r="H17" s="46">
        <v>1</v>
      </c>
      <c r="I17" s="46"/>
      <c r="J17" s="46">
        <v>1</v>
      </c>
      <c r="K17" s="46"/>
      <c r="L17" s="46">
        <v>1</v>
      </c>
      <c r="M17" s="46"/>
      <c r="N17" s="46">
        <v>1</v>
      </c>
      <c r="O17" s="46"/>
      <c r="P17" s="46">
        <v>1</v>
      </c>
      <c r="Q17" s="46"/>
      <c r="R17" s="46">
        <v>2</v>
      </c>
      <c r="S17" s="46"/>
      <c r="T17" s="46"/>
      <c r="U17" s="46"/>
      <c r="V17" s="46"/>
      <c r="W17" s="46"/>
      <c r="X17" s="46"/>
      <c r="Y17" s="48"/>
      <c r="Z17" s="7">
        <v>8</v>
      </c>
      <c r="AA17" s="7">
        <f t="shared" si="0"/>
        <v>8</v>
      </c>
      <c r="AB17" s="33">
        <f>COUNTIFS('Matrix - Detailed'!$D$2:$D$184,A17,'Matrix - Detailed'!$H$2:$H$184,B17)</f>
        <v>10</v>
      </c>
    </row>
    <row r="18" spans="1:28" ht="14.25" customHeight="1" x14ac:dyDescent="0.35">
      <c r="A18" s="38" t="s">
        <v>123</v>
      </c>
      <c r="B18" s="7" t="s">
        <v>26</v>
      </c>
      <c r="C18" s="33">
        <v>5</v>
      </c>
      <c r="D18" s="38"/>
      <c r="E18" s="7"/>
      <c r="F18" s="44"/>
      <c r="G18" s="46"/>
      <c r="H18" s="46">
        <v>1</v>
      </c>
      <c r="I18" s="46"/>
      <c r="J18" s="46"/>
      <c r="K18" s="46"/>
      <c r="L18" s="46">
        <v>1</v>
      </c>
      <c r="M18" s="46"/>
      <c r="N18" s="46">
        <v>1</v>
      </c>
      <c r="O18" s="46"/>
      <c r="P18" s="46"/>
      <c r="Q18" s="46"/>
      <c r="R18" s="46"/>
      <c r="S18" s="46">
        <v>1</v>
      </c>
      <c r="T18" s="46"/>
      <c r="U18" s="46"/>
      <c r="V18" s="46"/>
      <c r="W18" s="46"/>
      <c r="X18" s="46"/>
      <c r="Y18" s="48"/>
      <c r="Z18" s="7">
        <v>4</v>
      </c>
      <c r="AA18" s="7">
        <f t="shared" si="0"/>
        <v>4</v>
      </c>
      <c r="AB18" s="33">
        <f>COUNTIFS('Matrix - Detailed'!$D$2:$D$184,A18,'Matrix - Detailed'!$H$2:$H$184,B18)</f>
        <v>4</v>
      </c>
    </row>
    <row r="19" spans="1:28" ht="14.25" customHeight="1" x14ac:dyDescent="0.35">
      <c r="A19" s="38" t="s">
        <v>124</v>
      </c>
      <c r="B19" s="7" t="s">
        <v>26</v>
      </c>
      <c r="C19" s="33">
        <v>7</v>
      </c>
      <c r="D19" s="38"/>
      <c r="E19" s="7"/>
      <c r="F19" s="44">
        <v>1</v>
      </c>
      <c r="G19" s="46"/>
      <c r="H19" s="46">
        <v>1</v>
      </c>
      <c r="I19" s="46"/>
      <c r="J19" s="46">
        <v>1</v>
      </c>
      <c r="K19" s="46"/>
      <c r="L19" s="46"/>
      <c r="M19" s="46"/>
      <c r="N19" s="46">
        <v>1</v>
      </c>
      <c r="O19" s="46"/>
      <c r="P19" s="46">
        <v>1</v>
      </c>
      <c r="Q19" s="46"/>
      <c r="R19" s="46"/>
      <c r="S19" s="46">
        <v>1</v>
      </c>
      <c r="T19" s="46"/>
      <c r="U19" s="46"/>
      <c r="V19" s="46"/>
      <c r="W19" s="46"/>
      <c r="X19" s="46"/>
      <c r="Y19" s="48"/>
      <c r="Z19" s="7">
        <v>6</v>
      </c>
      <c r="AA19" s="7">
        <f t="shared" si="0"/>
        <v>6</v>
      </c>
      <c r="AB19" s="33">
        <f>COUNTIFS('Matrix - Detailed'!$D$2:$D$184,A19,'Matrix - Detailed'!$H$2:$H$184,B19)</f>
        <v>6</v>
      </c>
    </row>
    <row r="20" spans="1:28" ht="14.25" customHeight="1" x14ac:dyDescent="0.35">
      <c r="A20" s="38" t="s">
        <v>124</v>
      </c>
      <c r="B20" s="7" t="s">
        <v>27</v>
      </c>
      <c r="C20" s="33">
        <v>7</v>
      </c>
      <c r="D20" s="38"/>
      <c r="E20" s="7"/>
      <c r="F20" s="44"/>
      <c r="G20" s="46">
        <v>1</v>
      </c>
      <c r="H20" s="46"/>
      <c r="I20" s="46">
        <v>1</v>
      </c>
      <c r="J20" s="46"/>
      <c r="K20" s="46">
        <v>1</v>
      </c>
      <c r="L20" s="46"/>
      <c r="M20" s="46">
        <v>1</v>
      </c>
      <c r="N20" s="46"/>
      <c r="O20" s="46">
        <v>1</v>
      </c>
      <c r="P20" s="46"/>
      <c r="Q20" s="46">
        <v>1</v>
      </c>
      <c r="R20" s="46"/>
      <c r="S20" s="46"/>
      <c r="T20" s="46"/>
      <c r="U20" s="46"/>
      <c r="V20" s="46"/>
      <c r="W20" s="46"/>
      <c r="X20" s="46"/>
      <c r="Y20" s="48"/>
      <c r="Z20" s="7">
        <v>6</v>
      </c>
      <c r="AA20" s="7">
        <f t="shared" si="0"/>
        <v>6</v>
      </c>
      <c r="AB20" s="33">
        <f>COUNTIFS('Matrix - Detailed'!$D$2:$D$184,A20,'Matrix - Detailed'!$H$2:$H$184,B20)</f>
        <v>6</v>
      </c>
    </row>
    <row r="21" spans="1:28" ht="14.25" customHeight="1" x14ac:dyDescent="0.35">
      <c r="A21" s="38" t="s">
        <v>126</v>
      </c>
      <c r="B21" s="7" t="s">
        <v>26</v>
      </c>
      <c r="C21" s="33">
        <v>7</v>
      </c>
      <c r="D21" s="38"/>
      <c r="E21" s="7"/>
      <c r="F21" s="44">
        <v>1</v>
      </c>
      <c r="G21" s="46"/>
      <c r="H21" s="46">
        <v>1</v>
      </c>
      <c r="I21" s="46"/>
      <c r="J21" s="46">
        <v>1</v>
      </c>
      <c r="K21" s="46"/>
      <c r="L21" s="46">
        <v>1</v>
      </c>
      <c r="M21" s="46"/>
      <c r="N21" s="46">
        <v>1</v>
      </c>
      <c r="O21" s="46"/>
      <c r="P21" s="46">
        <v>1</v>
      </c>
      <c r="Q21" s="46"/>
      <c r="R21" s="46"/>
      <c r="S21" s="46"/>
      <c r="T21" s="46"/>
      <c r="U21" s="46"/>
      <c r="V21" s="46"/>
      <c r="W21" s="46"/>
      <c r="X21" s="46"/>
      <c r="Y21" s="48"/>
      <c r="Z21" s="7">
        <v>6</v>
      </c>
      <c r="AA21" s="7">
        <f t="shared" si="0"/>
        <v>6</v>
      </c>
      <c r="AB21" s="33">
        <f>COUNTIFS('Matrix - Detailed'!$D$2:$D$184,A21,'Matrix - Detailed'!$H$2:$H$184,B21)</f>
        <v>7</v>
      </c>
    </row>
    <row r="22" spans="1:28" ht="14.25" customHeight="1" x14ac:dyDescent="0.35">
      <c r="A22" s="38" t="s">
        <v>126</v>
      </c>
      <c r="B22" s="7" t="s">
        <v>27</v>
      </c>
      <c r="C22" s="33">
        <v>7</v>
      </c>
      <c r="D22" s="38"/>
      <c r="E22" s="7"/>
      <c r="F22" s="44"/>
      <c r="G22" s="46">
        <v>1</v>
      </c>
      <c r="H22" s="46"/>
      <c r="I22" s="46">
        <v>1</v>
      </c>
      <c r="J22" s="46"/>
      <c r="K22" s="46">
        <v>1</v>
      </c>
      <c r="L22" s="46"/>
      <c r="M22" s="46">
        <v>1</v>
      </c>
      <c r="N22" s="46"/>
      <c r="O22" s="46">
        <v>1</v>
      </c>
      <c r="P22" s="46"/>
      <c r="Q22" s="46">
        <v>1</v>
      </c>
      <c r="R22" s="46"/>
      <c r="S22" s="46"/>
      <c r="T22" s="46"/>
      <c r="U22" s="46"/>
      <c r="V22" s="46"/>
      <c r="W22" s="46"/>
      <c r="X22" s="46"/>
      <c r="Y22" s="48"/>
      <c r="Z22" s="7">
        <v>6</v>
      </c>
      <c r="AA22" s="7">
        <f t="shared" si="0"/>
        <v>6</v>
      </c>
      <c r="AB22" s="33">
        <f>COUNTIFS('Matrix - Detailed'!$D$2:$D$184,A22,'Matrix - Detailed'!$H$2:$H$184,B22)</f>
        <v>5</v>
      </c>
    </row>
    <row r="23" spans="1:28" ht="14.25" customHeight="1" x14ac:dyDescent="0.35">
      <c r="A23" s="38" t="s">
        <v>127</v>
      </c>
      <c r="B23" s="7" t="s">
        <v>26</v>
      </c>
      <c r="C23" s="33">
        <v>7</v>
      </c>
      <c r="D23" s="38"/>
      <c r="E23" s="7"/>
      <c r="F23" s="44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>
        <v>2</v>
      </c>
      <c r="T23" s="46"/>
      <c r="U23" s="46"/>
      <c r="V23" s="46"/>
      <c r="W23" s="46"/>
      <c r="X23" s="46"/>
      <c r="Y23" s="48"/>
      <c r="Z23" s="7">
        <v>2</v>
      </c>
      <c r="AA23" s="7">
        <f t="shared" si="0"/>
        <v>2</v>
      </c>
      <c r="AB23" s="33">
        <f>COUNTIFS('Matrix - Detailed'!$D$2:$D$184,A23,'Matrix - Detailed'!$H$2:$H$184,B23)</f>
        <v>2</v>
      </c>
    </row>
    <row r="24" spans="1:28" ht="14.25" customHeight="1" x14ac:dyDescent="0.35">
      <c r="A24" s="38" t="s">
        <v>128</v>
      </c>
      <c r="B24" s="7" t="s">
        <v>26</v>
      </c>
      <c r="C24" s="33">
        <v>4</v>
      </c>
      <c r="D24" s="38"/>
      <c r="E24" s="7">
        <v>1</v>
      </c>
      <c r="F24" s="44"/>
      <c r="G24" s="46"/>
      <c r="H24" s="46">
        <v>2</v>
      </c>
      <c r="I24" s="46"/>
      <c r="J24" s="46">
        <v>1</v>
      </c>
      <c r="K24" s="46"/>
      <c r="L24" s="46">
        <v>1</v>
      </c>
      <c r="M24" s="46"/>
      <c r="N24" s="46"/>
      <c r="O24" s="46"/>
      <c r="P24" s="46">
        <v>1</v>
      </c>
      <c r="Q24" s="46"/>
      <c r="R24" s="46">
        <v>2</v>
      </c>
      <c r="S24" s="46">
        <v>1</v>
      </c>
      <c r="T24" s="46"/>
      <c r="U24" s="46"/>
      <c r="V24" s="46"/>
      <c r="W24" s="46"/>
      <c r="X24" s="46"/>
      <c r="Y24" s="48"/>
      <c r="Z24" s="7">
        <v>8</v>
      </c>
      <c r="AA24" s="7">
        <f t="shared" si="0"/>
        <v>8</v>
      </c>
      <c r="AB24" s="33">
        <f>COUNTIFS('Matrix - Detailed'!$D$2:$D$184,A24,'Matrix - Detailed'!$H$2:$H$184,B24)</f>
        <v>8</v>
      </c>
    </row>
    <row r="25" spans="1:28" ht="14.25" customHeight="1" x14ac:dyDescent="0.35">
      <c r="A25" s="38" t="s">
        <v>128</v>
      </c>
      <c r="B25" s="7" t="s">
        <v>27</v>
      </c>
      <c r="C25" s="33">
        <v>4</v>
      </c>
      <c r="D25" s="38"/>
      <c r="E25" s="7"/>
      <c r="F25" s="44"/>
      <c r="G25" s="46">
        <v>1</v>
      </c>
      <c r="H25" s="46"/>
      <c r="I25" s="46">
        <v>1</v>
      </c>
      <c r="J25" s="46"/>
      <c r="K25" s="46">
        <v>1</v>
      </c>
      <c r="L25" s="46"/>
      <c r="M25" s="46">
        <v>2</v>
      </c>
      <c r="N25" s="46"/>
      <c r="O25" s="46">
        <v>1</v>
      </c>
      <c r="P25" s="46"/>
      <c r="Q25" s="46">
        <v>2</v>
      </c>
      <c r="R25" s="46"/>
      <c r="S25" s="46"/>
      <c r="T25" s="46"/>
      <c r="U25" s="46"/>
      <c r="V25" s="46"/>
      <c r="W25" s="46"/>
      <c r="X25" s="46"/>
      <c r="Y25" s="48"/>
      <c r="Z25" s="7">
        <v>8</v>
      </c>
      <c r="AA25" s="7">
        <f t="shared" si="0"/>
        <v>8</v>
      </c>
      <c r="AB25" s="33">
        <f>COUNTIFS('Matrix - Detailed'!$D$2:$D$184,A25,'Matrix - Detailed'!$H$2:$H$184,B25)</f>
        <v>9</v>
      </c>
    </row>
    <row r="26" spans="1:28" ht="14.25" customHeight="1" x14ac:dyDescent="0.35">
      <c r="A26" s="38" t="s">
        <v>130</v>
      </c>
      <c r="B26" s="7" t="s">
        <v>26</v>
      </c>
      <c r="C26" s="33">
        <v>5</v>
      </c>
      <c r="D26" s="38"/>
      <c r="E26" s="7">
        <v>1</v>
      </c>
      <c r="F26" s="44"/>
      <c r="G26" s="46"/>
      <c r="H26" s="46"/>
      <c r="I26" s="46"/>
      <c r="J26" s="46">
        <v>1</v>
      </c>
      <c r="K26" s="46"/>
      <c r="L26" s="46"/>
      <c r="M26" s="46"/>
      <c r="N26" s="46">
        <v>1</v>
      </c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8"/>
      <c r="Z26" s="7">
        <v>2</v>
      </c>
      <c r="AA26" s="7">
        <f t="shared" si="0"/>
        <v>2</v>
      </c>
      <c r="AB26" s="33">
        <f>COUNTIFS('Matrix - Detailed'!$D$2:$D$184,A26,'Matrix - Detailed'!$H$2:$H$184,B26)</f>
        <v>3</v>
      </c>
    </row>
    <row r="27" spans="1:28" ht="14.25" customHeight="1" x14ac:dyDescent="0.35">
      <c r="A27" s="38" t="s">
        <v>130</v>
      </c>
      <c r="B27" s="7" t="s">
        <v>27</v>
      </c>
      <c r="C27" s="33">
        <v>5</v>
      </c>
      <c r="D27" s="16"/>
      <c r="E27" s="18"/>
      <c r="F27" s="74"/>
      <c r="G27" s="75">
        <v>1</v>
      </c>
      <c r="H27" s="75"/>
      <c r="I27" s="75"/>
      <c r="J27" s="75"/>
      <c r="K27" s="75"/>
      <c r="L27" s="75"/>
      <c r="M27" s="75"/>
      <c r="N27" s="75"/>
      <c r="O27" s="75"/>
      <c r="P27" s="75"/>
      <c r="Q27" s="75">
        <v>1</v>
      </c>
      <c r="R27" s="75"/>
      <c r="S27" s="75"/>
      <c r="T27" s="75"/>
      <c r="U27" s="75"/>
      <c r="V27" s="75"/>
      <c r="W27" s="75"/>
      <c r="X27" s="75"/>
      <c r="Y27" s="77"/>
      <c r="Z27" s="18">
        <v>2</v>
      </c>
      <c r="AA27" s="18">
        <f t="shared" si="0"/>
        <v>2</v>
      </c>
      <c r="AB27" s="30">
        <f>COUNTIFS('Matrix - Detailed'!$D$2:$D$184,A27,'Matrix - Detailed'!$H$2:$H$184,B27)</f>
        <v>1</v>
      </c>
    </row>
    <row r="28" spans="1:28" ht="14.25" customHeight="1" x14ac:dyDescent="0.35">
      <c r="A28" s="80" t="s">
        <v>13</v>
      </c>
      <c r="B28" s="81"/>
      <c r="C28" s="83"/>
      <c r="D28" s="80">
        <f t="shared" ref="D28:Y28" si="1">SUM(D5:D27)</f>
        <v>0</v>
      </c>
      <c r="E28" s="85">
        <f t="shared" si="1"/>
        <v>12</v>
      </c>
      <c r="F28" s="86">
        <f t="shared" si="1"/>
        <v>11</v>
      </c>
      <c r="G28" s="86">
        <f t="shared" si="1"/>
        <v>12</v>
      </c>
      <c r="H28" s="86">
        <f t="shared" si="1"/>
        <v>12</v>
      </c>
      <c r="I28" s="86">
        <f t="shared" si="1"/>
        <v>12</v>
      </c>
      <c r="J28" s="86">
        <f t="shared" si="1"/>
        <v>12</v>
      </c>
      <c r="K28" s="86">
        <f t="shared" si="1"/>
        <v>12</v>
      </c>
      <c r="L28" s="86">
        <f t="shared" si="1"/>
        <v>12</v>
      </c>
      <c r="M28" s="86">
        <f t="shared" si="1"/>
        <v>13</v>
      </c>
      <c r="N28" s="86">
        <f t="shared" si="1"/>
        <v>11</v>
      </c>
      <c r="O28" s="86">
        <f t="shared" si="1"/>
        <v>12</v>
      </c>
      <c r="P28" s="86">
        <f t="shared" si="1"/>
        <v>12</v>
      </c>
      <c r="Q28" s="86">
        <f t="shared" si="1"/>
        <v>11</v>
      </c>
      <c r="R28" s="86">
        <f t="shared" si="1"/>
        <v>13</v>
      </c>
      <c r="S28" s="86">
        <f t="shared" si="1"/>
        <v>11</v>
      </c>
      <c r="T28" s="86">
        <f t="shared" si="1"/>
        <v>0</v>
      </c>
      <c r="U28" s="86">
        <f t="shared" si="1"/>
        <v>0</v>
      </c>
      <c r="V28" s="86">
        <f t="shared" si="1"/>
        <v>0</v>
      </c>
      <c r="W28" s="86">
        <f t="shared" si="1"/>
        <v>0</v>
      </c>
      <c r="X28" s="86">
        <f t="shared" si="1"/>
        <v>0</v>
      </c>
      <c r="Y28" s="86">
        <f t="shared" si="1"/>
        <v>0</v>
      </c>
      <c r="Z28" s="88">
        <f>SUM(E28:Y28)</f>
        <v>178</v>
      </c>
      <c r="AA28">
        <f>SUM(AA5:AA27)</f>
        <v>166</v>
      </c>
    </row>
    <row r="29" spans="1:28" ht="14.25" customHeight="1" x14ac:dyDescent="0.35">
      <c r="A29" s="16" t="s">
        <v>142</v>
      </c>
      <c r="B29" s="18"/>
      <c r="C29" s="30"/>
      <c r="D29" s="89">
        <f t="shared" ref="D29:Y29" si="2">SUMPRODUCT($C$5:$C$27,D5:D27)</f>
        <v>0</v>
      </c>
      <c r="E29" s="89">
        <f t="shared" si="2"/>
        <v>48</v>
      </c>
      <c r="F29" s="89">
        <f t="shared" si="2"/>
        <v>47</v>
      </c>
      <c r="G29" s="89">
        <f t="shared" si="2"/>
        <v>49</v>
      </c>
      <c r="H29" s="89">
        <f t="shared" si="2"/>
        <v>52</v>
      </c>
      <c r="I29" s="89">
        <f t="shared" si="2"/>
        <v>49</v>
      </c>
      <c r="J29" s="89">
        <f t="shared" si="2"/>
        <v>51</v>
      </c>
      <c r="K29" s="89">
        <f t="shared" si="2"/>
        <v>50</v>
      </c>
      <c r="L29" s="89">
        <f t="shared" si="2"/>
        <v>49</v>
      </c>
      <c r="M29" s="89">
        <f t="shared" si="2"/>
        <v>52</v>
      </c>
      <c r="N29" s="89">
        <f t="shared" si="2"/>
        <v>49</v>
      </c>
      <c r="O29" s="89">
        <f t="shared" si="2"/>
        <v>51</v>
      </c>
      <c r="P29" s="89">
        <f t="shared" si="2"/>
        <v>49</v>
      </c>
      <c r="Q29" s="89">
        <f t="shared" si="2"/>
        <v>47</v>
      </c>
      <c r="R29" s="89">
        <f t="shared" si="2"/>
        <v>50</v>
      </c>
      <c r="S29" s="89">
        <f t="shared" si="2"/>
        <v>49</v>
      </c>
      <c r="T29" s="89">
        <f t="shared" si="2"/>
        <v>0</v>
      </c>
      <c r="U29" s="89">
        <f t="shared" si="2"/>
        <v>0</v>
      </c>
      <c r="V29" s="89">
        <f t="shared" si="2"/>
        <v>0</v>
      </c>
      <c r="W29" s="89">
        <f t="shared" si="2"/>
        <v>0</v>
      </c>
      <c r="X29" s="89">
        <f t="shared" si="2"/>
        <v>0</v>
      </c>
      <c r="Y29" s="89">
        <f t="shared" si="2"/>
        <v>0</v>
      </c>
      <c r="Z29" s="91">
        <f>SUM(E29:Y29)/60</f>
        <v>12.366666666666667</v>
      </c>
    </row>
    <row r="30" spans="1:28" ht="14.25" customHeight="1" x14ac:dyDescent="0.35"/>
    <row r="31" spans="1:28" ht="14.25" customHeight="1" x14ac:dyDescent="0.35">
      <c r="A31" s="92" t="s">
        <v>151</v>
      </c>
      <c r="B31" s="92"/>
      <c r="C31" s="92"/>
      <c r="D31" s="92"/>
      <c r="E31" s="92"/>
      <c r="F31" s="92">
        <f>COUNTIF('Matrix - Detailed'!$C$2:$C$184,Timetable!F2)</f>
        <v>12</v>
      </c>
      <c r="G31" s="92">
        <f>COUNTIF('Matrix - Detailed'!$C$2:$C$184,Timetable!G2)</f>
        <v>7</v>
      </c>
      <c r="H31" s="92">
        <f>COUNTIF('Matrix - Detailed'!$C$2:$C$184,Timetable!H2)</f>
        <v>12</v>
      </c>
      <c r="I31" s="92">
        <f>COUNTIF('Matrix - Detailed'!$C$2:$C$184,Timetable!I2)</f>
        <v>8</v>
      </c>
      <c r="J31" s="92">
        <f>COUNTIF('Matrix - Detailed'!$C$2:$C$184,Timetable!J2)</f>
        <v>8</v>
      </c>
      <c r="K31" s="92">
        <f>COUNTIF('Matrix - Detailed'!$C$2:$C$184,Timetable!K2)</f>
        <v>11</v>
      </c>
      <c r="L31" s="92">
        <f>COUNTIF('Matrix - Detailed'!$C$2:$C$184,Timetable!L2)</f>
        <v>12</v>
      </c>
      <c r="M31" s="92">
        <f>COUNTIF('Matrix - Detailed'!$C$2:$C$184,Timetable!M2)</f>
        <v>14</v>
      </c>
      <c r="N31" s="92">
        <f>COUNTIF('Matrix - Detailed'!$C$2:$C$184,Timetable!N2)</f>
        <v>11</v>
      </c>
      <c r="O31" s="92">
        <f>COUNTIF('Matrix - Detailed'!$C$2:$C$184,Timetable!O2)</f>
        <v>9</v>
      </c>
      <c r="P31" s="92">
        <f>COUNTIF('Matrix - Detailed'!$C$2:$C$184,Timetable!P2)</f>
        <v>13</v>
      </c>
      <c r="Q31" s="92">
        <f>COUNTIF('Matrix - Detailed'!$C$2:$C$184,Timetable!Q2)</f>
        <v>6</v>
      </c>
      <c r="R31" s="92">
        <f>COUNTIF('Matrix - Detailed'!$C$2:$C$184,Timetable!R2)</f>
        <v>15</v>
      </c>
      <c r="S31" s="92">
        <f>COUNTIF('Matrix - Detailed'!$C$2:$C$184,Timetable!S2)</f>
        <v>8</v>
      </c>
      <c r="T31" s="92"/>
      <c r="U31" s="92"/>
      <c r="V31" s="92"/>
      <c r="W31" s="92"/>
      <c r="X31" s="92"/>
      <c r="Y31" s="92"/>
      <c r="Z31" s="92"/>
      <c r="AA31" s="92"/>
      <c r="AB31" s="92"/>
    </row>
    <row r="32" spans="1:28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1">
    <mergeCell ref="Z2:AB2"/>
  </mergeCells>
  <conditionalFormatting sqref="F29:S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25" right="0.25" top="0.75" bottom="0.75" header="0" footer="0"/>
  <pageSetup paperSize="8" scale="92"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2"/>
  <sheetViews>
    <sheetView workbookViewId="0">
      <pane ySplit="1" topLeftCell="A161" activePane="bottomLeft" state="frozen"/>
      <selection pane="bottomLeft" activeCell="D210" sqref="D210"/>
    </sheetView>
  </sheetViews>
  <sheetFormatPr baseColWidth="10" defaultColWidth="14.453125" defaultRowHeight="15" customHeight="1" x14ac:dyDescent="0.35"/>
  <cols>
    <col min="1" max="1" width="15.26953125" customWidth="1"/>
    <col min="2" max="2" width="12.54296875" customWidth="1"/>
    <col min="3" max="3" width="10.1796875" customWidth="1"/>
    <col min="4" max="4" width="29.54296875" customWidth="1"/>
    <col min="5" max="6" width="12.54296875" customWidth="1"/>
    <col min="7" max="7" width="15.54296875" customWidth="1"/>
    <col min="8" max="8" width="5.7265625" customWidth="1"/>
    <col min="9" max="9" width="12" customWidth="1"/>
    <col min="10" max="10" width="11.7265625" customWidth="1"/>
    <col min="11" max="11" width="7.54296875" customWidth="1"/>
    <col min="12" max="12" width="10.453125" customWidth="1"/>
    <col min="13" max="13" width="10.1796875" customWidth="1"/>
    <col min="14" max="14" width="10.453125" customWidth="1"/>
    <col min="15" max="15" width="10.1796875" customWidth="1"/>
    <col min="16" max="16" width="13.1796875" customWidth="1"/>
    <col min="17" max="17" width="10.453125" customWidth="1"/>
    <col min="18" max="18" width="42.81640625" customWidth="1"/>
    <col min="19" max="19" width="46.453125" customWidth="1"/>
    <col min="20" max="20" width="47.81640625" customWidth="1"/>
    <col min="21" max="21" width="46.81640625" customWidth="1"/>
    <col min="22" max="22" width="55.453125" customWidth="1"/>
    <col min="23" max="23" width="47.81640625" customWidth="1"/>
    <col min="24" max="24" width="28.453125" customWidth="1"/>
    <col min="25" max="25" width="18.54296875" customWidth="1"/>
    <col min="26" max="26" width="105.1796875" customWidth="1"/>
    <col min="27" max="27" width="72.453125" customWidth="1"/>
  </cols>
  <sheetData>
    <row r="1" spans="1:27" ht="14.25" customHeight="1" x14ac:dyDescent="0.35">
      <c r="A1" s="10" t="s">
        <v>87</v>
      </c>
      <c r="B1" s="10" t="s">
        <v>88</v>
      </c>
      <c r="C1" s="10" t="s">
        <v>89</v>
      </c>
      <c r="D1" s="10" t="s">
        <v>0</v>
      </c>
      <c r="E1" s="10" t="s">
        <v>90</v>
      </c>
      <c r="F1" s="10" t="s">
        <v>91</v>
      </c>
      <c r="G1" s="10" t="s">
        <v>53</v>
      </c>
      <c r="H1" s="10" t="s">
        <v>3</v>
      </c>
      <c r="I1" s="10" t="s">
        <v>92</v>
      </c>
      <c r="J1" s="10" t="s">
        <v>93</v>
      </c>
      <c r="K1" s="10" t="s">
        <v>39</v>
      </c>
      <c r="L1" s="10" t="s">
        <v>94</v>
      </c>
      <c r="M1" s="10" t="s">
        <v>95</v>
      </c>
      <c r="N1" s="10" t="s">
        <v>96</v>
      </c>
      <c r="O1" s="10" t="s">
        <v>97</v>
      </c>
      <c r="P1" s="10" t="s">
        <v>98</v>
      </c>
      <c r="Q1" s="10" t="s">
        <v>99</v>
      </c>
      <c r="R1" s="10" t="s">
        <v>100</v>
      </c>
      <c r="S1" s="10" t="s">
        <v>101</v>
      </c>
      <c r="T1" s="10" t="s">
        <v>102</v>
      </c>
      <c r="U1" s="10" t="s">
        <v>103</v>
      </c>
      <c r="V1" s="10" t="s">
        <v>104</v>
      </c>
      <c r="W1" s="10" t="s">
        <v>105</v>
      </c>
      <c r="X1" s="10" t="s">
        <v>106</v>
      </c>
      <c r="Y1" s="10" t="s">
        <v>107</v>
      </c>
      <c r="Z1" s="10" t="s">
        <v>109</v>
      </c>
      <c r="AA1" s="10" t="s">
        <v>110</v>
      </c>
    </row>
    <row r="2" spans="1:27" ht="14.25" customHeight="1" x14ac:dyDescent="0.35">
      <c r="A2" s="61">
        <v>1</v>
      </c>
      <c r="B2">
        <v>1</v>
      </c>
      <c r="C2">
        <v>1</v>
      </c>
      <c r="D2" t="s">
        <v>111</v>
      </c>
      <c r="E2">
        <v>1</v>
      </c>
      <c r="G2">
        <v>3</v>
      </c>
      <c r="H2" t="s">
        <v>26</v>
      </c>
      <c r="I2" t="s">
        <v>58</v>
      </c>
      <c r="J2" t="str">
        <f>LOOKUP(I2,'Flight Test Matrix - Overview'!$V$34:$V$36,'Flight Test Matrix - Overview'!$X$25:$X$27)</f>
        <v>6500 ft</v>
      </c>
      <c r="K2" t="s">
        <v>62</v>
      </c>
      <c r="L2" t="s">
        <v>68</v>
      </c>
      <c r="M2">
        <f>LOOKUP(L2,'Flight Test Matrix - Overview'!$M$34:$M$36,'Flight Test Matrix - Overview'!$O$34:$O$36)</f>
        <v>70</v>
      </c>
      <c r="N2" t="s">
        <v>58</v>
      </c>
      <c r="O2" t="str">
        <f>LOOKUP(N2,'Flight Test Matrix - Overview'!$Q$34:$Q$36,'Flight Test Matrix - Overview'!$S$34:$S$36)</f>
        <v>fly level</v>
      </c>
      <c r="P2" t="s">
        <v>114</v>
      </c>
      <c r="Q2" t="s">
        <v>115</v>
      </c>
      <c r="R2" t="s">
        <v>116</v>
      </c>
      <c r="S2" t="str">
        <f t="shared" ref="S2:S54" si="0">"Short " &amp; P2 &amp; "-pulse on elevator, AOA change ~±3°"</f>
        <v>Short PUSH-PULL-pulse on elevator, AOA change ~±3°</v>
      </c>
      <c r="T2" t="s">
        <v>118</v>
      </c>
      <c r="U2" t="s">
        <v>119</v>
      </c>
      <c r="V2" t="s">
        <v>31</v>
      </c>
      <c r="W2" t="s">
        <v>31</v>
      </c>
      <c r="X2" t="s">
        <v>31</v>
      </c>
      <c r="Y2" t="s">
        <v>120</v>
      </c>
      <c r="Z2" t="s">
        <v>121</v>
      </c>
      <c r="AA2" t="s">
        <v>122</v>
      </c>
    </row>
    <row r="3" spans="1:27" ht="14.25" customHeight="1" x14ac:dyDescent="0.35">
      <c r="A3" s="61">
        <v>2</v>
      </c>
      <c r="B3">
        <v>2</v>
      </c>
      <c r="C3">
        <v>1</v>
      </c>
      <c r="D3" t="s">
        <v>111</v>
      </c>
      <c r="E3">
        <v>1</v>
      </c>
      <c r="G3">
        <v>3</v>
      </c>
      <c r="H3" t="s">
        <v>26</v>
      </c>
      <c r="I3" t="s">
        <v>58</v>
      </c>
      <c r="J3" t="str">
        <f>LOOKUP(I3,'Flight Test Matrix - Overview'!$V$34:$V$36,'Flight Test Matrix - Overview'!$X$25:$X$27)</f>
        <v>6500 ft</v>
      </c>
      <c r="K3" t="s">
        <v>62</v>
      </c>
      <c r="L3" t="s">
        <v>68</v>
      </c>
      <c r="M3">
        <f>LOOKUP(L3,'Flight Test Matrix - Overview'!$M$34:$M$36,'Flight Test Matrix - Overview'!$O$34:$O$36)</f>
        <v>70</v>
      </c>
      <c r="N3" t="s">
        <v>58</v>
      </c>
      <c r="O3" t="str">
        <f>LOOKUP(N3,'Flight Test Matrix - Overview'!$Q$34:$Q$36,'Flight Test Matrix - Overview'!$S$34:$S$36)</f>
        <v>fly level</v>
      </c>
      <c r="P3" t="s">
        <v>114</v>
      </c>
      <c r="Q3" t="s">
        <v>115</v>
      </c>
      <c r="R3" t="s">
        <v>116</v>
      </c>
      <c r="S3" t="str">
        <f t="shared" si="0"/>
        <v>Short PUSH-PULL-pulse on elevator, AOA change ~±3°</v>
      </c>
      <c r="T3" t="s">
        <v>118</v>
      </c>
      <c r="U3" t="s">
        <v>119</v>
      </c>
      <c r="V3" t="s">
        <v>31</v>
      </c>
      <c r="W3" t="s">
        <v>31</v>
      </c>
      <c r="X3" t="s">
        <v>31</v>
      </c>
      <c r="Y3" t="s">
        <v>120</v>
      </c>
      <c r="Z3" t="s">
        <v>121</v>
      </c>
      <c r="AA3" t="s">
        <v>122</v>
      </c>
    </row>
    <row r="4" spans="1:27" ht="14.25" customHeight="1" x14ac:dyDescent="0.35">
      <c r="A4" s="61">
        <v>3</v>
      </c>
      <c r="B4">
        <v>3</v>
      </c>
      <c r="C4">
        <v>1</v>
      </c>
      <c r="D4" t="s">
        <v>111</v>
      </c>
      <c r="E4">
        <v>1</v>
      </c>
      <c r="G4">
        <v>3</v>
      </c>
      <c r="H4" t="s">
        <v>26</v>
      </c>
      <c r="I4" t="s">
        <v>58</v>
      </c>
      <c r="J4" t="str">
        <f>LOOKUP(I4,'Flight Test Matrix - Overview'!$V$34:$V$36,'Flight Test Matrix - Overview'!$X$25:$X$27)</f>
        <v>6500 ft</v>
      </c>
      <c r="K4" t="s">
        <v>62</v>
      </c>
      <c r="L4" t="s">
        <v>68</v>
      </c>
      <c r="M4">
        <f>LOOKUP(L4,'Flight Test Matrix - Overview'!$M$34:$M$36,'Flight Test Matrix - Overview'!$O$34:$O$36)</f>
        <v>70</v>
      </c>
      <c r="N4" t="s">
        <v>58</v>
      </c>
      <c r="O4" t="str">
        <f>LOOKUP(N4,'Flight Test Matrix - Overview'!$Q$34:$Q$36,'Flight Test Matrix - Overview'!$S$34:$S$36)</f>
        <v>fly level</v>
      </c>
      <c r="P4" t="s">
        <v>125</v>
      </c>
      <c r="Q4" t="s">
        <v>115</v>
      </c>
      <c r="R4" t="s">
        <v>116</v>
      </c>
      <c r="S4" t="str">
        <f t="shared" si="0"/>
        <v>Short PULL-PUSH-pulse on elevator, AOA change ~±3°</v>
      </c>
      <c r="T4" t="s">
        <v>118</v>
      </c>
      <c r="U4" t="s">
        <v>119</v>
      </c>
      <c r="V4" t="s">
        <v>31</v>
      </c>
      <c r="W4" t="s">
        <v>31</v>
      </c>
      <c r="X4" t="s">
        <v>31</v>
      </c>
      <c r="Y4" t="s">
        <v>120</v>
      </c>
      <c r="Z4" t="s">
        <v>121</v>
      </c>
      <c r="AA4" t="s">
        <v>122</v>
      </c>
    </row>
    <row r="5" spans="1:27" ht="14.25" customHeight="1" x14ac:dyDescent="0.35">
      <c r="A5" s="61">
        <v>4</v>
      </c>
      <c r="B5">
        <v>4</v>
      </c>
      <c r="C5">
        <v>3</v>
      </c>
      <c r="D5" t="s">
        <v>111</v>
      </c>
      <c r="E5">
        <v>0</v>
      </c>
      <c r="G5">
        <v>3</v>
      </c>
      <c r="H5" t="s">
        <v>26</v>
      </c>
      <c r="I5" t="s">
        <v>58</v>
      </c>
      <c r="J5" t="str">
        <f>LOOKUP(I5,'Flight Test Matrix - Overview'!$V$34:$V$36,'Flight Test Matrix - Overview'!$X$25:$X$27)</f>
        <v>6500 ft</v>
      </c>
      <c r="K5" t="s">
        <v>62</v>
      </c>
      <c r="L5" t="s">
        <v>68</v>
      </c>
      <c r="M5">
        <f>LOOKUP(L5,'Flight Test Matrix - Overview'!$M$34:$M$36,'Flight Test Matrix - Overview'!$O$34:$O$36)</f>
        <v>70</v>
      </c>
      <c r="N5" t="s">
        <v>58</v>
      </c>
      <c r="O5" t="str">
        <f>LOOKUP(N5,'Flight Test Matrix - Overview'!$Q$34:$Q$36,'Flight Test Matrix - Overview'!$S$34:$S$36)</f>
        <v>fly level</v>
      </c>
      <c r="P5" t="s">
        <v>125</v>
      </c>
      <c r="Q5" t="s">
        <v>115</v>
      </c>
      <c r="R5" t="s">
        <v>116</v>
      </c>
      <c r="S5" t="str">
        <f t="shared" si="0"/>
        <v>Short PULL-PUSH-pulse on elevator, AOA change ~±3°</v>
      </c>
      <c r="T5" t="s">
        <v>118</v>
      </c>
      <c r="U5" t="s">
        <v>119</v>
      </c>
      <c r="V5" t="s">
        <v>31</v>
      </c>
      <c r="W5" t="s">
        <v>31</v>
      </c>
      <c r="X5" t="s">
        <v>31</v>
      </c>
      <c r="Y5" t="s">
        <v>120</v>
      </c>
      <c r="Z5" t="s">
        <v>121</v>
      </c>
      <c r="AA5" t="s">
        <v>122</v>
      </c>
    </row>
    <row r="6" spans="1:27" ht="14.25" customHeight="1" x14ac:dyDescent="0.35">
      <c r="A6" s="61">
        <v>5</v>
      </c>
      <c r="B6">
        <v>5</v>
      </c>
      <c r="C6">
        <v>3</v>
      </c>
      <c r="D6" t="s">
        <v>111</v>
      </c>
      <c r="E6">
        <v>1</v>
      </c>
      <c r="F6">
        <v>0.5</v>
      </c>
      <c r="G6">
        <v>3</v>
      </c>
      <c r="H6" t="s">
        <v>26</v>
      </c>
      <c r="I6" t="s">
        <v>58</v>
      </c>
      <c r="J6" t="str">
        <f>LOOKUP(I6,'Flight Test Matrix - Overview'!$V$34:$V$36,'Flight Test Matrix - Overview'!$X$25:$X$27)</f>
        <v>6500 ft</v>
      </c>
      <c r="K6" t="s">
        <v>62</v>
      </c>
      <c r="L6" t="s">
        <v>58</v>
      </c>
      <c r="M6">
        <f>LOOKUP(L6,'Flight Test Matrix - Overview'!$M$34:$M$36,'Flight Test Matrix - Overview'!$O$34:$O$36)</f>
        <v>80</v>
      </c>
      <c r="N6" t="s">
        <v>58</v>
      </c>
      <c r="O6" t="str">
        <f>LOOKUP(N6,'Flight Test Matrix - Overview'!$Q$34:$Q$36,'Flight Test Matrix - Overview'!$S$34:$S$36)</f>
        <v>fly level</v>
      </c>
      <c r="P6" t="s">
        <v>114</v>
      </c>
      <c r="Q6" t="s">
        <v>115</v>
      </c>
      <c r="R6" t="s">
        <v>116</v>
      </c>
      <c r="S6" t="str">
        <f t="shared" si="0"/>
        <v>Short PUSH-PULL-pulse on elevator, AOA change ~±3°</v>
      </c>
      <c r="T6" t="s">
        <v>118</v>
      </c>
      <c r="U6" t="s">
        <v>119</v>
      </c>
      <c r="V6" t="s">
        <v>31</v>
      </c>
      <c r="W6" t="s">
        <v>31</v>
      </c>
      <c r="X6" t="s">
        <v>31</v>
      </c>
      <c r="Y6" t="s">
        <v>120</v>
      </c>
      <c r="Z6" t="s">
        <v>121</v>
      </c>
      <c r="AA6" t="s">
        <v>122</v>
      </c>
    </row>
    <row r="7" spans="1:27" ht="14.25" customHeight="1" x14ac:dyDescent="0.35">
      <c r="A7" s="61">
        <v>6</v>
      </c>
      <c r="B7">
        <v>6</v>
      </c>
      <c r="C7">
        <v>5</v>
      </c>
      <c r="D7" t="s">
        <v>111</v>
      </c>
      <c r="E7">
        <v>0</v>
      </c>
      <c r="G7">
        <v>3</v>
      </c>
      <c r="H7" t="s">
        <v>26</v>
      </c>
      <c r="I7" t="s">
        <v>58</v>
      </c>
      <c r="J7" t="str">
        <f>LOOKUP(I7,'Flight Test Matrix - Overview'!$V$34:$V$36,'Flight Test Matrix - Overview'!$X$25:$X$27)</f>
        <v>6500 ft</v>
      </c>
      <c r="K7" t="s">
        <v>62</v>
      </c>
      <c r="L7" t="s">
        <v>58</v>
      </c>
      <c r="M7">
        <f>LOOKUP(L7,'Flight Test Matrix - Overview'!$M$34:$M$36,'Flight Test Matrix - Overview'!$O$34:$O$36)</f>
        <v>80</v>
      </c>
      <c r="N7" t="s">
        <v>58</v>
      </c>
      <c r="O7" t="str">
        <f>LOOKUP(N7,'Flight Test Matrix - Overview'!$Q$34:$Q$36,'Flight Test Matrix - Overview'!$S$34:$S$36)</f>
        <v>fly level</v>
      </c>
      <c r="P7" t="s">
        <v>114</v>
      </c>
      <c r="Q7" t="s">
        <v>115</v>
      </c>
      <c r="R7" t="s">
        <v>116</v>
      </c>
      <c r="S7" t="str">
        <f t="shared" si="0"/>
        <v>Short PUSH-PULL-pulse on elevator, AOA change ~±3°</v>
      </c>
      <c r="T7" t="s">
        <v>118</v>
      </c>
      <c r="U7" t="s">
        <v>119</v>
      </c>
      <c r="V7" t="s">
        <v>31</v>
      </c>
      <c r="W7" t="s">
        <v>31</v>
      </c>
      <c r="X7" t="s">
        <v>31</v>
      </c>
      <c r="Y7" t="s">
        <v>120</v>
      </c>
      <c r="Z7" t="s">
        <v>121</v>
      </c>
      <c r="AA7" t="s">
        <v>122</v>
      </c>
    </row>
    <row r="8" spans="1:27" ht="14.25" customHeight="1" x14ac:dyDescent="0.35">
      <c r="A8" s="61">
        <v>7</v>
      </c>
      <c r="B8">
        <v>7</v>
      </c>
      <c r="C8">
        <v>5</v>
      </c>
      <c r="D8" t="s">
        <v>111</v>
      </c>
      <c r="E8">
        <v>0</v>
      </c>
      <c r="G8">
        <v>3</v>
      </c>
      <c r="H8" t="s">
        <v>26</v>
      </c>
      <c r="I8" t="s">
        <v>58</v>
      </c>
      <c r="J8" t="str">
        <f>LOOKUP(I8,'Flight Test Matrix - Overview'!$V$34:$V$36,'Flight Test Matrix - Overview'!$X$25:$X$27)</f>
        <v>6500 ft</v>
      </c>
      <c r="K8" t="s">
        <v>62</v>
      </c>
      <c r="L8" t="s">
        <v>58</v>
      </c>
      <c r="M8">
        <f>LOOKUP(L8,'Flight Test Matrix - Overview'!$M$34:$M$36,'Flight Test Matrix - Overview'!$O$34:$O$36)</f>
        <v>80</v>
      </c>
      <c r="N8" t="s">
        <v>58</v>
      </c>
      <c r="O8" t="str">
        <f>LOOKUP(N8,'Flight Test Matrix - Overview'!$Q$34:$Q$36,'Flight Test Matrix - Overview'!$S$34:$S$36)</f>
        <v>fly level</v>
      </c>
      <c r="P8" t="s">
        <v>125</v>
      </c>
      <c r="Q8" t="s">
        <v>115</v>
      </c>
      <c r="R8" t="s">
        <v>116</v>
      </c>
      <c r="S8" t="str">
        <f t="shared" si="0"/>
        <v>Short PULL-PUSH-pulse on elevator, AOA change ~±3°</v>
      </c>
      <c r="T8" t="s">
        <v>118</v>
      </c>
      <c r="U8" t="s">
        <v>119</v>
      </c>
      <c r="V8" t="s">
        <v>31</v>
      </c>
      <c r="W8" t="s">
        <v>31</v>
      </c>
      <c r="X8" t="s">
        <v>31</v>
      </c>
      <c r="Y8" t="s">
        <v>120</v>
      </c>
      <c r="Z8" t="s">
        <v>121</v>
      </c>
      <c r="AA8" t="s">
        <v>122</v>
      </c>
    </row>
    <row r="9" spans="1:27" ht="14.25" customHeight="1" x14ac:dyDescent="0.35">
      <c r="A9" s="61">
        <v>8</v>
      </c>
      <c r="B9">
        <v>8</v>
      </c>
      <c r="C9">
        <v>7</v>
      </c>
      <c r="D9" t="s">
        <v>111</v>
      </c>
      <c r="E9">
        <v>1</v>
      </c>
      <c r="G9">
        <v>3</v>
      </c>
      <c r="H9" t="s">
        <v>26</v>
      </c>
      <c r="I9" t="s">
        <v>58</v>
      </c>
      <c r="J9" t="str">
        <f>LOOKUP(I9,'Flight Test Matrix - Overview'!$V$34:$V$36,'Flight Test Matrix - Overview'!$X$25:$X$27)</f>
        <v>6500 ft</v>
      </c>
      <c r="K9" t="s">
        <v>62</v>
      </c>
      <c r="L9" t="s">
        <v>58</v>
      </c>
      <c r="M9">
        <f>LOOKUP(L9,'Flight Test Matrix - Overview'!$M$34:$M$36,'Flight Test Matrix - Overview'!$O$34:$O$36)</f>
        <v>80</v>
      </c>
      <c r="N9" t="s">
        <v>58</v>
      </c>
      <c r="O9" t="str">
        <f>LOOKUP(N9,'Flight Test Matrix - Overview'!$Q$34:$Q$36,'Flight Test Matrix - Overview'!$S$34:$S$36)</f>
        <v>fly level</v>
      </c>
      <c r="P9" t="s">
        <v>125</v>
      </c>
      <c r="Q9" t="s">
        <v>115</v>
      </c>
      <c r="R9" t="s">
        <v>116</v>
      </c>
      <c r="S9" t="str">
        <f t="shared" si="0"/>
        <v>Short PULL-PUSH-pulse on elevator, AOA change ~±3°</v>
      </c>
      <c r="T9" t="s">
        <v>118</v>
      </c>
      <c r="U9" t="s">
        <v>119</v>
      </c>
      <c r="V9" t="s">
        <v>31</v>
      </c>
      <c r="W9" t="s">
        <v>31</v>
      </c>
      <c r="X9" t="s">
        <v>31</v>
      </c>
      <c r="Y9" t="s">
        <v>120</v>
      </c>
      <c r="Z9" t="s">
        <v>121</v>
      </c>
      <c r="AA9" t="s">
        <v>122</v>
      </c>
    </row>
    <row r="10" spans="1:27" ht="14.25" customHeight="1" x14ac:dyDescent="0.35">
      <c r="A10" s="61">
        <v>9</v>
      </c>
      <c r="B10">
        <v>9</v>
      </c>
      <c r="C10">
        <v>7</v>
      </c>
      <c r="D10" t="s">
        <v>111</v>
      </c>
      <c r="E10">
        <v>1</v>
      </c>
      <c r="G10">
        <v>3</v>
      </c>
      <c r="H10" t="s">
        <v>26</v>
      </c>
      <c r="I10" t="s">
        <v>58</v>
      </c>
      <c r="J10" t="str">
        <f>LOOKUP(I10,'Flight Test Matrix - Overview'!$V$34:$V$36,'Flight Test Matrix - Overview'!$X$25:$X$27)</f>
        <v>6500 ft</v>
      </c>
      <c r="K10" t="s">
        <v>62</v>
      </c>
      <c r="L10" t="s">
        <v>70</v>
      </c>
      <c r="M10">
        <f>LOOKUP(L10,'Flight Test Matrix - Overview'!$M$34:$M$36,'Flight Test Matrix - Overview'!$O$34:$O$36)</f>
        <v>95</v>
      </c>
      <c r="N10" t="s">
        <v>58</v>
      </c>
      <c r="O10" t="str">
        <f>LOOKUP(N10,'Flight Test Matrix - Overview'!$Q$34:$Q$36,'Flight Test Matrix - Overview'!$S$34:$S$36)</f>
        <v>fly level</v>
      </c>
      <c r="P10" t="s">
        <v>114</v>
      </c>
      <c r="Q10" t="s">
        <v>115</v>
      </c>
      <c r="R10" t="s">
        <v>116</v>
      </c>
      <c r="S10" t="str">
        <f t="shared" si="0"/>
        <v>Short PUSH-PULL-pulse on elevator, AOA change ~±3°</v>
      </c>
      <c r="T10" t="s">
        <v>118</v>
      </c>
      <c r="U10" t="s">
        <v>119</v>
      </c>
      <c r="V10" t="s">
        <v>31</v>
      </c>
      <c r="W10" t="s">
        <v>31</v>
      </c>
      <c r="X10" t="s">
        <v>31</v>
      </c>
      <c r="Y10" t="s">
        <v>120</v>
      </c>
      <c r="Z10" t="s">
        <v>121</v>
      </c>
      <c r="AA10" t="s">
        <v>122</v>
      </c>
    </row>
    <row r="11" spans="1:27" ht="14.25" customHeight="1" x14ac:dyDescent="0.35">
      <c r="A11" s="61">
        <v>10</v>
      </c>
      <c r="B11">
        <v>10</v>
      </c>
      <c r="C11">
        <v>7</v>
      </c>
      <c r="D11" t="s">
        <v>111</v>
      </c>
      <c r="E11">
        <v>1</v>
      </c>
      <c r="G11">
        <v>3</v>
      </c>
      <c r="H11" t="s">
        <v>26</v>
      </c>
      <c r="I11" t="s">
        <v>58</v>
      </c>
      <c r="J11" t="str">
        <f>LOOKUP(I11,'Flight Test Matrix - Overview'!$V$34:$V$36,'Flight Test Matrix - Overview'!$X$25:$X$27)</f>
        <v>6500 ft</v>
      </c>
      <c r="K11" t="s">
        <v>62</v>
      </c>
      <c r="L11" t="s">
        <v>70</v>
      </c>
      <c r="M11">
        <f>LOOKUP(L11,'Flight Test Matrix - Overview'!$M$34:$M$36,'Flight Test Matrix - Overview'!$O$34:$O$36)</f>
        <v>95</v>
      </c>
      <c r="N11" t="s">
        <v>58</v>
      </c>
      <c r="O11" t="str">
        <f>LOOKUP(N11,'Flight Test Matrix - Overview'!$Q$34:$Q$36,'Flight Test Matrix - Overview'!$S$34:$S$36)</f>
        <v>fly level</v>
      </c>
      <c r="P11" t="s">
        <v>114</v>
      </c>
      <c r="Q11" t="s">
        <v>115</v>
      </c>
      <c r="R11" t="s">
        <v>116</v>
      </c>
      <c r="S11" t="str">
        <f t="shared" si="0"/>
        <v>Short PUSH-PULL-pulse on elevator, AOA change ~±3°</v>
      </c>
      <c r="T11" t="s">
        <v>118</v>
      </c>
      <c r="U11" t="s">
        <v>119</v>
      </c>
      <c r="V11" t="s">
        <v>31</v>
      </c>
      <c r="W11" t="s">
        <v>31</v>
      </c>
      <c r="X11" t="s">
        <v>31</v>
      </c>
      <c r="Y11" t="s">
        <v>120</v>
      </c>
      <c r="Z11" t="s">
        <v>121</v>
      </c>
      <c r="AA11" t="s">
        <v>122</v>
      </c>
    </row>
    <row r="12" spans="1:27" ht="14.25" customHeight="1" x14ac:dyDescent="0.35">
      <c r="A12" s="61">
        <v>11</v>
      </c>
      <c r="B12">
        <v>11</v>
      </c>
      <c r="C12">
        <v>9</v>
      </c>
      <c r="D12" t="s">
        <v>111</v>
      </c>
      <c r="E12">
        <v>1</v>
      </c>
      <c r="G12">
        <v>3</v>
      </c>
      <c r="H12" t="s">
        <v>26</v>
      </c>
      <c r="I12" t="s">
        <v>58</v>
      </c>
      <c r="J12" t="str">
        <f>LOOKUP(I12,'Flight Test Matrix - Overview'!$V$34:$V$36,'Flight Test Matrix - Overview'!$X$25:$X$27)</f>
        <v>6500 ft</v>
      </c>
      <c r="K12" t="s">
        <v>62</v>
      </c>
      <c r="L12" t="s">
        <v>70</v>
      </c>
      <c r="M12">
        <f>LOOKUP(L12,'Flight Test Matrix - Overview'!$M$34:$M$36,'Flight Test Matrix - Overview'!$O$34:$O$36)</f>
        <v>95</v>
      </c>
      <c r="N12" t="s">
        <v>58</v>
      </c>
      <c r="O12" t="str">
        <f>LOOKUP(N12,'Flight Test Matrix - Overview'!$Q$34:$Q$36,'Flight Test Matrix - Overview'!$S$34:$S$36)</f>
        <v>fly level</v>
      </c>
      <c r="P12" t="s">
        <v>125</v>
      </c>
      <c r="Q12" t="s">
        <v>115</v>
      </c>
      <c r="R12" t="s">
        <v>116</v>
      </c>
      <c r="S12" t="str">
        <f t="shared" si="0"/>
        <v>Short PULL-PUSH-pulse on elevator, AOA change ~±3°</v>
      </c>
      <c r="T12" t="s">
        <v>118</v>
      </c>
      <c r="U12" t="s">
        <v>119</v>
      </c>
      <c r="V12" t="s">
        <v>31</v>
      </c>
      <c r="W12" t="s">
        <v>31</v>
      </c>
      <c r="X12" t="s">
        <v>31</v>
      </c>
      <c r="Y12" t="s">
        <v>120</v>
      </c>
      <c r="Z12" t="s">
        <v>121</v>
      </c>
      <c r="AA12" t="s">
        <v>122</v>
      </c>
    </row>
    <row r="13" spans="1:27" ht="14.25" customHeight="1" x14ac:dyDescent="0.35">
      <c r="A13" s="61">
        <v>12</v>
      </c>
      <c r="B13">
        <v>12</v>
      </c>
      <c r="C13">
        <v>9</v>
      </c>
      <c r="D13" t="s">
        <v>111</v>
      </c>
      <c r="E13">
        <v>1</v>
      </c>
      <c r="G13">
        <v>3</v>
      </c>
      <c r="H13" t="s">
        <v>26</v>
      </c>
      <c r="I13" t="s">
        <v>58</v>
      </c>
      <c r="J13" t="str">
        <f>LOOKUP(I13,'Flight Test Matrix - Overview'!$V$34:$V$36,'Flight Test Matrix - Overview'!$X$25:$X$27)</f>
        <v>6500 ft</v>
      </c>
      <c r="K13" t="s">
        <v>62</v>
      </c>
      <c r="L13" t="s">
        <v>70</v>
      </c>
      <c r="M13">
        <f>LOOKUP(L13,'Flight Test Matrix - Overview'!$M$34:$M$36,'Flight Test Matrix - Overview'!$O$34:$O$36)</f>
        <v>95</v>
      </c>
      <c r="N13" t="s">
        <v>58</v>
      </c>
      <c r="O13" t="str">
        <f>LOOKUP(N13,'Flight Test Matrix - Overview'!$Q$34:$Q$36,'Flight Test Matrix - Overview'!$S$34:$S$36)</f>
        <v>fly level</v>
      </c>
      <c r="P13" t="s">
        <v>125</v>
      </c>
      <c r="Q13" t="s">
        <v>115</v>
      </c>
      <c r="R13" t="s">
        <v>116</v>
      </c>
      <c r="S13" t="str">
        <f t="shared" si="0"/>
        <v>Short PULL-PUSH-pulse on elevator, AOA change ~±3°</v>
      </c>
      <c r="T13" t="s">
        <v>118</v>
      </c>
      <c r="U13" t="s">
        <v>119</v>
      </c>
      <c r="V13" t="s">
        <v>31</v>
      </c>
      <c r="W13" t="s">
        <v>31</v>
      </c>
      <c r="X13" t="s">
        <v>31</v>
      </c>
      <c r="Y13" t="s">
        <v>120</v>
      </c>
      <c r="Z13" t="s">
        <v>121</v>
      </c>
      <c r="AA13" t="s">
        <v>122</v>
      </c>
    </row>
    <row r="14" spans="1:27" ht="14.25" customHeight="1" x14ac:dyDescent="0.35">
      <c r="A14" s="61">
        <v>13</v>
      </c>
      <c r="B14">
        <v>13</v>
      </c>
      <c r="C14">
        <v>9</v>
      </c>
      <c r="D14" t="s">
        <v>111</v>
      </c>
      <c r="E14">
        <v>1</v>
      </c>
      <c r="G14">
        <v>3</v>
      </c>
      <c r="H14" t="s">
        <v>26</v>
      </c>
      <c r="I14" t="s">
        <v>70</v>
      </c>
      <c r="J14" t="str">
        <f>LOOKUP(I14,'Flight Test Matrix - Overview'!$V$34:$V$36,'Flight Test Matrix - Overview'!$X$25:$X$27)</f>
        <v>3500 ft</v>
      </c>
      <c r="K14" t="s">
        <v>62</v>
      </c>
      <c r="L14" t="s">
        <v>68</v>
      </c>
      <c r="M14">
        <f>LOOKUP(L14,'Flight Test Matrix - Overview'!$M$34:$M$36,'Flight Test Matrix - Overview'!$O$34:$O$36)</f>
        <v>70</v>
      </c>
      <c r="N14" t="s">
        <v>58</v>
      </c>
      <c r="O14" t="str">
        <f>LOOKUP(N14,'Flight Test Matrix - Overview'!$Q$34:$Q$36,'Flight Test Matrix - Overview'!$S$34:$S$36)</f>
        <v>fly level</v>
      </c>
      <c r="P14" t="s">
        <v>114</v>
      </c>
      <c r="Q14" t="s">
        <v>115</v>
      </c>
      <c r="R14" t="s">
        <v>116</v>
      </c>
      <c r="S14" t="str">
        <f t="shared" si="0"/>
        <v>Short PUSH-PULL-pulse on elevator, AOA change ~±3°</v>
      </c>
      <c r="T14" t="s">
        <v>118</v>
      </c>
      <c r="U14" t="s">
        <v>119</v>
      </c>
      <c r="V14" t="s">
        <v>31</v>
      </c>
      <c r="W14" t="s">
        <v>31</v>
      </c>
      <c r="X14" t="s">
        <v>31</v>
      </c>
      <c r="Y14" t="s">
        <v>120</v>
      </c>
      <c r="Z14" t="s">
        <v>121</v>
      </c>
      <c r="AA14" t="s">
        <v>122</v>
      </c>
    </row>
    <row r="15" spans="1:27" ht="14.25" customHeight="1" x14ac:dyDescent="0.35">
      <c r="A15" s="61">
        <v>14</v>
      </c>
      <c r="B15">
        <v>14</v>
      </c>
      <c r="C15">
        <v>11</v>
      </c>
      <c r="D15" t="s">
        <v>111</v>
      </c>
      <c r="E15">
        <v>1</v>
      </c>
      <c r="G15">
        <v>3</v>
      </c>
      <c r="H15" t="s">
        <v>26</v>
      </c>
      <c r="I15" t="s">
        <v>70</v>
      </c>
      <c r="J15" t="str">
        <f>LOOKUP(I15,'Flight Test Matrix - Overview'!$V$34:$V$36,'Flight Test Matrix - Overview'!$X$25:$X$27)</f>
        <v>3500 ft</v>
      </c>
      <c r="K15" t="s">
        <v>62</v>
      </c>
      <c r="L15" t="s">
        <v>68</v>
      </c>
      <c r="M15">
        <f>LOOKUP(L15,'Flight Test Matrix - Overview'!$M$34:$M$36,'Flight Test Matrix - Overview'!$O$34:$O$36)</f>
        <v>70</v>
      </c>
      <c r="N15" t="s">
        <v>58</v>
      </c>
      <c r="O15" t="str">
        <f>LOOKUP(N15,'Flight Test Matrix - Overview'!$Q$34:$Q$36,'Flight Test Matrix - Overview'!$S$34:$S$36)</f>
        <v>fly level</v>
      </c>
      <c r="P15" t="s">
        <v>114</v>
      </c>
      <c r="Q15" t="s">
        <v>115</v>
      </c>
      <c r="R15" t="s">
        <v>116</v>
      </c>
      <c r="S15" t="str">
        <f t="shared" si="0"/>
        <v>Short PUSH-PULL-pulse on elevator, AOA change ~±3°</v>
      </c>
      <c r="T15" t="s">
        <v>118</v>
      </c>
      <c r="U15" t="s">
        <v>119</v>
      </c>
      <c r="V15" t="s">
        <v>31</v>
      </c>
      <c r="W15" t="s">
        <v>31</v>
      </c>
      <c r="X15" t="s">
        <v>31</v>
      </c>
      <c r="Y15" t="s">
        <v>120</v>
      </c>
      <c r="Z15" t="s">
        <v>121</v>
      </c>
      <c r="AA15" t="s">
        <v>122</v>
      </c>
    </row>
    <row r="16" spans="1:27" ht="14.25" customHeight="1" x14ac:dyDescent="0.35">
      <c r="A16" s="61">
        <v>15</v>
      </c>
      <c r="B16">
        <v>15</v>
      </c>
      <c r="C16">
        <v>11</v>
      </c>
      <c r="D16" t="s">
        <v>111</v>
      </c>
      <c r="E16">
        <v>1</v>
      </c>
      <c r="G16">
        <v>3</v>
      </c>
      <c r="H16" t="s">
        <v>26</v>
      </c>
      <c r="I16" t="s">
        <v>70</v>
      </c>
      <c r="J16" t="str">
        <f>LOOKUP(I16,'Flight Test Matrix - Overview'!$V$34:$V$36,'Flight Test Matrix - Overview'!$X$25:$X$27)</f>
        <v>3500 ft</v>
      </c>
      <c r="K16" t="s">
        <v>62</v>
      </c>
      <c r="L16" t="s">
        <v>68</v>
      </c>
      <c r="M16">
        <f>LOOKUP(L16,'Flight Test Matrix - Overview'!$M$34:$M$36,'Flight Test Matrix - Overview'!$O$34:$O$36)</f>
        <v>70</v>
      </c>
      <c r="N16" t="s">
        <v>58</v>
      </c>
      <c r="O16" t="str">
        <f>LOOKUP(N16,'Flight Test Matrix - Overview'!$Q$34:$Q$36,'Flight Test Matrix - Overview'!$S$34:$S$36)</f>
        <v>fly level</v>
      </c>
      <c r="P16" t="s">
        <v>125</v>
      </c>
      <c r="Q16" t="s">
        <v>115</v>
      </c>
      <c r="R16" t="s">
        <v>116</v>
      </c>
      <c r="S16" t="str">
        <f t="shared" si="0"/>
        <v>Short PULL-PUSH-pulse on elevator, AOA change ~±3°</v>
      </c>
      <c r="T16" t="s">
        <v>118</v>
      </c>
      <c r="U16" t="s">
        <v>119</v>
      </c>
      <c r="V16" t="s">
        <v>31</v>
      </c>
      <c r="W16" t="s">
        <v>31</v>
      </c>
      <c r="X16" t="s">
        <v>31</v>
      </c>
      <c r="Y16" t="s">
        <v>120</v>
      </c>
      <c r="Z16" t="s">
        <v>121</v>
      </c>
      <c r="AA16" t="s">
        <v>122</v>
      </c>
    </row>
    <row r="17" spans="1:27" ht="14.25" customHeight="1" x14ac:dyDescent="0.35">
      <c r="A17" s="61">
        <v>16</v>
      </c>
      <c r="B17">
        <v>16</v>
      </c>
      <c r="C17" s="7">
        <v>11</v>
      </c>
      <c r="D17" t="s">
        <v>111</v>
      </c>
      <c r="E17">
        <v>1</v>
      </c>
      <c r="G17">
        <v>3</v>
      </c>
      <c r="H17" t="s">
        <v>26</v>
      </c>
      <c r="I17" t="s">
        <v>70</v>
      </c>
      <c r="J17" t="str">
        <f>LOOKUP(I17,'Flight Test Matrix - Overview'!$V$34:$V$36,'Flight Test Matrix - Overview'!$X$25:$X$27)</f>
        <v>3500 ft</v>
      </c>
      <c r="K17" t="s">
        <v>62</v>
      </c>
      <c r="L17" t="s">
        <v>68</v>
      </c>
      <c r="M17">
        <f>LOOKUP(L17,'Flight Test Matrix - Overview'!$M$34:$M$36,'Flight Test Matrix - Overview'!$O$34:$O$36)</f>
        <v>70</v>
      </c>
      <c r="N17" t="s">
        <v>58</v>
      </c>
      <c r="O17" t="str">
        <f>LOOKUP(N17,'Flight Test Matrix - Overview'!$Q$34:$Q$36,'Flight Test Matrix - Overview'!$S$34:$S$36)</f>
        <v>fly level</v>
      </c>
      <c r="P17" t="s">
        <v>125</v>
      </c>
      <c r="Q17" t="s">
        <v>115</v>
      </c>
      <c r="R17" t="s">
        <v>116</v>
      </c>
      <c r="S17" t="str">
        <f t="shared" si="0"/>
        <v>Short PULL-PUSH-pulse on elevator, AOA change ~±3°</v>
      </c>
      <c r="T17" t="s">
        <v>118</v>
      </c>
      <c r="U17" t="s">
        <v>119</v>
      </c>
      <c r="V17" t="s">
        <v>31</v>
      </c>
      <c r="W17" t="s">
        <v>31</v>
      </c>
      <c r="X17" t="s">
        <v>31</v>
      </c>
      <c r="Y17" t="s">
        <v>120</v>
      </c>
      <c r="Z17" t="s">
        <v>121</v>
      </c>
      <c r="AA17" t="s">
        <v>122</v>
      </c>
    </row>
    <row r="18" spans="1:27" ht="14.25" customHeight="1" x14ac:dyDescent="0.35">
      <c r="A18" s="61">
        <v>17</v>
      </c>
      <c r="B18">
        <v>17</v>
      </c>
      <c r="C18" s="7">
        <v>13</v>
      </c>
      <c r="D18" t="s">
        <v>111</v>
      </c>
      <c r="E18">
        <v>1</v>
      </c>
      <c r="G18">
        <v>3</v>
      </c>
      <c r="H18" t="s">
        <v>26</v>
      </c>
      <c r="I18" t="s">
        <v>70</v>
      </c>
      <c r="J18" t="str">
        <f>LOOKUP(I18,'Flight Test Matrix - Overview'!$V$34:$V$36,'Flight Test Matrix - Overview'!$X$25:$X$27)</f>
        <v>3500 ft</v>
      </c>
      <c r="K18" t="s">
        <v>62</v>
      </c>
      <c r="L18" t="s">
        <v>58</v>
      </c>
      <c r="M18">
        <f>LOOKUP(L18,'Flight Test Matrix - Overview'!$M$34:$M$36,'Flight Test Matrix - Overview'!$O$34:$O$36)</f>
        <v>80</v>
      </c>
      <c r="N18" t="s">
        <v>58</v>
      </c>
      <c r="O18" t="str">
        <f>LOOKUP(N18,'Flight Test Matrix - Overview'!$Q$34:$Q$36,'Flight Test Matrix - Overview'!$S$34:$S$36)</f>
        <v>fly level</v>
      </c>
      <c r="P18" t="s">
        <v>114</v>
      </c>
      <c r="Q18" t="s">
        <v>115</v>
      </c>
      <c r="R18" t="s">
        <v>116</v>
      </c>
      <c r="S18" t="str">
        <f t="shared" si="0"/>
        <v>Short PUSH-PULL-pulse on elevator, AOA change ~±3°</v>
      </c>
      <c r="T18" t="s">
        <v>118</v>
      </c>
      <c r="U18" t="s">
        <v>119</v>
      </c>
      <c r="V18" t="s">
        <v>31</v>
      </c>
      <c r="W18" t="s">
        <v>31</v>
      </c>
      <c r="X18" t="s">
        <v>31</v>
      </c>
      <c r="Y18" t="s">
        <v>120</v>
      </c>
      <c r="Z18" t="s">
        <v>121</v>
      </c>
      <c r="AA18" t="s">
        <v>122</v>
      </c>
    </row>
    <row r="19" spans="1:27" ht="14.25" customHeight="1" x14ac:dyDescent="0.35">
      <c r="A19" s="61">
        <v>18</v>
      </c>
      <c r="B19">
        <v>18</v>
      </c>
      <c r="C19" s="7">
        <v>13</v>
      </c>
      <c r="D19" t="s">
        <v>111</v>
      </c>
      <c r="E19">
        <v>1</v>
      </c>
      <c r="G19">
        <v>3</v>
      </c>
      <c r="H19" t="s">
        <v>26</v>
      </c>
      <c r="I19" t="s">
        <v>70</v>
      </c>
      <c r="J19" t="str">
        <f>LOOKUP(I19,'Flight Test Matrix - Overview'!$V$34:$V$36,'Flight Test Matrix - Overview'!$X$25:$X$27)</f>
        <v>3500 ft</v>
      </c>
      <c r="K19" t="s">
        <v>62</v>
      </c>
      <c r="L19" t="s">
        <v>58</v>
      </c>
      <c r="M19">
        <f>LOOKUP(L19,'Flight Test Matrix - Overview'!$M$34:$M$36,'Flight Test Matrix - Overview'!$O$34:$O$36)</f>
        <v>80</v>
      </c>
      <c r="N19" t="s">
        <v>58</v>
      </c>
      <c r="O19" t="str">
        <f>LOOKUP(N19,'Flight Test Matrix - Overview'!$Q$34:$Q$36,'Flight Test Matrix - Overview'!$S$34:$S$36)</f>
        <v>fly level</v>
      </c>
      <c r="P19" t="s">
        <v>114</v>
      </c>
      <c r="Q19" t="s">
        <v>115</v>
      </c>
      <c r="R19" t="s">
        <v>116</v>
      </c>
      <c r="S19" t="str">
        <f t="shared" si="0"/>
        <v>Short PUSH-PULL-pulse on elevator, AOA change ~±3°</v>
      </c>
      <c r="T19" t="s">
        <v>118</v>
      </c>
      <c r="U19" t="s">
        <v>119</v>
      </c>
      <c r="V19" t="s">
        <v>31</v>
      </c>
      <c r="W19" t="s">
        <v>31</v>
      </c>
      <c r="X19" t="s">
        <v>31</v>
      </c>
      <c r="Y19" t="s">
        <v>120</v>
      </c>
      <c r="Z19" t="s">
        <v>121</v>
      </c>
      <c r="AA19" t="s">
        <v>122</v>
      </c>
    </row>
    <row r="20" spans="1:27" ht="14.25" customHeight="1" x14ac:dyDescent="0.35">
      <c r="A20" s="61">
        <v>19</v>
      </c>
      <c r="B20">
        <v>19</v>
      </c>
      <c r="C20" s="7">
        <v>13</v>
      </c>
      <c r="D20" t="s">
        <v>111</v>
      </c>
      <c r="E20">
        <v>1</v>
      </c>
      <c r="G20">
        <v>3</v>
      </c>
      <c r="H20" t="s">
        <v>26</v>
      </c>
      <c r="I20" t="s">
        <v>70</v>
      </c>
      <c r="J20" t="str">
        <f>LOOKUP(I20,'Flight Test Matrix - Overview'!$V$34:$V$36,'Flight Test Matrix - Overview'!$X$25:$X$27)</f>
        <v>3500 ft</v>
      </c>
      <c r="K20" t="s">
        <v>62</v>
      </c>
      <c r="L20" t="s">
        <v>58</v>
      </c>
      <c r="M20">
        <f>LOOKUP(L20,'Flight Test Matrix - Overview'!$M$34:$M$36,'Flight Test Matrix - Overview'!$O$34:$O$36)</f>
        <v>80</v>
      </c>
      <c r="N20" t="s">
        <v>58</v>
      </c>
      <c r="O20" t="str">
        <f>LOOKUP(N20,'Flight Test Matrix - Overview'!$Q$34:$Q$36,'Flight Test Matrix - Overview'!$S$34:$S$36)</f>
        <v>fly level</v>
      </c>
      <c r="P20" t="s">
        <v>125</v>
      </c>
      <c r="Q20" t="s">
        <v>115</v>
      </c>
      <c r="R20" t="s">
        <v>116</v>
      </c>
      <c r="S20" t="str">
        <f t="shared" si="0"/>
        <v>Short PULL-PUSH-pulse on elevator, AOA change ~±3°</v>
      </c>
      <c r="T20" t="s">
        <v>118</v>
      </c>
      <c r="U20" t="s">
        <v>119</v>
      </c>
      <c r="V20" t="s">
        <v>31</v>
      </c>
      <c r="W20" t="s">
        <v>31</v>
      </c>
      <c r="X20" t="s">
        <v>31</v>
      </c>
      <c r="Y20" t="s">
        <v>120</v>
      </c>
      <c r="Z20" t="s">
        <v>121</v>
      </c>
      <c r="AA20" t="s">
        <v>122</v>
      </c>
    </row>
    <row r="21" spans="1:27" ht="14.25" customHeight="1" x14ac:dyDescent="0.35">
      <c r="A21" s="61">
        <v>20</v>
      </c>
      <c r="B21">
        <v>20</v>
      </c>
      <c r="C21" s="7">
        <v>13</v>
      </c>
      <c r="D21" t="s">
        <v>111</v>
      </c>
      <c r="E21">
        <v>1</v>
      </c>
      <c r="G21">
        <v>3</v>
      </c>
      <c r="H21" t="s">
        <v>26</v>
      </c>
      <c r="I21" t="s">
        <v>70</v>
      </c>
      <c r="J21" t="str">
        <f>LOOKUP(I21,'Flight Test Matrix - Overview'!$V$34:$V$36,'Flight Test Matrix - Overview'!$X$25:$X$27)</f>
        <v>3500 ft</v>
      </c>
      <c r="K21" t="s">
        <v>62</v>
      </c>
      <c r="L21" t="s">
        <v>58</v>
      </c>
      <c r="M21">
        <f>LOOKUP(L21,'Flight Test Matrix - Overview'!$M$34:$M$36,'Flight Test Matrix - Overview'!$O$34:$O$36)</f>
        <v>80</v>
      </c>
      <c r="N21" t="s">
        <v>58</v>
      </c>
      <c r="O21" t="str">
        <f>LOOKUP(N21,'Flight Test Matrix - Overview'!$Q$34:$Q$36,'Flight Test Matrix - Overview'!$S$34:$S$36)</f>
        <v>fly level</v>
      </c>
      <c r="P21" t="s">
        <v>125</v>
      </c>
      <c r="Q21" t="s">
        <v>115</v>
      </c>
      <c r="R21" t="s">
        <v>116</v>
      </c>
      <c r="S21" t="str">
        <f t="shared" si="0"/>
        <v>Short PULL-PUSH-pulse on elevator, AOA change ~±3°</v>
      </c>
      <c r="T21" t="s">
        <v>118</v>
      </c>
      <c r="U21" t="s">
        <v>119</v>
      </c>
      <c r="V21" t="s">
        <v>31</v>
      </c>
      <c r="W21" t="s">
        <v>31</v>
      </c>
      <c r="X21" t="s">
        <v>31</v>
      </c>
      <c r="Y21" t="s">
        <v>120</v>
      </c>
      <c r="Z21" t="s">
        <v>121</v>
      </c>
      <c r="AA21" t="s">
        <v>122</v>
      </c>
    </row>
    <row r="22" spans="1:27" ht="14.25" customHeight="1" x14ac:dyDescent="0.35">
      <c r="A22" s="61">
        <v>21</v>
      </c>
      <c r="B22">
        <v>21</v>
      </c>
      <c r="C22" s="7">
        <v>14</v>
      </c>
      <c r="D22" t="s">
        <v>111</v>
      </c>
      <c r="E22">
        <v>0</v>
      </c>
      <c r="G22">
        <v>3</v>
      </c>
      <c r="H22" t="s">
        <v>26</v>
      </c>
      <c r="I22" t="s">
        <v>70</v>
      </c>
      <c r="J22" t="str">
        <f>LOOKUP(I22,'Flight Test Matrix - Overview'!$V$34:$V$36,'Flight Test Matrix - Overview'!$X$25:$X$27)</f>
        <v>3500 ft</v>
      </c>
      <c r="K22" t="s">
        <v>62</v>
      </c>
      <c r="L22" t="s">
        <v>70</v>
      </c>
      <c r="M22">
        <f>LOOKUP(L22,'Flight Test Matrix - Overview'!$M$34:$M$36,'Flight Test Matrix - Overview'!$O$34:$O$36)</f>
        <v>95</v>
      </c>
      <c r="N22" t="s">
        <v>58</v>
      </c>
      <c r="O22" t="str">
        <f>LOOKUP(N22,'Flight Test Matrix - Overview'!$Q$34:$Q$36,'Flight Test Matrix - Overview'!$S$34:$S$36)</f>
        <v>fly level</v>
      </c>
      <c r="P22" t="s">
        <v>114</v>
      </c>
      <c r="Q22" t="s">
        <v>115</v>
      </c>
      <c r="R22" t="s">
        <v>116</v>
      </c>
      <c r="S22" t="str">
        <f t="shared" si="0"/>
        <v>Short PUSH-PULL-pulse on elevator, AOA change ~±3°</v>
      </c>
      <c r="T22" t="s">
        <v>118</v>
      </c>
      <c r="U22" t="s">
        <v>119</v>
      </c>
      <c r="V22" t="s">
        <v>31</v>
      </c>
      <c r="W22" t="s">
        <v>31</v>
      </c>
      <c r="X22" t="s">
        <v>31</v>
      </c>
      <c r="Y22" t="s">
        <v>120</v>
      </c>
      <c r="Z22" t="s">
        <v>121</v>
      </c>
      <c r="AA22" t="s">
        <v>122</v>
      </c>
    </row>
    <row r="23" spans="1:27" ht="14.25" customHeight="1" x14ac:dyDescent="0.35">
      <c r="A23" s="61">
        <v>22</v>
      </c>
      <c r="B23">
        <v>22</v>
      </c>
      <c r="C23" s="7">
        <v>14</v>
      </c>
      <c r="D23" t="s">
        <v>111</v>
      </c>
      <c r="E23">
        <v>0</v>
      </c>
      <c r="G23">
        <v>3</v>
      </c>
      <c r="H23" t="s">
        <v>26</v>
      </c>
      <c r="I23" t="s">
        <v>70</v>
      </c>
      <c r="J23" t="str">
        <f>LOOKUP(I23,'Flight Test Matrix - Overview'!$V$34:$V$36,'Flight Test Matrix - Overview'!$X$25:$X$27)</f>
        <v>3500 ft</v>
      </c>
      <c r="K23" t="s">
        <v>62</v>
      </c>
      <c r="L23" t="s">
        <v>70</v>
      </c>
      <c r="M23">
        <f>LOOKUP(L23,'Flight Test Matrix - Overview'!$M$34:$M$36,'Flight Test Matrix - Overview'!$O$34:$O$36)</f>
        <v>95</v>
      </c>
      <c r="N23" t="s">
        <v>58</v>
      </c>
      <c r="O23" t="str">
        <f>LOOKUP(N23,'Flight Test Matrix - Overview'!$Q$34:$Q$36,'Flight Test Matrix - Overview'!$S$34:$S$36)</f>
        <v>fly level</v>
      </c>
      <c r="P23" t="s">
        <v>114</v>
      </c>
      <c r="Q23" t="s">
        <v>115</v>
      </c>
      <c r="R23" t="s">
        <v>116</v>
      </c>
      <c r="S23" t="str">
        <f t="shared" si="0"/>
        <v>Short PUSH-PULL-pulse on elevator, AOA change ~±3°</v>
      </c>
      <c r="T23" t="s">
        <v>118</v>
      </c>
      <c r="U23" t="s">
        <v>119</v>
      </c>
      <c r="V23" t="s">
        <v>31</v>
      </c>
      <c r="W23" t="s">
        <v>31</v>
      </c>
      <c r="X23" t="s">
        <v>31</v>
      </c>
      <c r="Y23" t="s">
        <v>120</v>
      </c>
      <c r="Z23" t="s">
        <v>121</v>
      </c>
      <c r="AA23" t="s">
        <v>122</v>
      </c>
    </row>
    <row r="24" spans="1:27" ht="14.25" customHeight="1" x14ac:dyDescent="0.35">
      <c r="A24" s="61">
        <v>23</v>
      </c>
      <c r="B24">
        <v>23</v>
      </c>
      <c r="C24" s="7">
        <v>14</v>
      </c>
      <c r="D24" t="s">
        <v>111</v>
      </c>
      <c r="E24">
        <v>0</v>
      </c>
      <c r="G24">
        <v>3</v>
      </c>
      <c r="H24" t="s">
        <v>26</v>
      </c>
      <c r="I24" t="s">
        <v>70</v>
      </c>
      <c r="J24" t="str">
        <f>LOOKUP(I24,'Flight Test Matrix - Overview'!$V$34:$V$36,'Flight Test Matrix - Overview'!$X$25:$X$27)</f>
        <v>3500 ft</v>
      </c>
      <c r="K24" t="s">
        <v>62</v>
      </c>
      <c r="L24" t="s">
        <v>70</v>
      </c>
      <c r="M24">
        <f>LOOKUP(L24,'Flight Test Matrix - Overview'!$M$34:$M$36,'Flight Test Matrix - Overview'!$O$34:$O$36)</f>
        <v>95</v>
      </c>
      <c r="N24" t="s">
        <v>58</v>
      </c>
      <c r="O24" t="str">
        <f>LOOKUP(N24,'Flight Test Matrix - Overview'!$Q$34:$Q$36,'Flight Test Matrix - Overview'!$S$34:$S$36)</f>
        <v>fly level</v>
      </c>
      <c r="P24" t="s">
        <v>125</v>
      </c>
      <c r="Q24" t="s">
        <v>115</v>
      </c>
      <c r="R24" t="s">
        <v>116</v>
      </c>
      <c r="S24" t="str">
        <f t="shared" si="0"/>
        <v>Short PULL-PUSH-pulse on elevator, AOA change ~±3°</v>
      </c>
      <c r="T24" t="s">
        <v>118</v>
      </c>
      <c r="U24" t="s">
        <v>119</v>
      </c>
      <c r="V24" t="s">
        <v>31</v>
      </c>
      <c r="W24" t="s">
        <v>31</v>
      </c>
      <c r="X24" t="s">
        <v>31</v>
      </c>
      <c r="Y24" t="s">
        <v>120</v>
      </c>
      <c r="Z24" t="s">
        <v>121</v>
      </c>
      <c r="AA24" t="s">
        <v>122</v>
      </c>
    </row>
    <row r="25" spans="1:27" ht="14.25" customHeight="1" x14ac:dyDescent="0.35">
      <c r="A25" s="61">
        <v>24</v>
      </c>
      <c r="B25">
        <v>24</v>
      </c>
      <c r="C25" s="7">
        <v>14</v>
      </c>
      <c r="D25" t="s">
        <v>111</v>
      </c>
      <c r="E25">
        <v>0</v>
      </c>
      <c r="G25">
        <v>3</v>
      </c>
      <c r="H25" t="s">
        <v>26</v>
      </c>
      <c r="I25" t="s">
        <v>70</v>
      </c>
      <c r="J25" t="str">
        <f>LOOKUP(I25,'Flight Test Matrix - Overview'!$V$34:$V$36,'Flight Test Matrix - Overview'!$X$25:$X$27)</f>
        <v>3500 ft</v>
      </c>
      <c r="K25" t="s">
        <v>62</v>
      </c>
      <c r="L25" t="s">
        <v>70</v>
      </c>
      <c r="M25">
        <f>LOOKUP(L25,'Flight Test Matrix - Overview'!$M$34:$M$36,'Flight Test Matrix - Overview'!$O$34:$O$36)</f>
        <v>95</v>
      </c>
      <c r="N25" t="s">
        <v>58</v>
      </c>
      <c r="O25" t="str">
        <f>LOOKUP(N25,'Flight Test Matrix - Overview'!$Q$34:$Q$36,'Flight Test Matrix - Overview'!$S$34:$S$36)</f>
        <v>fly level</v>
      </c>
      <c r="P25" t="s">
        <v>125</v>
      </c>
      <c r="Q25" t="s">
        <v>115</v>
      </c>
      <c r="R25" t="s">
        <v>116</v>
      </c>
      <c r="S25" t="str">
        <f t="shared" si="0"/>
        <v>Short PULL-PUSH-pulse on elevator, AOA change ~±3°</v>
      </c>
      <c r="T25" t="s">
        <v>118</v>
      </c>
      <c r="U25" t="s">
        <v>119</v>
      </c>
      <c r="V25" t="s">
        <v>31</v>
      </c>
      <c r="W25" t="s">
        <v>31</v>
      </c>
      <c r="X25" t="s">
        <v>31</v>
      </c>
      <c r="Y25" t="s">
        <v>120</v>
      </c>
      <c r="Z25" t="s">
        <v>121</v>
      </c>
      <c r="AA25" t="s">
        <v>122</v>
      </c>
    </row>
    <row r="26" spans="1:27" ht="14.25" customHeight="1" x14ac:dyDescent="0.35">
      <c r="A26" s="61">
        <v>25</v>
      </c>
      <c r="B26">
        <v>25</v>
      </c>
      <c r="C26" s="7">
        <v>2</v>
      </c>
      <c r="D26" t="s">
        <v>111</v>
      </c>
      <c r="E26">
        <v>0</v>
      </c>
      <c r="G26">
        <v>3</v>
      </c>
      <c r="H26" t="s">
        <v>27</v>
      </c>
      <c r="I26" t="s">
        <v>58</v>
      </c>
      <c r="J26" t="str">
        <f>LOOKUP(I26,'Flight Test Matrix - Overview'!$V$34:$V$36,'Flight Test Matrix - Overview'!$X$25:$X$27)</f>
        <v>6500 ft</v>
      </c>
      <c r="K26" t="s">
        <v>62</v>
      </c>
      <c r="L26" t="s">
        <v>68</v>
      </c>
      <c r="M26">
        <f>LOOKUP(L26,'Flight Test Matrix - Overview'!$M$34:$M$36,'Flight Test Matrix - Overview'!$O$34:$O$36)</f>
        <v>70</v>
      </c>
      <c r="N26" t="s">
        <v>58</v>
      </c>
      <c r="O26" t="str">
        <f>LOOKUP(N26,'Flight Test Matrix - Overview'!$Q$34:$Q$36,'Flight Test Matrix - Overview'!$S$34:$S$36)</f>
        <v>fly level</v>
      </c>
      <c r="P26" t="s">
        <v>114</v>
      </c>
      <c r="Q26" t="s">
        <v>115</v>
      </c>
      <c r="R26" t="s">
        <v>116</v>
      </c>
      <c r="S26" t="str">
        <f t="shared" si="0"/>
        <v>Short PUSH-PULL-pulse on elevator, AOA change ~±3°</v>
      </c>
      <c r="T26" t="s">
        <v>118</v>
      </c>
      <c r="U26" t="s">
        <v>119</v>
      </c>
      <c r="V26" t="s">
        <v>31</v>
      </c>
      <c r="W26" t="s">
        <v>31</v>
      </c>
      <c r="X26" t="s">
        <v>31</v>
      </c>
      <c r="Y26" t="s">
        <v>120</v>
      </c>
      <c r="Z26" t="s">
        <v>121</v>
      </c>
      <c r="AA26" t="s">
        <v>122</v>
      </c>
    </row>
    <row r="27" spans="1:27" ht="14.25" customHeight="1" x14ac:dyDescent="0.35">
      <c r="A27" s="61">
        <v>26</v>
      </c>
      <c r="B27">
        <v>26</v>
      </c>
      <c r="C27" s="7">
        <v>2</v>
      </c>
      <c r="D27" t="s">
        <v>111</v>
      </c>
      <c r="E27">
        <v>0</v>
      </c>
      <c r="G27">
        <v>3</v>
      </c>
      <c r="H27" t="s">
        <v>27</v>
      </c>
      <c r="I27" t="s">
        <v>58</v>
      </c>
      <c r="J27" t="str">
        <f>LOOKUP(I27,'Flight Test Matrix - Overview'!$V$34:$V$36,'Flight Test Matrix - Overview'!$X$25:$X$27)</f>
        <v>6500 ft</v>
      </c>
      <c r="K27" t="s">
        <v>62</v>
      </c>
      <c r="L27" t="s">
        <v>68</v>
      </c>
      <c r="M27">
        <f>LOOKUP(L27,'Flight Test Matrix - Overview'!$M$34:$M$36,'Flight Test Matrix - Overview'!$O$34:$O$36)</f>
        <v>70</v>
      </c>
      <c r="N27" t="s">
        <v>58</v>
      </c>
      <c r="O27" t="str">
        <f>LOOKUP(N27,'Flight Test Matrix - Overview'!$Q$34:$Q$36,'Flight Test Matrix - Overview'!$S$34:$S$36)</f>
        <v>fly level</v>
      </c>
      <c r="P27" t="s">
        <v>114</v>
      </c>
      <c r="Q27" t="s">
        <v>115</v>
      </c>
      <c r="R27" t="s">
        <v>116</v>
      </c>
      <c r="S27" t="str">
        <f t="shared" si="0"/>
        <v>Short PUSH-PULL-pulse on elevator, AOA change ~±3°</v>
      </c>
      <c r="T27" t="s">
        <v>118</v>
      </c>
      <c r="U27" t="s">
        <v>119</v>
      </c>
      <c r="V27" t="s">
        <v>31</v>
      </c>
      <c r="W27" t="s">
        <v>31</v>
      </c>
      <c r="X27" t="s">
        <v>31</v>
      </c>
      <c r="Y27" t="s">
        <v>120</v>
      </c>
      <c r="Z27" t="s">
        <v>121</v>
      </c>
      <c r="AA27" t="s">
        <v>122</v>
      </c>
    </row>
    <row r="28" spans="1:27" ht="14.25" customHeight="1" x14ac:dyDescent="0.35">
      <c r="A28" s="61">
        <v>27</v>
      </c>
      <c r="B28">
        <v>27</v>
      </c>
      <c r="C28" s="7">
        <v>2</v>
      </c>
      <c r="D28" t="s">
        <v>111</v>
      </c>
      <c r="E28">
        <v>0</v>
      </c>
      <c r="G28">
        <v>3</v>
      </c>
      <c r="H28" t="s">
        <v>27</v>
      </c>
      <c r="I28" t="s">
        <v>58</v>
      </c>
      <c r="J28" t="str">
        <f>LOOKUP(I28,'Flight Test Matrix - Overview'!$V$34:$V$36,'Flight Test Matrix - Overview'!$X$25:$X$27)</f>
        <v>6500 ft</v>
      </c>
      <c r="K28" t="s">
        <v>62</v>
      </c>
      <c r="L28" t="s">
        <v>68</v>
      </c>
      <c r="M28">
        <f>LOOKUP(L28,'Flight Test Matrix - Overview'!$M$34:$M$36,'Flight Test Matrix - Overview'!$O$34:$O$36)</f>
        <v>70</v>
      </c>
      <c r="N28" t="s">
        <v>58</v>
      </c>
      <c r="O28" t="str">
        <f>LOOKUP(N28,'Flight Test Matrix - Overview'!$Q$34:$Q$36,'Flight Test Matrix - Overview'!$S$34:$S$36)</f>
        <v>fly level</v>
      </c>
      <c r="P28" t="s">
        <v>114</v>
      </c>
      <c r="Q28" t="s">
        <v>115</v>
      </c>
      <c r="R28" t="s">
        <v>116</v>
      </c>
      <c r="S28" t="str">
        <f t="shared" si="0"/>
        <v>Short PUSH-PULL-pulse on elevator, AOA change ~±3°</v>
      </c>
      <c r="T28" t="s">
        <v>118</v>
      </c>
      <c r="U28" t="s">
        <v>119</v>
      </c>
      <c r="V28" t="s">
        <v>31</v>
      </c>
      <c r="W28" t="s">
        <v>31</v>
      </c>
      <c r="X28" t="s">
        <v>31</v>
      </c>
      <c r="Y28" t="s">
        <v>120</v>
      </c>
      <c r="Z28" t="s">
        <v>121</v>
      </c>
      <c r="AA28" t="s">
        <v>122</v>
      </c>
    </row>
    <row r="29" spans="1:27" ht="14.25" customHeight="1" x14ac:dyDescent="0.35">
      <c r="A29" s="61">
        <v>28</v>
      </c>
      <c r="B29">
        <v>28</v>
      </c>
      <c r="C29" s="7">
        <v>2</v>
      </c>
      <c r="D29" t="s">
        <v>111</v>
      </c>
      <c r="E29">
        <v>0</v>
      </c>
      <c r="G29">
        <v>3</v>
      </c>
      <c r="H29" t="s">
        <v>27</v>
      </c>
      <c r="I29" t="s">
        <v>58</v>
      </c>
      <c r="J29" t="str">
        <f>LOOKUP(I29,'Flight Test Matrix - Overview'!$V$34:$V$36,'Flight Test Matrix - Overview'!$X$25:$X$27)</f>
        <v>6500 ft</v>
      </c>
      <c r="K29" t="s">
        <v>62</v>
      </c>
      <c r="L29" t="s">
        <v>68</v>
      </c>
      <c r="M29">
        <f>LOOKUP(L29,'Flight Test Matrix - Overview'!$M$34:$M$36,'Flight Test Matrix - Overview'!$O$34:$O$36)</f>
        <v>70</v>
      </c>
      <c r="N29" t="s">
        <v>58</v>
      </c>
      <c r="O29" t="str">
        <f>LOOKUP(N29,'Flight Test Matrix - Overview'!$Q$34:$Q$36,'Flight Test Matrix - Overview'!$S$34:$S$36)</f>
        <v>fly level</v>
      </c>
      <c r="P29" t="s">
        <v>114</v>
      </c>
      <c r="Q29" t="s">
        <v>115</v>
      </c>
      <c r="R29" t="s">
        <v>116</v>
      </c>
      <c r="S29" t="str">
        <f t="shared" si="0"/>
        <v>Short PUSH-PULL-pulse on elevator, AOA change ~±3°</v>
      </c>
      <c r="T29" t="s">
        <v>118</v>
      </c>
      <c r="U29" t="s">
        <v>119</v>
      </c>
      <c r="V29" t="s">
        <v>31</v>
      </c>
      <c r="W29" t="s">
        <v>31</v>
      </c>
      <c r="X29" t="s">
        <v>31</v>
      </c>
      <c r="Y29" t="s">
        <v>120</v>
      </c>
      <c r="Z29" t="s">
        <v>121</v>
      </c>
      <c r="AA29" t="s">
        <v>122</v>
      </c>
    </row>
    <row r="30" spans="1:27" ht="14.25" customHeight="1" x14ac:dyDescent="0.35">
      <c r="A30" s="61">
        <v>29</v>
      </c>
      <c r="B30">
        <v>29</v>
      </c>
      <c r="C30" s="7">
        <v>17</v>
      </c>
      <c r="D30" t="s">
        <v>111</v>
      </c>
      <c r="E30">
        <v>0</v>
      </c>
      <c r="G30">
        <v>3</v>
      </c>
      <c r="H30" t="s">
        <v>27</v>
      </c>
      <c r="I30" t="s">
        <v>58</v>
      </c>
      <c r="J30" t="str">
        <f>LOOKUP(I30,'Flight Test Matrix - Overview'!$V$34:$V$36,'Flight Test Matrix - Overview'!$X$25:$X$27)</f>
        <v>6500 ft</v>
      </c>
      <c r="K30" t="s">
        <v>62</v>
      </c>
      <c r="L30" t="s">
        <v>58</v>
      </c>
      <c r="M30">
        <f>LOOKUP(L30,'Flight Test Matrix - Overview'!$M$34:$M$36,'Flight Test Matrix - Overview'!$O$34:$O$36)</f>
        <v>80</v>
      </c>
      <c r="N30" t="s">
        <v>58</v>
      </c>
      <c r="O30" t="str">
        <f>LOOKUP(N30,'Flight Test Matrix - Overview'!$Q$34:$Q$36,'Flight Test Matrix - Overview'!$S$34:$S$36)</f>
        <v>fly level</v>
      </c>
      <c r="P30" t="s">
        <v>125</v>
      </c>
      <c r="Q30" t="s">
        <v>115</v>
      </c>
      <c r="R30" t="s">
        <v>116</v>
      </c>
      <c r="S30" t="str">
        <f t="shared" si="0"/>
        <v>Short PULL-PUSH-pulse on elevator, AOA change ~±3°</v>
      </c>
      <c r="T30" t="s">
        <v>118</v>
      </c>
      <c r="U30" t="s">
        <v>119</v>
      </c>
      <c r="V30" t="s">
        <v>31</v>
      </c>
      <c r="W30" t="s">
        <v>31</v>
      </c>
      <c r="X30" t="s">
        <v>31</v>
      </c>
      <c r="Y30" t="s">
        <v>120</v>
      </c>
      <c r="Z30" t="s">
        <v>121</v>
      </c>
      <c r="AA30" t="s">
        <v>122</v>
      </c>
    </row>
    <row r="31" spans="1:27" ht="14.25" customHeight="1" x14ac:dyDescent="0.35">
      <c r="A31" s="61">
        <v>30</v>
      </c>
      <c r="B31">
        <v>30</v>
      </c>
      <c r="C31" s="7">
        <v>17</v>
      </c>
      <c r="D31" t="s">
        <v>111</v>
      </c>
      <c r="E31">
        <v>1</v>
      </c>
      <c r="G31">
        <v>3</v>
      </c>
      <c r="H31" t="s">
        <v>27</v>
      </c>
      <c r="I31" t="s">
        <v>58</v>
      </c>
      <c r="J31" t="str">
        <f>LOOKUP(I31,'Flight Test Matrix - Overview'!$V$34:$V$36,'Flight Test Matrix - Overview'!$X$25:$X$27)</f>
        <v>6500 ft</v>
      </c>
      <c r="K31" t="s">
        <v>62</v>
      </c>
      <c r="L31" t="s">
        <v>58</v>
      </c>
      <c r="M31">
        <f>LOOKUP(L31,'Flight Test Matrix - Overview'!$M$34:$M$36,'Flight Test Matrix - Overview'!$O$34:$O$36)</f>
        <v>80</v>
      </c>
      <c r="N31" t="s">
        <v>68</v>
      </c>
      <c r="O31" t="str">
        <f>LOOKUP(N31,'Flight Test Matrix - Overview'!$Q$34:$Q$36,'Flight Test Matrix - Overview'!$S$34:$S$36)</f>
        <v>descent</v>
      </c>
      <c r="P31" t="s">
        <v>125</v>
      </c>
      <c r="Q31" t="s">
        <v>115</v>
      </c>
      <c r="R31" t="s">
        <v>116</v>
      </c>
      <c r="S31" t="str">
        <f t="shared" si="0"/>
        <v>Short PULL-PUSH-pulse on elevator, AOA change ~±3°</v>
      </c>
      <c r="T31" t="s">
        <v>118</v>
      </c>
      <c r="U31" t="s">
        <v>119</v>
      </c>
      <c r="V31" t="s">
        <v>31</v>
      </c>
      <c r="W31" t="s">
        <v>31</v>
      </c>
      <c r="X31" t="s">
        <v>31</v>
      </c>
      <c r="Y31" t="s">
        <v>120</v>
      </c>
      <c r="Z31" t="s">
        <v>121</v>
      </c>
      <c r="AA31" t="s">
        <v>122</v>
      </c>
    </row>
    <row r="32" spans="1:27" ht="14.25" customHeight="1" x14ac:dyDescent="0.35">
      <c r="A32" s="61">
        <v>31</v>
      </c>
      <c r="B32">
        <v>31</v>
      </c>
      <c r="C32" s="7">
        <v>17</v>
      </c>
      <c r="D32" t="s">
        <v>111</v>
      </c>
      <c r="E32">
        <v>1</v>
      </c>
      <c r="G32">
        <v>3</v>
      </c>
      <c r="H32" t="s">
        <v>27</v>
      </c>
      <c r="I32" t="s">
        <v>58</v>
      </c>
      <c r="J32" t="str">
        <f>LOOKUP(I32,'Flight Test Matrix - Overview'!$V$34:$V$36,'Flight Test Matrix - Overview'!$X$25:$X$27)</f>
        <v>6500 ft</v>
      </c>
      <c r="K32" t="s">
        <v>62</v>
      </c>
      <c r="L32" t="s">
        <v>58</v>
      </c>
      <c r="M32">
        <f>LOOKUP(L32,'Flight Test Matrix - Overview'!$M$34:$M$36,'Flight Test Matrix - Overview'!$O$34:$O$36)</f>
        <v>80</v>
      </c>
      <c r="N32" t="s">
        <v>71</v>
      </c>
      <c r="O32" t="str">
        <f>LOOKUP(N32,'Flight Test Matrix - Overview'!$Q$34:$Q$36,'Flight Test Matrix - Overview'!$S$34:$S$36)</f>
        <v>descent</v>
      </c>
      <c r="P32" t="s">
        <v>114</v>
      </c>
      <c r="Q32" t="s">
        <v>115</v>
      </c>
      <c r="R32" t="s">
        <v>116</v>
      </c>
      <c r="S32" t="str">
        <f t="shared" si="0"/>
        <v>Short PUSH-PULL-pulse on elevator, AOA change ~±3°</v>
      </c>
      <c r="T32" t="s">
        <v>118</v>
      </c>
      <c r="U32" t="s">
        <v>119</v>
      </c>
      <c r="V32" t="s">
        <v>31</v>
      </c>
      <c r="W32" t="s">
        <v>31</v>
      </c>
      <c r="X32" t="s">
        <v>31</v>
      </c>
      <c r="Y32" t="s">
        <v>120</v>
      </c>
      <c r="Z32" t="s">
        <v>121</v>
      </c>
      <c r="AA32" t="s">
        <v>122</v>
      </c>
    </row>
    <row r="33" spans="1:27" ht="14.25" customHeight="1" x14ac:dyDescent="0.35">
      <c r="A33" s="61">
        <v>32</v>
      </c>
      <c r="B33">
        <v>32</v>
      </c>
      <c r="C33" s="7">
        <v>17</v>
      </c>
      <c r="D33" t="s">
        <v>111</v>
      </c>
      <c r="E33">
        <v>0</v>
      </c>
      <c r="G33">
        <v>3</v>
      </c>
      <c r="H33" t="s">
        <v>27</v>
      </c>
      <c r="I33" t="s">
        <v>58</v>
      </c>
      <c r="J33" t="str">
        <f>LOOKUP(I33,'Flight Test Matrix - Overview'!$V$34:$V$36,'Flight Test Matrix - Overview'!$X$25:$X$27)</f>
        <v>6500 ft</v>
      </c>
      <c r="K33" t="s">
        <v>62</v>
      </c>
      <c r="L33" t="s">
        <v>58</v>
      </c>
      <c r="M33">
        <f>LOOKUP(L33,'Flight Test Matrix - Overview'!$M$34:$M$36,'Flight Test Matrix - Overview'!$O$34:$O$36)</f>
        <v>80</v>
      </c>
      <c r="N33" t="s">
        <v>58</v>
      </c>
      <c r="O33" t="str">
        <f>LOOKUP(N33,'Flight Test Matrix - Overview'!$Q$34:$Q$36,'Flight Test Matrix - Overview'!$S$34:$S$36)</f>
        <v>fly level</v>
      </c>
      <c r="P33" t="s">
        <v>114</v>
      </c>
      <c r="Q33" t="s">
        <v>115</v>
      </c>
      <c r="R33" t="s">
        <v>116</v>
      </c>
      <c r="S33" t="str">
        <f t="shared" si="0"/>
        <v>Short PUSH-PULL-pulse on elevator, AOA change ~±3°</v>
      </c>
      <c r="T33" t="s">
        <v>118</v>
      </c>
      <c r="U33" t="s">
        <v>119</v>
      </c>
      <c r="V33" t="s">
        <v>31</v>
      </c>
      <c r="W33" t="s">
        <v>31</v>
      </c>
      <c r="X33" t="s">
        <v>31</v>
      </c>
      <c r="Y33" t="s">
        <v>120</v>
      </c>
      <c r="Z33" t="s">
        <v>121</v>
      </c>
      <c r="AA33" t="s">
        <v>122</v>
      </c>
    </row>
    <row r="34" spans="1:27" ht="14.25" customHeight="1" x14ac:dyDescent="0.35">
      <c r="A34" s="61">
        <v>33</v>
      </c>
      <c r="B34">
        <v>33</v>
      </c>
      <c r="C34" s="7">
        <v>4</v>
      </c>
      <c r="D34" t="s">
        <v>111</v>
      </c>
      <c r="E34">
        <v>1</v>
      </c>
      <c r="G34">
        <v>3</v>
      </c>
      <c r="H34" t="s">
        <v>27</v>
      </c>
      <c r="I34" t="s">
        <v>58</v>
      </c>
      <c r="J34" t="str">
        <f>LOOKUP(I34,'Flight Test Matrix - Overview'!$V$34:$V$36,'Flight Test Matrix - Overview'!$X$25:$X$27)</f>
        <v>6500 ft</v>
      </c>
      <c r="K34" t="s">
        <v>62</v>
      </c>
      <c r="L34" t="s">
        <v>70</v>
      </c>
      <c r="M34">
        <f>LOOKUP(L34,'Flight Test Matrix - Overview'!$M$34:$M$36,'Flight Test Matrix - Overview'!$O$34:$O$36)</f>
        <v>95</v>
      </c>
      <c r="N34" t="s">
        <v>58</v>
      </c>
      <c r="O34" t="str">
        <f>LOOKUP(N34,'Flight Test Matrix - Overview'!$Q$34:$Q$36,'Flight Test Matrix - Overview'!$S$34:$S$36)</f>
        <v>fly level</v>
      </c>
      <c r="P34" t="s">
        <v>125</v>
      </c>
      <c r="Q34" t="s">
        <v>115</v>
      </c>
      <c r="R34" t="s">
        <v>116</v>
      </c>
      <c r="S34" t="str">
        <f t="shared" si="0"/>
        <v>Short PULL-PUSH-pulse on elevator, AOA change ~±3°</v>
      </c>
      <c r="T34" t="s">
        <v>118</v>
      </c>
      <c r="U34" t="s">
        <v>119</v>
      </c>
      <c r="V34" t="s">
        <v>31</v>
      </c>
      <c r="W34" t="s">
        <v>31</v>
      </c>
      <c r="X34" t="s">
        <v>31</v>
      </c>
      <c r="Y34" t="s">
        <v>120</v>
      </c>
      <c r="Z34" t="s">
        <v>121</v>
      </c>
      <c r="AA34" t="s">
        <v>122</v>
      </c>
    </row>
    <row r="35" spans="1:27" ht="14.25" customHeight="1" x14ac:dyDescent="0.35">
      <c r="A35" s="61">
        <v>34</v>
      </c>
      <c r="B35">
        <v>34</v>
      </c>
      <c r="C35" s="7">
        <v>6</v>
      </c>
      <c r="D35" t="s">
        <v>111</v>
      </c>
      <c r="E35">
        <v>1</v>
      </c>
      <c r="G35">
        <v>3</v>
      </c>
      <c r="H35" t="s">
        <v>27</v>
      </c>
      <c r="I35" t="s">
        <v>58</v>
      </c>
      <c r="J35" t="str">
        <f>LOOKUP(I35,'Flight Test Matrix - Overview'!$V$34:$V$36,'Flight Test Matrix - Overview'!$X$25:$X$27)</f>
        <v>6500 ft</v>
      </c>
      <c r="K35" t="s">
        <v>62</v>
      </c>
      <c r="L35" t="s">
        <v>70</v>
      </c>
      <c r="M35">
        <f>LOOKUP(L35,'Flight Test Matrix - Overview'!$M$34:$M$36,'Flight Test Matrix - Overview'!$O$34:$O$36)</f>
        <v>95</v>
      </c>
      <c r="N35" t="s">
        <v>58</v>
      </c>
      <c r="O35" t="str">
        <f>LOOKUP(N35,'Flight Test Matrix - Overview'!$Q$34:$Q$36,'Flight Test Matrix - Overview'!$S$34:$S$36)</f>
        <v>fly level</v>
      </c>
      <c r="P35" t="s">
        <v>125</v>
      </c>
      <c r="Q35" t="s">
        <v>115</v>
      </c>
      <c r="R35" t="s">
        <v>116</v>
      </c>
      <c r="S35" t="str">
        <f t="shared" si="0"/>
        <v>Short PULL-PUSH-pulse on elevator, AOA change ~±3°</v>
      </c>
      <c r="T35" t="s">
        <v>118</v>
      </c>
      <c r="U35" t="s">
        <v>119</v>
      </c>
      <c r="V35" t="s">
        <v>31</v>
      </c>
      <c r="W35" t="s">
        <v>31</v>
      </c>
      <c r="X35" t="s">
        <v>31</v>
      </c>
      <c r="Y35" t="s">
        <v>120</v>
      </c>
      <c r="Z35" t="s">
        <v>121</v>
      </c>
      <c r="AA35" t="s">
        <v>122</v>
      </c>
    </row>
    <row r="36" spans="1:27" ht="14.25" customHeight="1" x14ac:dyDescent="0.35">
      <c r="A36" s="61">
        <v>35</v>
      </c>
      <c r="B36">
        <v>35</v>
      </c>
      <c r="C36" s="7">
        <v>6</v>
      </c>
      <c r="D36" t="s">
        <v>111</v>
      </c>
      <c r="E36">
        <v>1</v>
      </c>
      <c r="G36">
        <v>3</v>
      </c>
      <c r="H36" t="s">
        <v>27</v>
      </c>
      <c r="I36" t="s">
        <v>58</v>
      </c>
      <c r="J36" t="str">
        <f>LOOKUP(I36,'Flight Test Matrix - Overview'!$V$34:$V$36,'Flight Test Matrix - Overview'!$X$25:$X$27)</f>
        <v>6500 ft</v>
      </c>
      <c r="K36" t="s">
        <v>62</v>
      </c>
      <c r="L36" t="s">
        <v>70</v>
      </c>
      <c r="M36">
        <f>LOOKUP(L36,'Flight Test Matrix - Overview'!$M$34:$M$36,'Flight Test Matrix - Overview'!$O$34:$O$36)</f>
        <v>95</v>
      </c>
      <c r="N36" t="s">
        <v>58</v>
      </c>
      <c r="O36" t="str">
        <f>LOOKUP(N36,'Flight Test Matrix - Overview'!$Q$34:$Q$36,'Flight Test Matrix - Overview'!$S$34:$S$36)</f>
        <v>fly level</v>
      </c>
      <c r="P36" t="s">
        <v>114</v>
      </c>
      <c r="Q36" t="s">
        <v>115</v>
      </c>
      <c r="R36" t="s">
        <v>116</v>
      </c>
      <c r="S36" t="str">
        <f t="shared" si="0"/>
        <v>Short PUSH-PULL-pulse on elevator, AOA change ~±3°</v>
      </c>
      <c r="T36" t="s">
        <v>118</v>
      </c>
      <c r="U36" t="s">
        <v>119</v>
      </c>
      <c r="V36" t="s">
        <v>31</v>
      </c>
      <c r="W36" t="s">
        <v>31</v>
      </c>
      <c r="X36" t="s">
        <v>31</v>
      </c>
      <c r="Y36" t="s">
        <v>120</v>
      </c>
      <c r="Z36" t="s">
        <v>121</v>
      </c>
      <c r="AA36" t="s">
        <v>122</v>
      </c>
    </row>
    <row r="37" spans="1:27" ht="14.25" customHeight="1" x14ac:dyDescent="0.35">
      <c r="A37" s="61">
        <v>36</v>
      </c>
      <c r="B37">
        <v>36</v>
      </c>
      <c r="C37" s="7">
        <v>6</v>
      </c>
      <c r="D37" t="s">
        <v>111</v>
      </c>
      <c r="E37">
        <v>1</v>
      </c>
      <c r="G37">
        <v>3</v>
      </c>
      <c r="H37" t="s">
        <v>27</v>
      </c>
      <c r="I37" t="s">
        <v>58</v>
      </c>
      <c r="J37" t="str">
        <f>LOOKUP(I37,'Flight Test Matrix - Overview'!$V$34:$V$36,'Flight Test Matrix - Overview'!$X$25:$X$27)</f>
        <v>6500 ft</v>
      </c>
      <c r="K37" t="s">
        <v>62</v>
      </c>
      <c r="L37" t="s">
        <v>70</v>
      </c>
      <c r="M37">
        <f>LOOKUP(L37,'Flight Test Matrix - Overview'!$M$34:$M$36,'Flight Test Matrix - Overview'!$O$34:$O$36)</f>
        <v>95</v>
      </c>
      <c r="N37" t="s">
        <v>58</v>
      </c>
      <c r="O37" t="str">
        <f>LOOKUP(N37,'Flight Test Matrix - Overview'!$Q$34:$Q$36,'Flight Test Matrix - Overview'!$S$34:$S$36)</f>
        <v>fly level</v>
      </c>
      <c r="P37" t="s">
        <v>114</v>
      </c>
      <c r="Q37" t="s">
        <v>115</v>
      </c>
      <c r="R37" t="s">
        <v>116</v>
      </c>
      <c r="S37" t="str">
        <f t="shared" si="0"/>
        <v>Short PUSH-PULL-pulse on elevator, AOA change ~±3°</v>
      </c>
      <c r="T37" t="s">
        <v>118</v>
      </c>
      <c r="U37" t="s">
        <v>119</v>
      </c>
      <c r="V37" t="s">
        <v>31</v>
      </c>
      <c r="W37" t="s">
        <v>31</v>
      </c>
      <c r="X37" t="s">
        <v>31</v>
      </c>
      <c r="Y37" t="s">
        <v>120</v>
      </c>
      <c r="Z37" t="s">
        <v>121</v>
      </c>
      <c r="AA37" t="s">
        <v>122</v>
      </c>
    </row>
    <row r="38" spans="1:27" ht="14.25" customHeight="1" x14ac:dyDescent="0.35">
      <c r="A38" s="61">
        <v>37</v>
      </c>
      <c r="B38">
        <v>37</v>
      </c>
      <c r="C38" s="7">
        <v>6</v>
      </c>
      <c r="D38" t="s">
        <v>111</v>
      </c>
      <c r="E38">
        <v>1</v>
      </c>
      <c r="G38">
        <v>3</v>
      </c>
      <c r="H38" t="s">
        <v>27</v>
      </c>
      <c r="I38" t="s">
        <v>70</v>
      </c>
      <c r="J38" t="str">
        <f>LOOKUP(I38,'Flight Test Matrix - Overview'!$V$34:$V$36,'Flight Test Matrix - Overview'!$X$25:$X$27)</f>
        <v>3500 ft</v>
      </c>
      <c r="K38" t="s">
        <v>62</v>
      </c>
      <c r="L38" t="s">
        <v>68</v>
      </c>
      <c r="M38">
        <f>LOOKUP(L38,'Flight Test Matrix - Overview'!$M$34:$M$36,'Flight Test Matrix - Overview'!$O$34:$O$36)</f>
        <v>70</v>
      </c>
      <c r="N38" t="s">
        <v>58</v>
      </c>
      <c r="O38" t="str">
        <f>LOOKUP(N38,'Flight Test Matrix - Overview'!$Q$34:$Q$36,'Flight Test Matrix - Overview'!$S$34:$S$36)</f>
        <v>fly level</v>
      </c>
      <c r="P38" t="s">
        <v>125</v>
      </c>
      <c r="Q38" t="s">
        <v>115</v>
      </c>
      <c r="R38" t="s">
        <v>116</v>
      </c>
      <c r="S38" t="str">
        <f t="shared" si="0"/>
        <v>Short PULL-PUSH-pulse on elevator, AOA change ~±3°</v>
      </c>
      <c r="T38" t="s">
        <v>118</v>
      </c>
      <c r="U38" t="s">
        <v>119</v>
      </c>
      <c r="V38" t="s">
        <v>31</v>
      </c>
      <c r="W38" t="s">
        <v>31</v>
      </c>
      <c r="X38" t="s">
        <v>31</v>
      </c>
      <c r="Y38" t="s">
        <v>120</v>
      </c>
      <c r="Z38" t="s">
        <v>121</v>
      </c>
      <c r="AA38" t="s">
        <v>122</v>
      </c>
    </row>
    <row r="39" spans="1:27" ht="14.25" customHeight="1" x14ac:dyDescent="0.35">
      <c r="A39" s="61">
        <v>38</v>
      </c>
      <c r="B39">
        <v>38</v>
      </c>
      <c r="C39" s="7">
        <v>8</v>
      </c>
      <c r="D39" t="s">
        <v>111</v>
      </c>
      <c r="E39">
        <v>1</v>
      </c>
      <c r="G39">
        <v>3</v>
      </c>
      <c r="H39" t="s">
        <v>27</v>
      </c>
      <c r="I39" t="s">
        <v>70</v>
      </c>
      <c r="J39" t="str">
        <f>LOOKUP(I39,'Flight Test Matrix - Overview'!$V$34:$V$36,'Flight Test Matrix - Overview'!$X$25:$X$27)</f>
        <v>3500 ft</v>
      </c>
      <c r="K39" t="s">
        <v>62</v>
      </c>
      <c r="L39" t="s">
        <v>68</v>
      </c>
      <c r="M39">
        <f>LOOKUP(L39,'Flight Test Matrix - Overview'!$M$34:$M$36,'Flight Test Matrix - Overview'!$O$34:$O$36)</f>
        <v>70</v>
      </c>
      <c r="N39" t="s">
        <v>58</v>
      </c>
      <c r="O39" t="str">
        <f>LOOKUP(N39,'Flight Test Matrix - Overview'!$Q$34:$Q$36,'Flight Test Matrix - Overview'!$S$34:$S$36)</f>
        <v>fly level</v>
      </c>
      <c r="P39" t="s">
        <v>125</v>
      </c>
      <c r="Q39" t="s">
        <v>115</v>
      </c>
      <c r="R39" t="s">
        <v>116</v>
      </c>
      <c r="S39" t="str">
        <f t="shared" si="0"/>
        <v>Short PULL-PUSH-pulse on elevator, AOA change ~±3°</v>
      </c>
      <c r="T39" t="s">
        <v>118</v>
      </c>
      <c r="U39" t="s">
        <v>119</v>
      </c>
      <c r="V39" t="s">
        <v>31</v>
      </c>
      <c r="W39" t="s">
        <v>31</v>
      </c>
      <c r="X39" t="s">
        <v>31</v>
      </c>
      <c r="Y39" t="s">
        <v>120</v>
      </c>
      <c r="Z39" t="s">
        <v>121</v>
      </c>
      <c r="AA39" t="s">
        <v>122</v>
      </c>
    </row>
    <row r="40" spans="1:27" ht="14.25" customHeight="1" x14ac:dyDescent="0.35">
      <c r="A40" s="61">
        <v>39</v>
      </c>
      <c r="B40">
        <v>39</v>
      </c>
      <c r="C40" s="7">
        <v>8</v>
      </c>
      <c r="D40" t="s">
        <v>111</v>
      </c>
      <c r="E40">
        <v>1</v>
      </c>
      <c r="G40">
        <v>3</v>
      </c>
      <c r="H40" t="s">
        <v>27</v>
      </c>
      <c r="I40" t="s">
        <v>70</v>
      </c>
      <c r="J40" t="str">
        <f>LOOKUP(I40,'Flight Test Matrix - Overview'!$V$34:$V$36,'Flight Test Matrix - Overview'!$X$25:$X$27)</f>
        <v>3500 ft</v>
      </c>
      <c r="K40" t="s">
        <v>62</v>
      </c>
      <c r="L40" t="s">
        <v>68</v>
      </c>
      <c r="M40">
        <f>LOOKUP(L40,'Flight Test Matrix - Overview'!$M$34:$M$36,'Flight Test Matrix - Overview'!$O$34:$O$36)</f>
        <v>70</v>
      </c>
      <c r="N40" t="s">
        <v>58</v>
      </c>
      <c r="O40" t="str">
        <f>LOOKUP(N40,'Flight Test Matrix - Overview'!$Q$34:$Q$36,'Flight Test Matrix - Overview'!$S$34:$S$36)</f>
        <v>fly level</v>
      </c>
      <c r="P40" t="s">
        <v>114</v>
      </c>
      <c r="Q40" t="s">
        <v>115</v>
      </c>
      <c r="R40" t="s">
        <v>116</v>
      </c>
      <c r="S40" t="str">
        <f t="shared" si="0"/>
        <v>Short PUSH-PULL-pulse on elevator, AOA change ~±3°</v>
      </c>
      <c r="T40" t="s">
        <v>118</v>
      </c>
      <c r="U40" t="s">
        <v>119</v>
      </c>
      <c r="V40" t="s">
        <v>31</v>
      </c>
      <c r="W40" t="s">
        <v>31</v>
      </c>
      <c r="X40" t="s">
        <v>31</v>
      </c>
      <c r="Y40" t="s">
        <v>120</v>
      </c>
      <c r="Z40" t="s">
        <v>121</v>
      </c>
      <c r="AA40" t="s">
        <v>122</v>
      </c>
    </row>
    <row r="41" spans="1:27" ht="14.25" customHeight="1" x14ac:dyDescent="0.35">
      <c r="A41" s="61">
        <v>401</v>
      </c>
      <c r="B41">
        <v>40</v>
      </c>
      <c r="C41" s="7">
        <v>8</v>
      </c>
      <c r="D41" t="s">
        <v>111</v>
      </c>
      <c r="E41">
        <v>1</v>
      </c>
      <c r="G41">
        <v>3</v>
      </c>
      <c r="H41" t="s">
        <v>27</v>
      </c>
      <c r="I41" t="s">
        <v>70</v>
      </c>
      <c r="J41" t="str">
        <f>LOOKUP(I41,'Flight Test Matrix - Overview'!$V$34:$V$36,'Flight Test Matrix - Overview'!$X$25:$X$27)</f>
        <v>3500 ft</v>
      </c>
      <c r="K41" t="s">
        <v>62</v>
      </c>
      <c r="L41" t="s">
        <v>68</v>
      </c>
      <c r="M41">
        <f>LOOKUP(L41,'Flight Test Matrix - Overview'!$M$34:$M$36,'Flight Test Matrix - Overview'!$O$34:$O$36)</f>
        <v>70</v>
      </c>
      <c r="N41" t="s">
        <v>58</v>
      </c>
      <c r="O41" t="str">
        <f>LOOKUP(N41,'Flight Test Matrix - Overview'!$Q$34:$Q$36,'Flight Test Matrix - Overview'!$S$34:$S$36)</f>
        <v>fly level</v>
      </c>
      <c r="P41" t="s">
        <v>114</v>
      </c>
      <c r="Q41" t="s">
        <v>115</v>
      </c>
      <c r="R41" t="s">
        <v>116</v>
      </c>
      <c r="S41" t="str">
        <f t="shared" si="0"/>
        <v>Short PUSH-PULL-pulse on elevator, AOA change ~±3°</v>
      </c>
      <c r="T41" t="s">
        <v>118</v>
      </c>
      <c r="U41" t="s">
        <v>119</v>
      </c>
      <c r="V41" t="s">
        <v>31</v>
      </c>
      <c r="W41" t="s">
        <v>31</v>
      </c>
      <c r="X41" t="s">
        <v>31</v>
      </c>
      <c r="Y41" t="s">
        <v>120</v>
      </c>
      <c r="Z41" t="s">
        <v>121</v>
      </c>
      <c r="AA41" t="s">
        <v>122</v>
      </c>
    </row>
    <row r="42" spans="1:27" ht="14.25" customHeight="1" x14ac:dyDescent="0.35">
      <c r="A42" s="61">
        <v>402</v>
      </c>
      <c r="B42">
        <v>40</v>
      </c>
      <c r="C42" s="7">
        <v>8</v>
      </c>
      <c r="D42" t="s">
        <v>111</v>
      </c>
      <c r="E42">
        <v>1</v>
      </c>
      <c r="G42">
        <v>3</v>
      </c>
      <c r="H42" t="s">
        <v>27</v>
      </c>
      <c r="I42" t="s">
        <v>70</v>
      </c>
      <c r="J42" t="str">
        <f>LOOKUP(I42,'Flight Test Matrix - Overview'!$V$34:$V$36,'Flight Test Matrix - Overview'!$X$25:$X$27)</f>
        <v>3500 ft</v>
      </c>
      <c r="K42" t="s">
        <v>62</v>
      </c>
      <c r="L42" t="s">
        <v>68</v>
      </c>
      <c r="M42">
        <f>LOOKUP(L42,'Flight Test Matrix - Overview'!$M$34:$M$36,'Flight Test Matrix - Overview'!$O$34:$O$36)</f>
        <v>70</v>
      </c>
      <c r="N42" t="s">
        <v>58</v>
      </c>
      <c r="O42" t="str">
        <f>LOOKUP(N42,'Flight Test Matrix - Overview'!$Q$34:$Q$36,'Flight Test Matrix - Overview'!$S$34:$S$36)</f>
        <v>fly level</v>
      </c>
      <c r="P42" t="s">
        <v>114</v>
      </c>
      <c r="Q42" t="s">
        <v>115</v>
      </c>
      <c r="R42" t="s">
        <v>116</v>
      </c>
      <c r="S42" t="str">
        <f t="shared" si="0"/>
        <v>Short PUSH-PULL-pulse on elevator, AOA change ~±3°</v>
      </c>
      <c r="T42" t="s">
        <v>118</v>
      </c>
      <c r="U42" t="s">
        <v>119</v>
      </c>
      <c r="V42" t="s">
        <v>31</v>
      </c>
      <c r="W42" t="s">
        <v>31</v>
      </c>
      <c r="X42" t="s">
        <v>31</v>
      </c>
      <c r="Y42" t="s">
        <v>120</v>
      </c>
      <c r="Z42" t="s">
        <v>121</v>
      </c>
      <c r="AA42" t="s">
        <v>122</v>
      </c>
    </row>
    <row r="43" spans="1:27" ht="14.25" customHeight="1" x14ac:dyDescent="0.35">
      <c r="A43" s="61">
        <v>41</v>
      </c>
      <c r="B43">
        <v>41</v>
      </c>
      <c r="C43" s="7">
        <v>8</v>
      </c>
      <c r="D43" t="s">
        <v>111</v>
      </c>
      <c r="E43">
        <v>1</v>
      </c>
      <c r="G43">
        <v>3</v>
      </c>
      <c r="H43" t="s">
        <v>27</v>
      </c>
      <c r="I43" t="s">
        <v>70</v>
      </c>
      <c r="J43" t="str">
        <f>LOOKUP(I43,'Flight Test Matrix - Overview'!$V$34:$V$36,'Flight Test Matrix - Overview'!$X$25:$X$27)</f>
        <v>3500 ft</v>
      </c>
      <c r="K43" t="s">
        <v>62</v>
      </c>
      <c r="L43" t="s">
        <v>58</v>
      </c>
      <c r="M43">
        <f>LOOKUP(L43,'Flight Test Matrix - Overview'!$M$34:$M$36,'Flight Test Matrix - Overview'!$O$34:$O$36)</f>
        <v>80</v>
      </c>
      <c r="N43" t="s">
        <v>58</v>
      </c>
      <c r="O43" t="str">
        <f>LOOKUP(N43,'Flight Test Matrix - Overview'!$Q$34:$Q$36,'Flight Test Matrix - Overview'!$S$34:$S$36)</f>
        <v>fly level</v>
      </c>
      <c r="P43" t="s">
        <v>125</v>
      </c>
      <c r="Q43" t="s">
        <v>115</v>
      </c>
      <c r="R43" t="s">
        <v>116</v>
      </c>
      <c r="S43" t="str">
        <f t="shared" si="0"/>
        <v>Short PULL-PUSH-pulse on elevator, AOA change ~±3°</v>
      </c>
      <c r="T43" t="s">
        <v>118</v>
      </c>
      <c r="U43" t="s">
        <v>119</v>
      </c>
      <c r="V43" t="s">
        <v>31</v>
      </c>
      <c r="W43" t="s">
        <v>31</v>
      </c>
      <c r="X43" t="s">
        <v>31</v>
      </c>
      <c r="Y43" t="s">
        <v>120</v>
      </c>
      <c r="Z43" t="s">
        <v>121</v>
      </c>
      <c r="AA43" t="s">
        <v>122</v>
      </c>
    </row>
    <row r="44" spans="1:27" ht="14.25" customHeight="1" x14ac:dyDescent="0.35">
      <c r="A44" s="61">
        <v>42</v>
      </c>
      <c r="B44">
        <v>42</v>
      </c>
      <c r="C44" s="7">
        <v>8</v>
      </c>
      <c r="D44" t="s">
        <v>111</v>
      </c>
      <c r="E44">
        <v>1</v>
      </c>
      <c r="G44">
        <v>3</v>
      </c>
      <c r="H44" t="s">
        <v>27</v>
      </c>
      <c r="I44" t="s">
        <v>70</v>
      </c>
      <c r="J44" t="str">
        <f>LOOKUP(I44,'Flight Test Matrix - Overview'!$V$34:$V$36,'Flight Test Matrix - Overview'!$X$25:$X$27)</f>
        <v>3500 ft</v>
      </c>
      <c r="K44" t="s">
        <v>62</v>
      </c>
      <c r="L44" t="s">
        <v>58</v>
      </c>
      <c r="M44">
        <f>LOOKUP(L44,'Flight Test Matrix - Overview'!$M$34:$M$36,'Flight Test Matrix - Overview'!$O$34:$O$36)</f>
        <v>80</v>
      </c>
      <c r="N44" t="s">
        <v>58</v>
      </c>
      <c r="O44" t="str">
        <f>LOOKUP(N44,'Flight Test Matrix - Overview'!$Q$34:$Q$36,'Flight Test Matrix - Overview'!$S$34:$S$36)</f>
        <v>fly level</v>
      </c>
      <c r="P44" t="s">
        <v>125</v>
      </c>
      <c r="Q44" t="s">
        <v>115</v>
      </c>
      <c r="R44" t="s">
        <v>116</v>
      </c>
      <c r="S44" t="str">
        <f t="shared" si="0"/>
        <v>Short PULL-PUSH-pulse on elevator, AOA change ~±3°</v>
      </c>
      <c r="T44" t="s">
        <v>118</v>
      </c>
      <c r="U44" t="s">
        <v>119</v>
      </c>
      <c r="V44" t="s">
        <v>31</v>
      </c>
      <c r="W44" t="s">
        <v>31</v>
      </c>
      <c r="X44" t="s">
        <v>31</v>
      </c>
      <c r="Y44" t="s">
        <v>120</v>
      </c>
      <c r="Z44" t="s">
        <v>121</v>
      </c>
      <c r="AA44" t="s">
        <v>122</v>
      </c>
    </row>
    <row r="45" spans="1:27" ht="14.25" customHeight="1" x14ac:dyDescent="0.35">
      <c r="A45" s="61">
        <v>43</v>
      </c>
      <c r="B45">
        <v>43</v>
      </c>
      <c r="C45" s="7">
        <v>10</v>
      </c>
      <c r="D45" t="s">
        <v>111</v>
      </c>
      <c r="E45">
        <v>0</v>
      </c>
      <c r="G45">
        <v>3</v>
      </c>
      <c r="H45" t="s">
        <v>27</v>
      </c>
      <c r="I45" t="s">
        <v>70</v>
      </c>
      <c r="J45" t="str">
        <f>LOOKUP(I45,'Flight Test Matrix - Overview'!$V$34:$V$36,'Flight Test Matrix - Overview'!$X$25:$X$27)</f>
        <v>3500 ft</v>
      </c>
      <c r="K45" t="s">
        <v>62</v>
      </c>
      <c r="L45" t="s">
        <v>58</v>
      </c>
      <c r="M45">
        <f>LOOKUP(L45,'Flight Test Matrix - Overview'!$M$34:$M$36,'Flight Test Matrix - Overview'!$O$34:$O$36)</f>
        <v>80</v>
      </c>
      <c r="N45" t="s">
        <v>58</v>
      </c>
      <c r="O45" t="str">
        <f>LOOKUP(N45,'Flight Test Matrix - Overview'!$Q$34:$Q$36,'Flight Test Matrix - Overview'!$S$34:$S$36)</f>
        <v>fly level</v>
      </c>
      <c r="P45" t="s">
        <v>114</v>
      </c>
      <c r="Q45" t="s">
        <v>115</v>
      </c>
      <c r="R45" t="s">
        <v>116</v>
      </c>
      <c r="S45" t="str">
        <f t="shared" si="0"/>
        <v>Short PUSH-PULL-pulse on elevator, AOA change ~±3°</v>
      </c>
      <c r="T45" t="s">
        <v>118</v>
      </c>
      <c r="U45" t="s">
        <v>119</v>
      </c>
      <c r="V45" t="s">
        <v>31</v>
      </c>
      <c r="W45" t="s">
        <v>31</v>
      </c>
      <c r="X45" t="s">
        <v>31</v>
      </c>
      <c r="Y45" t="s">
        <v>120</v>
      </c>
      <c r="Z45" t="s">
        <v>121</v>
      </c>
      <c r="AA45" t="s">
        <v>122</v>
      </c>
    </row>
    <row r="46" spans="1:27" ht="14.25" customHeight="1" x14ac:dyDescent="0.35">
      <c r="A46" s="61">
        <v>44</v>
      </c>
      <c r="B46">
        <v>44</v>
      </c>
      <c r="C46" s="7">
        <v>10</v>
      </c>
      <c r="D46" t="s">
        <v>111</v>
      </c>
      <c r="E46">
        <v>0</v>
      </c>
      <c r="G46">
        <v>3</v>
      </c>
      <c r="H46" t="s">
        <v>27</v>
      </c>
      <c r="I46" t="s">
        <v>70</v>
      </c>
      <c r="J46" t="str">
        <f>LOOKUP(I46,'Flight Test Matrix - Overview'!$V$34:$V$36,'Flight Test Matrix - Overview'!$X$25:$X$27)</f>
        <v>3500 ft</v>
      </c>
      <c r="K46" t="s">
        <v>62</v>
      </c>
      <c r="L46" t="s">
        <v>58</v>
      </c>
      <c r="M46">
        <f>LOOKUP(L46,'Flight Test Matrix - Overview'!$M$34:$M$36,'Flight Test Matrix - Overview'!$O$34:$O$36)</f>
        <v>80</v>
      </c>
      <c r="N46" t="s">
        <v>58</v>
      </c>
      <c r="O46" t="str">
        <f>LOOKUP(N46,'Flight Test Matrix - Overview'!$Q$34:$Q$36,'Flight Test Matrix - Overview'!$S$34:$S$36)</f>
        <v>fly level</v>
      </c>
      <c r="P46" t="s">
        <v>114</v>
      </c>
      <c r="Q46" t="s">
        <v>115</v>
      </c>
      <c r="R46" t="s">
        <v>116</v>
      </c>
      <c r="S46" t="str">
        <f t="shared" si="0"/>
        <v>Short PUSH-PULL-pulse on elevator, AOA change ~±3°</v>
      </c>
      <c r="T46" t="s">
        <v>118</v>
      </c>
      <c r="U46" t="s">
        <v>119</v>
      </c>
      <c r="V46" t="s">
        <v>31</v>
      </c>
      <c r="W46" t="s">
        <v>31</v>
      </c>
      <c r="X46" t="s">
        <v>31</v>
      </c>
      <c r="Y46" t="s">
        <v>120</v>
      </c>
      <c r="Z46" t="s">
        <v>121</v>
      </c>
      <c r="AA46" t="s">
        <v>122</v>
      </c>
    </row>
    <row r="47" spans="1:27" ht="14.25" customHeight="1" x14ac:dyDescent="0.35">
      <c r="A47" s="61">
        <v>45</v>
      </c>
      <c r="B47">
        <v>45</v>
      </c>
      <c r="C47" s="7">
        <v>10</v>
      </c>
      <c r="D47" t="s">
        <v>111</v>
      </c>
      <c r="E47">
        <v>0</v>
      </c>
      <c r="G47">
        <v>3</v>
      </c>
      <c r="H47" t="s">
        <v>27</v>
      </c>
      <c r="I47" t="s">
        <v>70</v>
      </c>
      <c r="J47" t="str">
        <f>LOOKUP(I47,'Flight Test Matrix - Overview'!$V$34:$V$36,'Flight Test Matrix - Overview'!$X$25:$X$27)</f>
        <v>3500 ft</v>
      </c>
      <c r="K47" t="s">
        <v>62</v>
      </c>
      <c r="L47" t="s">
        <v>70</v>
      </c>
      <c r="M47">
        <f>LOOKUP(L47,'Flight Test Matrix - Overview'!$M$34:$M$36,'Flight Test Matrix - Overview'!$O$34:$O$36)</f>
        <v>95</v>
      </c>
      <c r="N47" t="s">
        <v>58</v>
      </c>
      <c r="O47" t="str">
        <f>LOOKUP(N47,'Flight Test Matrix - Overview'!$Q$34:$Q$36,'Flight Test Matrix - Overview'!$S$34:$S$36)</f>
        <v>fly level</v>
      </c>
      <c r="P47" t="s">
        <v>125</v>
      </c>
      <c r="Q47" t="s">
        <v>115</v>
      </c>
      <c r="R47" t="s">
        <v>116</v>
      </c>
      <c r="S47" t="str">
        <f t="shared" si="0"/>
        <v>Short PULL-PUSH-pulse on elevator, AOA change ~±3°</v>
      </c>
      <c r="T47" t="s">
        <v>118</v>
      </c>
      <c r="U47" t="s">
        <v>119</v>
      </c>
      <c r="V47" t="s">
        <v>31</v>
      </c>
      <c r="W47" t="s">
        <v>31</v>
      </c>
      <c r="X47" t="s">
        <v>31</v>
      </c>
      <c r="Y47" t="s">
        <v>120</v>
      </c>
      <c r="Z47" t="s">
        <v>121</v>
      </c>
      <c r="AA47" t="s">
        <v>122</v>
      </c>
    </row>
    <row r="48" spans="1:27" ht="14.25" customHeight="1" x14ac:dyDescent="0.35">
      <c r="A48" s="61">
        <v>46</v>
      </c>
      <c r="B48">
        <v>46</v>
      </c>
      <c r="C48" s="7">
        <v>17</v>
      </c>
      <c r="D48" t="s">
        <v>111</v>
      </c>
      <c r="E48">
        <v>0</v>
      </c>
      <c r="G48">
        <v>3</v>
      </c>
      <c r="H48" t="s">
        <v>27</v>
      </c>
      <c r="I48" t="s">
        <v>70</v>
      </c>
      <c r="J48" t="str">
        <f>LOOKUP(I48,'Flight Test Matrix - Overview'!$V$34:$V$36,'Flight Test Matrix - Overview'!$X$25:$X$27)</f>
        <v>3500 ft</v>
      </c>
      <c r="K48" t="s">
        <v>62</v>
      </c>
      <c r="L48" t="s">
        <v>70</v>
      </c>
      <c r="M48">
        <f>LOOKUP(L48,'Flight Test Matrix - Overview'!$M$34:$M$36,'Flight Test Matrix - Overview'!$O$34:$O$36)</f>
        <v>95</v>
      </c>
      <c r="N48" t="s">
        <v>58</v>
      </c>
      <c r="O48" t="str">
        <f>LOOKUP(N48,'Flight Test Matrix - Overview'!$Q$34:$Q$36,'Flight Test Matrix - Overview'!$S$34:$S$36)</f>
        <v>fly level</v>
      </c>
      <c r="P48" t="s">
        <v>125</v>
      </c>
      <c r="Q48" t="s">
        <v>115</v>
      </c>
      <c r="R48" t="s">
        <v>116</v>
      </c>
      <c r="S48" t="str">
        <f t="shared" si="0"/>
        <v>Short PULL-PUSH-pulse on elevator, AOA change ~±3°</v>
      </c>
      <c r="T48" t="s">
        <v>118</v>
      </c>
      <c r="U48" t="s">
        <v>119</v>
      </c>
      <c r="V48" t="s">
        <v>31</v>
      </c>
      <c r="W48" t="s">
        <v>31</v>
      </c>
      <c r="X48" t="s">
        <v>31</v>
      </c>
      <c r="Y48" t="s">
        <v>120</v>
      </c>
      <c r="Z48" t="s">
        <v>121</v>
      </c>
      <c r="AA48" t="s">
        <v>122</v>
      </c>
    </row>
    <row r="49" spans="1:27" ht="14.25" customHeight="1" x14ac:dyDescent="0.35">
      <c r="A49" s="61">
        <v>47</v>
      </c>
      <c r="B49">
        <v>47</v>
      </c>
      <c r="C49" s="7">
        <v>17</v>
      </c>
      <c r="D49" t="s">
        <v>111</v>
      </c>
      <c r="E49">
        <v>0</v>
      </c>
      <c r="G49">
        <v>3</v>
      </c>
      <c r="H49" t="s">
        <v>27</v>
      </c>
      <c r="I49" t="s">
        <v>70</v>
      </c>
      <c r="J49" t="str">
        <f>LOOKUP(I49,'Flight Test Matrix - Overview'!$V$34:$V$36,'Flight Test Matrix - Overview'!$X$25:$X$27)</f>
        <v>3500 ft</v>
      </c>
      <c r="K49" t="s">
        <v>62</v>
      </c>
      <c r="L49" t="s">
        <v>70</v>
      </c>
      <c r="M49">
        <f>LOOKUP(L49,'Flight Test Matrix - Overview'!$M$34:$M$36,'Flight Test Matrix - Overview'!$O$34:$O$36)</f>
        <v>95</v>
      </c>
      <c r="N49" t="s">
        <v>58</v>
      </c>
      <c r="O49" t="str">
        <f>LOOKUP(N49,'Flight Test Matrix - Overview'!$Q$34:$Q$36,'Flight Test Matrix - Overview'!$S$34:$S$36)</f>
        <v>fly level</v>
      </c>
      <c r="P49" t="s">
        <v>114</v>
      </c>
      <c r="Q49" t="s">
        <v>115</v>
      </c>
      <c r="R49" t="s">
        <v>116</v>
      </c>
      <c r="S49" t="str">
        <f t="shared" si="0"/>
        <v>Short PUSH-PULL-pulse on elevator, AOA change ~±3°</v>
      </c>
      <c r="T49" t="s">
        <v>118</v>
      </c>
      <c r="U49" t="s">
        <v>119</v>
      </c>
      <c r="V49" t="s">
        <v>31</v>
      </c>
      <c r="W49" t="s">
        <v>31</v>
      </c>
      <c r="X49" t="s">
        <v>31</v>
      </c>
      <c r="Y49" t="s">
        <v>120</v>
      </c>
      <c r="Z49" t="s">
        <v>121</v>
      </c>
      <c r="AA49" t="s">
        <v>122</v>
      </c>
    </row>
    <row r="50" spans="1:27" ht="14.25" customHeight="1" x14ac:dyDescent="0.35">
      <c r="A50" s="61">
        <v>48</v>
      </c>
      <c r="B50">
        <v>48</v>
      </c>
      <c r="C50" s="7">
        <v>12</v>
      </c>
      <c r="D50" t="s">
        <v>111</v>
      </c>
      <c r="E50">
        <v>0</v>
      </c>
      <c r="G50">
        <v>3</v>
      </c>
      <c r="H50" t="s">
        <v>27</v>
      </c>
      <c r="I50" t="s">
        <v>70</v>
      </c>
      <c r="J50" t="str">
        <f>LOOKUP(I50,'Flight Test Matrix - Overview'!$V$34:$V$36,'Flight Test Matrix - Overview'!$X$25:$X$27)</f>
        <v>3500 ft</v>
      </c>
      <c r="K50" t="s">
        <v>62</v>
      </c>
      <c r="L50" t="s">
        <v>70</v>
      </c>
      <c r="M50">
        <f>LOOKUP(L50,'Flight Test Matrix - Overview'!$M$34:$M$36,'Flight Test Matrix - Overview'!$O$34:$O$36)</f>
        <v>95</v>
      </c>
      <c r="N50" t="s">
        <v>58</v>
      </c>
      <c r="O50" t="str">
        <f>LOOKUP(N50,'Flight Test Matrix - Overview'!$Q$34:$Q$36,'Flight Test Matrix - Overview'!$S$34:$S$36)</f>
        <v>fly level</v>
      </c>
      <c r="P50" t="s">
        <v>114</v>
      </c>
      <c r="Q50" t="s">
        <v>115</v>
      </c>
      <c r="R50" t="s">
        <v>116</v>
      </c>
      <c r="S50" t="str">
        <f t="shared" si="0"/>
        <v>Short PUSH-PULL-pulse on elevator, AOA change ~±3°</v>
      </c>
      <c r="T50" t="s">
        <v>118</v>
      </c>
      <c r="U50" t="s">
        <v>119</v>
      </c>
      <c r="V50" t="s">
        <v>31</v>
      </c>
      <c r="W50" t="s">
        <v>31</v>
      </c>
      <c r="X50" t="s">
        <v>31</v>
      </c>
      <c r="Y50" t="s">
        <v>120</v>
      </c>
      <c r="Z50" t="s">
        <v>121</v>
      </c>
      <c r="AA50" t="s">
        <v>122</v>
      </c>
    </row>
    <row r="51" spans="1:27" ht="14.25" customHeight="1" x14ac:dyDescent="0.35">
      <c r="A51" s="61">
        <v>49</v>
      </c>
      <c r="B51">
        <v>49</v>
      </c>
      <c r="C51" s="7">
        <v>15</v>
      </c>
      <c r="D51" s="93" t="s">
        <v>167</v>
      </c>
      <c r="E51">
        <v>1</v>
      </c>
      <c r="G51">
        <v>3</v>
      </c>
      <c r="H51" t="s">
        <v>26</v>
      </c>
      <c r="I51" t="s">
        <v>58</v>
      </c>
      <c r="J51" t="str">
        <f>LOOKUP(I51,'Flight Test Matrix - Overview'!$V$34:$V$36,'Flight Test Matrix - Overview'!$X$25:$X$27)</f>
        <v>6500 ft</v>
      </c>
      <c r="K51" t="s">
        <v>62</v>
      </c>
      <c r="L51" t="s">
        <v>58</v>
      </c>
      <c r="M51">
        <f>LOOKUP(L51,'Flight Test Matrix - Overview'!$M$34:$M$36,'Flight Test Matrix - Overview'!$O$34:$O$36)</f>
        <v>80</v>
      </c>
      <c r="N51" t="s">
        <v>68</v>
      </c>
      <c r="O51" t="str">
        <f>LOOKUP(N51,'Flight Test Matrix - Overview'!$Q$34:$Q$36,'Flight Test Matrix - Overview'!$S$34:$S$36)</f>
        <v>descent</v>
      </c>
      <c r="P51" t="s">
        <v>114</v>
      </c>
      <c r="Q51" t="s">
        <v>115</v>
      </c>
      <c r="R51" t="s">
        <v>116</v>
      </c>
      <c r="S51" t="str">
        <f t="shared" si="0"/>
        <v>Short PUSH-PULL-pulse on elevator, AOA change ~±3°</v>
      </c>
      <c r="T51" t="s">
        <v>118</v>
      </c>
      <c r="U51" t="s">
        <v>119</v>
      </c>
      <c r="V51" t="s">
        <v>31</v>
      </c>
      <c r="W51" t="s">
        <v>31</v>
      </c>
      <c r="X51" t="s">
        <v>31</v>
      </c>
      <c r="Y51" t="s">
        <v>120</v>
      </c>
      <c r="Z51" t="s">
        <v>121</v>
      </c>
      <c r="AA51" t="s">
        <v>122</v>
      </c>
    </row>
    <row r="52" spans="1:27" ht="14.25" customHeight="1" x14ac:dyDescent="0.35">
      <c r="A52" s="61">
        <v>50</v>
      </c>
      <c r="B52">
        <v>50</v>
      </c>
      <c r="C52" s="7">
        <v>15</v>
      </c>
      <c r="D52" s="93" t="s">
        <v>167</v>
      </c>
      <c r="E52">
        <v>1</v>
      </c>
      <c r="G52">
        <v>3</v>
      </c>
      <c r="H52" t="s">
        <v>26</v>
      </c>
      <c r="I52" t="s">
        <v>58</v>
      </c>
      <c r="J52" t="str">
        <f>LOOKUP(I52,'Flight Test Matrix - Overview'!$V$34:$V$36,'Flight Test Matrix - Overview'!$X$25:$X$27)</f>
        <v>6500 ft</v>
      </c>
      <c r="K52" t="s">
        <v>62</v>
      </c>
      <c r="L52" t="s">
        <v>58</v>
      </c>
      <c r="M52">
        <f>LOOKUP(L52,'Flight Test Matrix - Overview'!$M$34:$M$36,'Flight Test Matrix - Overview'!$O$34:$O$36)</f>
        <v>80</v>
      </c>
      <c r="N52" t="s">
        <v>68</v>
      </c>
      <c r="O52" t="str">
        <f>LOOKUP(N52,'Flight Test Matrix - Overview'!$Q$34:$Q$36,'Flight Test Matrix - Overview'!$S$34:$S$36)</f>
        <v>descent</v>
      </c>
      <c r="P52" t="s">
        <v>114</v>
      </c>
      <c r="Q52" t="s">
        <v>115</v>
      </c>
      <c r="R52" t="s">
        <v>116</v>
      </c>
      <c r="S52" t="str">
        <f t="shared" si="0"/>
        <v>Short PUSH-PULL-pulse on elevator, AOA change ~±3°</v>
      </c>
      <c r="T52" t="s">
        <v>118</v>
      </c>
      <c r="U52" t="s">
        <v>119</v>
      </c>
      <c r="V52" t="s">
        <v>31</v>
      </c>
      <c r="W52" t="s">
        <v>31</v>
      </c>
      <c r="X52" t="s">
        <v>31</v>
      </c>
      <c r="Y52" t="s">
        <v>120</v>
      </c>
      <c r="Z52" t="s">
        <v>121</v>
      </c>
      <c r="AA52" t="s">
        <v>122</v>
      </c>
    </row>
    <row r="53" spans="1:27" ht="14.25" customHeight="1" x14ac:dyDescent="0.35">
      <c r="A53" s="61">
        <v>51</v>
      </c>
      <c r="B53">
        <v>51</v>
      </c>
      <c r="C53" s="7">
        <v>7</v>
      </c>
      <c r="D53" s="93" t="s">
        <v>167</v>
      </c>
      <c r="E53">
        <v>1</v>
      </c>
      <c r="G53">
        <v>3</v>
      </c>
      <c r="H53" t="s">
        <v>26</v>
      </c>
      <c r="I53" t="s">
        <v>58</v>
      </c>
      <c r="J53" t="str">
        <f>LOOKUP(I53,'Flight Test Matrix - Overview'!$V$34:$V$36,'Flight Test Matrix - Overview'!$X$25:$X$27)</f>
        <v>6500 ft</v>
      </c>
      <c r="K53" t="s">
        <v>62</v>
      </c>
      <c r="L53" t="s">
        <v>58</v>
      </c>
      <c r="M53">
        <f>LOOKUP(L53,'Flight Test Matrix - Overview'!$M$34:$M$36,'Flight Test Matrix - Overview'!$O$34:$O$36)</f>
        <v>80</v>
      </c>
      <c r="N53" t="s">
        <v>71</v>
      </c>
      <c r="O53" t="str">
        <f>LOOKUP(N53,'Flight Test Matrix - Overview'!$Q$34:$Q$36,'Flight Test Matrix - Overview'!$S$34:$S$36)</f>
        <v>descent</v>
      </c>
      <c r="P53" t="s">
        <v>114</v>
      </c>
      <c r="Q53" t="s">
        <v>115</v>
      </c>
      <c r="R53" t="s">
        <v>116</v>
      </c>
      <c r="S53" t="str">
        <f t="shared" si="0"/>
        <v>Short PUSH-PULL-pulse on elevator, AOA change ~±3°</v>
      </c>
      <c r="T53" t="s">
        <v>118</v>
      </c>
      <c r="U53" t="s">
        <v>119</v>
      </c>
      <c r="V53" t="s">
        <v>31</v>
      </c>
      <c r="W53" t="s">
        <v>31</v>
      </c>
      <c r="X53" t="s">
        <v>31</v>
      </c>
      <c r="Y53" t="s">
        <v>120</v>
      </c>
      <c r="Z53" t="s">
        <v>121</v>
      </c>
      <c r="AA53" t="s">
        <v>122</v>
      </c>
    </row>
    <row r="54" spans="1:27" ht="14.25" customHeight="1" x14ac:dyDescent="0.35">
      <c r="A54" s="61">
        <v>52</v>
      </c>
      <c r="B54">
        <v>52</v>
      </c>
      <c r="C54" s="7">
        <v>11</v>
      </c>
      <c r="D54" s="93" t="s">
        <v>167</v>
      </c>
      <c r="E54">
        <v>1</v>
      </c>
      <c r="G54">
        <v>3</v>
      </c>
      <c r="H54" t="s">
        <v>26</v>
      </c>
      <c r="I54" t="s">
        <v>58</v>
      </c>
      <c r="J54" t="str">
        <f>LOOKUP(I54,'Flight Test Matrix - Overview'!$V$34:$V$36,'Flight Test Matrix - Overview'!$X$25:$X$27)</f>
        <v>6500 ft</v>
      </c>
      <c r="K54" t="s">
        <v>62</v>
      </c>
      <c r="L54" t="s">
        <v>58</v>
      </c>
      <c r="M54">
        <f>LOOKUP(L54,'Flight Test Matrix - Overview'!$M$34:$M$36,'Flight Test Matrix - Overview'!$O$34:$O$36)</f>
        <v>80</v>
      </c>
      <c r="N54" t="s">
        <v>71</v>
      </c>
      <c r="O54" t="str">
        <f>LOOKUP(N54,'Flight Test Matrix - Overview'!$Q$34:$Q$36,'Flight Test Matrix - Overview'!$S$34:$S$36)</f>
        <v>descent</v>
      </c>
      <c r="P54" t="s">
        <v>114</v>
      </c>
      <c r="Q54" t="s">
        <v>115</v>
      </c>
      <c r="R54" t="s">
        <v>116</v>
      </c>
      <c r="S54" t="str">
        <f t="shared" si="0"/>
        <v>Short PUSH-PULL-pulse on elevator, AOA change ~±3°</v>
      </c>
      <c r="T54" t="s">
        <v>118</v>
      </c>
      <c r="U54" t="s">
        <v>119</v>
      </c>
      <c r="V54" t="s">
        <v>31</v>
      </c>
      <c r="W54" t="s">
        <v>31</v>
      </c>
      <c r="X54" t="s">
        <v>31</v>
      </c>
      <c r="Y54" t="s">
        <v>120</v>
      </c>
      <c r="Z54" t="s">
        <v>121</v>
      </c>
      <c r="AA54" t="s">
        <v>122</v>
      </c>
    </row>
    <row r="55" spans="1:27" ht="14.25" customHeight="1" x14ac:dyDescent="0.35">
      <c r="A55" s="61">
        <v>53</v>
      </c>
      <c r="B55">
        <v>53</v>
      </c>
      <c r="C55" s="7">
        <v>1</v>
      </c>
      <c r="D55" t="s">
        <v>82</v>
      </c>
      <c r="E55">
        <v>1</v>
      </c>
      <c r="F55">
        <v>1</v>
      </c>
      <c r="G55">
        <v>5</v>
      </c>
      <c r="H55" t="s">
        <v>26</v>
      </c>
      <c r="I55" t="s">
        <v>58</v>
      </c>
      <c r="J55" t="str">
        <f>LOOKUP(I55,'Flight Test Matrix - Overview'!$V$34:$V$36,'Flight Test Matrix - Overview'!$X$25:$X$27)</f>
        <v>6500 ft</v>
      </c>
      <c r="K55" t="s">
        <v>62</v>
      </c>
      <c r="L55" t="s">
        <v>58</v>
      </c>
      <c r="M55">
        <f>LOOKUP(L55,'Flight Test Matrix - Overview'!$M$34:$M$36,'Flight Test Matrix - Overview'!$O$34:$O$36)</f>
        <v>80</v>
      </c>
      <c r="N55" t="s">
        <v>58</v>
      </c>
      <c r="O55" t="str">
        <f>LOOKUP(N55,'Flight Test Matrix - Overview'!$Q$34:$Q$36,'Flight Test Matrix - Overview'!$S$34:$S$36)</f>
        <v>fly level</v>
      </c>
      <c r="P55" t="s">
        <v>168</v>
      </c>
      <c r="Q55" t="s">
        <v>169</v>
      </c>
      <c r="R55" t="s">
        <v>116</v>
      </c>
      <c r="S55" t="str">
        <f t="shared" ref="S55:S70" si="1">P55 &amp; " Elevator until IAS " &amp; IF(P55="Push",M55*1.15,M55*0.85)</f>
        <v>PUSH Elevator until IAS 92</v>
      </c>
      <c r="T55" t="s">
        <v>170</v>
      </c>
      <c r="U55" t="s">
        <v>31</v>
      </c>
      <c r="V55" t="s">
        <v>31</v>
      </c>
      <c r="W55" t="s">
        <v>31</v>
      </c>
      <c r="X55" t="s">
        <v>31</v>
      </c>
      <c r="Y55" t="s">
        <v>120</v>
      </c>
      <c r="Z55" t="s">
        <v>171</v>
      </c>
      <c r="AA55" t="s">
        <v>122</v>
      </c>
    </row>
    <row r="56" spans="1:27" ht="14.25" customHeight="1" x14ac:dyDescent="0.35">
      <c r="A56" s="61">
        <v>54</v>
      </c>
      <c r="B56">
        <v>54</v>
      </c>
      <c r="C56" s="7">
        <v>3</v>
      </c>
      <c r="D56" t="s">
        <v>82</v>
      </c>
      <c r="E56">
        <v>1</v>
      </c>
      <c r="F56">
        <v>0.5</v>
      </c>
      <c r="G56">
        <v>5</v>
      </c>
      <c r="H56" t="s">
        <v>26</v>
      </c>
      <c r="I56" t="s">
        <v>58</v>
      </c>
      <c r="J56" t="str">
        <f>LOOKUP(I56,'Flight Test Matrix - Overview'!$V$34:$V$36,'Flight Test Matrix - Overview'!$X$25:$X$27)</f>
        <v>6500 ft</v>
      </c>
      <c r="K56" t="s">
        <v>62</v>
      </c>
      <c r="L56" t="s">
        <v>58</v>
      </c>
      <c r="M56">
        <f>LOOKUP(L56,'Flight Test Matrix - Overview'!$M$34:$M$36,'Flight Test Matrix - Overview'!$O$34:$O$36)</f>
        <v>80</v>
      </c>
      <c r="N56" t="s">
        <v>58</v>
      </c>
      <c r="O56" t="str">
        <f>LOOKUP(N56,'Flight Test Matrix - Overview'!$Q$34:$Q$36,'Flight Test Matrix - Overview'!$S$34:$S$36)</f>
        <v>fly level</v>
      </c>
      <c r="P56" t="s">
        <v>168</v>
      </c>
      <c r="Q56" t="s">
        <v>169</v>
      </c>
      <c r="R56" t="s">
        <v>116</v>
      </c>
      <c r="S56" t="str">
        <f t="shared" si="1"/>
        <v>PUSH Elevator until IAS 92</v>
      </c>
      <c r="T56" t="s">
        <v>170</v>
      </c>
      <c r="U56" t="s">
        <v>31</v>
      </c>
      <c r="V56" t="s">
        <v>31</v>
      </c>
      <c r="W56" t="s">
        <v>31</v>
      </c>
      <c r="X56" t="s">
        <v>31</v>
      </c>
      <c r="Y56" t="s">
        <v>120</v>
      </c>
      <c r="Z56" t="s">
        <v>171</v>
      </c>
      <c r="AA56" t="s">
        <v>122</v>
      </c>
    </row>
    <row r="57" spans="1:27" ht="14.25" customHeight="1" x14ac:dyDescent="0.35">
      <c r="A57" s="61">
        <v>55</v>
      </c>
      <c r="B57">
        <v>55</v>
      </c>
      <c r="C57" s="7">
        <v>5</v>
      </c>
      <c r="D57" t="s">
        <v>82</v>
      </c>
      <c r="E57">
        <v>1</v>
      </c>
      <c r="G57">
        <v>5</v>
      </c>
      <c r="H57" t="s">
        <v>26</v>
      </c>
      <c r="I57" t="s">
        <v>58</v>
      </c>
      <c r="J57" t="str">
        <f>LOOKUP(I57,'Flight Test Matrix - Overview'!$V$34:$V$36,'Flight Test Matrix - Overview'!$X$25:$X$27)</f>
        <v>6500 ft</v>
      </c>
      <c r="K57" t="s">
        <v>62</v>
      </c>
      <c r="L57" t="s">
        <v>58</v>
      </c>
      <c r="M57">
        <f>LOOKUP(L57,'Flight Test Matrix - Overview'!$M$34:$M$36,'Flight Test Matrix - Overview'!$O$34:$O$36)</f>
        <v>80</v>
      </c>
      <c r="N57" t="s">
        <v>58</v>
      </c>
      <c r="O57" t="str">
        <f>LOOKUP(N57,'Flight Test Matrix - Overview'!$Q$34:$Q$36,'Flight Test Matrix - Overview'!$S$34:$S$36)</f>
        <v>fly level</v>
      </c>
      <c r="P57" t="s">
        <v>172</v>
      </c>
      <c r="Q57" t="s">
        <v>169</v>
      </c>
      <c r="R57" t="s">
        <v>116</v>
      </c>
      <c r="S57" t="str">
        <f t="shared" si="1"/>
        <v>PULL Elevator until IAS 68</v>
      </c>
      <c r="T57" t="s">
        <v>170</v>
      </c>
      <c r="U57" t="s">
        <v>31</v>
      </c>
      <c r="V57" t="s">
        <v>31</v>
      </c>
      <c r="W57" t="s">
        <v>31</v>
      </c>
      <c r="X57" t="s">
        <v>31</v>
      </c>
      <c r="Y57" t="s">
        <v>120</v>
      </c>
      <c r="Z57" t="s">
        <v>171</v>
      </c>
      <c r="AA57" t="s">
        <v>122</v>
      </c>
    </row>
    <row r="58" spans="1:27" ht="14.25" customHeight="1" x14ac:dyDescent="0.35">
      <c r="A58" s="61">
        <v>56</v>
      </c>
      <c r="B58">
        <v>56</v>
      </c>
      <c r="C58" s="7">
        <v>7</v>
      </c>
      <c r="D58" t="s">
        <v>82</v>
      </c>
      <c r="E58">
        <v>1</v>
      </c>
      <c r="F58">
        <v>1</v>
      </c>
      <c r="G58">
        <v>5</v>
      </c>
      <c r="H58" t="s">
        <v>26</v>
      </c>
      <c r="I58" t="s">
        <v>58</v>
      </c>
      <c r="J58" t="str">
        <f>LOOKUP(I58,'Flight Test Matrix - Overview'!$V$34:$V$36,'Flight Test Matrix - Overview'!$X$25:$X$27)</f>
        <v>6500 ft</v>
      </c>
      <c r="K58" t="s">
        <v>62</v>
      </c>
      <c r="L58" t="s">
        <v>58</v>
      </c>
      <c r="M58">
        <f>LOOKUP(L58,'Flight Test Matrix - Overview'!$M$34:$M$36,'Flight Test Matrix - Overview'!$O$34:$O$36)</f>
        <v>80</v>
      </c>
      <c r="N58" t="s">
        <v>58</v>
      </c>
      <c r="O58" t="str">
        <f>LOOKUP(N58,'Flight Test Matrix - Overview'!$Q$34:$Q$36,'Flight Test Matrix - Overview'!$S$34:$S$36)</f>
        <v>fly level</v>
      </c>
      <c r="P58" t="s">
        <v>172</v>
      </c>
      <c r="Q58" t="s">
        <v>169</v>
      </c>
      <c r="R58" t="s">
        <v>116</v>
      </c>
      <c r="S58" t="str">
        <f t="shared" si="1"/>
        <v>PULL Elevator until IAS 68</v>
      </c>
      <c r="T58" t="s">
        <v>170</v>
      </c>
      <c r="U58" t="s">
        <v>31</v>
      </c>
      <c r="V58" t="s">
        <v>31</v>
      </c>
      <c r="W58" t="s">
        <v>31</v>
      </c>
      <c r="X58" t="s">
        <v>31</v>
      </c>
      <c r="Y58" t="s">
        <v>120</v>
      </c>
      <c r="Z58" t="s">
        <v>171</v>
      </c>
      <c r="AA58" t="s">
        <v>122</v>
      </c>
    </row>
    <row r="59" spans="1:27" ht="14.25" customHeight="1" x14ac:dyDescent="0.35">
      <c r="A59" s="61">
        <v>57</v>
      </c>
      <c r="B59">
        <v>57</v>
      </c>
      <c r="C59" s="7">
        <v>9</v>
      </c>
      <c r="D59" t="s">
        <v>82</v>
      </c>
      <c r="E59">
        <v>1</v>
      </c>
      <c r="F59">
        <v>1</v>
      </c>
      <c r="G59">
        <v>5</v>
      </c>
      <c r="H59" t="s">
        <v>26</v>
      </c>
      <c r="I59" t="s">
        <v>70</v>
      </c>
      <c r="J59" t="str">
        <f>LOOKUP(I59,'Flight Test Matrix - Overview'!$V$34:$V$36,'Flight Test Matrix - Overview'!$X$25:$X$27)</f>
        <v>3500 ft</v>
      </c>
      <c r="K59" t="s">
        <v>62</v>
      </c>
      <c r="L59" t="s">
        <v>58</v>
      </c>
      <c r="M59">
        <f>LOOKUP(L59,'Flight Test Matrix - Overview'!$M$34:$M$36,'Flight Test Matrix - Overview'!$O$34:$O$36)</f>
        <v>80</v>
      </c>
      <c r="N59" t="s">
        <v>58</v>
      </c>
      <c r="O59" t="str">
        <f>LOOKUP(N59,'Flight Test Matrix - Overview'!$Q$34:$Q$36,'Flight Test Matrix - Overview'!$S$34:$S$36)</f>
        <v>fly level</v>
      </c>
      <c r="P59" t="s">
        <v>168</v>
      </c>
      <c r="Q59" t="s">
        <v>169</v>
      </c>
      <c r="R59" t="s">
        <v>116</v>
      </c>
      <c r="S59" t="str">
        <f t="shared" si="1"/>
        <v>PUSH Elevator until IAS 92</v>
      </c>
      <c r="T59" t="s">
        <v>170</v>
      </c>
      <c r="U59" t="s">
        <v>31</v>
      </c>
      <c r="V59" t="s">
        <v>31</v>
      </c>
      <c r="W59" t="s">
        <v>31</v>
      </c>
      <c r="X59" t="s">
        <v>31</v>
      </c>
      <c r="Y59" t="s">
        <v>120</v>
      </c>
      <c r="Z59" t="s">
        <v>171</v>
      </c>
      <c r="AA59" t="s">
        <v>122</v>
      </c>
    </row>
    <row r="60" spans="1:27" ht="14.25" customHeight="1" x14ac:dyDescent="0.35">
      <c r="A60" s="61">
        <v>58</v>
      </c>
      <c r="B60">
        <v>58</v>
      </c>
      <c r="C60" s="7">
        <v>11</v>
      </c>
      <c r="D60" t="s">
        <v>82</v>
      </c>
      <c r="E60">
        <v>1</v>
      </c>
      <c r="F60">
        <v>1</v>
      </c>
      <c r="G60">
        <v>5</v>
      </c>
      <c r="H60" t="s">
        <v>26</v>
      </c>
      <c r="I60" t="s">
        <v>70</v>
      </c>
      <c r="J60" t="str">
        <f>LOOKUP(I60,'Flight Test Matrix - Overview'!$V$34:$V$36,'Flight Test Matrix - Overview'!$X$25:$X$27)</f>
        <v>3500 ft</v>
      </c>
      <c r="K60" t="s">
        <v>62</v>
      </c>
      <c r="L60" t="s">
        <v>58</v>
      </c>
      <c r="M60">
        <f>LOOKUP(L60,'Flight Test Matrix - Overview'!$M$34:$M$36,'Flight Test Matrix - Overview'!$O$34:$O$36)</f>
        <v>80</v>
      </c>
      <c r="N60" t="s">
        <v>58</v>
      </c>
      <c r="O60" t="str">
        <f>LOOKUP(N60,'Flight Test Matrix - Overview'!$Q$34:$Q$36,'Flight Test Matrix - Overview'!$S$34:$S$36)</f>
        <v>fly level</v>
      </c>
      <c r="P60" t="s">
        <v>168</v>
      </c>
      <c r="Q60" t="s">
        <v>169</v>
      </c>
      <c r="R60" t="s">
        <v>116</v>
      </c>
      <c r="S60" t="str">
        <f t="shared" si="1"/>
        <v>PUSH Elevator until IAS 92</v>
      </c>
      <c r="T60" t="s">
        <v>170</v>
      </c>
      <c r="U60" t="s">
        <v>31</v>
      </c>
      <c r="V60" t="s">
        <v>31</v>
      </c>
      <c r="W60" t="s">
        <v>31</v>
      </c>
      <c r="X60" t="s">
        <v>31</v>
      </c>
      <c r="Y60" t="s">
        <v>120</v>
      </c>
      <c r="Z60" t="s">
        <v>171</v>
      </c>
      <c r="AA60" t="s">
        <v>122</v>
      </c>
    </row>
    <row r="61" spans="1:27" ht="14.25" customHeight="1" x14ac:dyDescent="0.35">
      <c r="A61" s="61">
        <v>59</v>
      </c>
      <c r="B61">
        <v>59</v>
      </c>
      <c r="C61" s="7">
        <v>13</v>
      </c>
      <c r="D61" t="s">
        <v>82</v>
      </c>
      <c r="E61">
        <v>1</v>
      </c>
      <c r="F61">
        <v>0.9</v>
      </c>
      <c r="G61">
        <v>5</v>
      </c>
      <c r="H61" t="s">
        <v>26</v>
      </c>
      <c r="I61" t="s">
        <v>70</v>
      </c>
      <c r="J61" t="str">
        <f>LOOKUP(I61,'Flight Test Matrix - Overview'!$V$34:$V$36,'Flight Test Matrix - Overview'!$X$25:$X$27)</f>
        <v>3500 ft</v>
      </c>
      <c r="K61" t="s">
        <v>62</v>
      </c>
      <c r="L61" t="s">
        <v>58</v>
      </c>
      <c r="M61">
        <f>LOOKUP(L61,'Flight Test Matrix - Overview'!$M$34:$M$36,'Flight Test Matrix - Overview'!$O$34:$O$36)</f>
        <v>80</v>
      </c>
      <c r="N61" t="s">
        <v>58</v>
      </c>
      <c r="O61" t="str">
        <f>LOOKUP(N61,'Flight Test Matrix - Overview'!$Q$34:$Q$36,'Flight Test Matrix - Overview'!$S$34:$S$36)</f>
        <v>fly level</v>
      </c>
      <c r="P61" t="s">
        <v>172</v>
      </c>
      <c r="Q61" t="s">
        <v>169</v>
      </c>
      <c r="R61" t="s">
        <v>116</v>
      </c>
      <c r="S61" t="str">
        <f t="shared" si="1"/>
        <v>PULL Elevator until IAS 68</v>
      </c>
      <c r="T61" t="s">
        <v>170</v>
      </c>
      <c r="U61" t="s">
        <v>31</v>
      </c>
      <c r="V61" t="s">
        <v>31</v>
      </c>
      <c r="W61" t="s">
        <v>31</v>
      </c>
      <c r="X61" t="s">
        <v>31</v>
      </c>
      <c r="Y61" t="s">
        <v>120</v>
      </c>
      <c r="Z61" t="s">
        <v>171</v>
      </c>
      <c r="AA61" t="s">
        <v>122</v>
      </c>
    </row>
    <row r="62" spans="1:27" ht="14.25" customHeight="1" x14ac:dyDescent="0.35">
      <c r="A62" s="61">
        <v>60</v>
      </c>
      <c r="B62">
        <v>60</v>
      </c>
      <c r="C62" s="7">
        <v>13</v>
      </c>
      <c r="D62" t="s">
        <v>82</v>
      </c>
      <c r="E62">
        <v>1</v>
      </c>
      <c r="F62">
        <v>0.9</v>
      </c>
      <c r="G62">
        <v>5</v>
      </c>
      <c r="H62" t="s">
        <v>26</v>
      </c>
      <c r="I62" t="s">
        <v>70</v>
      </c>
      <c r="J62" t="str">
        <f>LOOKUP(I62,'Flight Test Matrix - Overview'!$V$34:$V$36,'Flight Test Matrix - Overview'!$X$25:$X$27)</f>
        <v>3500 ft</v>
      </c>
      <c r="K62" t="s">
        <v>62</v>
      </c>
      <c r="L62" t="s">
        <v>58</v>
      </c>
      <c r="M62">
        <f>LOOKUP(L62,'Flight Test Matrix - Overview'!$M$34:$M$36,'Flight Test Matrix - Overview'!$O$34:$O$36)</f>
        <v>80</v>
      </c>
      <c r="N62" t="s">
        <v>58</v>
      </c>
      <c r="O62" t="str">
        <f>LOOKUP(N62,'Flight Test Matrix - Overview'!$Q$34:$Q$36,'Flight Test Matrix - Overview'!$S$34:$S$36)</f>
        <v>fly level</v>
      </c>
      <c r="P62" t="s">
        <v>172</v>
      </c>
      <c r="Q62" t="s">
        <v>169</v>
      </c>
      <c r="R62" t="s">
        <v>116</v>
      </c>
      <c r="S62" t="str">
        <f t="shared" si="1"/>
        <v>PULL Elevator until IAS 68</v>
      </c>
      <c r="T62" t="s">
        <v>170</v>
      </c>
      <c r="U62" t="s">
        <v>31</v>
      </c>
      <c r="V62" t="s">
        <v>31</v>
      </c>
      <c r="W62" t="s">
        <v>31</v>
      </c>
      <c r="X62" t="s">
        <v>31</v>
      </c>
      <c r="Y62" t="s">
        <v>120</v>
      </c>
      <c r="Z62" t="s">
        <v>171</v>
      </c>
      <c r="AA62" t="s">
        <v>122</v>
      </c>
    </row>
    <row r="63" spans="1:27" ht="14.25" customHeight="1" x14ac:dyDescent="0.35">
      <c r="A63" s="61">
        <v>61</v>
      </c>
      <c r="B63">
        <v>61</v>
      </c>
      <c r="C63" s="7">
        <v>2</v>
      </c>
      <c r="D63" t="s">
        <v>82</v>
      </c>
      <c r="E63">
        <v>0</v>
      </c>
      <c r="G63">
        <v>5</v>
      </c>
      <c r="H63" t="s">
        <v>27</v>
      </c>
      <c r="I63" t="s">
        <v>58</v>
      </c>
      <c r="J63" t="str">
        <f>LOOKUP(I63,'Flight Test Matrix - Overview'!$V$34:$V$36,'Flight Test Matrix - Overview'!$X$25:$X$27)</f>
        <v>6500 ft</v>
      </c>
      <c r="K63" t="s">
        <v>62</v>
      </c>
      <c r="L63" t="s">
        <v>58</v>
      </c>
      <c r="M63">
        <f>LOOKUP(L63,'Flight Test Matrix - Overview'!$M$34:$M$36,'Flight Test Matrix - Overview'!$O$34:$O$36)</f>
        <v>80</v>
      </c>
      <c r="N63" t="s">
        <v>58</v>
      </c>
      <c r="O63" t="str">
        <f>LOOKUP(N63,'Flight Test Matrix - Overview'!$Q$34:$Q$36,'Flight Test Matrix - Overview'!$S$34:$S$36)</f>
        <v>fly level</v>
      </c>
      <c r="P63" t="s">
        <v>168</v>
      </c>
      <c r="Q63" t="s">
        <v>169</v>
      </c>
      <c r="R63" t="s">
        <v>116</v>
      </c>
      <c r="S63" t="str">
        <f t="shared" si="1"/>
        <v>PUSH Elevator until IAS 92</v>
      </c>
      <c r="T63" t="s">
        <v>170</v>
      </c>
      <c r="U63" t="s">
        <v>31</v>
      </c>
      <c r="V63" t="s">
        <v>31</v>
      </c>
      <c r="W63" t="s">
        <v>31</v>
      </c>
      <c r="X63" t="s">
        <v>31</v>
      </c>
      <c r="Y63" t="s">
        <v>120</v>
      </c>
      <c r="Z63" t="s">
        <v>171</v>
      </c>
      <c r="AA63" t="s">
        <v>122</v>
      </c>
    </row>
    <row r="64" spans="1:27" ht="14.25" customHeight="1" x14ac:dyDescent="0.35">
      <c r="A64" s="61">
        <v>62</v>
      </c>
      <c r="B64">
        <v>62</v>
      </c>
      <c r="C64" s="7">
        <v>17</v>
      </c>
      <c r="D64" t="s">
        <v>82</v>
      </c>
      <c r="E64">
        <v>0</v>
      </c>
      <c r="G64">
        <v>5</v>
      </c>
      <c r="H64" t="s">
        <v>27</v>
      </c>
      <c r="I64" t="s">
        <v>58</v>
      </c>
      <c r="J64" t="str">
        <f>LOOKUP(I64,'Flight Test Matrix - Overview'!$V$34:$V$36,'Flight Test Matrix - Overview'!$X$25:$X$27)</f>
        <v>6500 ft</v>
      </c>
      <c r="K64" t="s">
        <v>62</v>
      </c>
      <c r="L64" t="s">
        <v>58</v>
      </c>
      <c r="M64">
        <f>LOOKUP(L64,'Flight Test Matrix - Overview'!$M$34:$M$36,'Flight Test Matrix - Overview'!$O$34:$O$36)</f>
        <v>80</v>
      </c>
      <c r="N64" t="s">
        <v>58</v>
      </c>
      <c r="O64" t="str">
        <f>LOOKUP(N64,'Flight Test Matrix - Overview'!$Q$34:$Q$36,'Flight Test Matrix - Overview'!$S$34:$S$36)</f>
        <v>fly level</v>
      </c>
      <c r="P64" t="s">
        <v>168</v>
      </c>
      <c r="Q64" t="s">
        <v>169</v>
      </c>
      <c r="R64" t="s">
        <v>116</v>
      </c>
      <c r="S64" t="str">
        <f t="shared" si="1"/>
        <v>PUSH Elevator until IAS 92</v>
      </c>
      <c r="T64" t="s">
        <v>170</v>
      </c>
      <c r="U64" t="s">
        <v>31</v>
      </c>
      <c r="V64" t="s">
        <v>31</v>
      </c>
      <c r="W64" t="s">
        <v>31</v>
      </c>
      <c r="X64" t="s">
        <v>31</v>
      </c>
      <c r="Y64" t="s">
        <v>120</v>
      </c>
      <c r="Z64" t="s">
        <v>171</v>
      </c>
      <c r="AA64" t="s">
        <v>122</v>
      </c>
    </row>
    <row r="65" spans="1:27" ht="14.25" customHeight="1" x14ac:dyDescent="0.35">
      <c r="A65" s="61">
        <v>63</v>
      </c>
      <c r="B65">
        <v>63</v>
      </c>
      <c r="C65" s="7">
        <v>6</v>
      </c>
      <c r="D65" t="s">
        <v>82</v>
      </c>
      <c r="E65">
        <v>1</v>
      </c>
      <c r="F65">
        <v>1</v>
      </c>
      <c r="G65">
        <v>5</v>
      </c>
      <c r="H65" t="s">
        <v>27</v>
      </c>
      <c r="I65" t="s">
        <v>58</v>
      </c>
      <c r="J65" t="str">
        <f>LOOKUP(I65,'Flight Test Matrix - Overview'!$V$34:$V$36,'Flight Test Matrix - Overview'!$X$25:$X$27)</f>
        <v>6500 ft</v>
      </c>
      <c r="K65" t="s">
        <v>62</v>
      </c>
      <c r="L65" t="s">
        <v>58</v>
      </c>
      <c r="M65">
        <f>LOOKUP(L65,'Flight Test Matrix - Overview'!$M$34:$M$36,'Flight Test Matrix - Overview'!$O$34:$O$36)</f>
        <v>80</v>
      </c>
      <c r="N65" t="s">
        <v>58</v>
      </c>
      <c r="O65" t="str">
        <f>LOOKUP(N65,'Flight Test Matrix - Overview'!$Q$34:$Q$36,'Flight Test Matrix - Overview'!$S$34:$S$36)</f>
        <v>fly level</v>
      </c>
      <c r="P65" t="s">
        <v>172</v>
      </c>
      <c r="Q65" t="s">
        <v>169</v>
      </c>
      <c r="R65" t="s">
        <v>116</v>
      </c>
      <c r="S65" t="str">
        <f t="shared" si="1"/>
        <v>PULL Elevator until IAS 68</v>
      </c>
      <c r="T65" t="s">
        <v>170</v>
      </c>
      <c r="U65" t="s">
        <v>31</v>
      </c>
      <c r="V65" t="s">
        <v>31</v>
      </c>
      <c r="W65" t="s">
        <v>31</v>
      </c>
      <c r="X65" t="s">
        <v>31</v>
      </c>
      <c r="Y65" t="s">
        <v>120</v>
      </c>
      <c r="Z65" t="s">
        <v>171</v>
      </c>
      <c r="AA65" t="s">
        <v>122</v>
      </c>
    </row>
    <row r="66" spans="1:27" ht="14.25" customHeight="1" x14ac:dyDescent="0.35">
      <c r="A66" s="61">
        <v>64</v>
      </c>
      <c r="B66">
        <v>64</v>
      </c>
      <c r="C66" s="7">
        <v>6</v>
      </c>
      <c r="D66" t="s">
        <v>82</v>
      </c>
      <c r="E66">
        <v>1</v>
      </c>
      <c r="F66">
        <v>1</v>
      </c>
      <c r="G66">
        <v>5</v>
      </c>
      <c r="H66" t="s">
        <v>27</v>
      </c>
      <c r="I66" t="s">
        <v>58</v>
      </c>
      <c r="J66" t="str">
        <f>LOOKUP(I66,'Flight Test Matrix - Overview'!$V$34:$V$36,'Flight Test Matrix - Overview'!$X$25:$X$27)</f>
        <v>6500 ft</v>
      </c>
      <c r="K66" t="s">
        <v>62</v>
      </c>
      <c r="L66" t="s">
        <v>58</v>
      </c>
      <c r="M66">
        <f>LOOKUP(L66,'Flight Test Matrix - Overview'!$M$34:$M$36,'Flight Test Matrix - Overview'!$O$34:$O$36)</f>
        <v>80</v>
      </c>
      <c r="N66" t="s">
        <v>58</v>
      </c>
      <c r="O66" t="str">
        <f>LOOKUP(N66,'Flight Test Matrix - Overview'!$Q$34:$Q$36,'Flight Test Matrix - Overview'!$S$34:$S$36)</f>
        <v>fly level</v>
      </c>
      <c r="P66" t="s">
        <v>172</v>
      </c>
      <c r="Q66" t="s">
        <v>169</v>
      </c>
      <c r="R66" t="s">
        <v>116</v>
      </c>
      <c r="S66" t="str">
        <f t="shared" si="1"/>
        <v>PULL Elevator until IAS 68</v>
      </c>
      <c r="T66" t="s">
        <v>170</v>
      </c>
      <c r="U66" t="s">
        <v>31</v>
      </c>
      <c r="V66" t="s">
        <v>31</v>
      </c>
      <c r="W66" t="s">
        <v>31</v>
      </c>
      <c r="X66" t="s">
        <v>31</v>
      </c>
      <c r="Y66" t="s">
        <v>120</v>
      </c>
      <c r="Z66" t="s">
        <v>171</v>
      </c>
      <c r="AA66" t="s">
        <v>122</v>
      </c>
    </row>
    <row r="67" spans="1:27" ht="14.25" customHeight="1" x14ac:dyDescent="0.35">
      <c r="A67" s="61">
        <v>65</v>
      </c>
      <c r="B67">
        <v>65</v>
      </c>
      <c r="C67" s="7">
        <v>8</v>
      </c>
      <c r="D67" t="s">
        <v>82</v>
      </c>
      <c r="E67">
        <v>1</v>
      </c>
      <c r="F67">
        <v>0</v>
      </c>
      <c r="G67">
        <v>5</v>
      </c>
      <c r="H67" t="s">
        <v>27</v>
      </c>
      <c r="I67" t="s">
        <v>70</v>
      </c>
      <c r="J67" t="str">
        <f>LOOKUP(I67,'Flight Test Matrix - Overview'!$V$34:$V$36,'Flight Test Matrix - Overview'!$X$25:$X$27)</f>
        <v>3500 ft</v>
      </c>
      <c r="K67" t="s">
        <v>62</v>
      </c>
      <c r="L67" t="s">
        <v>58</v>
      </c>
      <c r="M67">
        <f>LOOKUP(L67,'Flight Test Matrix - Overview'!$M$34:$M$36,'Flight Test Matrix - Overview'!$O$34:$O$36)</f>
        <v>80</v>
      </c>
      <c r="N67" t="s">
        <v>58</v>
      </c>
      <c r="O67" t="str">
        <f>LOOKUP(N67,'Flight Test Matrix - Overview'!$Q$34:$Q$36,'Flight Test Matrix - Overview'!$S$34:$S$36)</f>
        <v>fly level</v>
      </c>
      <c r="P67" t="s">
        <v>168</v>
      </c>
      <c r="Q67" t="s">
        <v>169</v>
      </c>
      <c r="R67" t="s">
        <v>116</v>
      </c>
      <c r="S67" t="str">
        <f t="shared" si="1"/>
        <v>PUSH Elevator until IAS 92</v>
      </c>
      <c r="T67" t="s">
        <v>170</v>
      </c>
      <c r="U67" t="s">
        <v>31</v>
      </c>
      <c r="V67" t="s">
        <v>31</v>
      </c>
      <c r="W67" t="s">
        <v>31</v>
      </c>
      <c r="X67" t="s">
        <v>31</v>
      </c>
      <c r="Y67" t="s">
        <v>120</v>
      </c>
      <c r="Z67" t="s">
        <v>171</v>
      </c>
      <c r="AA67" t="s">
        <v>122</v>
      </c>
    </row>
    <row r="68" spans="1:27" ht="14.25" customHeight="1" x14ac:dyDescent="0.35">
      <c r="A68" s="61">
        <v>66</v>
      </c>
      <c r="B68">
        <v>66</v>
      </c>
      <c r="C68" s="7">
        <v>17</v>
      </c>
      <c r="D68" t="s">
        <v>82</v>
      </c>
      <c r="E68">
        <v>1</v>
      </c>
      <c r="F68">
        <v>1</v>
      </c>
      <c r="G68">
        <v>5</v>
      </c>
      <c r="H68" t="s">
        <v>27</v>
      </c>
      <c r="I68" t="s">
        <v>70</v>
      </c>
      <c r="J68" t="str">
        <f>LOOKUP(I68,'Flight Test Matrix - Overview'!$V$34:$V$36,'Flight Test Matrix - Overview'!$X$25:$X$27)</f>
        <v>3500 ft</v>
      </c>
      <c r="K68" t="s">
        <v>62</v>
      </c>
      <c r="L68" t="s">
        <v>58</v>
      </c>
      <c r="M68">
        <f>LOOKUP(L68,'Flight Test Matrix - Overview'!$M$34:$M$36,'Flight Test Matrix - Overview'!$O$34:$O$36)</f>
        <v>80</v>
      </c>
      <c r="N68" t="s">
        <v>58</v>
      </c>
      <c r="O68" t="str">
        <f>LOOKUP(N68,'Flight Test Matrix - Overview'!$Q$34:$Q$36,'Flight Test Matrix - Overview'!$S$34:$S$36)</f>
        <v>fly level</v>
      </c>
      <c r="P68" t="s">
        <v>168</v>
      </c>
      <c r="Q68" t="s">
        <v>169</v>
      </c>
      <c r="R68" t="s">
        <v>116</v>
      </c>
      <c r="S68" t="str">
        <f t="shared" si="1"/>
        <v>PUSH Elevator until IAS 92</v>
      </c>
      <c r="T68" t="s">
        <v>170</v>
      </c>
      <c r="U68" t="s">
        <v>31</v>
      </c>
      <c r="V68" t="s">
        <v>31</v>
      </c>
      <c r="W68" t="s">
        <v>31</v>
      </c>
      <c r="X68" t="s">
        <v>31</v>
      </c>
      <c r="Y68" t="s">
        <v>120</v>
      </c>
      <c r="Z68" t="s">
        <v>171</v>
      </c>
      <c r="AA68" t="s">
        <v>122</v>
      </c>
    </row>
    <row r="69" spans="1:27" ht="14.25" customHeight="1" x14ac:dyDescent="0.35">
      <c r="A69" s="61">
        <v>67</v>
      </c>
      <c r="B69">
        <v>67</v>
      </c>
      <c r="C69" s="7">
        <v>17</v>
      </c>
      <c r="D69" t="s">
        <v>82</v>
      </c>
      <c r="E69">
        <v>1</v>
      </c>
      <c r="F69">
        <v>0</v>
      </c>
      <c r="G69">
        <v>5</v>
      </c>
      <c r="H69" t="s">
        <v>27</v>
      </c>
      <c r="I69" t="s">
        <v>70</v>
      </c>
      <c r="J69" t="str">
        <f>LOOKUP(I69,'Flight Test Matrix - Overview'!$V$34:$V$36,'Flight Test Matrix - Overview'!$X$25:$X$27)</f>
        <v>3500 ft</v>
      </c>
      <c r="K69" t="s">
        <v>62</v>
      </c>
      <c r="L69" t="s">
        <v>58</v>
      </c>
      <c r="M69">
        <f>LOOKUP(L69,'Flight Test Matrix - Overview'!$M$34:$M$36,'Flight Test Matrix - Overview'!$O$34:$O$36)</f>
        <v>80</v>
      </c>
      <c r="N69" t="s">
        <v>58</v>
      </c>
      <c r="O69" t="str">
        <f>LOOKUP(N69,'Flight Test Matrix - Overview'!$Q$34:$Q$36,'Flight Test Matrix - Overview'!$S$34:$S$36)</f>
        <v>fly level</v>
      </c>
      <c r="P69" t="s">
        <v>172</v>
      </c>
      <c r="Q69" t="s">
        <v>169</v>
      </c>
      <c r="R69" t="s">
        <v>116</v>
      </c>
      <c r="S69" t="str">
        <f t="shared" si="1"/>
        <v>PULL Elevator until IAS 68</v>
      </c>
      <c r="T69" t="s">
        <v>170</v>
      </c>
      <c r="U69" t="s">
        <v>31</v>
      </c>
      <c r="V69" t="s">
        <v>31</v>
      </c>
      <c r="W69" t="s">
        <v>31</v>
      </c>
      <c r="X69" t="s">
        <v>31</v>
      </c>
      <c r="Y69" t="s">
        <v>120</v>
      </c>
      <c r="Z69" t="s">
        <v>171</v>
      </c>
      <c r="AA69" t="s">
        <v>122</v>
      </c>
    </row>
    <row r="70" spans="1:27" ht="14.25" customHeight="1" x14ac:dyDescent="0.35">
      <c r="A70" s="61">
        <v>68</v>
      </c>
      <c r="B70">
        <v>68</v>
      </c>
      <c r="C70" s="7">
        <v>12</v>
      </c>
      <c r="D70" t="s">
        <v>82</v>
      </c>
      <c r="E70">
        <v>0</v>
      </c>
      <c r="G70">
        <v>5</v>
      </c>
      <c r="H70" t="s">
        <v>27</v>
      </c>
      <c r="I70" t="s">
        <v>70</v>
      </c>
      <c r="J70" t="str">
        <f>LOOKUP(I70,'Flight Test Matrix - Overview'!$V$34:$V$36,'Flight Test Matrix - Overview'!$X$25:$X$27)</f>
        <v>3500 ft</v>
      </c>
      <c r="K70" t="s">
        <v>62</v>
      </c>
      <c r="L70" t="s">
        <v>58</v>
      </c>
      <c r="M70">
        <f>LOOKUP(L70,'Flight Test Matrix - Overview'!$M$34:$M$36,'Flight Test Matrix - Overview'!$O$34:$O$36)</f>
        <v>80</v>
      </c>
      <c r="N70" t="s">
        <v>58</v>
      </c>
      <c r="O70" t="str">
        <f>LOOKUP(N70,'Flight Test Matrix - Overview'!$Q$34:$Q$36,'Flight Test Matrix - Overview'!$S$34:$S$36)</f>
        <v>fly level</v>
      </c>
      <c r="P70" t="s">
        <v>172</v>
      </c>
      <c r="Q70" t="s">
        <v>169</v>
      </c>
      <c r="R70" t="s">
        <v>116</v>
      </c>
      <c r="S70" t="str">
        <f t="shared" si="1"/>
        <v>PULL Elevator until IAS 68</v>
      </c>
      <c r="T70" t="s">
        <v>170</v>
      </c>
      <c r="U70" t="s">
        <v>31</v>
      </c>
      <c r="V70" t="s">
        <v>31</v>
      </c>
      <c r="W70" t="s">
        <v>31</v>
      </c>
      <c r="X70" t="s">
        <v>31</v>
      </c>
      <c r="Y70" t="s">
        <v>120</v>
      </c>
      <c r="Z70" t="s">
        <v>171</v>
      </c>
      <c r="AA70" t="s">
        <v>122</v>
      </c>
    </row>
    <row r="71" spans="1:27" ht="14.25" customHeight="1" x14ac:dyDescent="0.35">
      <c r="A71" s="94">
        <v>69</v>
      </c>
      <c r="B71" s="95">
        <v>69</v>
      </c>
      <c r="C71" s="95">
        <v>1</v>
      </c>
      <c r="D71" s="95" t="s">
        <v>84</v>
      </c>
      <c r="E71" s="95">
        <v>0</v>
      </c>
      <c r="F71" s="95"/>
      <c r="G71" s="95">
        <v>5</v>
      </c>
      <c r="H71" s="95" t="s">
        <v>26</v>
      </c>
      <c r="I71" s="95" t="s">
        <v>58</v>
      </c>
      <c r="J71" t="str">
        <f>LOOKUP(I71,'Flight Test Matrix - Overview'!$V$34:$V$36,'Flight Test Matrix - Overview'!$X$25:$X$27)</f>
        <v>6500 ft</v>
      </c>
      <c r="K71" s="95" t="s">
        <v>62</v>
      </c>
      <c r="L71" s="95" t="s">
        <v>58</v>
      </c>
      <c r="M71" s="95">
        <f>LOOKUP(L71,'Flight Test Matrix - Overview'!$M$34:$M$36,'Flight Test Matrix - Overview'!$O$34:$O$36)</f>
        <v>80</v>
      </c>
      <c r="N71" s="95" t="s">
        <v>58</v>
      </c>
      <c r="O71" s="95" t="str">
        <f>LOOKUP(N71,'Flight Test Matrix - Overview'!$Q$34:$Q$36,'Flight Test Matrix - Overview'!$S$34:$S$36)</f>
        <v>fly level</v>
      </c>
      <c r="P71" s="95" t="s">
        <v>168</v>
      </c>
      <c r="Q71" s="95" t="s">
        <v>115</v>
      </c>
      <c r="R71" s="95" t="s">
        <v>116</v>
      </c>
      <c r="S71" s="95" t="str">
        <f t="shared" ref="S71:S74" si="2">"Slowly and continuously push stick until IAS " &amp; M71*1.15</f>
        <v>Slowly and continuously push stick until IAS 92</v>
      </c>
      <c r="T71" s="95" t="str">
        <f>"Slowly and continuously pull stick until above IAS " &amp; 'Flight Test Matrix - Overview'!$D$35</f>
        <v>Slowly and continuously pull stick until above IAS 48</v>
      </c>
      <c r="U71" s="95" t="s">
        <v>173</v>
      </c>
      <c r="V71" s="95" t="s">
        <v>31</v>
      </c>
      <c r="W71" s="95" t="s">
        <v>31</v>
      </c>
      <c r="X71" s="95" t="s">
        <v>31</v>
      </c>
      <c r="Y71" s="95" t="s">
        <v>120</v>
      </c>
      <c r="Z71" s="95" t="s">
        <v>174</v>
      </c>
      <c r="AA71" s="95" t="s">
        <v>175</v>
      </c>
    </row>
    <row r="72" spans="1:27" ht="14.25" customHeight="1" x14ac:dyDescent="0.35">
      <c r="A72" s="94">
        <v>70</v>
      </c>
      <c r="B72" s="95">
        <v>70</v>
      </c>
      <c r="C72" s="95">
        <v>7</v>
      </c>
      <c r="D72" s="95" t="s">
        <v>84</v>
      </c>
      <c r="E72" s="95">
        <v>0</v>
      </c>
      <c r="F72" s="95"/>
      <c r="G72" s="95">
        <v>5</v>
      </c>
      <c r="H72" s="95" t="s">
        <v>26</v>
      </c>
      <c r="I72" s="95" t="s">
        <v>58</v>
      </c>
      <c r="J72" t="str">
        <f>LOOKUP(I72,'Flight Test Matrix - Overview'!$V$34:$V$36,'Flight Test Matrix - Overview'!$X$25:$X$27)</f>
        <v>6500 ft</v>
      </c>
      <c r="K72" s="95" t="s">
        <v>62</v>
      </c>
      <c r="L72" s="95" t="s">
        <v>58</v>
      </c>
      <c r="M72" s="95">
        <f>LOOKUP(L72,'Flight Test Matrix - Overview'!$M$34:$M$36,'Flight Test Matrix - Overview'!$O$34:$O$36)</f>
        <v>80</v>
      </c>
      <c r="N72" s="95" t="s">
        <v>58</v>
      </c>
      <c r="O72" s="95" t="str">
        <f>LOOKUP(N72,'Flight Test Matrix - Overview'!$Q$34:$Q$36,'Flight Test Matrix - Overview'!$S$34:$S$36)</f>
        <v>fly level</v>
      </c>
      <c r="P72" s="95" t="s">
        <v>168</v>
      </c>
      <c r="Q72" s="95" t="s">
        <v>115</v>
      </c>
      <c r="R72" s="95" t="s">
        <v>116</v>
      </c>
      <c r="S72" s="95" t="str">
        <f t="shared" si="2"/>
        <v>Slowly and continuously push stick until IAS 92</v>
      </c>
      <c r="T72" s="95" t="str">
        <f>"Slowly and continuously pull stick until above IAS " &amp; 'Flight Test Matrix - Overview'!$D$35</f>
        <v>Slowly and continuously pull stick until above IAS 48</v>
      </c>
      <c r="U72" s="95" t="s">
        <v>173</v>
      </c>
      <c r="V72" s="95" t="s">
        <v>31</v>
      </c>
      <c r="W72" s="95" t="s">
        <v>31</v>
      </c>
      <c r="X72" s="95" t="s">
        <v>31</v>
      </c>
      <c r="Y72" s="95" t="s">
        <v>120</v>
      </c>
      <c r="Z72" s="95" t="s">
        <v>174</v>
      </c>
      <c r="AA72" s="95" t="s">
        <v>175</v>
      </c>
    </row>
    <row r="73" spans="1:27" ht="14.25" customHeight="1" x14ac:dyDescent="0.35">
      <c r="A73" s="94">
        <v>71</v>
      </c>
      <c r="B73" s="95">
        <v>71</v>
      </c>
      <c r="C73" s="95">
        <v>4</v>
      </c>
      <c r="D73" s="95" t="s">
        <v>84</v>
      </c>
      <c r="E73" s="95">
        <v>0</v>
      </c>
      <c r="F73" s="95"/>
      <c r="G73" s="95">
        <v>5</v>
      </c>
      <c r="H73" s="95" t="s">
        <v>27</v>
      </c>
      <c r="I73" s="95" t="s">
        <v>58</v>
      </c>
      <c r="J73" t="str">
        <f>LOOKUP(I73,'Flight Test Matrix - Overview'!$V$34:$V$36,'Flight Test Matrix - Overview'!$X$25:$X$27)</f>
        <v>6500 ft</v>
      </c>
      <c r="K73" s="95" t="s">
        <v>62</v>
      </c>
      <c r="L73" s="95" t="s">
        <v>58</v>
      </c>
      <c r="M73" s="95">
        <f>LOOKUP(L73,'Flight Test Matrix - Overview'!$M$34:$M$36,'Flight Test Matrix - Overview'!$O$34:$O$36)</f>
        <v>80</v>
      </c>
      <c r="N73" s="95" t="s">
        <v>58</v>
      </c>
      <c r="O73" s="95" t="str">
        <f>LOOKUP(N73,'Flight Test Matrix - Overview'!$Q$34:$Q$36,'Flight Test Matrix - Overview'!$S$34:$S$36)</f>
        <v>fly level</v>
      </c>
      <c r="P73" s="95" t="s">
        <v>168</v>
      </c>
      <c r="Q73" s="95" t="s">
        <v>115</v>
      </c>
      <c r="R73" s="95" t="s">
        <v>116</v>
      </c>
      <c r="S73" s="95" t="str">
        <f t="shared" si="2"/>
        <v>Slowly and continuously push stick until IAS 92</v>
      </c>
      <c r="T73" s="95" t="str">
        <f>"Slowly and continuously pull stick until above IAS " &amp; 'Flight Test Matrix - Overview'!$D$35</f>
        <v>Slowly and continuously pull stick until above IAS 48</v>
      </c>
      <c r="U73" s="95" t="s">
        <v>173</v>
      </c>
      <c r="V73" s="95" t="s">
        <v>31</v>
      </c>
      <c r="W73" s="95" t="s">
        <v>31</v>
      </c>
      <c r="X73" s="95" t="s">
        <v>31</v>
      </c>
      <c r="Y73" s="95" t="s">
        <v>120</v>
      </c>
      <c r="Z73" s="95" t="s">
        <v>174</v>
      </c>
      <c r="AA73" s="95" t="s">
        <v>175</v>
      </c>
    </row>
    <row r="74" spans="1:27" ht="14.25" customHeight="1" x14ac:dyDescent="0.35">
      <c r="A74" s="94">
        <v>72</v>
      </c>
      <c r="B74" s="95">
        <v>72</v>
      </c>
      <c r="C74" s="95">
        <v>10</v>
      </c>
      <c r="D74" s="95" t="s">
        <v>84</v>
      </c>
      <c r="E74" s="95">
        <v>0</v>
      </c>
      <c r="F74" s="95"/>
      <c r="G74" s="95">
        <v>5</v>
      </c>
      <c r="H74" s="95" t="s">
        <v>27</v>
      </c>
      <c r="I74" s="95" t="s">
        <v>58</v>
      </c>
      <c r="J74" t="str">
        <f>LOOKUP(I74,'Flight Test Matrix - Overview'!$V$34:$V$36,'Flight Test Matrix - Overview'!$X$25:$X$27)</f>
        <v>6500 ft</v>
      </c>
      <c r="K74" s="95" t="s">
        <v>62</v>
      </c>
      <c r="L74" s="95" t="s">
        <v>58</v>
      </c>
      <c r="M74" s="95">
        <f>LOOKUP(L74,'Flight Test Matrix - Overview'!$M$34:$M$36,'Flight Test Matrix - Overview'!$O$34:$O$36)</f>
        <v>80</v>
      </c>
      <c r="N74" s="95" t="s">
        <v>58</v>
      </c>
      <c r="O74" s="95" t="str">
        <f>LOOKUP(N74,'Flight Test Matrix - Overview'!$Q$34:$Q$36,'Flight Test Matrix - Overview'!$S$34:$S$36)</f>
        <v>fly level</v>
      </c>
      <c r="P74" s="95" t="s">
        <v>168</v>
      </c>
      <c r="Q74" s="95" t="s">
        <v>115</v>
      </c>
      <c r="R74" s="95" t="s">
        <v>116</v>
      </c>
      <c r="S74" s="95" t="str">
        <f t="shared" si="2"/>
        <v>Slowly and continuously push stick until IAS 92</v>
      </c>
      <c r="T74" s="95" t="str">
        <f>"Slowly and continuously pull stick until above IAS " &amp; 'Flight Test Matrix - Overview'!$D$35</f>
        <v>Slowly and continuously pull stick until above IAS 48</v>
      </c>
      <c r="U74" s="95" t="s">
        <v>173</v>
      </c>
      <c r="V74" s="95" t="s">
        <v>31</v>
      </c>
      <c r="W74" s="95" t="s">
        <v>31</v>
      </c>
      <c r="X74" s="95" t="s">
        <v>31</v>
      </c>
      <c r="Y74" s="95" t="s">
        <v>120</v>
      </c>
      <c r="Z74" s="95" t="s">
        <v>174</v>
      </c>
      <c r="AA74" s="95" t="s">
        <v>175</v>
      </c>
    </row>
    <row r="75" spans="1:27" ht="14.25" customHeight="1" x14ac:dyDescent="0.35">
      <c r="A75" s="61">
        <v>73</v>
      </c>
      <c r="B75">
        <v>73</v>
      </c>
      <c r="C75" s="7">
        <v>3</v>
      </c>
      <c r="D75" t="s">
        <v>85</v>
      </c>
      <c r="E75">
        <v>1</v>
      </c>
      <c r="G75">
        <v>3</v>
      </c>
      <c r="H75" t="s">
        <v>26</v>
      </c>
      <c r="I75" t="s">
        <v>58</v>
      </c>
      <c r="J75" t="str">
        <f>LOOKUP(I75,'Flight Test Matrix - Overview'!$V$34:$V$36,'Flight Test Matrix - Overview'!$X$25:$X$27)</f>
        <v>6500 ft</v>
      </c>
      <c r="K75" t="s">
        <v>62</v>
      </c>
      <c r="L75" t="s">
        <v>58</v>
      </c>
      <c r="M75">
        <f>LOOKUP(L75,'Flight Test Matrix - Overview'!$M$34:$M$36,'Flight Test Matrix - Overview'!$O$34:$O$36)</f>
        <v>80</v>
      </c>
      <c r="N75" t="s">
        <v>58</v>
      </c>
      <c r="O75" t="str">
        <f>LOOKUP(N75,'Flight Test Matrix - Overview'!$Q$34:$Q$36,'Flight Test Matrix - Overview'!$S$34:$S$36)</f>
        <v>fly level</v>
      </c>
      <c r="P75" t="s">
        <v>176</v>
      </c>
      <c r="Q75" t="s">
        <v>115</v>
      </c>
      <c r="R75" t="s">
        <v>116</v>
      </c>
      <c r="S75" t="str">
        <f t="shared" ref="S75:S79" si="3">"Bank " &amp; P75 &amp; " (10 deg/s) until 45 deg reached"</f>
        <v>Bank LEFT (10 deg/s) until 45 deg reached</v>
      </c>
      <c r="T75" t="s">
        <v>177</v>
      </c>
      <c r="U75" t="str">
        <f t="shared" ref="U75:U79" si="4">"Bank " &amp; IF(P75="LEFT","RIGHT","LEFT") &amp; " (10 deg/s) until 45 deg reached"</f>
        <v>Bank RIGHT (10 deg/s) until 45 deg reached</v>
      </c>
      <c r="V75" t="s">
        <v>177</v>
      </c>
      <c r="W75" t="s">
        <v>178</v>
      </c>
      <c r="X75" t="s">
        <v>31</v>
      </c>
      <c r="Y75" t="s">
        <v>120</v>
      </c>
      <c r="Z75" t="s">
        <v>179</v>
      </c>
      <c r="AA75" t="s">
        <v>180</v>
      </c>
    </row>
    <row r="76" spans="1:27" ht="14.25" customHeight="1" x14ac:dyDescent="0.35">
      <c r="A76" s="61">
        <v>74</v>
      </c>
      <c r="B76">
        <v>74</v>
      </c>
      <c r="C76" s="7">
        <v>16</v>
      </c>
      <c r="D76" t="s">
        <v>85</v>
      </c>
      <c r="E76">
        <v>1</v>
      </c>
      <c r="G76">
        <v>3</v>
      </c>
      <c r="H76" t="s">
        <v>26</v>
      </c>
      <c r="I76" t="s">
        <v>58</v>
      </c>
      <c r="J76" t="str">
        <f>LOOKUP(I76,'Flight Test Matrix - Overview'!$V$34:$V$36,'Flight Test Matrix - Overview'!$X$25:$X$27)</f>
        <v>6500 ft</v>
      </c>
      <c r="K76" t="s">
        <v>62</v>
      </c>
      <c r="L76" t="s">
        <v>58</v>
      </c>
      <c r="M76">
        <f>LOOKUP(L76,'Flight Test Matrix - Overview'!$M$34:$M$36,'Flight Test Matrix - Overview'!$O$34:$O$36)</f>
        <v>80</v>
      </c>
      <c r="N76" t="s">
        <v>58</v>
      </c>
      <c r="O76" t="str">
        <f>LOOKUP(N76,'Flight Test Matrix - Overview'!$Q$34:$Q$36,'Flight Test Matrix - Overview'!$S$34:$S$36)</f>
        <v>fly level</v>
      </c>
      <c r="P76" t="s">
        <v>176</v>
      </c>
      <c r="Q76" t="s">
        <v>115</v>
      </c>
      <c r="R76" t="s">
        <v>116</v>
      </c>
      <c r="S76" t="str">
        <f t="shared" si="3"/>
        <v>Bank LEFT (10 deg/s) until 45 deg reached</v>
      </c>
      <c r="T76" t="s">
        <v>177</v>
      </c>
      <c r="U76" t="str">
        <f t="shared" si="4"/>
        <v>Bank RIGHT (10 deg/s) until 45 deg reached</v>
      </c>
      <c r="V76" t="s">
        <v>177</v>
      </c>
      <c r="W76" t="s">
        <v>178</v>
      </c>
      <c r="X76" t="s">
        <v>31</v>
      </c>
      <c r="Y76" t="s">
        <v>120</v>
      </c>
      <c r="Z76" t="s">
        <v>179</v>
      </c>
      <c r="AA76" t="s">
        <v>180</v>
      </c>
    </row>
    <row r="77" spans="1:27" ht="14.25" customHeight="1" x14ac:dyDescent="0.35">
      <c r="A77" s="61">
        <v>751</v>
      </c>
      <c r="B77">
        <v>75</v>
      </c>
      <c r="C77" s="7">
        <v>11</v>
      </c>
      <c r="D77" t="s">
        <v>85</v>
      </c>
      <c r="E77">
        <v>1</v>
      </c>
      <c r="G77">
        <v>3</v>
      </c>
      <c r="H77" t="s">
        <v>26</v>
      </c>
      <c r="I77" t="s">
        <v>58</v>
      </c>
      <c r="J77" t="str">
        <f>LOOKUP(I77,'Flight Test Matrix - Overview'!$V$34:$V$36,'Flight Test Matrix - Overview'!$X$25:$X$27)</f>
        <v>6500 ft</v>
      </c>
      <c r="K77" t="s">
        <v>62</v>
      </c>
      <c r="L77" t="s">
        <v>58</v>
      </c>
      <c r="M77">
        <f>LOOKUP(L77,'Flight Test Matrix - Overview'!$M$34:$M$36,'Flight Test Matrix - Overview'!$O$34:$O$36)</f>
        <v>80</v>
      </c>
      <c r="N77" t="s">
        <v>58</v>
      </c>
      <c r="O77" t="str">
        <f>LOOKUP(N77,'Flight Test Matrix - Overview'!$Q$34:$Q$36,'Flight Test Matrix - Overview'!$S$34:$S$36)</f>
        <v>fly level</v>
      </c>
      <c r="P77" t="s">
        <v>181</v>
      </c>
      <c r="Q77" t="s">
        <v>115</v>
      </c>
      <c r="R77" t="s">
        <v>116</v>
      </c>
      <c r="S77" t="str">
        <f t="shared" si="3"/>
        <v>Bank RIGHT (10 deg/s) until 45 deg reached</v>
      </c>
      <c r="T77" t="s">
        <v>177</v>
      </c>
      <c r="U77" t="str">
        <f t="shared" si="4"/>
        <v>Bank LEFT (10 deg/s) until 45 deg reached</v>
      </c>
      <c r="V77" t="s">
        <v>177</v>
      </c>
      <c r="W77" t="s">
        <v>178</v>
      </c>
      <c r="X77" t="s">
        <v>31</v>
      </c>
      <c r="Y77" t="s">
        <v>120</v>
      </c>
      <c r="Z77" t="s">
        <v>179</v>
      </c>
      <c r="AA77" t="s">
        <v>180</v>
      </c>
    </row>
    <row r="78" spans="1:27" ht="14.25" customHeight="1" x14ac:dyDescent="0.35">
      <c r="A78" s="61">
        <v>752</v>
      </c>
      <c r="B78">
        <v>75</v>
      </c>
      <c r="C78" s="7">
        <v>11</v>
      </c>
      <c r="D78" t="s">
        <v>85</v>
      </c>
      <c r="E78">
        <v>1</v>
      </c>
      <c r="G78">
        <v>3</v>
      </c>
      <c r="H78" t="s">
        <v>26</v>
      </c>
      <c r="I78" t="s">
        <v>58</v>
      </c>
      <c r="J78" t="str">
        <f>LOOKUP(I78,'Flight Test Matrix - Overview'!$V$34:$V$36,'Flight Test Matrix - Overview'!$X$25:$X$27)</f>
        <v>6500 ft</v>
      </c>
      <c r="K78" t="s">
        <v>62</v>
      </c>
      <c r="L78" t="s">
        <v>58</v>
      </c>
      <c r="M78">
        <f>LOOKUP(L78,'Flight Test Matrix - Overview'!$M$34:$M$36,'Flight Test Matrix - Overview'!$O$34:$O$36)</f>
        <v>80</v>
      </c>
      <c r="N78" t="s">
        <v>58</v>
      </c>
      <c r="O78" t="str">
        <f>LOOKUP(N78,'Flight Test Matrix - Overview'!$Q$34:$Q$36,'Flight Test Matrix - Overview'!$S$34:$S$36)</f>
        <v>fly level</v>
      </c>
      <c r="P78" t="s">
        <v>181</v>
      </c>
      <c r="Q78" t="s">
        <v>115</v>
      </c>
      <c r="R78" t="s">
        <v>116</v>
      </c>
      <c r="S78" t="str">
        <f t="shared" si="3"/>
        <v>Bank RIGHT (10 deg/s) until 45 deg reached</v>
      </c>
      <c r="T78" t="s">
        <v>177</v>
      </c>
      <c r="U78" t="str">
        <f t="shared" si="4"/>
        <v>Bank LEFT (10 deg/s) until 45 deg reached</v>
      </c>
      <c r="V78" t="s">
        <v>177</v>
      </c>
      <c r="W78" t="s">
        <v>178</v>
      </c>
      <c r="X78" t="s">
        <v>31</v>
      </c>
      <c r="Y78" t="s">
        <v>120</v>
      </c>
      <c r="Z78" t="s">
        <v>179</v>
      </c>
      <c r="AA78" t="s">
        <v>180</v>
      </c>
    </row>
    <row r="79" spans="1:27" ht="14.25" customHeight="1" x14ac:dyDescent="0.35">
      <c r="A79" s="61">
        <v>76</v>
      </c>
      <c r="B79">
        <v>76</v>
      </c>
      <c r="C79" s="7">
        <v>16</v>
      </c>
      <c r="D79" t="s">
        <v>85</v>
      </c>
      <c r="E79">
        <v>1</v>
      </c>
      <c r="G79">
        <v>3</v>
      </c>
      <c r="H79" t="s">
        <v>26</v>
      </c>
      <c r="I79" t="s">
        <v>58</v>
      </c>
      <c r="J79" t="str">
        <f>LOOKUP(I79,'Flight Test Matrix - Overview'!$V$34:$V$36,'Flight Test Matrix - Overview'!$X$25:$X$27)</f>
        <v>6500 ft</v>
      </c>
      <c r="K79" t="s">
        <v>62</v>
      </c>
      <c r="L79" t="s">
        <v>58</v>
      </c>
      <c r="M79">
        <f>LOOKUP(L79,'Flight Test Matrix - Overview'!$M$34:$M$36,'Flight Test Matrix - Overview'!$O$34:$O$36)</f>
        <v>80</v>
      </c>
      <c r="N79" t="s">
        <v>58</v>
      </c>
      <c r="O79" t="str">
        <f>LOOKUP(N79,'Flight Test Matrix - Overview'!$Q$34:$Q$36,'Flight Test Matrix - Overview'!$S$34:$S$36)</f>
        <v>fly level</v>
      </c>
      <c r="P79" t="s">
        <v>181</v>
      </c>
      <c r="Q79" t="s">
        <v>115</v>
      </c>
      <c r="R79" t="s">
        <v>116</v>
      </c>
      <c r="S79" t="str">
        <f t="shared" si="3"/>
        <v>Bank RIGHT (10 deg/s) until 45 deg reached</v>
      </c>
      <c r="T79" t="s">
        <v>177</v>
      </c>
      <c r="U79" t="str">
        <f t="shared" si="4"/>
        <v>Bank LEFT (10 deg/s) until 45 deg reached</v>
      </c>
      <c r="V79" t="s">
        <v>177</v>
      </c>
      <c r="W79" t="s">
        <v>178</v>
      </c>
      <c r="X79" t="s">
        <v>31</v>
      </c>
      <c r="Y79" t="s">
        <v>120</v>
      </c>
      <c r="Z79" t="s">
        <v>179</v>
      </c>
      <c r="AA79" t="s">
        <v>180</v>
      </c>
    </row>
    <row r="80" spans="1:27" ht="14.25" customHeight="1" x14ac:dyDescent="0.35">
      <c r="A80" s="94">
        <v>77</v>
      </c>
      <c r="B80" s="95">
        <v>77</v>
      </c>
      <c r="C80" s="95">
        <v>6</v>
      </c>
      <c r="D80" s="95" t="s">
        <v>86</v>
      </c>
      <c r="E80" s="95">
        <v>0</v>
      </c>
      <c r="F80" s="95"/>
      <c r="G80" s="95">
        <v>4</v>
      </c>
      <c r="H80" s="95" t="s">
        <v>26</v>
      </c>
      <c r="I80" s="95" t="s">
        <v>68</v>
      </c>
      <c r="J80" t="str">
        <f>LOOKUP(I80,'Flight Test Matrix - Overview'!$V$34:$V$36,'Flight Test Matrix - Overview'!$X$25:$X$27)</f>
        <v>5500 ft</v>
      </c>
      <c r="K80" s="95" t="s">
        <v>62</v>
      </c>
      <c r="L80" s="95" t="s">
        <v>58</v>
      </c>
      <c r="M80" s="95">
        <f>LOOKUP(L80,'Flight Test Matrix - Overview'!$M$34:$M$36,'Flight Test Matrix - Overview'!$O$34:$O$36)</f>
        <v>80</v>
      </c>
      <c r="N80" s="95" t="s">
        <v>58</v>
      </c>
      <c r="O80" s="95" t="str">
        <f>LOOKUP(N80,'Flight Test Matrix - Overview'!$Q$34:$Q$36,'Flight Test Matrix - Overview'!$S$34:$S$36)</f>
        <v>fly level</v>
      </c>
      <c r="P80" s="95" t="s">
        <v>182</v>
      </c>
      <c r="Q80" s="95" t="s">
        <v>115</v>
      </c>
      <c r="R80" s="95" t="s">
        <v>116</v>
      </c>
      <c r="S80" s="95" t="s">
        <v>183</v>
      </c>
      <c r="T80" s="95" t="s">
        <v>184</v>
      </c>
      <c r="U80" s="95" t="s">
        <v>185</v>
      </c>
      <c r="V80" s="95" t="s">
        <v>186</v>
      </c>
      <c r="W80" s="95" t="s">
        <v>185</v>
      </c>
      <c r="X80" s="95" t="s">
        <v>187</v>
      </c>
      <c r="Y80" s="95" t="s">
        <v>120</v>
      </c>
      <c r="Z80" s="95" t="s">
        <v>188</v>
      </c>
      <c r="AA80" s="95" t="s">
        <v>180</v>
      </c>
    </row>
    <row r="81" spans="1:27" ht="14.25" customHeight="1" x14ac:dyDescent="0.35">
      <c r="A81" s="94">
        <v>78</v>
      </c>
      <c r="B81" s="95">
        <v>78</v>
      </c>
      <c r="C81" s="95">
        <v>8</v>
      </c>
      <c r="D81" s="95" t="s">
        <v>86</v>
      </c>
      <c r="E81" s="95">
        <v>0</v>
      </c>
      <c r="F81" s="95"/>
      <c r="G81" s="95">
        <v>4</v>
      </c>
      <c r="H81" s="95" t="s">
        <v>26</v>
      </c>
      <c r="I81" s="95" t="s">
        <v>68</v>
      </c>
      <c r="J81" t="str">
        <f>LOOKUP(I81,'Flight Test Matrix - Overview'!$V$34:$V$36,'Flight Test Matrix - Overview'!$X$25:$X$27)</f>
        <v>5500 ft</v>
      </c>
      <c r="K81" s="95" t="s">
        <v>62</v>
      </c>
      <c r="L81" s="95" t="s">
        <v>58</v>
      </c>
      <c r="M81" s="95">
        <f>LOOKUP(L81,'Flight Test Matrix - Overview'!$M$34:$M$36,'Flight Test Matrix - Overview'!$O$34:$O$36)</f>
        <v>80</v>
      </c>
      <c r="N81" s="95" t="s">
        <v>58</v>
      </c>
      <c r="O81" s="95" t="str">
        <f>LOOKUP(N81,'Flight Test Matrix - Overview'!$Q$34:$Q$36,'Flight Test Matrix - Overview'!$S$34:$S$36)</f>
        <v>fly level</v>
      </c>
      <c r="P81" s="95" t="s">
        <v>182</v>
      </c>
      <c r="Q81" s="95" t="s">
        <v>115</v>
      </c>
      <c r="R81" s="95" t="s">
        <v>116</v>
      </c>
      <c r="S81" s="95" t="s">
        <v>183</v>
      </c>
      <c r="T81" s="95" t="s">
        <v>184</v>
      </c>
      <c r="U81" s="95" t="s">
        <v>185</v>
      </c>
      <c r="V81" s="95" t="s">
        <v>186</v>
      </c>
      <c r="W81" s="95" t="s">
        <v>185</v>
      </c>
      <c r="X81" s="95" t="s">
        <v>187</v>
      </c>
      <c r="Y81" s="95" t="s">
        <v>120</v>
      </c>
      <c r="Z81" s="95" t="s">
        <v>188</v>
      </c>
      <c r="AA81" s="95" t="s">
        <v>180</v>
      </c>
    </row>
    <row r="82" spans="1:27" ht="14.25" customHeight="1" x14ac:dyDescent="0.35">
      <c r="A82" s="94">
        <v>79</v>
      </c>
      <c r="B82" s="95">
        <v>79</v>
      </c>
      <c r="C82" s="95">
        <v>13</v>
      </c>
      <c r="D82" s="95" t="s">
        <v>86</v>
      </c>
      <c r="E82" s="95">
        <v>0</v>
      </c>
      <c r="F82" s="95"/>
      <c r="G82" s="95">
        <v>4</v>
      </c>
      <c r="H82" s="95" t="s">
        <v>26</v>
      </c>
      <c r="I82" s="95" t="s">
        <v>70</v>
      </c>
      <c r="J82" t="str">
        <f>LOOKUP(I82,'Flight Test Matrix - Overview'!$V$34:$V$36,'Flight Test Matrix - Overview'!$X$25:$X$27)</f>
        <v>3500 ft</v>
      </c>
      <c r="K82" s="95" t="s">
        <v>62</v>
      </c>
      <c r="L82" s="95" t="s">
        <v>58</v>
      </c>
      <c r="M82" s="95">
        <f>LOOKUP(L82,'Flight Test Matrix - Overview'!$M$34:$M$36,'Flight Test Matrix - Overview'!$O$34:$O$36)</f>
        <v>80</v>
      </c>
      <c r="N82" s="95" t="s">
        <v>58</v>
      </c>
      <c r="O82" s="95" t="str">
        <f>LOOKUP(N82,'Flight Test Matrix - Overview'!$Q$34:$Q$36,'Flight Test Matrix - Overview'!$S$34:$S$36)</f>
        <v>fly level</v>
      </c>
      <c r="P82" s="95" t="s">
        <v>182</v>
      </c>
      <c r="Q82" s="95" t="s">
        <v>115</v>
      </c>
      <c r="R82" s="95" t="s">
        <v>116</v>
      </c>
      <c r="S82" s="95" t="s">
        <v>183</v>
      </c>
      <c r="T82" s="95" t="s">
        <v>184</v>
      </c>
      <c r="U82" s="95" t="s">
        <v>185</v>
      </c>
      <c r="V82" s="95" t="s">
        <v>186</v>
      </c>
      <c r="W82" s="95" t="s">
        <v>185</v>
      </c>
      <c r="X82" s="95" t="s">
        <v>187</v>
      </c>
      <c r="Y82" s="95" t="s">
        <v>120</v>
      </c>
      <c r="Z82" s="95" t="s">
        <v>188</v>
      </c>
      <c r="AA82" s="95" t="s">
        <v>180</v>
      </c>
    </row>
    <row r="83" spans="1:27" ht="14.25" customHeight="1" x14ac:dyDescent="0.35">
      <c r="A83" s="94">
        <v>80</v>
      </c>
      <c r="B83" s="95">
        <v>80</v>
      </c>
      <c r="C83" s="95">
        <v>14</v>
      </c>
      <c r="D83" s="95" t="s">
        <v>86</v>
      </c>
      <c r="E83" s="95">
        <v>0</v>
      </c>
      <c r="F83" s="95"/>
      <c r="G83" s="95">
        <v>4</v>
      </c>
      <c r="H83" s="95" t="s">
        <v>26</v>
      </c>
      <c r="I83" s="95" t="s">
        <v>70</v>
      </c>
      <c r="J83" t="str">
        <f>LOOKUP(I83,'Flight Test Matrix - Overview'!$V$34:$V$36,'Flight Test Matrix - Overview'!$X$25:$X$27)</f>
        <v>3500 ft</v>
      </c>
      <c r="K83" s="95" t="s">
        <v>62</v>
      </c>
      <c r="L83" s="95" t="s">
        <v>58</v>
      </c>
      <c r="M83" s="95">
        <f>LOOKUP(L83,'Flight Test Matrix - Overview'!$M$34:$M$36,'Flight Test Matrix - Overview'!$O$34:$O$36)</f>
        <v>80</v>
      </c>
      <c r="N83" s="95" t="s">
        <v>58</v>
      </c>
      <c r="O83" s="95" t="str">
        <f>LOOKUP(N83,'Flight Test Matrix - Overview'!$Q$34:$Q$36,'Flight Test Matrix - Overview'!$S$34:$S$36)</f>
        <v>fly level</v>
      </c>
      <c r="P83" s="95" t="s">
        <v>182</v>
      </c>
      <c r="Q83" s="95" t="s">
        <v>115</v>
      </c>
      <c r="R83" s="95" t="s">
        <v>116</v>
      </c>
      <c r="S83" s="95" t="s">
        <v>183</v>
      </c>
      <c r="T83" s="95" t="s">
        <v>184</v>
      </c>
      <c r="U83" s="95" t="s">
        <v>185</v>
      </c>
      <c r="V83" s="95" t="s">
        <v>186</v>
      </c>
      <c r="W83" s="95" t="s">
        <v>185</v>
      </c>
      <c r="X83" s="95" t="s">
        <v>187</v>
      </c>
      <c r="Y83" s="95" t="s">
        <v>120</v>
      </c>
      <c r="Z83" s="95" t="s">
        <v>188</v>
      </c>
      <c r="AA83" s="95" t="s">
        <v>180</v>
      </c>
    </row>
    <row r="84" spans="1:27" ht="14.25" customHeight="1" x14ac:dyDescent="0.35">
      <c r="A84" s="61">
        <v>811</v>
      </c>
      <c r="B84">
        <v>81</v>
      </c>
      <c r="C84" s="7">
        <v>1</v>
      </c>
      <c r="D84" t="s">
        <v>108</v>
      </c>
      <c r="E84">
        <v>0</v>
      </c>
      <c r="G84">
        <v>3</v>
      </c>
      <c r="H84" t="s">
        <v>26</v>
      </c>
      <c r="I84" t="s">
        <v>58</v>
      </c>
      <c r="J84" t="str">
        <f>LOOKUP(I84,'Flight Test Matrix - Overview'!$V$34:$V$36,'Flight Test Matrix - Overview'!$X$25:$X$27)</f>
        <v>6500 ft</v>
      </c>
      <c r="K84" t="s">
        <v>62</v>
      </c>
      <c r="L84" t="s">
        <v>58</v>
      </c>
      <c r="M84">
        <f>LOOKUP(L84,'Flight Test Matrix - Overview'!$M$34:$M$36,'Flight Test Matrix - Overview'!$O$34:$O$36)</f>
        <v>80</v>
      </c>
      <c r="N84" t="s">
        <v>58</v>
      </c>
      <c r="O84" t="str">
        <f>LOOKUP(N84,'Flight Test Matrix - Overview'!$Q$34:$Q$36,'Flight Test Matrix - Overview'!$S$34:$S$36)</f>
        <v>fly level</v>
      </c>
      <c r="P84" t="s">
        <v>176</v>
      </c>
      <c r="Q84" t="s">
        <v>115</v>
      </c>
      <c r="R84" t="s">
        <v>116</v>
      </c>
      <c r="S84" t="str">
        <f t="shared" ref="S84:S90" si="5">"Sharp input to bank " &amp; P84 &amp; " until 30 deg reached"</f>
        <v>Sharp input to bank LEFT until 30 deg reached</v>
      </c>
      <c r="T84" t="s">
        <v>189</v>
      </c>
      <c r="U84" t="str">
        <f>"Sharp input to bank " &amp; IF(P84="LEFT","RIGHT","LEFT") &amp; " until 30 deg reached"</f>
        <v>Sharp input to bank RIGHT until 30 deg reached</v>
      </c>
      <c r="V84" t="s">
        <v>190</v>
      </c>
      <c r="W84" t="s">
        <v>178</v>
      </c>
      <c r="X84" t="s">
        <v>31</v>
      </c>
      <c r="Y84" t="s">
        <v>120</v>
      </c>
      <c r="Z84" t="s">
        <v>31</v>
      </c>
      <c r="AA84" t="s">
        <v>180</v>
      </c>
    </row>
    <row r="85" spans="1:27" ht="14.25" customHeight="1" x14ac:dyDescent="0.35">
      <c r="A85" s="61">
        <v>812</v>
      </c>
      <c r="B85">
        <v>81</v>
      </c>
      <c r="C85" s="7">
        <v>1</v>
      </c>
      <c r="D85" t="s">
        <v>108</v>
      </c>
      <c r="E85">
        <v>1</v>
      </c>
      <c r="G85">
        <v>3</v>
      </c>
      <c r="H85" t="s">
        <v>26</v>
      </c>
      <c r="I85" t="s">
        <v>58</v>
      </c>
      <c r="J85" t="str">
        <f>LOOKUP(I85,'Flight Test Matrix - Overview'!$V$34:$V$36,'Flight Test Matrix - Overview'!$X$25:$X$27)</f>
        <v>6500 ft</v>
      </c>
      <c r="K85" t="s">
        <v>62</v>
      </c>
      <c r="L85" t="s">
        <v>58</v>
      </c>
      <c r="M85">
        <f>LOOKUP(L85,'Flight Test Matrix - Overview'!$M$34:$M$36,'Flight Test Matrix - Overview'!$O$34:$O$36)</f>
        <v>80</v>
      </c>
      <c r="N85" t="s">
        <v>58</v>
      </c>
      <c r="O85" t="str">
        <f>LOOKUP(N85,'Flight Test Matrix - Overview'!$Q$34:$Q$36,'Flight Test Matrix - Overview'!$S$34:$S$36)</f>
        <v>fly level</v>
      </c>
      <c r="P85" t="s">
        <v>176</v>
      </c>
      <c r="Q85" t="s">
        <v>115</v>
      </c>
      <c r="R85" t="s">
        <v>116</v>
      </c>
      <c r="S85" t="str">
        <f t="shared" ref="S85" si="6">"Sharp input to bank " &amp; P85 &amp; " until 30 deg reached"</f>
        <v>Sharp input to bank LEFT until 30 deg reached</v>
      </c>
      <c r="T85" t="s">
        <v>189</v>
      </c>
      <c r="U85" t="str">
        <f>"Sharp input to bank " &amp; IF(P85="LEFT","RIGHT","LEFT") &amp; " until 30 deg reached"</f>
        <v>Sharp input to bank RIGHT until 30 deg reached</v>
      </c>
      <c r="V85" t="s">
        <v>190</v>
      </c>
      <c r="W85" t="s">
        <v>178</v>
      </c>
      <c r="X85" t="s">
        <v>31</v>
      </c>
      <c r="Y85" t="s">
        <v>120</v>
      </c>
      <c r="Z85" t="s">
        <v>31</v>
      </c>
      <c r="AA85" t="s">
        <v>180</v>
      </c>
    </row>
    <row r="86" spans="1:27" ht="14.25" customHeight="1" x14ac:dyDescent="0.35">
      <c r="A86" s="61">
        <v>821</v>
      </c>
      <c r="B86">
        <v>82</v>
      </c>
      <c r="C86" s="7">
        <v>4</v>
      </c>
      <c r="D86" t="s">
        <v>108</v>
      </c>
      <c r="E86">
        <v>1</v>
      </c>
      <c r="G86">
        <v>3</v>
      </c>
      <c r="H86" t="s">
        <v>26</v>
      </c>
      <c r="I86" t="s">
        <v>58</v>
      </c>
      <c r="J86" t="str">
        <f>LOOKUP(I86,'Flight Test Matrix - Overview'!$V$34:$V$36,'Flight Test Matrix - Overview'!$X$25:$X$27)</f>
        <v>6500 ft</v>
      </c>
      <c r="K86" t="s">
        <v>62</v>
      </c>
      <c r="L86" t="s">
        <v>58</v>
      </c>
      <c r="M86">
        <f>LOOKUP(L86,'Flight Test Matrix - Overview'!$M$34:$M$36,'Flight Test Matrix - Overview'!$O$34:$O$36)</f>
        <v>80</v>
      </c>
      <c r="N86" t="s">
        <v>58</v>
      </c>
      <c r="O86" t="str">
        <f>LOOKUP(N86,'Flight Test Matrix - Overview'!$Q$34:$Q$36,'Flight Test Matrix - Overview'!$S$34:$S$36)</f>
        <v>fly level</v>
      </c>
      <c r="P86" t="s">
        <v>176</v>
      </c>
      <c r="Q86" t="s">
        <v>115</v>
      </c>
      <c r="R86" t="s">
        <v>116</v>
      </c>
      <c r="S86" t="str">
        <f t="shared" si="5"/>
        <v>Sharp input to bank LEFT until 30 deg reached</v>
      </c>
      <c r="T86" t="s">
        <v>189</v>
      </c>
      <c r="U86" t="str">
        <f>"Sharp input to bank " &amp; IF(P74="LEFT","RIGHT","LEFT") &amp; " until 30 deg reached"</f>
        <v>Sharp input to bank LEFT until 30 deg reached</v>
      </c>
      <c r="V86" t="s">
        <v>190</v>
      </c>
      <c r="W86" t="s">
        <v>178</v>
      </c>
      <c r="X86" t="s">
        <v>31</v>
      </c>
      <c r="Y86" t="s">
        <v>120</v>
      </c>
      <c r="Z86" t="s">
        <v>31</v>
      </c>
      <c r="AA86" t="s">
        <v>180</v>
      </c>
    </row>
    <row r="87" spans="1:27" ht="14.25" customHeight="1" x14ac:dyDescent="0.35">
      <c r="A87" s="61">
        <v>822</v>
      </c>
      <c r="B87">
        <v>82</v>
      </c>
      <c r="C87" s="7">
        <v>4</v>
      </c>
      <c r="D87" t="s">
        <v>108</v>
      </c>
      <c r="E87">
        <v>1</v>
      </c>
      <c r="G87">
        <v>3</v>
      </c>
      <c r="H87" t="s">
        <v>26</v>
      </c>
      <c r="I87" t="s">
        <v>58</v>
      </c>
      <c r="J87" t="str">
        <f>LOOKUP(I87,'Flight Test Matrix - Overview'!$V$34:$V$36,'Flight Test Matrix - Overview'!$X$25:$X$27)</f>
        <v>6500 ft</v>
      </c>
      <c r="K87" t="s">
        <v>62</v>
      </c>
      <c r="L87" t="s">
        <v>58</v>
      </c>
      <c r="M87">
        <f>LOOKUP(L87,'Flight Test Matrix - Overview'!$M$34:$M$36,'Flight Test Matrix - Overview'!$O$34:$O$36)</f>
        <v>80</v>
      </c>
      <c r="N87" t="s">
        <v>58</v>
      </c>
      <c r="O87" t="str">
        <f>LOOKUP(N87,'Flight Test Matrix - Overview'!$Q$34:$Q$36,'Flight Test Matrix - Overview'!$S$34:$S$36)</f>
        <v>fly level</v>
      </c>
      <c r="P87" t="s">
        <v>176</v>
      </c>
      <c r="Q87" t="s">
        <v>115</v>
      </c>
      <c r="R87" t="s">
        <v>116</v>
      </c>
      <c r="S87" t="str">
        <f t="shared" si="5"/>
        <v>Sharp input to bank LEFT until 30 deg reached</v>
      </c>
      <c r="T87" t="s">
        <v>189</v>
      </c>
      <c r="U87" t="str">
        <f>"Sharp input to bank " &amp; IF(P75="LEFT","RIGHT","LEFT") &amp; " until 30 deg reached"</f>
        <v>Sharp input to bank RIGHT until 30 deg reached</v>
      </c>
      <c r="V87" t="s">
        <v>190</v>
      </c>
      <c r="W87" t="s">
        <v>178</v>
      </c>
      <c r="X87" t="s">
        <v>31</v>
      </c>
      <c r="Y87" t="s">
        <v>120</v>
      </c>
      <c r="Z87" t="s">
        <v>31</v>
      </c>
      <c r="AA87" t="s">
        <v>180</v>
      </c>
    </row>
    <row r="88" spans="1:27" ht="14.25" customHeight="1" x14ac:dyDescent="0.35">
      <c r="A88" s="61">
        <v>83</v>
      </c>
      <c r="B88">
        <v>83</v>
      </c>
      <c r="C88" s="7">
        <v>7</v>
      </c>
      <c r="D88" s="93" t="s">
        <v>108</v>
      </c>
      <c r="E88">
        <v>1</v>
      </c>
      <c r="G88">
        <v>3</v>
      </c>
      <c r="H88" t="s">
        <v>26</v>
      </c>
      <c r="I88" t="s">
        <v>58</v>
      </c>
      <c r="J88" t="str">
        <f>LOOKUP(I88,'Flight Test Matrix - Overview'!$V$34:$V$36,'Flight Test Matrix - Overview'!$X$25:$X$27)</f>
        <v>6500 ft</v>
      </c>
      <c r="K88" t="s">
        <v>62</v>
      </c>
      <c r="L88" t="s">
        <v>58</v>
      </c>
      <c r="M88">
        <f>LOOKUP(L88,'Flight Test Matrix - Overview'!$M$34:$M$36,'Flight Test Matrix - Overview'!$O$34:$O$36)</f>
        <v>80</v>
      </c>
      <c r="N88" t="s">
        <v>58</v>
      </c>
      <c r="O88" t="str">
        <f>LOOKUP(N88,'Flight Test Matrix - Overview'!$Q$34:$Q$36,'Flight Test Matrix - Overview'!$S$34:$S$36)</f>
        <v>fly level</v>
      </c>
      <c r="P88" t="s">
        <v>181</v>
      </c>
      <c r="Q88" t="s">
        <v>115</v>
      </c>
      <c r="R88" t="s">
        <v>116</v>
      </c>
      <c r="S88" t="str">
        <f t="shared" si="5"/>
        <v>Sharp input to bank RIGHT until 30 deg reached</v>
      </c>
      <c r="T88" t="s">
        <v>189</v>
      </c>
      <c r="U88" t="str">
        <f>"Sharp input to bank " &amp; IF(P75="LEFT","RIGHT","LEFT") &amp; " until 30 deg reached"</f>
        <v>Sharp input to bank RIGHT until 30 deg reached</v>
      </c>
      <c r="V88" t="s">
        <v>190</v>
      </c>
      <c r="W88" t="s">
        <v>178</v>
      </c>
      <c r="X88" t="s">
        <v>31</v>
      </c>
      <c r="Y88" t="s">
        <v>120</v>
      </c>
      <c r="Z88" t="s">
        <v>31</v>
      </c>
      <c r="AA88" t="s">
        <v>180</v>
      </c>
    </row>
    <row r="89" spans="1:27" ht="14.25" customHeight="1" x14ac:dyDescent="0.35">
      <c r="A89" s="61">
        <v>841</v>
      </c>
      <c r="B89">
        <v>84</v>
      </c>
      <c r="C89" s="7">
        <v>10</v>
      </c>
      <c r="D89" t="s">
        <v>108</v>
      </c>
      <c r="E89">
        <v>1</v>
      </c>
      <c r="G89">
        <v>3</v>
      </c>
      <c r="H89" t="s">
        <v>26</v>
      </c>
      <c r="I89" t="s">
        <v>58</v>
      </c>
      <c r="J89" t="str">
        <f>LOOKUP(I89,'Flight Test Matrix - Overview'!$V$34:$V$36,'Flight Test Matrix - Overview'!$X$25:$X$27)</f>
        <v>6500 ft</v>
      </c>
      <c r="K89" t="s">
        <v>62</v>
      </c>
      <c r="L89" t="s">
        <v>58</v>
      </c>
      <c r="M89">
        <f>LOOKUP(L89,'Flight Test Matrix - Overview'!$M$34:$M$36,'Flight Test Matrix - Overview'!$O$34:$O$36)</f>
        <v>80</v>
      </c>
      <c r="N89" t="s">
        <v>58</v>
      </c>
      <c r="O89" t="str">
        <f>LOOKUP(N89,'Flight Test Matrix - Overview'!$Q$34:$Q$36,'Flight Test Matrix - Overview'!$S$34:$S$36)</f>
        <v>fly level</v>
      </c>
      <c r="P89" t="s">
        <v>181</v>
      </c>
      <c r="Q89" t="s">
        <v>115</v>
      </c>
      <c r="R89" t="s">
        <v>116</v>
      </c>
      <c r="S89" t="str">
        <f t="shared" si="5"/>
        <v>Sharp input to bank RIGHT until 30 deg reached</v>
      </c>
      <c r="T89" t="s">
        <v>189</v>
      </c>
      <c r="U89" t="str">
        <f>"Sharp input to bank " &amp; IF(P76="LEFT","RIGHT","LEFT") &amp; " until 30 deg reached"</f>
        <v>Sharp input to bank RIGHT until 30 deg reached</v>
      </c>
      <c r="V89" t="s">
        <v>190</v>
      </c>
      <c r="W89" t="s">
        <v>178</v>
      </c>
      <c r="X89" t="s">
        <v>31</v>
      </c>
      <c r="Y89" t="s">
        <v>120</v>
      </c>
      <c r="Z89" t="s">
        <v>31</v>
      </c>
      <c r="AA89" t="s">
        <v>180</v>
      </c>
    </row>
    <row r="90" spans="1:27" ht="14.25" customHeight="1" x14ac:dyDescent="0.35">
      <c r="A90" s="61">
        <v>842</v>
      </c>
      <c r="B90">
        <v>84</v>
      </c>
      <c r="C90" s="7">
        <v>10</v>
      </c>
      <c r="D90" t="s">
        <v>108</v>
      </c>
      <c r="E90">
        <v>1</v>
      </c>
      <c r="G90">
        <v>3</v>
      </c>
      <c r="H90" t="s">
        <v>26</v>
      </c>
      <c r="I90" t="s">
        <v>58</v>
      </c>
      <c r="J90" t="str">
        <f>LOOKUP(I90,'Flight Test Matrix - Overview'!$V$34:$V$36,'Flight Test Matrix - Overview'!$X$25:$X$27)</f>
        <v>6500 ft</v>
      </c>
      <c r="K90" t="s">
        <v>62</v>
      </c>
      <c r="L90" t="s">
        <v>58</v>
      </c>
      <c r="M90">
        <f>LOOKUP(L90,'Flight Test Matrix - Overview'!$M$34:$M$36,'Flight Test Matrix - Overview'!$O$34:$O$36)</f>
        <v>80</v>
      </c>
      <c r="N90" t="s">
        <v>58</v>
      </c>
      <c r="O90" t="str">
        <f>LOOKUP(N90,'Flight Test Matrix - Overview'!$Q$34:$Q$36,'Flight Test Matrix - Overview'!$S$34:$S$36)</f>
        <v>fly level</v>
      </c>
      <c r="P90" t="s">
        <v>181</v>
      </c>
      <c r="Q90" t="s">
        <v>115</v>
      </c>
      <c r="R90" t="s">
        <v>116</v>
      </c>
      <c r="S90" t="str">
        <f t="shared" si="5"/>
        <v>Sharp input to bank RIGHT until 30 deg reached</v>
      </c>
      <c r="T90" t="s">
        <v>189</v>
      </c>
      <c r="U90" t="str">
        <f>"Sharp input to bank " &amp; IF(P77="LEFT","RIGHT","LEFT") &amp; " until 30 deg reached"</f>
        <v>Sharp input to bank LEFT until 30 deg reached</v>
      </c>
      <c r="V90" t="s">
        <v>190</v>
      </c>
      <c r="W90" t="s">
        <v>178</v>
      </c>
      <c r="X90" t="s">
        <v>31</v>
      </c>
      <c r="Y90" t="s">
        <v>120</v>
      </c>
      <c r="Z90" t="s">
        <v>31</v>
      </c>
      <c r="AA90" t="s">
        <v>180</v>
      </c>
    </row>
    <row r="91" spans="1:27" ht="14.25" customHeight="1" x14ac:dyDescent="0.35">
      <c r="A91" s="61">
        <v>85</v>
      </c>
      <c r="B91">
        <v>85</v>
      </c>
      <c r="C91" s="7">
        <v>1</v>
      </c>
      <c r="D91" t="s">
        <v>112</v>
      </c>
      <c r="E91">
        <v>1</v>
      </c>
      <c r="F91">
        <v>0.5</v>
      </c>
      <c r="G91">
        <v>3</v>
      </c>
      <c r="H91" t="s">
        <v>26</v>
      </c>
      <c r="I91" t="s">
        <v>58</v>
      </c>
      <c r="J91" t="str">
        <f>LOOKUP(I91,'Flight Test Matrix - Overview'!$V$34:$V$36,'Flight Test Matrix - Overview'!$X$25:$X$27)</f>
        <v>6500 ft</v>
      </c>
      <c r="K91" t="s">
        <v>62</v>
      </c>
      <c r="L91" t="s">
        <v>68</v>
      </c>
      <c r="M91">
        <f>LOOKUP(L91,'Flight Test Matrix - Overview'!$M$34:$M$36,'Flight Test Matrix - Overview'!$O$34:$O$36)</f>
        <v>70</v>
      </c>
      <c r="N91" t="s">
        <v>58</v>
      </c>
      <c r="O91" t="str">
        <f>LOOKUP(N91,'Flight Test Matrix - Overview'!$Q$34:$Q$36,'Flight Test Matrix - Overview'!$S$34:$S$36)</f>
        <v>fly level</v>
      </c>
      <c r="P91" s="96" t="s">
        <v>191</v>
      </c>
      <c r="R91" t="s">
        <v>116</v>
      </c>
      <c r="S91" t="s">
        <v>192</v>
      </c>
      <c r="T91" t="s">
        <v>193</v>
      </c>
      <c r="U91" t="s">
        <v>119</v>
      </c>
      <c r="V91" t="s">
        <v>31</v>
      </c>
      <c r="W91" t="s">
        <v>31</v>
      </c>
      <c r="X91" t="s">
        <v>31</v>
      </c>
      <c r="Y91" t="s">
        <v>120</v>
      </c>
      <c r="Z91" t="s">
        <v>31</v>
      </c>
      <c r="AA91" t="s">
        <v>194</v>
      </c>
    </row>
    <row r="92" spans="1:27" ht="14.25" customHeight="1" x14ac:dyDescent="0.35">
      <c r="A92" s="61">
        <v>86</v>
      </c>
      <c r="B92">
        <v>86</v>
      </c>
      <c r="C92" s="7">
        <v>1</v>
      </c>
      <c r="D92" t="s">
        <v>112</v>
      </c>
      <c r="E92">
        <v>1</v>
      </c>
      <c r="G92">
        <v>3</v>
      </c>
      <c r="H92" t="s">
        <v>26</v>
      </c>
      <c r="I92" t="s">
        <v>58</v>
      </c>
      <c r="J92" t="str">
        <f>LOOKUP(I92,'Flight Test Matrix - Overview'!$V$34:$V$36,'Flight Test Matrix - Overview'!$X$25:$X$27)</f>
        <v>6500 ft</v>
      </c>
      <c r="K92" t="s">
        <v>62</v>
      </c>
      <c r="L92" t="s">
        <v>68</v>
      </c>
      <c r="M92">
        <f>LOOKUP(L92,'Flight Test Matrix - Overview'!$M$34:$M$36,'Flight Test Matrix - Overview'!$O$34:$O$36)</f>
        <v>70</v>
      </c>
      <c r="N92" t="s">
        <v>58</v>
      </c>
      <c r="O92" t="str">
        <f>LOOKUP(N92,'Flight Test Matrix - Overview'!$Q$34:$Q$36,'Flight Test Matrix - Overview'!$S$34:$S$36)</f>
        <v>fly level</v>
      </c>
      <c r="P92" s="96" t="s">
        <v>191</v>
      </c>
      <c r="R92" t="s">
        <v>116</v>
      </c>
      <c r="S92" t="s">
        <v>192</v>
      </c>
      <c r="T92" t="s">
        <v>193</v>
      </c>
      <c r="U92" t="s">
        <v>119</v>
      </c>
      <c r="V92" t="s">
        <v>31</v>
      </c>
      <c r="W92" t="s">
        <v>31</v>
      </c>
      <c r="X92" t="s">
        <v>31</v>
      </c>
      <c r="Y92" t="s">
        <v>120</v>
      </c>
      <c r="Z92" t="s">
        <v>31</v>
      </c>
      <c r="AA92" t="s">
        <v>194</v>
      </c>
    </row>
    <row r="93" spans="1:27" ht="14.25" customHeight="1" x14ac:dyDescent="0.35">
      <c r="A93" s="61">
        <v>871</v>
      </c>
      <c r="B93">
        <v>87</v>
      </c>
      <c r="C93" s="7">
        <v>3</v>
      </c>
      <c r="D93" t="s">
        <v>112</v>
      </c>
      <c r="E93">
        <v>1</v>
      </c>
      <c r="G93">
        <v>3</v>
      </c>
      <c r="H93" t="s">
        <v>26</v>
      </c>
      <c r="I93" t="s">
        <v>58</v>
      </c>
      <c r="J93" t="str">
        <f>LOOKUP(I93,'Flight Test Matrix - Overview'!$V$34:$V$36,'Flight Test Matrix - Overview'!$X$25:$X$27)</f>
        <v>6500 ft</v>
      </c>
      <c r="K93" t="s">
        <v>62</v>
      </c>
      <c r="L93" t="s">
        <v>58</v>
      </c>
      <c r="M93">
        <f>LOOKUP(L93,'Flight Test Matrix - Overview'!$M$34:$M$36,'Flight Test Matrix - Overview'!$O$34:$O$36)</f>
        <v>80</v>
      </c>
      <c r="N93" t="s">
        <v>58</v>
      </c>
      <c r="O93" t="str">
        <f>LOOKUP(N93,'Flight Test Matrix - Overview'!$Q$34:$Q$36,'Flight Test Matrix - Overview'!$S$34:$S$36)</f>
        <v>fly level</v>
      </c>
      <c r="P93" s="96" t="s">
        <v>191</v>
      </c>
      <c r="R93" t="s">
        <v>116</v>
      </c>
      <c r="S93" t="s">
        <v>192</v>
      </c>
      <c r="T93" t="s">
        <v>193</v>
      </c>
      <c r="U93" t="s">
        <v>119</v>
      </c>
      <c r="V93" t="s">
        <v>31</v>
      </c>
      <c r="W93" t="s">
        <v>31</v>
      </c>
      <c r="X93" t="s">
        <v>31</v>
      </c>
      <c r="Y93" t="s">
        <v>120</v>
      </c>
      <c r="Z93" t="s">
        <v>31</v>
      </c>
      <c r="AA93" t="s">
        <v>194</v>
      </c>
    </row>
    <row r="94" spans="1:27" ht="14.25" customHeight="1" x14ac:dyDescent="0.35">
      <c r="A94" s="61">
        <v>872</v>
      </c>
      <c r="B94">
        <v>87</v>
      </c>
      <c r="C94" s="7">
        <v>3</v>
      </c>
      <c r="D94" t="s">
        <v>112</v>
      </c>
      <c r="E94">
        <v>1</v>
      </c>
      <c r="G94">
        <v>3</v>
      </c>
      <c r="H94" t="s">
        <v>26</v>
      </c>
      <c r="I94" t="s">
        <v>58</v>
      </c>
      <c r="J94" t="str">
        <f>LOOKUP(I94,'Flight Test Matrix - Overview'!$V$34:$V$36,'Flight Test Matrix - Overview'!$X$25:$X$27)</f>
        <v>6500 ft</v>
      </c>
      <c r="K94" t="s">
        <v>62</v>
      </c>
      <c r="L94" t="s">
        <v>58</v>
      </c>
      <c r="M94">
        <f>LOOKUP(L94,'Flight Test Matrix - Overview'!$M$34:$M$36,'Flight Test Matrix - Overview'!$O$34:$O$36)</f>
        <v>80</v>
      </c>
      <c r="N94" t="s">
        <v>58</v>
      </c>
      <c r="O94" t="str">
        <f>LOOKUP(N94,'Flight Test Matrix - Overview'!$Q$34:$Q$36,'Flight Test Matrix - Overview'!$S$34:$S$36)</f>
        <v>fly level</v>
      </c>
      <c r="P94" s="96" t="s">
        <v>191</v>
      </c>
      <c r="R94" t="s">
        <v>116</v>
      </c>
      <c r="S94" t="s">
        <v>192</v>
      </c>
      <c r="T94" t="s">
        <v>193</v>
      </c>
      <c r="U94" t="s">
        <v>119</v>
      </c>
      <c r="V94" t="s">
        <v>31</v>
      </c>
      <c r="W94" t="s">
        <v>31</v>
      </c>
      <c r="X94" t="s">
        <v>31</v>
      </c>
      <c r="Y94" t="s">
        <v>120</v>
      </c>
      <c r="Z94" t="s">
        <v>31</v>
      </c>
      <c r="AA94" t="s">
        <v>194</v>
      </c>
    </row>
    <row r="95" spans="1:27" ht="14.25" customHeight="1" x14ac:dyDescent="0.35">
      <c r="A95" s="61">
        <v>88</v>
      </c>
      <c r="B95">
        <v>88</v>
      </c>
      <c r="C95" s="7">
        <v>5</v>
      </c>
      <c r="D95" t="s">
        <v>112</v>
      </c>
      <c r="E95">
        <v>1</v>
      </c>
      <c r="F95">
        <v>0.5</v>
      </c>
      <c r="G95">
        <v>3</v>
      </c>
      <c r="H95" t="s">
        <v>26</v>
      </c>
      <c r="I95" t="s">
        <v>58</v>
      </c>
      <c r="J95" t="str">
        <f>LOOKUP(I95,'Flight Test Matrix - Overview'!$V$34:$V$36,'Flight Test Matrix - Overview'!$X$25:$X$27)</f>
        <v>6500 ft</v>
      </c>
      <c r="K95" t="s">
        <v>62</v>
      </c>
      <c r="L95" t="s">
        <v>58</v>
      </c>
      <c r="M95">
        <f>LOOKUP(L95,'Flight Test Matrix - Overview'!$M$34:$M$36,'Flight Test Matrix - Overview'!$O$34:$O$36)</f>
        <v>80</v>
      </c>
      <c r="N95" t="s">
        <v>58</v>
      </c>
      <c r="O95" t="str">
        <f>LOOKUP(N95,'Flight Test Matrix - Overview'!$Q$34:$Q$36,'Flight Test Matrix - Overview'!$S$34:$S$36)</f>
        <v>fly level</v>
      </c>
      <c r="P95" s="96" t="s">
        <v>191</v>
      </c>
      <c r="R95" t="s">
        <v>116</v>
      </c>
      <c r="S95" t="s">
        <v>192</v>
      </c>
      <c r="T95" t="s">
        <v>193</v>
      </c>
      <c r="U95" t="s">
        <v>119</v>
      </c>
      <c r="V95" t="s">
        <v>31</v>
      </c>
      <c r="W95" t="s">
        <v>31</v>
      </c>
      <c r="X95" t="s">
        <v>31</v>
      </c>
      <c r="Y95" t="s">
        <v>120</v>
      </c>
      <c r="Z95" t="s">
        <v>31</v>
      </c>
      <c r="AA95" t="s">
        <v>194</v>
      </c>
    </row>
    <row r="96" spans="1:27" ht="14.25" customHeight="1" x14ac:dyDescent="0.35">
      <c r="A96" s="61">
        <v>89</v>
      </c>
      <c r="B96">
        <v>89</v>
      </c>
      <c r="C96" s="7">
        <v>17</v>
      </c>
      <c r="D96" t="s">
        <v>112</v>
      </c>
      <c r="E96">
        <v>0</v>
      </c>
      <c r="G96">
        <v>3</v>
      </c>
      <c r="H96" t="s">
        <v>26</v>
      </c>
      <c r="I96" t="s">
        <v>58</v>
      </c>
      <c r="J96" t="str">
        <f>LOOKUP(I96,'Flight Test Matrix - Overview'!$V$34:$V$36,'Flight Test Matrix - Overview'!$X$25:$X$27)</f>
        <v>6500 ft</v>
      </c>
      <c r="K96" t="s">
        <v>62</v>
      </c>
      <c r="L96" t="s">
        <v>70</v>
      </c>
      <c r="M96">
        <f>LOOKUP(L96,'Flight Test Matrix - Overview'!$M$34:$M$36,'Flight Test Matrix - Overview'!$O$34:$O$36)</f>
        <v>95</v>
      </c>
      <c r="N96" t="s">
        <v>58</v>
      </c>
      <c r="O96" t="str">
        <f>LOOKUP(N96,'Flight Test Matrix - Overview'!$Q$34:$Q$36,'Flight Test Matrix - Overview'!$S$34:$S$36)</f>
        <v>fly level</v>
      </c>
      <c r="P96" s="96" t="s">
        <v>191</v>
      </c>
      <c r="R96" t="s">
        <v>116</v>
      </c>
      <c r="S96" t="s">
        <v>192</v>
      </c>
      <c r="T96" t="s">
        <v>193</v>
      </c>
      <c r="U96" t="s">
        <v>119</v>
      </c>
      <c r="V96" t="s">
        <v>31</v>
      </c>
      <c r="W96" t="s">
        <v>31</v>
      </c>
      <c r="X96" t="s">
        <v>31</v>
      </c>
      <c r="Y96" t="s">
        <v>120</v>
      </c>
      <c r="Z96" t="s">
        <v>31</v>
      </c>
      <c r="AA96" t="s">
        <v>194</v>
      </c>
    </row>
    <row r="97" spans="1:27" ht="14.25" customHeight="1" x14ac:dyDescent="0.35">
      <c r="A97" s="61">
        <v>90</v>
      </c>
      <c r="B97">
        <v>90</v>
      </c>
      <c r="C97" s="7">
        <v>7</v>
      </c>
      <c r="D97" t="s">
        <v>112</v>
      </c>
      <c r="E97">
        <v>1</v>
      </c>
      <c r="G97">
        <v>3</v>
      </c>
      <c r="H97" t="s">
        <v>26</v>
      </c>
      <c r="I97" t="s">
        <v>58</v>
      </c>
      <c r="J97" t="str">
        <f>LOOKUP(I97,'Flight Test Matrix - Overview'!$V$34:$V$36,'Flight Test Matrix - Overview'!$X$25:$X$27)</f>
        <v>6500 ft</v>
      </c>
      <c r="K97" t="s">
        <v>62</v>
      </c>
      <c r="L97" t="s">
        <v>70</v>
      </c>
      <c r="M97">
        <f>LOOKUP(L97,'Flight Test Matrix - Overview'!$M$34:$M$36,'Flight Test Matrix - Overview'!$O$34:$O$36)</f>
        <v>95</v>
      </c>
      <c r="N97" t="s">
        <v>58</v>
      </c>
      <c r="O97" t="str">
        <f>LOOKUP(N97,'Flight Test Matrix - Overview'!$Q$34:$Q$36,'Flight Test Matrix - Overview'!$S$34:$S$36)</f>
        <v>fly level</v>
      </c>
      <c r="P97" s="96" t="s">
        <v>191</v>
      </c>
      <c r="R97" t="s">
        <v>116</v>
      </c>
      <c r="S97" t="s">
        <v>192</v>
      </c>
      <c r="T97" t="s">
        <v>193</v>
      </c>
      <c r="U97" t="s">
        <v>119</v>
      </c>
      <c r="V97" t="s">
        <v>31</v>
      </c>
      <c r="W97" t="s">
        <v>31</v>
      </c>
      <c r="X97" t="s">
        <v>31</v>
      </c>
      <c r="Y97" t="s">
        <v>120</v>
      </c>
      <c r="Z97" t="s">
        <v>31</v>
      </c>
      <c r="AA97" t="s">
        <v>194</v>
      </c>
    </row>
    <row r="98" spans="1:27" ht="14.25" customHeight="1" x14ac:dyDescent="0.35">
      <c r="A98" s="61">
        <v>91</v>
      </c>
      <c r="B98">
        <v>91</v>
      </c>
      <c r="C98" s="7">
        <v>9</v>
      </c>
      <c r="D98" t="s">
        <v>112</v>
      </c>
      <c r="E98">
        <v>1</v>
      </c>
      <c r="G98">
        <v>3</v>
      </c>
      <c r="H98" t="s">
        <v>26</v>
      </c>
      <c r="I98" t="s">
        <v>70</v>
      </c>
      <c r="J98" t="str">
        <f>LOOKUP(I98,'Flight Test Matrix - Overview'!$V$34:$V$36,'Flight Test Matrix - Overview'!$X$25:$X$27)</f>
        <v>3500 ft</v>
      </c>
      <c r="K98" t="s">
        <v>62</v>
      </c>
      <c r="L98" t="s">
        <v>68</v>
      </c>
      <c r="M98">
        <f>LOOKUP(L98,'Flight Test Matrix - Overview'!$M$34:$M$36,'Flight Test Matrix - Overview'!$O$34:$O$36)</f>
        <v>70</v>
      </c>
      <c r="N98" t="s">
        <v>58</v>
      </c>
      <c r="O98" t="str">
        <f>LOOKUP(N98,'Flight Test Matrix - Overview'!$Q$34:$Q$36,'Flight Test Matrix - Overview'!$S$34:$S$36)</f>
        <v>fly level</v>
      </c>
      <c r="P98" s="96" t="s">
        <v>191</v>
      </c>
      <c r="R98" t="s">
        <v>116</v>
      </c>
      <c r="S98" t="s">
        <v>192</v>
      </c>
      <c r="T98" t="s">
        <v>193</v>
      </c>
      <c r="U98" t="s">
        <v>119</v>
      </c>
      <c r="V98" t="s">
        <v>31</v>
      </c>
      <c r="W98" t="s">
        <v>31</v>
      </c>
      <c r="X98" t="s">
        <v>31</v>
      </c>
      <c r="Y98" t="s">
        <v>120</v>
      </c>
      <c r="Z98" t="s">
        <v>31</v>
      </c>
      <c r="AA98" t="s">
        <v>194</v>
      </c>
    </row>
    <row r="99" spans="1:27" ht="14.25" customHeight="1" x14ac:dyDescent="0.35">
      <c r="A99" s="61">
        <v>92</v>
      </c>
      <c r="B99">
        <v>92</v>
      </c>
      <c r="C99" s="7">
        <v>9</v>
      </c>
      <c r="D99" t="s">
        <v>112</v>
      </c>
      <c r="E99">
        <v>1</v>
      </c>
      <c r="G99">
        <v>3</v>
      </c>
      <c r="H99" t="s">
        <v>26</v>
      </c>
      <c r="I99" t="s">
        <v>70</v>
      </c>
      <c r="J99" t="str">
        <f>LOOKUP(I99,'Flight Test Matrix - Overview'!$V$34:$V$36,'Flight Test Matrix - Overview'!$X$25:$X$27)</f>
        <v>3500 ft</v>
      </c>
      <c r="K99" t="s">
        <v>62</v>
      </c>
      <c r="L99" t="s">
        <v>68</v>
      </c>
      <c r="M99">
        <f>LOOKUP(L99,'Flight Test Matrix - Overview'!$M$34:$M$36,'Flight Test Matrix - Overview'!$O$34:$O$36)</f>
        <v>70</v>
      </c>
      <c r="N99" t="s">
        <v>58</v>
      </c>
      <c r="O99" t="str">
        <f>LOOKUP(N99,'Flight Test Matrix - Overview'!$Q$34:$Q$36,'Flight Test Matrix - Overview'!$S$34:$S$36)</f>
        <v>fly level</v>
      </c>
      <c r="P99" s="96" t="s">
        <v>191</v>
      </c>
      <c r="R99" t="s">
        <v>116</v>
      </c>
      <c r="S99" t="s">
        <v>192</v>
      </c>
      <c r="T99" t="s">
        <v>193</v>
      </c>
      <c r="U99" t="s">
        <v>119</v>
      </c>
      <c r="V99" t="s">
        <v>31</v>
      </c>
      <c r="W99" t="s">
        <v>31</v>
      </c>
      <c r="X99" t="s">
        <v>31</v>
      </c>
      <c r="Y99" t="s">
        <v>120</v>
      </c>
      <c r="Z99" t="s">
        <v>31</v>
      </c>
      <c r="AA99" t="s">
        <v>194</v>
      </c>
    </row>
    <row r="100" spans="1:27" ht="14.25" customHeight="1" x14ac:dyDescent="0.35">
      <c r="A100" s="61">
        <v>93</v>
      </c>
      <c r="B100">
        <v>93</v>
      </c>
      <c r="C100" s="7">
        <v>11</v>
      </c>
      <c r="D100" t="s">
        <v>112</v>
      </c>
      <c r="E100">
        <v>1</v>
      </c>
      <c r="G100">
        <v>3</v>
      </c>
      <c r="H100" t="s">
        <v>26</v>
      </c>
      <c r="I100" t="s">
        <v>70</v>
      </c>
      <c r="J100" t="str">
        <f>LOOKUP(I100,'Flight Test Matrix - Overview'!$V$34:$V$36,'Flight Test Matrix - Overview'!$X$25:$X$27)</f>
        <v>3500 ft</v>
      </c>
      <c r="K100" t="s">
        <v>62</v>
      </c>
      <c r="L100" t="s">
        <v>58</v>
      </c>
      <c r="M100">
        <f>LOOKUP(L100,'Flight Test Matrix - Overview'!$M$34:$M$36,'Flight Test Matrix - Overview'!$O$34:$O$36)</f>
        <v>80</v>
      </c>
      <c r="N100" t="s">
        <v>58</v>
      </c>
      <c r="O100" t="str">
        <f>LOOKUP(N100,'Flight Test Matrix - Overview'!$Q$34:$Q$36,'Flight Test Matrix - Overview'!$S$34:$S$36)</f>
        <v>fly level</v>
      </c>
      <c r="P100" s="96" t="s">
        <v>191</v>
      </c>
      <c r="R100" t="s">
        <v>116</v>
      </c>
      <c r="S100" t="s">
        <v>192</v>
      </c>
      <c r="T100" t="s">
        <v>193</v>
      </c>
      <c r="U100" t="s">
        <v>119</v>
      </c>
      <c r="V100" t="s">
        <v>31</v>
      </c>
      <c r="W100" t="s">
        <v>31</v>
      </c>
      <c r="X100" t="s">
        <v>31</v>
      </c>
      <c r="Y100" t="s">
        <v>120</v>
      </c>
      <c r="Z100" t="s">
        <v>31</v>
      </c>
      <c r="AA100" t="s">
        <v>194</v>
      </c>
    </row>
    <row r="101" spans="1:27" ht="14.25" customHeight="1" x14ac:dyDescent="0.35">
      <c r="A101" s="61">
        <v>94</v>
      </c>
      <c r="B101">
        <v>94</v>
      </c>
      <c r="C101" s="7">
        <v>11</v>
      </c>
      <c r="D101" t="s">
        <v>112</v>
      </c>
      <c r="E101">
        <v>1</v>
      </c>
      <c r="G101">
        <v>3</v>
      </c>
      <c r="H101" t="s">
        <v>26</v>
      </c>
      <c r="I101" t="s">
        <v>70</v>
      </c>
      <c r="J101" t="str">
        <f>LOOKUP(I101,'Flight Test Matrix - Overview'!$V$34:$V$36,'Flight Test Matrix - Overview'!$X$25:$X$27)</f>
        <v>3500 ft</v>
      </c>
      <c r="K101" t="s">
        <v>62</v>
      </c>
      <c r="L101" t="s">
        <v>58</v>
      </c>
      <c r="M101">
        <f>LOOKUP(L101,'Flight Test Matrix - Overview'!$M$34:$M$36,'Flight Test Matrix - Overview'!$O$34:$O$36)</f>
        <v>80</v>
      </c>
      <c r="N101" t="s">
        <v>58</v>
      </c>
      <c r="O101" t="str">
        <f>LOOKUP(N101,'Flight Test Matrix - Overview'!$Q$34:$Q$36,'Flight Test Matrix - Overview'!$S$34:$S$36)</f>
        <v>fly level</v>
      </c>
      <c r="P101" s="96" t="s">
        <v>191</v>
      </c>
      <c r="R101" t="s">
        <v>116</v>
      </c>
      <c r="S101" t="s">
        <v>192</v>
      </c>
      <c r="T101" t="s">
        <v>193</v>
      </c>
      <c r="U101" t="s">
        <v>119</v>
      </c>
      <c r="V101" t="s">
        <v>31</v>
      </c>
      <c r="W101" t="s">
        <v>31</v>
      </c>
      <c r="X101" t="s">
        <v>31</v>
      </c>
      <c r="Y101" t="s">
        <v>120</v>
      </c>
      <c r="Z101" t="s">
        <v>31</v>
      </c>
      <c r="AA101" t="s">
        <v>194</v>
      </c>
    </row>
    <row r="102" spans="1:27" ht="14.25" customHeight="1" x14ac:dyDescent="0.35">
      <c r="A102" s="61">
        <v>95</v>
      </c>
      <c r="B102">
        <v>95</v>
      </c>
      <c r="C102" s="7">
        <v>13</v>
      </c>
      <c r="D102" t="s">
        <v>112</v>
      </c>
      <c r="E102">
        <v>1</v>
      </c>
      <c r="G102">
        <v>3</v>
      </c>
      <c r="H102" t="s">
        <v>26</v>
      </c>
      <c r="I102" t="s">
        <v>70</v>
      </c>
      <c r="J102" t="str">
        <f>LOOKUP(I102,'Flight Test Matrix - Overview'!$V$34:$V$36,'Flight Test Matrix - Overview'!$X$25:$X$27)</f>
        <v>3500 ft</v>
      </c>
      <c r="K102" t="s">
        <v>62</v>
      </c>
      <c r="L102" t="s">
        <v>70</v>
      </c>
      <c r="M102">
        <f>LOOKUP(L102,'Flight Test Matrix - Overview'!$M$34:$M$36,'Flight Test Matrix - Overview'!$O$34:$O$36)</f>
        <v>95</v>
      </c>
      <c r="N102" t="s">
        <v>58</v>
      </c>
      <c r="O102" t="str">
        <f>LOOKUP(N102,'Flight Test Matrix - Overview'!$Q$34:$Q$36,'Flight Test Matrix - Overview'!$S$34:$S$36)</f>
        <v>fly level</v>
      </c>
      <c r="P102" s="96" t="s">
        <v>191</v>
      </c>
      <c r="R102" t="s">
        <v>116</v>
      </c>
      <c r="S102" t="s">
        <v>192</v>
      </c>
      <c r="T102" t="s">
        <v>193</v>
      </c>
      <c r="U102" t="s">
        <v>119</v>
      </c>
      <c r="V102" t="s">
        <v>31</v>
      </c>
      <c r="W102" t="s">
        <v>31</v>
      </c>
      <c r="X102" t="s">
        <v>31</v>
      </c>
      <c r="Y102" t="s">
        <v>120</v>
      </c>
      <c r="Z102" t="s">
        <v>31</v>
      </c>
      <c r="AA102" t="s">
        <v>194</v>
      </c>
    </row>
    <row r="103" spans="1:27" ht="14.25" customHeight="1" x14ac:dyDescent="0.35">
      <c r="A103" s="61">
        <v>96</v>
      </c>
      <c r="B103">
        <v>96</v>
      </c>
      <c r="C103" s="7">
        <v>13</v>
      </c>
      <c r="D103" t="s">
        <v>112</v>
      </c>
      <c r="E103">
        <v>1</v>
      </c>
      <c r="G103">
        <v>3</v>
      </c>
      <c r="H103" t="s">
        <v>26</v>
      </c>
      <c r="I103" t="s">
        <v>70</v>
      </c>
      <c r="J103" t="str">
        <f>LOOKUP(I103,'Flight Test Matrix - Overview'!$V$34:$V$36,'Flight Test Matrix - Overview'!$X$25:$X$27)</f>
        <v>3500 ft</v>
      </c>
      <c r="K103" t="s">
        <v>62</v>
      </c>
      <c r="L103" t="s">
        <v>70</v>
      </c>
      <c r="M103">
        <f>LOOKUP(L103,'Flight Test Matrix - Overview'!$M$34:$M$36,'Flight Test Matrix - Overview'!$O$34:$O$36)</f>
        <v>95</v>
      </c>
      <c r="N103" t="s">
        <v>58</v>
      </c>
      <c r="O103" t="str">
        <f>LOOKUP(N103,'Flight Test Matrix - Overview'!$Q$34:$Q$36,'Flight Test Matrix - Overview'!$S$34:$S$36)</f>
        <v>fly level</v>
      </c>
      <c r="P103" s="96" t="s">
        <v>191</v>
      </c>
      <c r="R103" t="s">
        <v>116</v>
      </c>
      <c r="S103" t="s">
        <v>192</v>
      </c>
      <c r="T103" t="s">
        <v>193</v>
      </c>
      <c r="U103" t="s">
        <v>119</v>
      </c>
      <c r="V103" t="s">
        <v>31</v>
      </c>
      <c r="W103" t="s">
        <v>31</v>
      </c>
      <c r="X103" t="s">
        <v>31</v>
      </c>
      <c r="Y103" t="s">
        <v>120</v>
      </c>
      <c r="Z103" t="s">
        <v>31</v>
      </c>
      <c r="AA103" t="s">
        <v>194</v>
      </c>
    </row>
    <row r="104" spans="1:27" ht="14.25" customHeight="1" x14ac:dyDescent="0.35">
      <c r="A104" s="61">
        <v>97</v>
      </c>
      <c r="B104">
        <v>97</v>
      </c>
      <c r="C104" s="7">
        <v>16</v>
      </c>
      <c r="D104" t="s">
        <v>112</v>
      </c>
      <c r="E104">
        <v>1</v>
      </c>
      <c r="G104">
        <v>3</v>
      </c>
      <c r="H104" t="s">
        <v>26</v>
      </c>
      <c r="I104" t="s">
        <v>58</v>
      </c>
      <c r="J104" t="str">
        <f>LOOKUP(I104,'Flight Test Matrix - Overview'!$V$34:$V$36,'Flight Test Matrix - Overview'!$X$25:$X$27)</f>
        <v>6500 ft</v>
      </c>
      <c r="K104" t="s">
        <v>62</v>
      </c>
      <c r="L104" t="s">
        <v>58</v>
      </c>
      <c r="M104">
        <f>LOOKUP(L104,'Flight Test Matrix - Overview'!$M$34:$M$36,'Flight Test Matrix - Overview'!$O$34:$O$36)</f>
        <v>80</v>
      </c>
      <c r="N104" t="s">
        <v>68</v>
      </c>
      <c r="O104" t="str">
        <f>LOOKUP(N104,'Flight Test Matrix - Overview'!$Q$34:$Q$36,'Flight Test Matrix - Overview'!$S$34:$S$36)</f>
        <v>descent</v>
      </c>
      <c r="P104" s="96" t="s">
        <v>195</v>
      </c>
      <c r="R104" t="s">
        <v>116</v>
      </c>
      <c r="S104" t="s">
        <v>192</v>
      </c>
      <c r="T104" t="s">
        <v>193</v>
      </c>
      <c r="U104" t="s">
        <v>119</v>
      </c>
      <c r="V104" t="s">
        <v>31</v>
      </c>
      <c r="W104" t="s">
        <v>31</v>
      </c>
      <c r="X104" t="s">
        <v>31</v>
      </c>
      <c r="Y104" t="s">
        <v>120</v>
      </c>
      <c r="Z104" t="s">
        <v>31</v>
      </c>
      <c r="AA104" t="s">
        <v>194</v>
      </c>
    </row>
    <row r="105" spans="1:27" ht="14.25" customHeight="1" x14ac:dyDescent="0.35">
      <c r="A105" s="61">
        <v>98</v>
      </c>
      <c r="B105">
        <v>98</v>
      </c>
      <c r="C105" s="7">
        <v>17</v>
      </c>
      <c r="D105" t="s">
        <v>112</v>
      </c>
      <c r="E105">
        <v>0</v>
      </c>
      <c r="G105">
        <v>3</v>
      </c>
      <c r="H105" t="s">
        <v>27</v>
      </c>
      <c r="I105" t="s">
        <v>58</v>
      </c>
      <c r="J105" t="str">
        <f>LOOKUP(I105,'Flight Test Matrix - Overview'!$V$34:$V$36,'Flight Test Matrix - Overview'!$X$25:$X$27)</f>
        <v>6500 ft</v>
      </c>
      <c r="K105" t="s">
        <v>62</v>
      </c>
      <c r="L105" t="s">
        <v>68</v>
      </c>
      <c r="M105">
        <f>LOOKUP(L105,'Flight Test Matrix - Overview'!$M$34:$M$36,'Flight Test Matrix - Overview'!$O$34:$O$36)</f>
        <v>70</v>
      </c>
      <c r="N105" t="s">
        <v>58</v>
      </c>
      <c r="O105" t="str">
        <f>LOOKUP(N105,'Flight Test Matrix - Overview'!$Q$34:$Q$36,'Flight Test Matrix - Overview'!$S$34:$S$36)</f>
        <v>fly level</v>
      </c>
      <c r="P105" s="96" t="s">
        <v>191</v>
      </c>
      <c r="R105" t="s">
        <v>116</v>
      </c>
      <c r="S105" t="s">
        <v>192</v>
      </c>
      <c r="T105" t="s">
        <v>193</v>
      </c>
      <c r="U105" t="s">
        <v>119</v>
      </c>
      <c r="V105" t="s">
        <v>31</v>
      </c>
      <c r="W105" t="s">
        <v>31</v>
      </c>
      <c r="X105" t="s">
        <v>31</v>
      </c>
      <c r="Y105" t="s">
        <v>120</v>
      </c>
      <c r="Z105" t="s">
        <v>31</v>
      </c>
      <c r="AA105" t="s">
        <v>194</v>
      </c>
    </row>
    <row r="106" spans="1:27" ht="14.25" customHeight="1" x14ac:dyDescent="0.35">
      <c r="A106" s="61">
        <v>99</v>
      </c>
      <c r="B106">
        <v>99</v>
      </c>
      <c r="C106" s="7">
        <v>16</v>
      </c>
      <c r="D106" t="s">
        <v>112</v>
      </c>
      <c r="E106">
        <v>1</v>
      </c>
      <c r="G106">
        <v>3</v>
      </c>
      <c r="H106" t="s">
        <v>26</v>
      </c>
      <c r="I106" t="s">
        <v>58</v>
      </c>
      <c r="J106" t="str">
        <f>LOOKUP(I106,'Flight Test Matrix - Overview'!$V$34:$V$36,'Flight Test Matrix - Overview'!$X$25:$X$27)</f>
        <v>6500 ft</v>
      </c>
      <c r="K106" t="s">
        <v>62</v>
      </c>
      <c r="L106" t="s">
        <v>58</v>
      </c>
      <c r="M106">
        <f>LOOKUP(L106,'Flight Test Matrix - Overview'!$M$34:$M$36,'Flight Test Matrix - Overview'!$O$34:$O$36)</f>
        <v>80</v>
      </c>
      <c r="N106" t="s">
        <v>68</v>
      </c>
      <c r="O106" t="str">
        <f>LOOKUP(N106,'Flight Test Matrix - Overview'!$Q$34:$Q$36,'Flight Test Matrix - Overview'!$S$34:$S$36)</f>
        <v>descent</v>
      </c>
      <c r="P106" s="96" t="s">
        <v>195</v>
      </c>
      <c r="R106" t="s">
        <v>116</v>
      </c>
      <c r="S106" t="s">
        <v>192</v>
      </c>
      <c r="T106" t="s">
        <v>193</v>
      </c>
      <c r="U106" t="s">
        <v>119</v>
      </c>
      <c r="V106" t="s">
        <v>31</v>
      </c>
      <c r="W106" t="s">
        <v>31</v>
      </c>
      <c r="X106" t="s">
        <v>31</v>
      </c>
      <c r="Y106" t="s">
        <v>120</v>
      </c>
      <c r="Z106" t="s">
        <v>31</v>
      </c>
      <c r="AA106" t="s">
        <v>194</v>
      </c>
    </row>
    <row r="107" spans="1:27" ht="14.25" customHeight="1" x14ac:dyDescent="0.35">
      <c r="A107" s="61">
        <v>100</v>
      </c>
      <c r="B107">
        <v>100</v>
      </c>
      <c r="C107" s="7">
        <v>4</v>
      </c>
      <c r="D107" t="s">
        <v>112</v>
      </c>
      <c r="E107">
        <v>0</v>
      </c>
      <c r="G107">
        <v>3</v>
      </c>
      <c r="H107" t="s">
        <v>27</v>
      </c>
      <c r="I107" t="s">
        <v>58</v>
      </c>
      <c r="J107" t="str">
        <f>LOOKUP(I107,'Flight Test Matrix - Overview'!$V$34:$V$36,'Flight Test Matrix - Overview'!$X$25:$X$27)</f>
        <v>6500 ft</v>
      </c>
      <c r="K107" t="s">
        <v>62</v>
      </c>
      <c r="L107" t="s">
        <v>58</v>
      </c>
      <c r="M107">
        <f>LOOKUP(L107,'Flight Test Matrix - Overview'!$M$34:$M$36,'Flight Test Matrix - Overview'!$O$34:$O$36)</f>
        <v>80</v>
      </c>
      <c r="N107" t="s">
        <v>58</v>
      </c>
      <c r="O107" t="str">
        <f>LOOKUP(N107,'Flight Test Matrix - Overview'!$Q$34:$Q$36,'Flight Test Matrix - Overview'!$S$34:$S$36)</f>
        <v>fly level</v>
      </c>
      <c r="P107" s="96" t="s">
        <v>191</v>
      </c>
      <c r="R107" t="s">
        <v>116</v>
      </c>
      <c r="S107" t="s">
        <v>192</v>
      </c>
      <c r="T107" t="s">
        <v>193</v>
      </c>
      <c r="U107" t="s">
        <v>119</v>
      </c>
      <c r="V107" t="s">
        <v>31</v>
      </c>
      <c r="W107" t="s">
        <v>31</v>
      </c>
      <c r="X107" t="s">
        <v>31</v>
      </c>
      <c r="Y107" t="s">
        <v>120</v>
      </c>
      <c r="Z107" t="s">
        <v>31</v>
      </c>
      <c r="AA107" t="s">
        <v>194</v>
      </c>
    </row>
    <row r="108" spans="1:27" ht="14.25" customHeight="1" x14ac:dyDescent="0.35">
      <c r="A108" s="61">
        <v>101</v>
      </c>
      <c r="B108">
        <v>101</v>
      </c>
      <c r="C108" s="7">
        <v>6</v>
      </c>
      <c r="D108" t="s">
        <v>112</v>
      </c>
      <c r="E108">
        <v>1</v>
      </c>
      <c r="G108">
        <v>3</v>
      </c>
      <c r="H108" t="s">
        <v>27</v>
      </c>
      <c r="I108" t="s">
        <v>58</v>
      </c>
      <c r="J108" t="str">
        <f>LOOKUP(I108,'Flight Test Matrix - Overview'!$V$34:$V$36,'Flight Test Matrix - Overview'!$X$25:$X$27)</f>
        <v>6500 ft</v>
      </c>
      <c r="K108" t="s">
        <v>62</v>
      </c>
      <c r="L108" t="s">
        <v>70</v>
      </c>
      <c r="M108">
        <f>LOOKUP(L108,'Flight Test Matrix - Overview'!$M$34:$M$36,'Flight Test Matrix - Overview'!$O$34:$O$36)</f>
        <v>95</v>
      </c>
      <c r="N108" t="s">
        <v>58</v>
      </c>
      <c r="O108" t="str">
        <f>LOOKUP(N108,'Flight Test Matrix - Overview'!$Q$34:$Q$36,'Flight Test Matrix - Overview'!$S$34:$S$36)</f>
        <v>fly level</v>
      </c>
      <c r="P108" s="96" t="s">
        <v>191</v>
      </c>
      <c r="R108" t="s">
        <v>116</v>
      </c>
      <c r="S108" t="s">
        <v>192</v>
      </c>
      <c r="T108" t="s">
        <v>193</v>
      </c>
      <c r="U108" t="s">
        <v>119</v>
      </c>
      <c r="V108" t="s">
        <v>31</v>
      </c>
      <c r="W108" t="s">
        <v>31</v>
      </c>
      <c r="X108" t="s">
        <v>31</v>
      </c>
      <c r="Y108" t="s">
        <v>120</v>
      </c>
      <c r="Z108" t="s">
        <v>31</v>
      </c>
      <c r="AA108" t="s">
        <v>194</v>
      </c>
    </row>
    <row r="109" spans="1:27" ht="14.25" customHeight="1" x14ac:dyDescent="0.35">
      <c r="A109" s="61">
        <v>102</v>
      </c>
      <c r="B109">
        <v>102</v>
      </c>
      <c r="C109" s="7">
        <v>6</v>
      </c>
      <c r="D109" t="s">
        <v>112</v>
      </c>
      <c r="E109">
        <v>1</v>
      </c>
      <c r="G109">
        <v>3</v>
      </c>
      <c r="H109" t="s">
        <v>27</v>
      </c>
      <c r="I109" t="s">
        <v>58</v>
      </c>
      <c r="J109" t="str">
        <f>LOOKUP(I109,'Flight Test Matrix - Overview'!$V$34:$V$36,'Flight Test Matrix - Overview'!$X$25:$X$27)</f>
        <v>6500 ft</v>
      </c>
      <c r="K109" t="s">
        <v>62</v>
      </c>
      <c r="L109" t="s">
        <v>70</v>
      </c>
      <c r="M109">
        <f>LOOKUP(L109,'Flight Test Matrix - Overview'!$M$34:$M$36,'Flight Test Matrix - Overview'!$O$34:$O$36)</f>
        <v>95</v>
      </c>
      <c r="N109" t="s">
        <v>58</v>
      </c>
      <c r="O109" t="str">
        <f>LOOKUP(N109,'Flight Test Matrix - Overview'!$Q$34:$Q$36,'Flight Test Matrix - Overview'!$S$34:$S$36)</f>
        <v>fly level</v>
      </c>
      <c r="P109" s="96" t="s">
        <v>191</v>
      </c>
      <c r="R109" t="s">
        <v>116</v>
      </c>
      <c r="S109" t="s">
        <v>192</v>
      </c>
      <c r="T109" t="s">
        <v>193</v>
      </c>
      <c r="U109" t="s">
        <v>119</v>
      </c>
      <c r="V109" t="s">
        <v>31</v>
      </c>
      <c r="W109" t="s">
        <v>31</v>
      </c>
      <c r="X109" t="s">
        <v>31</v>
      </c>
      <c r="Y109" t="s">
        <v>120</v>
      </c>
      <c r="Z109" t="s">
        <v>31</v>
      </c>
      <c r="AA109" t="s">
        <v>194</v>
      </c>
    </row>
    <row r="110" spans="1:27" ht="14.25" customHeight="1" x14ac:dyDescent="0.35">
      <c r="A110" s="61">
        <v>103</v>
      </c>
      <c r="B110">
        <v>103</v>
      </c>
      <c r="C110" s="7">
        <v>8</v>
      </c>
      <c r="D110" t="s">
        <v>112</v>
      </c>
      <c r="E110">
        <v>1</v>
      </c>
      <c r="G110">
        <v>3</v>
      </c>
      <c r="H110" t="s">
        <v>27</v>
      </c>
      <c r="I110" t="s">
        <v>70</v>
      </c>
      <c r="J110" t="str">
        <f>LOOKUP(I110,'Flight Test Matrix - Overview'!$V$34:$V$36,'Flight Test Matrix - Overview'!$X$25:$X$27)</f>
        <v>3500 ft</v>
      </c>
      <c r="K110" t="s">
        <v>62</v>
      </c>
      <c r="L110" t="s">
        <v>68</v>
      </c>
      <c r="M110">
        <f>LOOKUP(L110,'Flight Test Matrix - Overview'!$M$34:$M$36,'Flight Test Matrix - Overview'!$O$34:$O$36)</f>
        <v>70</v>
      </c>
      <c r="N110" t="s">
        <v>58</v>
      </c>
      <c r="O110" t="str">
        <f>LOOKUP(N110,'Flight Test Matrix - Overview'!$Q$34:$Q$36,'Flight Test Matrix - Overview'!$S$34:$S$36)</f>
        <v>fly level</v>
      </c>
      <c r="P110" s="96" t="s">
        <v>191</v>
      </c>
      <c r="R110" t="s">
        <v>116</v>
      </c>
      <c r="S110" t="s">
        <v>192</v>
      </c>
      <c r="T110" t="s">
        <v>193</v>
      </c>
      <c r="U110" t="s">
        <v>119</v>
      </c>
      <c r="V110" t="s">
        <v>31</v>
      </c>
      <c r="W110" t="s">
        <v>31</v>
      </c>
      <c r="X110" t="s">
        <v>31</v>
      </c>
      <c r="Y110" t="s">
        <v>120</v>
      </c>
      <c r="Z110" t="s">
        <v>31</v>
      </c>
      <c r="AA110" t="s">
        <v>194</v>
      </c>
    </row>
    <row r="111" spans="1:27" ht="14.25" customHeight="1" x14ac:dyDescent="0.35">
      <c r="A111" s="61">
        <v>104</v>
      </c>
      <c r="B111">
        <v>104</v>
      </c>
      <c r="C111" s="7">
        <v>8</v>
      </c>
      <c r="D111" t="s">
        <v>112</v>
      </c>
      <c r="E111">
        <v>1</v>
      </c>
      <c r="G111">
        <v>3</v>
      </c>
      <c r="H111" t="s">
        <v>27</v>
      </c>
      <c r="I111" t="s">
        <v>70</v>
      </c>
      <c r="J111" t="str">
        <f>LOOKUP(I111,'Flight Test Matrix - Overview'!$V$34:$V$36,'Flight Test Matrix - Overview'!$X$25:$X$27)</f>
        <v>3500 ft</v>
      </c>
      <c r="K111" t="s">
        <v>62</v>
      </c>
      <c r="L111" t="s">
        <v>68</v>
      </c>
      <c r="M111">
        <f>LOOKUP(L111,'Flight Test Matrix - Overview'!$M$34:$M$36,'Flight Test Matrix - Overview'!$O$34:$O$36)</f>
        <v>70</v>
      </c>
      <c r="N111" t="s">
        <v>58</v>
      </c>
      <c r="O111" t="str">
        <f>LOOKUP(N111,'Flight Test Matrix - Overview'!$Q$34:$Q$36,'Flight Test Matrix - Overview'!$S$34:$S$36)</f>
        <v>fly level</v>
      </c>
      <c r="P111" s="96" t="s">
        <v>191</v>
      </c>
      <c r="R111" t="s">
        <v>116</v>
      </c>
      <c r="S111" t="s">
        <v>192</v>
      </c>
      <c r="T111" t="s">
        <v>193</v>
      </c>
      <c r="U111" t="s">
        <v>119</v>
      </c>
      <c r="V111" t="s">
        <v>31</v>
      </c>
      <c r="W111" t="s">
        <v>31</v>
      </c>
      <c r="X111" t="s">
        <v>31</v>
      </c>
      <c r="Y111" t="s">
        <v>120</v>
      </c>
      <c r="Z111" t="s">
        <v>31</v>
      </c>
      <c r="AA111" t="s">
        <v>194</v>
      </c>
    </row>
    <row r="112" spans="1:27" ht="14.25" customHeight="1" x14ac:dyDescent="0.35">
      <c r="A112" s="61">
        <v>105</v>
      </c>
      <c r="B112">
        <v>105</v>
      </c>
      <c r="C112" s="7">
        <v>10</v>
      </c>
      <c r="D112" t="s">
        <v>112</v>
      </c>
      <c r="E112">
        <v>0</v>
      </c>
      <c r="G112">
        <v>3</v>
      </c>
      <c r="H112" t="s">
        <v>27</v>
      </c>
      <c r="I112" t="s">
        <v>70</v>
      </c>
      <c r="J112" t="str">
        <f>LOOKUP(I112,'Flight Test Matrix - Overview'!$V$34:$V$36,'Flight Test Matrix - Overview'!$X$25:$X$27)</f>
        <v>3500 ft</v>
      </c>
      <c r="K112" t="s">
        <v>62</v>
      </c>
      <c r="L112" t="s">
        <v>58</v>
      </c>
      <c r="M112">
        <f>LOOKUP(L112,'Flight Test Matrix - Overview'!$M$34:$M$36,'Flight Test Matrix - Overview'!$O$34:$O$36)</f>
        <v>80</v>
      </c>
      <c r="N112" t="s">
        <v>58</v>
      </c>
      <c r="O112" t="str">
        <f>LOOKUP(N112,'Flight Test Matrix - Overview'!$Q$34:$Q$36,'Flight Test Matrix - Overview'!$S$34:$S$36)</f>
        <v>fly level</v>
      </c>
      <c r="P112" s="96" t="s">
        <v>191</v>
      </c>
      <c r="R112" t="s">
        <v>116</v>
      </c>
      <c r="S112" t="s">
        <v>192</v>
      </c>
      <c r="T112" t="s">
        <v>193</v>
      </c>
      <c r="U112" t="s">
        <v>119</v>
      </c>
      <c r="V112" t="s">
        <v>31</v>
      </c>
      <c r="W112" t="s">
        <v>31</v>
      </c>
      <c r="X112" t="s">
        <v>31</v>
      </c>
      <c r="Y112" t="s">
        <v>120</v>
      </c>
      <c r="Z112" t="s">
        <v>31</v>
      </c>
      <c r="AA112" t="s">
        <v>194</v>
      </c>
    </row>
    <row r="113" spans="1:27" ht="14.25" customHeight="1" x14ac:dyDescent="0.35">
      <c r="A113" s="61">
        <v>106</v>
      </c>
      <c r="B113">
        <v>106</v>
      </c>
      <c r="C113" s="7">
        <v>10</v>
      </c>
      <c r="D113" t="s">
        <v>112</v>
      </c>
      <c r="E113">
        <v>0</v>
      </c>
      <c r="G113">
        <v>3</v>
      </c>
      <c r="H113" t="s">
        <v>27</v>
      </c>
      <c r="I113" t="s">
        <v>70</v>
      </c>
      <c r="J113" t="str">
        <f>LOOKUP(I113,'Flight Test Matrix - Overview'!$V$34:$V$36,'Flight Test Matrix - Overview'!$X$25:$X$27)</f>
        <v>3500 ft</v>
      </c>
      <c r="K113" t="s">
        <v>62</v>
      </c>
      <c r="L113" t="s">
        <v>58</v>
      </c>
      <c r="M113">
        <f>LOOKUP(L113,'Flight Test Matrix - Overview'!$M$34:$M$36,'Flight Test Matrix - Overview'!$O$34:$O$36)</f>
        <v>80</v>
      </c>
      <c r="N113" t="s">
        <v>58</v>
      </c>
      <c r="O113" t="str">
        <f>LOOKUP(N113,'Flight Test Matrix - Overview'!$Q$34:$Q$36,'Flight Test Matrix - Overview'!$S$34:$S$36)</f>
        <v>fly level</v>
      </c>
      <c r="P113" s="96" t="s">
        <v>191</v>
      </c>
      <c r="R113" t="s">
        <v>116</v>
      </c>
      <c r="S113" t="s">
        <v>192</v>
      </c>
      <c r="T113" t="s">
        <v>193</v>
      </c>
      <c r="U113" t="s">
        <v>119</v>
      </c>
      <c r="V113" t="s">
        <v>31</v>
      </c>
      <c r="W113" t="s">
        <v>31</v>
      </c>
      <c r="X113" t="s">
        <v>31</v>
      </c>
      <c r="Y113" t="s">
        <v>120</v>
      </c>
      <c r="Z113" t="s">
        <v>31</v>
      </c>
      <c r="AA113" t="s">
        <v>194</v>
      </c>
    </row>
    <row r="114" spans="1:27" ht="14.25" customHeight="1" x14ac:dyDescent="0.35">
      <c r="A114" s="61">
        <v>107</v>
      </c>
      <c r="B114">
        <v>107</v>
      </c>
      <c r="C114" s="7">
        <v>16</v>
      </c>
      <c r="D114" t="s">
        <v>112</v>
      </c>
      <c r="E114">
        <v>1</v>
      </c>
      <c r="G114">
        <v>3</v>
      </c>
      <c r="H114" t="s">
        <v>26</v>
      </c>
      <c r="I114" t="s">
        <v>58</v>
      </c>
      <c r="J114" t="str">
        <f>LOOKUP(I114,'Flight Test Matrix - Overview'!$V$34:$V$36,'Flight Test Matrix - Overview'!$X$25:$X$27)</f>
        <v>6500 ft</v>
      </c>
      <c r="K114" t="s">
        <v>62</v>
      </c>
      <c r="L114" t="s">
        <v>58</v>
      </c>
      <c r="M114">
        <f>LOOKUP(L114,'Flight Test Matrix - Overview'!$M$34:$M$36,'Flight Test Matrix - Overview'!$O$34:$O$36)</f>
        <v>80</v>
      </c>
      <c r="N114" t="s">
        <v>70</v>
      </c>
      <c r="O114" t="str">
        <f>LOOKUP(N114,'Flight Test Matrix - Overview'!$Q$34:$Q$36,'Flight Test Matrix - Overview'!$S$34:$S$36)</f>
        <v>climb</v>
      </c>
      <c r="P114" s="96" t="s">
        <v>195</v>
      </c>
      <c r="R114" t="s">
        <v>116</v>
      </c>
      <c r="S114" t="s">
        <v>192</v>
      </c>
      <c r="T114" t="s">
        <v>193</v>
      </c>
      <c r="U114" t="s">
        <v>119</v>
      </c>
      <c r="V114" t="s">
        <v>31</v>
      </c>
      <c r="W114" t="s">
        <v>31</v>
      </c>
      <c r="X114" t="s">
        <v>31</v>
      </c>
      <c r="Y114" t="s">
        <v>120</v>
      </c>
      <c r="Z114" t="s">
        <v>31</v>
      </c>
      <c r="AA114" t="s">
        <v>194</v>
      </c>
    </row>
    <row r="115" spans="1:27" ht="14.25" customHeight="1" x14ac:dyDescent="0.35">
      <c r="A115" s="61">
        <v>108</v>
      </c>
      <c r="B115">
        <v>108</v>
      </c>
      <c r="C115" s="7">
        <v>16</v>
      </c>
      <c r="D115" t="s">
        <v>112</v>
      </c>
      <c r="E115">
        <v>1</v>
      </c>
      <c r="G115">
        <v>3</v>
      </c>
      <c r="H115" t="s">
        <v>26</v>
      </c>
      <c r="I115" t="s">
        <v>58</v>
      </c>
      <c r="J115" t="str">
        <f>LOOKUP(I115,'Flight Test Matrix - Overview'!$V$34:$V$36,'Flight Test Matrix - Overview'!$X$25:$X$27)</f>
        <v>6500 ft</v>
      </c>
      <c r="K115" t="s">
        <v>62</v>
      </c>
      <c r="L115" t="s">
        <v>58</v>
      </c>
      <c r="M115">
        <f>LOOKUP(L115,'Flight Test Matrix - Overview'!$M$34:$M$36,'Flight Test Matrix - Overview'!$O$34:$O$36)</f>
        <v>80</v>
      </c>
      <c r="N115" t="s">
        <v>70</v>
      </c>
      <c r="O115" t="str">
        <f>LOOKUP(N115,'Flight Test Matrix - Overview'!$Q$34:$Q$36,'Flight Test Matrix - Overview'!$S$34:$S$36)</f>
        <v>climb</v>
      </c>
      <c r="P115" s="96" t="s">
        <v>191</v>
      </c>
      <c r="R115" t="s">
        <v>116</v>
      </c>
      <c r="S115" t="s">
        <v>192</v>
      </c>
      <c r="T115" t="s">
        <v>193</v>
      </c>
      <c r="U115" t="s">
        <v>119</v>
      </c>
      <c r="V115" t="s">
        <v>31</v>
      </c>
      <c r="W115" t="s">
        <v>31</v>
      </c>
      <c r="X115" t="s">
        <v>31</v>
      </c>
      <c r="Y115" t="s">
        <v>120</v>
      </c>
      <c r="Z115" t="s">
        <v>31</v>
      </c>
      <c r="AA115" t="s">
        <v>194</v>
      </c>
    </row>
    <row r="116" spans="1:27" ht="14.25" customHeight="1" x14ac:dyDescent="0.35">
      <c r="A116" s="61">
        <v>109</v>
      </c>
      <c r="B116">
        <v>109</v>
      </c>
      <c r="C116" s="7">
        <v>1</v>
      </c>
      <c r="D116" t="s">
        <v>117</v>
      </c>
      <c r="E116">
        <v>1</v>
      </c>
      <c r="G116">
        <v>5</v>
      </c>
      <c r="H116" t="s">
        <v>26</v>
      </c>
      <c r="I116" t="s">
        <v>58</v>
      </c>
      <c r="J116" t="str">
        <f>LOOKUP(I116,'Flight Test Matrix - Overview'!$V$34:$V$36,'Flight Test Matrix - Overview'!$X$25:$X$27)</f>
        <v>6500 ft</v>
      </c>
      <c r="K116" t="s">
        <v>62</v>
      </c>
      <c r="L116" t="s">
        <v>68</v>
      </c>
      <c r="M116">
        <f>LOOKUP(L116,'Flight Test Matrix - Overview'!$M$34:$M$36,'Flight Test Matrix - Overview'!$O$34:$O$36)</f>
        <v>70</v>
      </c>
      <c r="N116" t="s">
        <v>58</v>
      </c>
      <c r="O116" t="str">
        <f>LOOKUP(N116,'Flight Test Matrix - Overview'!$Q$34:$Q$36,'Flight Test Matrix - Overview'!$S$34:$S$36)</f>
        <v>fly level</v>
      </c>
      <c r="P116" s="7" t="s">
        <v>176</v>
      </c>
      <c r="R116" t="s">
        <v>116</v>
      </c>
      <c r="S116" t="str">
        <f t="shared" ref="S116:S129" si="7">"Gradual pedal input to " &amp; P116</f>
        <v>Gradual pedal input to LEFT</v>
      </c>
      <c r="T116" t="s">
        <v>196</v>
      </c>
      <c r="U116" t="s">
        <v>197</v>
      </c>
      <c r="V116" t="str">
        <f t="shared" ref="V116:V129" si="8">"Gradual pedal input to " &amp; IF(P116="LEFT","RIGHT","LEFT")</f>
        <v>Gradual pedal input to RIGHT</v>
      </c>
      <c r="W116" t="s">
        <v>196</v>
      </c>
      <c r="X116" t="s">
        <v>197</v>
      </c>
      <c r="Y116" t="s">
        <v>120</v>
      </c>
      <c r="Z116" t="s">
        <v>198</v>
      </c>
      <c r="AA116" t="s">
        <v>180</v>
      </c>
    </row>
    <row r="117" spans="1:27" ht="14.25" customHeight="1" x14ac:dyDescent="0.35">
      <c r="A117" s="61">
        <v>110</v>
      </c>
      <c r="B117">
        <v>110</v>
      </c>
      <c r="C117" s="7">
        <v>3</v>
      </c>
      <c r="D117" t="s">
        <v>117</v>
      </c>
      <c r="E117">
        <v>1</v>
      </c>
      <c r="G117">
        <v>5</v>
      </c>
      <c r="H117" t="s">
        <v>26</v>
      </c>
      <c r="I117" t="s">
        <v>58</v>
      </c>
      <c r="J117" t="str">
        <f>LOOKUP(I117,'Flight Test Matrix - Overview'!$V$34:$V$36,'Flight Test Matrix - Overview'!$X$25:$X$27)</f>
        <v>6500 ft</v>
      </c>
      <c r="K117" t="s">
        <v>62</v>
      </c>
      <c r="L117" t="s">
        <v>68</v>
      </c>
      <c r="M117">
        <f>LOOKUP(L117,'Flight Test Matrix - Overview'!$M$34:$M$36,'Flight Test Matrix - Overview'!$O$34:$O$36)</f>
        <v>70</v>
      </c>
      <c r="N117" t="s">
        <v>58</v>
      </c>
      <c r="O117" t="str">
        <f>LOOKUP(N117,'Flight Test Matrix - Overview'!$Q$34:$Q$36,'Flight Test Matrix - Overview'!$S$34:$S$36)</f>
        <v>fly level</v>
      </c>
      <c r="P117" s="7" t="s">
        <v>176</v>
      </c>
      <c r="R117" t="s">
        <v>116</v>
      </c>
      <c r="S117" t="str">
        <f t="shared" si="7"/>
        <v>Gradual pedal input to LEFT</v>
      </c>
      <c r="T117" t="s">
        <v>196</v>
      </c>
      <c r="U117" t="s">
        <v>197</v>
      </c>
      <c r="V117" t="str">
        <f t="shared" si="8"/>
        <v>Gradual pedal input to RIGHT</v>
      </c>
      <c r="W117" t="s">
        <v>196</v>
      </c>
      <c r="X117" t="s">
        <v>197</v>
      </c>
      <c r="Y117" t="s">
        <v>120</v>
      </c>
      <c r="Z117" t="s">
        <v>198</v>
      </c>
      <c r="AA117" t="s">
        <v>180</v>
      </c>
    </row>
    <row r="118" spans="1:27" ht="14.25" customHeight="1" x14ac:dyDescent="0.35">
      <c r="A118" s="61">
        <v>111</v>
      </c>
      <c r="B118">
        <v>111</v>
      </c>
      <c r="C118" s="7">
        <v>15</v>
      </c>
      <c r="D118" s="93" t="s">
        <v>117</v>
      </c>
      <c r="E118">
        <v>1</v>
      </c>
      <c r="F118">
        <v>1</v>
      </c>
      <c r="G118">
        <v>5</v>
      </c>
      <c r="H118" t="s">
        <v>26</v>
      </c>
      <c r="I118" t="s">
        <v>58</v>
      </c>
      <c r="J118" t="str">
        <f>LOOKUP(I118,'Flight Test Matrix - Overview'!$V$34:$V$36,'Flight Test Matrix - Overview'!$X$25:$X$27)</f>
        <v>6500 ft</v>
      </c>
      <c r="K118" t="s">
        <v>62</v>
      </c>
      <c r="L118" t="s">
        <v>58</v>
      </c>
      <c r="M118">
        <f>LOOKUP(L118,'Flight Test Matrix - Overview'!$M$34:$M$36,'Flight Test Matrix - Overview'!$O$34:$O$36)</f>
        <v>80</v>
      </c>
      <c r="N118" t="s">
        <v>58</v>
      </c>
      <c r="O118" t="str">
        <f>LOOKUP(N118,'Flight Test Matrix - Overview'!$Q$34:$Q$36,'Flight Test Matrix - Overview'!$S$34:$S$36)</f>
        <v>fly level</v>
      </c>
      <c r="P118" s="7" t="s">
        <v>176</v>
      </c>
      <c r="R118" t="s">
        <v>116</v>
      </c>
      <c r="S118" t="str">
        <f t="shared" si="7"/>
        <v>Gradual pedal input to LEFT</v>
      </c>
      <c r="T118" t="s">
        <v>196</v>
      </c>
      <c r="U118" t="s">
        <v>197</v>
      </c>
      <c r="V118" t="str">
        <f t="shared" si="8"/>
        <v>Gradual pedal input to RIGHT</v>
      </c>
      <c r="W118" t="s">
        <v>196</v>
      </c>
      <c r="X118" t="s">
        <v>197</v>
      </c>
      <c r="Y118" t="s">
        <v>120</v>
      </c>
      <c r="Z118" t="s">
        <v>198</v>
      </c>
      <c r="AA118" t="s">
        <v>180</v>
      </c>
    </row>
    <row r="119" spans="1:27" ht="14.25" customHeight="1" x14ac:dyDescent="0.35">
      <c r="A119" s="61">
        <v>112</v>
      </c>
      <c r="B119">
        <v>112</v>
      </c>
      <c r="C119" s="7">
        <v>7</v>
      </c>
      <c r="D119" t="s">
        <v>117</v>
      </c>
      <c r="E119">
        <v>1</v>
      </c>
      <c r="G119">
        <v>5</v>
      </c>
      <c r="H119" t="s">
        <v>26</v>
      </c>
      <c r="I119" t="s">
        <v>58</v>
      </c>
      <c r="J119" t="str">
        <f>LOOKUP(I119,'Flight Test Matrix - Overview'!$V$34:$V$36,'Flight Test Matrix - Overview'!$X$25:$X$27)</f>
        <v>6500 ft</v>
      </c>
      <c r="K119" t="s">
        <v>62</v>
      </c>
      <c r="L119" t="s">
        <v>58</v>
      </c>
      <c r="M119">
        <f>LOOKUP(L119,'Flight Test Matrix - Overview'!$M$34:$M$36,'Flight Test Matrix - Overview'!$O$34:$O$36)</f>
        <v>80</v>
      </c>
      <c r="N119" t="s">
        <v>58</v>
      </c>
      <c r="O119" t="str">
        <f>LOOKUP(N119,'Flight Test Matrix - Overview'!$Q$34:$Q$36,'Flight Test Matrix - Overview'!$S$34:$S$36)</f>
        <v>fly level</v>
      </c>
      <c r="P119" s="7" t="s">
        <v>176</v>
      </c>
      <c r="R119" t="s">
        <v>116</v>
      </c>
      <c r="S119" t="str">
        <f t="shared" si="7"/>
        <v>Gradual pedal input to LEFT</v>
      </c>
      <c r="T119" t="s">
        <v>196</v>
      </c>
      <c r="U119" t="s">
        <v>197</v>
      </c>
      <c r="V119" t="str">
        <f t="shared" si="8"/>
        <v>Gradual pedal input to RIGHT</v>
      </c>
      <c r="W119" t="s">
        <v>196</v>
      </c>
      <c r="X119" t="s">
        <v>197</v>
      </c>
      <c r="Y119" t="s">
        <v>120</v>
      </c>
      <c r="Z119" t="s">
        <v>198</v>
      </c>
      <c r="AA119" t="s">
        <v>180</v>
      </c>
    </row>
    <row r="120" spans="1:27" ht="14.25" customHeight="1" x14ac:dyDescent="0.35">
      <c r="A120" s="61">
        <v>113</v>
      </c>
      <c r="B120">
        <v>113</v>
      </c>
      <c r="C120" s="7">
        <v>9</v>
      </c>
      <c r="D120" t="s">
        <v>117</v>
      </c>
      <c r="E120">
        <v>1</v>
      </c>
      <c r="G120">
        <v>5</v>
      </c>
      <c r="H120" t="s">
        <v>26</v>
      </c>
      <c r="I120" t="s">
        <v>58</v>
      </c>
      <c r="J120" t="str">
        <f>LOOKUP(I120,'Flight Test Matrix - Overview'!$V$34:$V$36,'Flight Test Matrix - Overview'!$X$25:$X$27)</f>
        <v>6500 ft</v>
      </c>
      <c r="K120" t="s">
        <v>62</v>
      </c>
      <c r="L120" t="s">
        <v>68</v>
      </c>
      <c r="M120">
        <f>LOOKUP(L120,'Flight Test Matrix - Overview'!$M$34:$M$36,'Flight Test Matrix - Overview'!$O$34:$O$36)</f>
        <v>70</v>
      </c>
      <c r="N120" t="s">
        <v>58</v>
      </c>
      <c r="O120" t="str">
        <f>LOOKUP(N120,'Flight Test Matrix - Overview'!$Q$34:$Q$36,'Flight Test Matrix - Overview'!$S$34:$S$36)</f>
        <v>fly level</v>
      </c>
      <c r="P120" s="7" t="s">
        <v>181</v>
      </c>
      <c r="R120" t="s">
        <v>116</v>
      </c>
      <c r="S120" t="str">
        <f t="shared" si="7"/>
        <v>Gradual pedal input to RIGHT</v>
      </c>
      <c r="T120" t="s">
        <v>196</v>
      </c>
      <c r="U120" t="s">
        <v>197</v>
      </c>
      <c r="V120" t="str">
        <f t="shared" si="8"/>
        <v>Gradual pedal input to LEFT</v>
      </c>
      <c r="W120" t="s">
        <v>196</v>
      </c>
      <c r="X120" t="s">
        <v>197</v>
      </c>
      <c r="Y120" t="s">
        <v>120</v>
      </c>
      <c r="Z120" t="s">
        <v>198</v>
      </c>
      <c r="AA120" t="s">
        <v>180</v>
      </c>
    </row>
    <row r="121" spans="1:27" ht="14.25" customHeight="1" x14ac:dyDescent="0.35">
      <c r="A121" s="61">
        <v>114</v>
      </c>
      <c r="B121">
        <v>114</v>
      </c>
      <c r="C121" s="7">
        <v>11</v>
      </c>
      <c r="D121" t="s">
        <v>117</v>
      </c>
      <c r="E121">
        <v>1</v>
      </c>
      <c r="F121">
        <v>1</v>
      </c>
      <c r="G121">
        <v>5</v>
      </c>
      <c r="H121" t="s">
        <v>26</v>
      </c>
      <c r="I121" t="s">
        <v>58</v>
      </c>
      <c r="J121" t="str">
        <f>LOOKUP(I121,'Flight Test Matrix - Overview'!$V$34:$V$36,'Flight Test Matrix - Overview'!$X$25:$X$27)</f>
        <v>6500 ft</v>
      </c>
      <c r="K121" t="s">
        <v>62</v>
      </c>
      <c r="L121" t="s">
        <v>68</v>
      </c>
      <c r="M121">
        <f>LOOKUP(L121,'Flight Test Matrix - Overview'!$M$34:$M$36,'Flight Test Matrix - Overview'!$O$34:$O$36)</f>
        <v>70</v>
      </c>
      <c r="N121" t="s">
        <v>58</v>
      </c>
      <c r="O121" t="str">
        <f>LOOKUP(N121,'Flight Test Matrix - Overview'!$Q$34:$Q$36,'Flight Test Matrix - Overview'!$S$34:$S$36)</f>
        <v>fly level</v>
      </c>
      <c r="P121" s="7" t="s">
        <v>181</v>
      </c>
      <c r="R121" t="s">
        <v>116</v>
      </c>
      <c r="S121" t="str">
        <f t="shared" si="7"/>
        <v>Gradual pedal input to RIGHT</v>
      </c>
      <c r="T121" t="s">
        <v>196</v>
      </c>
      <c r="U121" t="s">
        <v>197</v>
      </c>
      <c r="V121" t="str">
        <f t="shared" si="8"/>
        <v>Gradual pedal input to LEFT</v>
      </c>
      <c r="W121" t="s">
        <v>196</v>
      </c>
      <c r="X121" t="s">
        <v>197</v>
      </c>
      <c r="Y121" t="s">
        <v>120</v>
      </c>
      <c r="Z121" t="s">
        <v>198</v>
      </c>
      <c r="AA121" t="s">
        <v>180</v>
      </c>
    </row>
    <row r="122" spans="1:27" ht="14.25" customHeight="1" x14ac:dyDescent="0.35">
      <c r="A122" s="61">
        <v>1151</v>
      </c>
      <c r="B122">
        <v>115</v>
      </c>
      <c r="C122" s="7">
        <v>13</v>
      </c>
      <c r="D122" t="s">
        <v>117</v>
      </c>
      <c r="E122">
        <v>1</v>
      </c>
      <c r="F122">
        <v>1</v>
      </c>
      <c r="G122">
        <v>5</v>
      </c>
      <c r="H122" t="s">
        <v>26</v>
      </c>
      <c r="I122" t="s">
        <v>58</v>
      </c>
      <c r="J122" t="str">
        <f>LOOKUP(I122,'Flight Test Matrix - Overview'!$V$34:$V$36,'Flight Test Matrix - Overview'!$X$25:$X$27)</f>
        <v>6500 ft</v>
      </c>
      <c r="K122" t="s">
        <v>62</v>
      </c>
      <c r="L122" t="s">
        <v>58</v>
      </c>
      <c r="M122">
        <f>LOOKUP(L122,'Flight Test Matrix - Overview'!$M$34:$M$36,'Flight Test Matrix - Overview'!$O$34:$O$36)</f>
        <v>80</v>
      </c>
      <c r="N122" t="s">
        <v>58</v>
      </c>
      <c r="O122" t="str">
        <f>LOOKUP(N122,'Flight Test Matrix - Overview'!$Q$34:$Q$36,'Flight Test Matrix - Overview'!$S$34:$S$36)</f>
        <v>fly level</v>
      </c>
      <c r="P122" s="7" t="s">
        <v>181</v>
      </c>
      <c r="R122" t="s">
        <v>116</v>
      </c>
      <c r="S122" t="str">
        <f t="shared" si="7"/>
        <v>Gradual pedal input to RIGHT</v>
      </c>
      <c r="T122" t="s">
        <v>196</v>
      </c>
      <c r="U122" t="s">
        <v>197</v>
      </c>
      <c r="V122" t="str">
        <f t="shared" si="8"/>
        <v>Gradual pedal input to LEFT</v>
      </c>
      <c r="W122" t="s">
        <v>196</v>
      </c>
      <c r="X122" t="s">
        <v>197</v>
      </c>
      <c r="Y122" t="s">
        <v>120</v>
      </c>
      <c r="Z122" t="s">
        <v>198</v>
      </c>
      <c r="AA122" t="s">
        <v>180</v>
      </c>
    </row>
    <row r="123" spans="1:27" ht="14.25" customHeight="1" x14ac:dyDescent="0.35">
      <c r="A123" s="61">
        <v>1152</v>
      </c>
      <c r="B123">
        <v>115</v>
      </c>
      <c r="C123" s="7">
        <v>13</v>
      </c>
      <c r="D123" t="s">
        <v>117</v>
      </c>
      <c r="E123">
        <v>1</v>
      </c>
      <c r="F123">
        <v>1</v>
      </c>
      <c r="G123">
        <v>5</v>
      </c>
      <c r="H123" t="s">
        <v>26</v>
      </c>
      <c r="I123" t="s">
        <v>58</v>
      </c>
      <c r="J123" t="str">
        <f>LOOKUP(I123,'Flight Test Matrix - Overview'!$V$34:$V$36,'Flight Test Matrix - Overview'!$X$25:$X$27)</f>
        <v>6500 ft</v>
      </c>
      <c r="K123" t="s">
        <v>62</v>
      </c>
      <c r="L123" t="s">
        <v>58</v>
      </c>
      <c r="M123">
        <f>LOOKUP(L123,'Flight Test Matrix - Overview'!$M$34:$M$36,'Flight Test Matrix - Overview'!$O$34:$O$36)</f>
        <v>80</v>
      </c>
      <c r="N123" t="s">
        <v>58</v>
      </c>
      <c r="O123" t="str">
        <f>LOOKUP(N123,'Flight Test Matrix - Overview'!$Q$34:$Q$36,'Flight Test Matrix - Overview'!$S$34:$S$36)</f>
        <v>fly level</v>
      </c>
      <c r="P123" s="7" t="s">
        <v>181</v>
      </c>
      <c r="R123" t="s">
        <v>116</v>
      </c>
      <c r="S123" t="str">
        <f t="shared" si="7"/>
        <v>Gradual pedal input to RIGHT</v>
      </c>
      <c r="T123" t="s">
        <v>196</v>
      </c>
      <c r="U123" t="s">
        <v>197</v>
      </c>
      <c r="V123" t="str">
        <f t="shared" si="8"/>
        <v>Gradual pedal input to LEFT</v>
      </c>
      <c r="W123" t="s">
        <v>196</v>
      </c>
      <c r="X123" t="s">
        <v>197</v>
      </c>
      <c r="Y123" t="s">
        <v>120</v>
      </c>
      <c r="Z123" t="s">
        <v>198</v>
      </c>
      <c r="AA123" t="s">
        <v>180</v>
      </c>
    </row>
    <row r="124" spans="1:27" ht="14.25" customHeight="1" x14ac:dyDescent="0.35">
      <c r="A124" s="61">
        <v>1161</v>
      </c>
      <c r="B124">
        <v>116</v>
      </c>
      <c r="C124" s="7">
        <v>13</v>
      </c>
      <c r="D124" t="s">
        <v>117</v>
      </c>
      <c r="E124">
        <v>1</v>
      </c>
      <c r="F124">
        <v>0.9</v>
      </c>
      <c r="G124">
        <v>5</v>
      </c>
      <c r="H124" t="s">
        <v>26</v>
      </c>
      <c r="I124" t="s">
        <v>58</v>
      </c>
      <c r="J124" t="str">
        <f>LOOKUP(I124,'Flight Test Matrix - Overview'!$V$34:$V$36,'Flight Test Matrix - Overview'!$X$25:$X$27)</f>
        <v>6500 ft</v>
      </c>
      <c r="K124" t="s">
        <v>62</v>
      </c>
      <c r="L124" t="s">
        <v>58</v>
      </c>
      <c r="M124">
        <f>LOOKUP(L124,'Flight Test Matrix - Overview'!$M$34:$M$36,'Flight Test Matrix - Overview'!$O$34:$O$36)</f>
        <v>80</v>
      </c>
      <c r="N124" t="s">
        <v>58</v>
      </c>
      <c r="O124" t="str">
        <f>LOOKUP(N124,'Flight Test Matrix - Overview'!$Q$34:$Q$36,'Flight Test Matrix - Overview'!$S$34:$S$36)</f>
        <v>fly level</v>
      </c>
      <c r="P124" s="7" t="s">
        <v>181</v>
      </c>
      <c r="R124" t="s">
        <v>116</v>
      </c>
      <c r="S124" t="str">
        <f t="shared" si="7"/>
        <v>Gradual pedal input to RIGHT</v>
      </c>
      <c r="T124" t="s">
        <v>196</v>
      </c>
      <c r="U124" t="s">
        <v>197</v>
      </c>
      <c r="V124" t="str">
        <f t="shared" si="8"/>
        <v>Gradual pedal input to LEFT</v>
      </c>
      <c r="W124" t="s">
        <v>196</v>
      </c>
      <c r="X124" t="s">
        <v>197</v>
      </c>
      <c r="Y124" t="s">
        <v>120</v>
      </c>
      <c r="Z124" t="s">
        <v>198</v>
      </c>
      <c r="AA124" t="s">
        <v>180</v>
      </c>
    </row>
    <row r="125" spans="1:27" ht="14.25" customHeight="1" x14ac:dyDescent="0.35">
      <c r="A125" s="61">
        <v>1162</v>
      </c>
      <c r="B125">
        <v>116</v>
      </c>
      <c r="C125" s="7">
        <v>13</v>
      </c>
      <c r="D125" t="s">
        <v>117</v>
      </c>
      <c r="E125">
        <v>1</v>
      </c>
      <c r="F125">
        <v>0.9</v>
      </c>
      <c r="G125">
        <v>5</v>
      </c>
      <c r="H125" t="s">
        <v>26</v>
      </c>
      <c r="I125" t="s">
        <v>58</v>
      </c>
      <c r="J125" t="str">
        <f>LOOKUP(I125,'Flight Test Matrix - Overview'!$V$34:$V$36,'Flight Test Matrix - Overview'!$X$25:$X$27)</f>
        <v>6500 ft</v>
      </c>
      <c r="K125" t="s">
        <v>62</v>
      </c>
      <c r="L125" t="s">
        <v>58</v>
      </c>
      <c r="M125">
        <f>LOOKUP(L125,'Flight Test Matrix - Overview'!$M$34:$M$36,'Flight Test Matrix - Overview'!$O$34:$O$36)</f>
        <v>80</v>
      </c>
      <c r="N125" t="s">
        <v>58</v>
      </c>
      <c r="O125" t="str">
        <f>LOOKUP(N125,'Flight Test Matrix - Overview'!$Q$34:$Q$36,'Flight Test Matrix - Overview'!$S$34:$S$36)</f>
        <v>fly level</v>
      </c>
      <c r="P125" s="7" t="s">
        <v>181</v>
      </c>
      <c r="R125" t="s">
        <v>116</v>
      </c>
      <c r="S125" t="str">
        <f t="shared" si="7"/>
        <v>Gradual pedal input to RIGHT</v>
      </c>
      <c r="T125" t="s">
        <v>196</v>
      </c>
      <c r="U125" t="s">
        <v>197</v>
      </c>
      <c r="V125" t="str">
        <f t="shared" si="8"/>
        <v>Gradual pedal input to LEFT</v>
      </c>
      <c r="W125" t="s">
        <v>196</v>
      </c>
      <c r="X125" t="s">
        <v>197</v>
      </c>
      <c r="Y125" t="s">
        <v>120</v>
      </c>
      <c r="Z125" t="s">
        <v>198</v>
      </c>
      <c r="AA125" t="s">
        <v>180</v>
      </c>
    </row>
    <row r="126" spans="1:27" ht="14.25" customHeight="1" x14ac:dyDescent="0.35">
      <c r="A126" s="61">
        <v>117</v>
      </c>
      <c r="B126">
        <v>117</v>
      </c>
      <c r="C126" s="7">
        <v>3</v>
      </c>
      <c r="D126" s="93" t="s">
        <v>123</v>
      </c>
      <c r="E126">
        <v>1</v>
      </c>
      <c r="G126">
        <v>5</v>
      </c>
      <c r="H126" t="s">
        <v>26</v>
      </c>
      <c r="I126" t="s">
        <v>58</v>
      </c>
      <c r="J126" t="str">
        <f>LOOKUP(I126,'Flight Test Matrix - Overview'!$V$34:$V$36,'Flight Test Matrix - Overview'!$X$25:$X$27)</f>
        <v>6500 ft</v>
      </c>
      <c r="K126" t="s">
        <v>62</v>
      </c>
      <c r="L126" t="s">
        <v>58</v>
      </c>
      <c r="M126">
        <f>LOOKUP(L126,'Flight Test Matrix - Overview'!$M$34:$M$36,'Flight Test Matrix - Overview'!$O$34:$O$36)</f>
        <v>80</v>
      </c>
      <c r="N126" t="s">
        <v>68</v>
      </c>
      <c r="O126" t="str">
        <f>LOOKUP(N126,'Flight Test Matrix - Overview'!$Q$34:$Q$36,'Flight Test Matrix - Overview'!$S$34:$S$36)</f>
        <v>descent</v>
      </c>
      <c r="P126" s="93" t="s">
        <v>176</v>
      </c>
      <c r="R126" t="s">
        <v>116</v>
      </c>
      <c r="S126" t="str">
        <f t="shared" si="7"/>
        <v>Gradual pedal input to LEFT</v>
      </c>
      <c r="T126" t="s">
        <v>196</v>
      </c>
      <c r="U126" t="s">
        <v>197</v>
      </c>
      <c r="V126" t="str">
        <f t="shared" si="8"/>
        <v>Gradual pedal input to RIGHT</v>
      </c>
      <c r="W126" t="s">
        <v>196</v>
      </c>
      <c r="X126" t="s">
        <v>197</v>
      </c>
      <c r="Y126" t="s">
        <v>120</v>
      </c>
      <c r="Z126" t="s">
        <v>198</v>
      </c>
      <c r="AA126" t="s">
        <v>180</v>
      </c>
    </row>
    <row r="127" spans="1:27" ht="14.25" customHeight="1" x14ac:dyDescent="0.35">
      <c r="A127" s="61">
        <v>118</v>
      </c>
      <c r="B127">
        <v>118</v>
      </c>
      <c r="C127" s="7">
        <v>7</v>
      </c>
      <c r="D127" s="93" t="s">
        <v>123</v>
      </c>
      <c r="E127">
        <v>1</v>
      </c>
      <c r="G127">
        <v>5</v>
      </c>
      <c r="H127" t="s">
        <v>26</v>
      </c>
      <c r="I127" t="s">
        <v>58</v>
      </c>
      <c r="J127" t="str">
        <f>LOOKUP(I127,'Flight Test Matrix - Overview'!$V$34:$V$36,'Flight Test Matrix - Overview'!$X$25:$X$27)</f>
        <v>6500 ft</v>
      </c>
      <c r="K127" t="s">
        <v>62</v>
      </c>
      <c r="L127" t="s">
        <v>58</v>
      </c>
      <c r="M127">
        <f>LOOKUP(L127,'Flight Test Matrix - Overview'!$M$34:$M$36,'Flight Test Matrix - Overview'!$O$34:$O$36)</f>
        <v>80</v>
      </c>
      <c r="N127" t="s">
        <v>68</v>
      </c>
      <c r="O127" t="str">
        <f>LOOKUP(N127,'Flight Test Matrix - Overview'!$Q$34:$Q$36,'Flight Test Matrix - Overview'!$S$34:$S$36)</f>
        <v>descent</v>
      </c>
      <c r="P127" s="96" t="s">
        <v>176</v>
      </c>
      <c r="R127" t="s">
        <v>116</v>
      </c>
      <c r="S127" t="str">
        <f t="shared" si="7"/>
        <v>Gradual pedal input to LEFT</v>
      </c>
      <c r="T127" t="s">
        <v>196</v>
      </c>
      <c r="U127" t="s">
        <v>197</v>
      </c>
      <c r="V127" t="str">
        <f t="shared" si="8"/>
        <v>Gradual pedal input to RIGHT</v>
      </c>
      <c r="W127" t="s">
        <v>196</v>
      </c>
      <c r="X127" t="s">
        <v>197</v>
      </c>
      <c r="Y127" t="s">
        <v>120</v>
      </c>
      <c r="Z127" t="s">
        <v>198</v>
      </c>
      <c r="AA127" t="s">
        <v>180</v>
      </c>
    </row>
    <row r="128" spans="1:27" ht="14.25" customHeight="1" x14ac:dyDescent="0.35">
      <c r="A128" s="61">
        <v>119</v>
      </c>
      <c r="B128">
        <v>119</v>
      </c>
      <c r="C128" s="7">
        <v>9</v>
      </c>
      <c r="D128" s="93" t="s">
        <v>123</v>
      </c>
      <c r="E128">
        <v>1</v>
      </c>
      <c r="G128">
        <v>5</v>
      </c>
      <c r="H128" t="s">
        <v>26</v>
      </c>
      <c r="I128" t="s">
        <v>58</v>
      </c>
      <c r="J128" t="str">
        <f>LOOKUP(I128,'Flight Test Matrix - Overview'!$V$34:$V$36,'Flight Test Matrix - Overview'!$X$25:$X$27)</f>
        <v>6500 ft</v>
      </c>
      <c r="K128" t="s">
        <v>62</v>
      </c>
      <c r="L128" t="s">
        <v>58</v>
      </c>
      <c r="M128">
        <f>LOOKUP(L128,'Flight Test Matrix - Overview'!$M$34:$M$36,'Flight Test Matrix - Overview'!$O$34:$O$36)</f>
        <v>80</v>
      </c>
      <c r="N128" t="s">
        <v>71</v>
      </c>
      <c r="O128" t="str">
        <f>LOOKUP(N128,'Flight Test Matrix - Overview'!$Q$34:$Q$36,'Flight Test Matrix - Overview'!$S$34:$S$36)</f>
        <v>descent</v>
      </c>
      <c r="P128" s="93" t="s">
        <v>176</v>
      </c>
      <c r="R128" t="s">
        <v>116</v>
      </c>
      <c r="S128" t="str">
        <f t="shared" si="7"/>
        <v>Gradual pedal input to LEFT</v>
      </c>
      <c r="T128" t="s">
        <v>196</v>
      </c>
      <c r="U128" t="s">
        <v>197</v>
      </c>
      <c r="V128" t="str">
        <f t="shared" si="8"/>
        <v>Gradual pedal input to RIGHT</v>
      </c>
      <c r="W128" t="s">
        <v>196</v>
      </c>
      <c r="X128" t="s">
        <v>197</v>
      </c>
      <c r="Y128" t="s">
        <v>120</v>
      </c>
      <c r="Z128" t="s">
        <v>198</v>
      </c>
      <c r="AA128" t="s">
        <v>180</v>
      </c>
    </row>
    <row r="129" spans="1:27" ht="14.25" customHeight="1" x14ac:dyDescent="0.35">
      <c r="A129" s="61">
        <v>120</v>
      </c>
      <c r="B129">
        <v>120</v>
      </c>
      <c r="C129" s="7">
        <v>15</v>
      </c>
      <c r="D129" s="93" t="s">
        <v>123</v>
      </c>
      <c r="E129">
        <v>1</v>
      </c>
      <c r="F129">
        <v>1</v>
      </c>
      <c r="G129">
        <v>5</v>
      </c>
      <c r="H129" t="s">
        <v>26</v>
      </c>
      <c r="I129" t="s">
        <v>58</v>
      </c>
      <c r="J129" t="str">
        <f>LOOKUP(I129,'Flight Test Matrix - Overview'!$V$34:$V$36,'Flight Test Matrix - Overview'!$X$25:$X$27)</f>
        <v>6500 ft</v>
      </c>
      <c r="K129" t="s">
        <v>62</v>
      </c>
      <c r="L129" t="s">
        <v>58</v>
      </c>
      <c r="M129">
        <f>LOOKUP(L129,'Flight Test Matrix - Overview'!$M$34:$M$36,'Flight Test Matrix - Overview'!$O$34:$O$36)</f>
        <v>80</v>
      </c>
      <c r="N129" t="s">
        <v>71</v>
      </c>
      <c r="O129" t="s">
        <v>154</v>
      </c>
      <c r="P129" s="96" t="s">
        <v>176</v>
      </c>
      <c r="R129" t="s">
        <v>116</v>
      </c>
      <c r="S129" t="str">
        <f t="shared" si="7"/>
        <v>Gradual pedal input to LEFT</v>
      </c>
      <c r="T129" t="s">
        <v>196</v>
      </c>
      <c r="U129" t="s">
        <v>197</v>
      </c>
      <c r="V129" t="str">
        <f t="shared" si="8"/>
        <v>Gradual pedal input to RIGHT</v>
      </c>
      <c r="W129" t="s">
        <v>196</v>
      </c>
      <c r="X129" t="s">
        <v>197</v>
      </c>
      <c r="Y129" t="s">
        <v>120</v>
      </c>
      <c r="Z129" t="s">
        <v>198</v>
      </c>
      <c r="AA129" t="s">
        <v>180</v>
      </c>
    </row>
    <row r="130" spans="1:27" ht="14.25" customHeight="1" x14ac:dyDescent="0.35">
      <c r="A130" s="94">
        <v>121</v>
      </c>
      <c r="B130" s="95">
        <v>121</v>
      </c>
      <c r="C130" s="95">
        <v>1</v>
      </c>
      <c r="D130" s="95" t="s">
        <v>124</v>
      </c>
      <c r="E130" s="95">
        <v>1</v>
      </c>
      <c r="F130" s="95"/>
      <c r="G130" s="95">
        <v>7</v>
      </c>
      <c r="H130" s="95" t="s">
        <v>26</v>
      </c>
      <c r="I130" s="95" t="s">
        <v>31</v>
      </c>
      <c r="J130" t="e">
        <f>LOOKUP(I130,'Flight Test Matrix - Overview'!$V$34:$V$36,'Flight Test Matrix - Overview'!$X$25:$X$27)</f>
        <v>#N/A</v>
      </c>
      <c r="K130" s="95" t="s">
        <v>199</v>
      </c>
      <c r="L130" s="95" t="s">
        <v>31</v>
      </c>
      <c r="M130" s="95" t="e">
        <f>LOOKUP(L130,'Flight Test Matrix - Overview'!$M$34:$M$36,'Flight Test Matrix - Overview'!$O$34:$O$36)</f>
        <v>#N/A</v>
      </c>
      <c r="N130" s="95" t="s">
        <v>31</v>
      </c>
      <c r="O130" s="95" t="e">
        <f>LOOKUP(N130,'Flight Test Matrix - Overview'!$Q$34:$Q$36,'Flight Test Matrix - Overview'!$S$34:$S$36)</f>
        <v>#N/A</v>
      </c>
      <c r="P130" s="95" t="s">
        <v>31</v>
      </c>
      <c r="Q130" s="95"/>
      <c r="R130" s="95" t="str">
        <f t="shared" ref="R130:R155" si="9">"Set flaps to " &amp;K130</f>
        <v>Set flaps to UP</v>
      </c>
      <c r="S130" s="95" t="s">
        <v>200</v>
      </c>
      <c r="T130" s="95" t="s">
        <v>31</v>
      </c>
      <c r="U130" s="95" t="s">
        <v>31</v>
      </c>
      <c r="V130" s="95" t="s">
        <v>31</v>
      </c>
      <c r="W130" s="95" t="s">
        <v>31</v>
      </c>
      <c r="X130" s="95" t="s">
        <v>31</v>
      </c>
      <c r="Y130" s="95" t="s">
        <v>120</v>
      </c>
      <c r="Z130" s="95" t="s">
        <v>31</v>
      </c>
      <c r="AA130" s="95" t="s">
        <v>31</v>
      </c>
    </row>
    <row r="131" spans="1:27" ht="14.25" customHeight="1" x14ac:dyDescent="0.35">
      <c r="A131" s="94">
        <v>122</v>
      </c>
      <c r="B131" s="95">
        <v>122</v>
      </c>
      <c r="C131" s="95">
        <v>3</v>
      </c>
      <c r="D131" s="95" t="s">
        <v>124</v>
      </c>
      <c r="E131" s="95">
        <v>1</v>
      </c>
      <c r="F131" s="95"/>
      <c r="G131" s="95">
        <v>7</v>
      </c>
      <c r="H131" s="95" t="s">
        <v>26</v>
      </c>
      <c r="I131" s="95" t="s">
        <v>31</v>
      </c>
      <c r="J131" t="e">
        <f>LOOKUP(I131,'Flight Test Matrix - Overview'!$V$34:$V$36,'Flight Test Matrix - Overview'!$X$25:$X$27)</f>
        <v>#N/A</v>
      </c>
      <c r="K131" s="95" t="s">
        <v>199</v>
      </c>
      <c r="L131" s="95" t="s">
        <v>31</v>
      </c>
      <c r="M131" s="95" t="e">
        <f>LOOKUP(L131,'Flight Test Matrix - Overview'!$M$34:$M$36,'Flight Test Matrix - Overview'!$O$34:$O$36)</f>
        <v>#N/A</v>
      </c>
      <c r="N131" s="95" t="s">
        <v>31</v>
      </c>
      <c r="O131" s="95" t="e">
        <f>LOOKUP(N131,'Flight Test Matrix - Overview'!$Q$34:$Q$36,'Flight Test Matrix - Overview'!$S$34:$S$36)</f>
        <v>#N/A</v>
      </c>
      <c r="P131" s="95" t="s">
        <v>31</v>
      </c>
      <c r="Q131" s="95"/>
      <c r="R131" s="95" t="str">
        <f t="shared" si="9"/>
        <v>Set flaps to UP</v>
      </c>
      <c r="S131" s="95" t="s">
        <v>200</v>
      </c>
      <c r="T131" s="95" t="s">
        <v>31</v>
      </c>
      <c r="U131" s="95" t="s">
        <v>31</v>
      </c>
      <c r="V131" s="95" t="s">
        <v>31</v>
      </c>
      <c r="W131" s="95" t="s">
        <v>31</v>
      </c>
      <c r="X131" s="95" t="s">
        <v>31</v>
      </c>
      <c r="Y131" s="95" t="s">
        <v>120</v>
      </c>
      <c r="Z131" s="95" t="s">
        <v>31</v>
      </c>
      <c r="AA131" s="95" t="s">
        <v>31</v>
      </c>
    </row>
    <row r="132" spans="1:27" ht="14.25" customHeight="1" x14ac:dyDescent="0.35">
      <c r="A132" s="61">
        <v>123</v>
      </c>
      <c r="B132">
        <v>123</v>
      </c>
      <c r="C132" s="7">
        <v>5</v>
      </c>
      <c r="D132" t="s">
        <v>124</v>
      </c>
      <c r="E132">
        <v>1</v>
      </c>
      <c r="G132">
        <v>7</v>
      </c>
      <c r="H132" t="s">
        <v>26</v>
      </c>
      <c r="I132" t="s">
        <v>31</v>
      </c>
      <c r="J132" t="e">
        <f>LOOKUP(I132,'Flight Test Matrix - Overview'!$V$34:$V$36,'Flight Test Matrix - Overview'!$X$25:$X$27)</f>
        <v>#N/A</v>
      </c>
      <c r="K132" t="s">
        <v>64</v>
      </c>
      <c r="L132" t="s">
        <v>31</v>
      </c>
      <c r="M132" t="e">
        <f>LOOKUP(L132,'Flight Test Matrix - Overview'!$M$34:$M$36,'Flight Test Matrix - Overview'!$O$34:$O$36)</f>
        <v>#N/A</v>
      </c>
      <c r="N132" t="s">
        <v>31</v>
      </c>
      <c r="O132" t="e">
        <f>LOOKUP(N132,'Flight Test Matrix - Overview'!$Q$34:$Q$36,'Flight Test Matrix - Overview'!$S$34:$S$36)</f>
        <v>#N/A</v>
      </c>
      <c r="P132" t="s">
        <v>31</v>
      </c>
      <c r="R132" t="str">
        <f t="shared" si="9"/>
        <v>Set flaps to 25°</v>
      </c>
      <c r="S132" t="s">
        <v>200</v>
      </c>
      <c r="T132" t="s">
        <v>31</v>
      </c>
      <c r="U132" t="s">
        <v>31</v>
      </c>
      <c r="V132" t="s">
        <v>31</v>
      </c>
      <c r="W132" t="s">
        <v>31</v>
      </c>
      <c r="X132" t="s">
        <v>31</v>
      </c>
      <c r="Y132" t="s">
        <v>120</v>
      </c>
      <c r="Z132" t="s">
        <v>31</v>
      </c>
      <c r="AA132" t="s">
        <v>31</v>
      </c>
    </row>
    <row r="133" spans="1:27" ht="14.25" customHeight="1" x14ac:dyDescent="0.35">
      <c r="A133" s="61">
        <v>124</v>
      </c>
      <c r="B133">
        <v>124</v>
      </c>
      <c r="C133" s="7">
        <v>9</v>
      </c>
      <c r="D133" t="s">
        <v>124</v>
      </c>
      <c r="E133">
        <v>1</v>
      </c>
      <c r="G133">
        <v>7</v>
      </c>
      <c r="H133" t="s">
        <v>26</v>
      </c>
      <c r="I133" t="s">
        <v>31</v>
      </c>
      <c r="J133" t="e">
        <f>LOOKUP(I133,'Flight Test Matrix - Overview'!$V$34:$V$36,'Flight Test Matrix - Overview'!$X$25:$X$27)</f>
        <v>#N/A</v>
      </c>
      <c r="K133" t="s">
        <v>64</v>
      </c>
      <c r="L133" t="s">
        <v>31</v>
      </c>
      <c r="M133" t="e">
        <f>LOOKUP(L133,'Flight Test Matrix - Overview'!$M$34:$M$36,'Flight Test Matrix - Overview'!$O$34:$O$36)</f>
        <v>#N/A</v>
      </c>
      <c r="N133" t="s">
        <v>31</v>
      </c>
      <c r="O133" t="e">
        <f>LOOKUP(N133,'Flight Test Matrix - Overview'!$Q$34:$Q$36,'Flight Test Matrix - Overview'!$S$34:$S$36)</f>
        <v>#N/A</v>
      </c>
      <c r="P133" t="s">
        <v>31</v>
      </c>
      <c r="R133" t="str">
        <f t="shared" si="9"/>
        <v>Set flaps to 25°</v>
      </c>
      <c r="S133" t="s">
        <v>200</v>
      </c>
      <c r="T133" t="s">
        <v>31</v>
      </c>
      <c r="U133" t="s">
        <v>31</v>
      </c>
      <c r="V133" t="s">
        <v>31</v>
      </c>
      <c r="W133" t="s">
        <v>31</v>
      </c>
      <c r="X133" t="s">
        <v>31</v>
      </c>
      <c r="Y133" t="s">
        <v>120</v>
      </c>
      <c r="Z133" t="s">
        <v>31</v>
      </c>
      <c r="AA133" t="s">
        <v>31</v>
      </c>
    </row>
    <row r="134" spans="1:27" ht="14.25" customHeight="1" x14ac:dyDescent="0.35">
      <c r="A134" s="94">
        <v>125</v>
      </c>
      <c r="B134" s="95">
        <v>125</v>
      </c>
      <c r="C134" s="95">
        <v>11</v>
      </c>
      <c r="D134" s="95" t="s">
        <v>124</v>
      </c>
      <c r="E134" s="95">
        <v>1</v>
      </c>
      <c r="F134" s="95"/>
      <c r="G134" s="95">
        <v>7</v>
      </c>
      <c r="H134" s="95" t="s">
        <v>26</v>
      </c>
      <c r="I134" s="95" t="s">
        <v>31</v>
      </c>
      <c r="J134" t="e">
        <f>LOOKUP(I134,'Flight Test Matrix - Overview'!$V$34:$V$36,'Flight Test Matrix - Overview'!$X$25:$X$27)</f>
        <v>#N/A</v>
      </c>
      <c r="K134" s="95" t="s">
        <v>65</v>
      </c>
      <c r="L134" s="95" t="s">
        <v>31</v>
      </c>
      <c r="M134" s="95" t="e">
        <f>LOOKUP(L134,'Flight Test Matrix - Overview'!$M$34:$M$36,'Flight Test Matrix - Overview'!$O$34:$O$36)</f>
        <v>#N/A</v>
      </c>
      <c r="N134" s="95" t="s">
        <v>31</v>
      </c>
      <c r="O134" s="95" t="e">
        <f>LOOKUP(N134,'Flight Test Matrix - Overview'!$Q$34:$Q$36,'Flight Test Matrix - Overview'!$S$34:$S$36)</f>
        <v>#N/A</v>
      </c>
      <c r="P134" s="95" t="s">
        <v>31</v>
      </c>
      <c r="Q134" s="95"/>
      <c r="R134" s="95" t="str">
        <f t="shared" si="9"/>
        <v>Set flaps to 40°</v>
      </c>
      <c r="S134" s="95" t="s">
        <v>200</v>
      </c>
      <c r="T134" s="95" t="s">
        <v>31</v>
      </c>
      <c r="U134" s="95" t="s">
        <v>31</v>
      </c>
      <c r="V134" s="95" t="s">
        <v>31</v>
      </c>
      <c r="W134" s="95" t="s">
        <v>31</v>
      </c>
      <c r="X134" s="95" t="s">
        <v>31</v>
      </c>
      <c r="Y134" s="95" t="s">
        <v>120</v>
      </c>
      <c r="Z134" s="95" t="s">
        <v>31</v>
      </c>
      <c r="AA134" s="95" t="s">
        <v>31</v>
      </c>
    </row>
    <row r="135" spans="1:27" ht="14.25" customHeight="1" x14ac:dyDescent="0.35">
      <c r="A135" s="94">
        <v>126</v>
      </c>
      <c r="B135" s="95">
        <v>126</v>
      </c>
      <c r="C135" s="95">
        <v>14</v>
      </c>
      <c r="D135" s="95" t="s">
        <v>124</v>
      </c>
      <c r="E135" s="95">
        <v>1</v>
      </c>
      <c r="F135" s="95"/>
      <c r="G135" s="95">
        <v>7</v>
      </c>
      <c r="H135" s="95" t="s">
        <v>26</v>
      </c>
      <c r="I135" s="95" t="s">
        <v>31</v>
      </c>
      <c r="J135" t="e">
        <f>LOOKUP(I135,'Flight Test Matrix - Overview'!$V$34:$V$36,'Flight Test Matrix - Overview'!$X$25:$X$27)</f>
        <v>#N/A</v>
      </c>
      <c r="K135" s="95" t="s">
        <v>65</v>
      </c>
      <c r="L135" s="95" t="s">
        <v>31</v>
      </c>
      <c r="M135" s="95" t="e">
        <f>LOOKUP(L135,'Flight Test Matrix - Overview'!$M$34:$M$36,'Flight Test Matrix - Overview'!$O$34:$O$36)</f>
        <v>#N/A</v>
      </c>
      <c r="N135" s="95" t="s">
        <v>31</v>
      </c>
      <c r="O135" s="95" t="e">
        <f>LOOKUP(N135,'Flight Test Matrix - Overview'!$Q$34:$Q$36,'Flight Test Matrix - Overview'!$S$34:$S$36)</f>
        <v>#N/A</v>
      </c>
      <c r="P135" s="95" t="s">
        <v>31</v>
      </c>
      <c r="Q135" s="95"/>
      <c r="R135" s="95" t="str">
        <f t="shared" si="9"/>
        <v>Set flaps to 40°</v>
      </c>
      <c r="S135" s="95" t="s">
        <v>200</v>
      </c>
      <c r="T135" s="95" t="s">
        <v>31</v>
      </c>
      <c r="U135" s="95" t="s">
        <v>31</v>
      </c>
      <c r="V135" s="95" t="s">
        <v>31</v>
      </c>
      <c r="W135" s="95" t="s">
        <v>31</v>
      </c>
      <c r="X135" s="95" t="s">
        <v>31</v>
      </c>
      <c r="Y135" s="95" t="s">
        <v>120</v>
      </c>
      <c r="Z135" s="95" t="s">
        <v>31</v>
      </c>
      <c r="AA135" s="95" t="s">
        <v>31</v>
      </c>
    </row>
    <row r="136" spans="1:27" ht="14.25" customHeight="1" x14ac:dyDescent="0.35">
      <c r="A136" s="94">
        <v>127</v>
      </c>
      <c r="B136" s="95">
        <v>127</v>
      </c>
      <c r="C136" s="95">
        <v>2</v>
      </c>
      <c r="D136" s="95" t="s">
        <v>124</v>
      </c>
      <c r="E136" s="95">
        <v>1</v>
      </c>
      <c r="F136" s="95"/>
      <c r="G136" s="95">
        <v>7</v>
      </c>
      <c r="H136" s="95" t="s">
        <v>27</v>
      </c>
      <c r="I136" s="95" t="s">
        <v>31</v>
      </c>
      <c r="J136" t="e">
        <f>LOOKUP(I136,'Flight Test Matrix - Overview'!$V$34:$V$36,'Flight Test Matrix - Overview'!$X$25:$X$27)</f>
        <v>#N/A</v>
      </c>
      <c r="K136" s="95" t="s">
        <v>199</v>
      </c>
      <c r="L136" s="95" t="s">
        <v>31</v>
      </c>
      <c r="M136" s="95" t="e">
        <f>LOOKUP(L136,'Flight Test Matrix - Overview'!$M$34:$M$36,'Flight Test Matrix - Overview'!$O$34:$O$36)</f>
        <v>#N/A</v>
      </c>
      <c r="N136" s="95" t="s">
        <v>31</v>
      </c>
      <c r="O136" s="95" t="e">
        <f>LOOKUP(N136,'Flight Test Matrix - Overview'!$Q$34:$Q$36,'Flight Test Matrix - Overview'!$S$34:$S$36)</f>
        <v>#N/A</v>
      </c>
      <c r="P136" s="95" t="s">
        <v>31</v>
      </c>
      <c r="Q136" s="95"/>
      <c r="R136" s="95" t="str">
        <f t="shared" si="9"/>
        <v>Set flaps to UP</v>
      </c>
      <c r="S136" s="95" t="s">
        <v>200</v>
      </c>
      <c r="T136" s="95" t="s">
        <v>31</v>
      </c>
      <c r="U136" s="95" t="s">
        <v>31</v>
      </c>
      <c r="V136" s="95" t="s">
        <v>31</v>
      </c>
      <c r="W136" s="95" t="s">
        <v>31</v>
      </c>
      <c r="X136" s="95" t="s">
        <v>31</v>
      </c>
      <c r="Y136" s="95" t="s">
        <v>120</v>
      </c>
      <c r="Z136" s="95" t="s">
        <v>31</v>
      </c>
      <c r="AA136" s="95" t="s">
        <v>31</v>
      </c>
    </row>
    <row r="137" spans="1:27" ht="14.25" customHeight="1" x14ac:dyDescent="0.35">
      <c r="A137" s="94">
        <v>128</v>
      </c>
      <c r="B137" s="95">
        <v>128</v>
      </c>
      <c r="C137" s="95">
        <v>4</v>
      </c>
      <c r="D137" s="95" t="s">
        <v>124</v>
      </c>
      <c r="E137" s="95">
        <v>1</v>
      </c>
      <c r="F137" s="95"/>
      <c r="G137" s="95">
        <v>7</v>
      </c>
      <c r="H137" s="95" t="s">
        <v>27</v>
      </c>
      <c r="I137" s="95" t="s">
        <v>31</v>
      </c>
      <c r="J137" t="e">
        <f>LOOKUP(I137,'Flight Test Matrix - Overview'!$V$34:$V$36,'Flight Test Matrix - Overview'!$X$25:$X$27)</f>
        <v>#N/A</v>
      </c>
      <c r="K137" s="95" t="s">
        <v>199</v>
      </c>
      <c r="L137" s="95" t="s">
        <v>31</v>
      </c>
      <c r="M137" s="95" t="e">
        <f>LOOKUP(L137,'Flight Test Matrix - Overview'!$M$34:$M$36,'Flight Test Matrix - Overview'!$O$34:$O$36)</f>
        <v>#N/A</v>
      </c>
      <c r="N137" s="95" t="s">
        <v>31</v>
      </c>
      <c r="O137" s="95" t="e">
        <f>LOOKUP(N137,'Flight Test Matrix - Overview'!$Q$34:$Q$36,'Flight Test Matrix - Overview'!$S$34:$S$36)</f>
        <v>#N/A</v>
      </c>
      <c r="P137" s="95" t="s">
        <v>31</v>
      </c>
      <c r="Q137" s="95"/>
      <c r="R137" s="95" t="str">
        <f t="shared" si="9"/>
        <v>Set flaps to UP</v>
      </c>
      <c r="S137" s="95" t="s">
        <v>200</v>
      </c>
      <c r="T137" s="95" t="s">
        <v>31</v>
      </c>
      <c r="U137" s="95" t="s">
        <v>31</v>
      </c>
      <c r="V137" s="95" t="s">
        <v>31</v>
      </c>
      <c r="W137" s="95" t="s">
        <v>31</v>
      </c>
      <c r="X137" s="95" t="s">
        <v>31</v>
      </c>
      <c r="Y137" s="95" t="s">
        <v>120</v>
      </c>
      <c r="Z137" s="95" t="s">
        <v>31</v>
      </c>
      <c r="AA137" s="95" t="s">
        <v>31</v>
      </c>
    </row>
    <row r="138" spans="1:27" ht="14.25" customHeight="1" x14ac:dyDescent="0.35">
      <c r="A138" s="61">
        <v>129</v>
      </c>
      <c r="B138">
        <v>129</v>
      </c>
      <c r="C138" s="7">
        <v>6</v>
      </c>
      <c r="D138" t="s">
        <v>124</v>
      </c>
      <c r="E138">
        <v>1</v>
      </c>
      <c r="G138">
        <v>7</v>
      </c>
      <c r="H138" t="s">
        <v>27</v>
      </c>
      <c r="I138" t="s">
        <v>31</v>
      </c>
      <c r="J138" t="e">
        <f>LOOKUP(I138,'Flight Test Matrix - Overview'!$V$34:$V$36,'Flight Test Matrix - Overview'!$X$25:$X$27)</f>
        <v>#N/A</v>
      </c>
      <c r="K138" t="s">
        <v>64</v>
      </c>
      <c r="L138" t="s">
        <v>31</v>
      </c>
      <c r="M138" t="e">
        <f>LOOKUP(L138,'Flight Test Matrix - Overview'!$M$34:$M$36,'Flight Test Matrix - Overview'!$O$34:$O$36)</f>
        <v>#N/A</v>
      </c>
      <c r="N138" t="s">
        <v>31</v>
      </c>
      <c r="O138" t="e">
        <f>LOOKUP(N138,'Flight Test Matrix - Overview'!$Q$34:$Q$36,'Flight Test Matrix - Overview'!$S$34:$S$36)</f>
        <v>#N/A</v>
      </c>
      <c r="P138" t="s">
        <v>31</v>
      </c>
      <c r="R138" t="str">
        <f t="shared" si="9"/>
        <v>Set flaps to 25°</v>
      </c>
      <c r="S138" t="s">
        <v>200</v>
      </c>
      <c r="T138" t="s">
        <v>31</v>
      </c>
      <c r="U138" t="s">
        <v>31</v>
      </c>
      <c r="V138" t="s">
        <v>31</v>
      </c>
      <c r="W138" t="s">
        <v>31</v>
      </c>
      <c r="X138" t="s">
        <v>31</v>
      </c>
      <c r="Y138" t="s">
        <v>120</v>
      </c>
      <c r="Z138" t="s">
        <v>31</v>
      </c>
      <c r="AA138" t="s">
        <v>31</v>
      </c>
    </row>
    <row r="139" spans="1:27" ht="14.25" customHeight="1" x14ac:dyDescent="0.35">
      <c r="A139" s="61">
        <v>130</v>
      </c>
      <c r="B139">
        <v>130</v>
      </c>
      <c r="C139" s="7">
        <v>8</v>
      </c>
      <c r="D139" t="s">
        <v>124</v>
      </c>
      <c r="E139">
        <v>1</v>
      </c>
      <c r="G139">
        <v>7</v>
      </c>
      <c r="H139" t="s">
        <v>27</v>
      </c>
      <c r="I139" t="s">
        <v>31</v>
      </c>
      <c r="J139" t="e">
        <f>LOOKUP(I139,'Flight Test Matrix - Overview'!$V$34:$V$36,'Flight Test Matrix - Overview'!$X$25:$X$27)</f>
        <v>#N/A</v>
      </c>
      <c r="K139" t="s">
        <v>64</v>
      </c>
      <c r="L139" t="s">
        <v>31</v>
      </c>
      <c r="M139" t="e">
        <f>LOOKUP(L139,'Flight Test Matrix - Overview'!$M$34:$M$36,'Flight Test Matrix - Overview'!$O$34:$O$36)</f>
        <v>#N/A</v>
      </c>
      <c r="N139" t="s">
        <v>31</v>
      </c>
      <c r="O139" t="e">
        <f>LOOKUP(N139,'Flight Test Matrix - Overview'!$Q$34:$Q$36,'Flight Test Matrix - Overview'!$S$34:$S$36)</f>
        <v>#N/A</v>
      </c>
      <c r="P139" t="s">
        <v>31</v>
      </c>
      <c r="R139" t="str">
        <f t="shared" si="9"/>
        <v>Set flaps to 25°</v>
      </c>
      <c r="S139" t="s">
        <v>200</v>
      </c>
      <c r="T139" t="s">
        <v>31</v>
      </c>
      <c r="U139" t="s">
        <v>31</v>
      </c>
      <c r="V139" t="s">
        <v>31</v>
      </c>
      <c r="W139" t="s">
        <v>31</v>
      </c>
      <c r="X139" t="s">
        <v>31</v>
      </c>
      <c r="Y139" t="s">
        <v>120</v>
      </c>
      <c r="Z139" t="s">
        <v>31</v>
      </c>
      <c r="AA139" t="s">
        <v>31</v>
      </c>
    </row>
    <row r="140" spans="1:27" ht="14.25" customHeight="1" x14ac:dyDescent="0.35">
      <c r="A140" s="94">
        <v>131</v>
      </c>
      <c r="B140" s="95">
        <v>131</v>
      </c>
      <c r="C140" s="95">
        <v>10</v>
      </c>
      <c r="D140" s="95" t="s">
        <v>124</v>
      </c>
      <c r="E140" s="95">
        <v>1</v>
      </c>
      <c r="F140" s="95"/>
      <c r="G140" s="95">
        <v>7</v>
      </c>
      <c r="H140" s="95" t="s">
        <v>27</v>
      </c>
      <c r="I140" s="95" t="s">
        <v>31</v>
      </c>
      <c r="J140" t="e">
        <f>LOOKUP(I140,'Flight Test Matrix - Overview'!$V$34:$V$36,'Flight Test Matrix - Overview'!$X$25:$X$27)</f>
        <v>#N/A</v>
      </c>
      <c r="K140" s="95" t="s">
        <v>65</v>
      </c>
      <c r="L140" s="95" t="s">
        <v>31</v>
      </c>
      <c r="M140" s="95" t="e">
        <f>LOOKUP(L140,'Flight Test Matrix - Overview'!$M$34:$M$36,'Flight Test Matrix - Overview'!$O$34:$O$36)</f>
        <v>#N/A</v>
      </c>
      <c r="N140" s="95" t="s">
        <v>31</v>
      </c>
      <c r="O140" s="95" t="e">
        <f>LOOKUP(N140,'Flight Test Matrix - Overview'!$Q$34:$Q$36,'Flight Test Matrix - Overview'!$S$34:$S$36)</f>
        <v>#N/A</v>
      </c>
      <c r="P140" s="95" t="s">
        <v>31</v>
      </c>
      <c r="Q140" s="95"/>
      <c r="R140" s="95" t="str">
        <f t="shared" si="9"/>
        <v>Set flaps to 40°</v>
      </c>
      <c r="S140" s="95" t="s">
        <v>200</v>
      </c>
      <c r="T140" s="95" t="s">
        <v>31</v>
      </c>
      <c r="U140" s="95" t="s">
        <v>31</v>
      </c>
      <c r="V140" s="95" t="s">
        <v>31</v>
      </c>
      <c r="W140" s="95" t="s">
        <v>31</v>
      </c>
      <c r="X140" s="95" t="s">
        <v>31</v>
      </c>
      <c r="Y140" s="95" t="s">
        <v>120</v>
      </c>
      <c r="Z140" s="95" t="s">
        <v>31</v>
      </c>
      <c r="AA140" s="95" t="s">
        <v>31</v>
      </c>
    </row>
    <row r="141" spans="1:27" ht="14.25" customHeight="1" x14ac:dyDescent="0.35">
      <c r="A141" s="94">
        <v>132</v>
      </c>
      <c r="B141" s="95">
        <v>132</v>
      </c>
      <c r="C141" s="95">
        <v>12</v>
      </c>
      <c r="D141" s="95" t="s">
        <v>124</v>
      </c>
      <c r="E141" s="95">
        <v>1</v>
      </c>
      <c r="F141" s="95"/>
      <c r="G141" s="95">
        <v>7</v>
      </c>
      <c r="H141" s="95" t="s">
        <v>27</v>
      </c>
      <c r="I141" s="95" t="s">
        <v>31</v>
      </c>
      <c r="J141" t="e">
        <f>LOOKUP(I141,'Flight Test Matrix - Overview'!$V$34:$V$36,'Flight Test Matrix - Overview'!$X$25:$X$27)</f>
        <v>#N/A</v>
      </c>
      <c r="K141" s="95" t="s">
        <v>65</v>
      </c>
      <c r="L141" s="95" t="s">
        <v>31</v>
      </c>
      <c r="M141" s="95" t="e">
        <f>LOOKUP(L141,'Flight Test Matrix - Overview'!$M$34:$M$36,'Flight Test Matrix - Overview'!$O$34:$O$36)</f>
        <v>#N/A</v>
      </c>
      <c r="N141" s="95" t="s">
        <v>31</v>
      </c>
      <c r="O141" s="95" t="e">
        <f>LOOKUP(N141,'Flight Test Matrix - Overview'!$Q$34:$Q$36,'Flight Test Matrix - Overview'!$S$34:$S$36)</f>
        <v>#N/A</v>
      </c>
      <c r="P141" s="95" t="s">
        <v>31</v>
      </c>
      <c r="Q141" s="95"/>
      <c r="R141" s="95" t="str">
        <f t="shared" si="9"/>
        <v>Set flaps to 40°</v>
      </c>
      <c r="S141" s="95" t="s">
        <v>200</v>
      </c>
      <c r="T141" s="95" t="s">
        <v>31</v>
      </c>
      <c r="U141" s="95" t="s">
        <v>31</v>
      </c>
      <c r="V141" s="95" t="s">
        <v>31</v>
      </c>
      <c r="W141" s="95" t="s">
        <v>31</v>
      </c>
      <c r="X141" s="95" t="s">
        <v>31</v>
      </c>
      <c r="Y141" s="95" t="s">
        <v>120</v>
      </c>
      <c r="Z141" s="95" t="s">
        <v>31</v>
      </c>
      <c r="AA141" s="95" t="s">
        <v>31</v>
      </c>
    </row>
    <row r="142" spans="1:27" ht="14.25" customHeight="1" x14ac:dyDescent="0.35">
      <c r="A142" s="61">
        <v>133</v>
      </c>
      <c r="B142">
        <v>133</v>
      </c>
      <c r="C142" s="7">
        <v>1</v>
      </c>
      <c r="D142" t="s">
        <v>126</v>
      </c>
      <c r="E142">
        <v>1</v>
      </c>
      <c r="G142">
        <v>7</v>
      </c>
      <c r="H142" t="s">
        <v>26</v>
      </c>
      <c r="I142" t="s">
        <v>31</v>
      </c>
      <c r="J142" t="e">
        <f>LOOKUP(I142,'Flight Test Matrix - Overview'!$V$34:$V$36,'Flight Test Matrix - Overview'!$X$25:$X$27)</f>
        <v>#N/A</v>
      </c>
      <c r="K142" t="s">
        <v>199</v>
      </c>
      <c r="L142" t="s">
        <v>31</v>
      </c>
      <c r="M142" t="e">
        <f>LOOKUP(L142,'Flight Test Matrix - Overview'!$M$34:$M$36,'Flight Test Matrix - Overview'!$O$34:$O$36)</f>
        <v>#N/A</v>
      </c>
      <c r="N142" t="s">
        <v>31</v>
      </c>
      <c r="O142" t="e">
        <f>LOOKUP(N142,'Flight Test Matrix - Overview'!$Q$34:$Q$36,'Flight Test Matrix - Overview'!$S$34:$S$36)</f>
        <v>#N/A</v>
      </c>
      <c r="P142" t="s">
        <v>31</v>
      </c>
      <c r="R142" t="str">
        <f t="shared" si="9"/>
        <v>Set flaps to UP</v>
      </c>
      <c r="S142" t="s">
        <v>201</v>
      </c>
      <c r="T142" t="s">
        <v>31</v>
      </c>
      <c r="U142" t="s">
        <v>31</v>
      </c>
      <c r="V142" t="s">
        <v>31</v>
      </c>
      <c r="W142" t="s">
        <v>31</v>
      </c>
      <c r="X142" t="s">
        <v>31</v>
      </c>
      <c r="Y142" t="s">
        <v>120</v>
      </c>
      <c r="Z142" t="s">
        <v>31</v>
      </c>
      <c r="AA142" t="s">
        <v>31</v>
      </c>
    </row>
    <row r="143" spans="1:27" ht="14.25" customHeight="1" x14ac:dyDescent="0.35">
      <c r="A143" s="61">
        <v>134</v>
      </c>
      <c r="B143">
        <v>134</v>
      </c>
      <c r="C143" s="7">
        <v>3</v>
      </c>
      <c r="D143" t="s">
        <v>126</v>
      </c>
      <c r="E143">
        <v>1</v>
      </c>
      <c r="G143">
        <v>7</v>
      </c>
      <c r="H143" t="s">
        <v>26</v>
      </c>
      <c r="I143" t="s">
        <v>31</v>
      </c>
      <c r="J143" t="e">
        <f>LOOKUP(I143,'Flight Test Matrix - Overview'!$V$34:$V$36,'Flight Test Matrix - Overview'!$X$25:$X$27)</f>
        <v>#N/A</v>
      </c>
      <c r="K143" t="s">
        <v>199</v>
      </c>
      <c r="L143" t="s">
        <v>31</v>
      </c>
      <c r="M143" t="e">
        <f>LOOKUP(L143,'Flight Test Matrix - Overview'!$M$34:$M$36,'Flight Test Matrix - Overview'!$O$34:$O$36)</f>
        <v>#N/A</v>
      </c>
      <c r="N143" t="s">
        <v>31</v>
      </c>
      <c r="O143" t="e">
        <f>LOOKUP(N143,'Flight Test Matrix - Overview'!$Q$34:$Q$36,'Flight Test Matrix - Overview'!$S$34:$S$36)</f>
        <v>#N/A</v>
      </c>
      <c r="P143" t="s">
        <v>31</v>
      </c>
      <c r="R143" t="str">
        <f t="shared" si="9"/>
        <v>Set flaps to UP</v>
      </c>
      <c r="S143" t="s">
        <v>201</v>
      </c>
      <c r="T143" t="s">
        <v>31</v>
      </c>
      <c r="U143" t="s">
        <v>31</v>
      </c>
      <c r="V143" t="s">
        <v>31</v>
      </c>
      <c r="W143" t="s">
        <v>31</v>
      </c>
      <c r="X143" t="s">
        <v>31</v>
      </c>
      <c r="Y143" t="s">
        <v>120</v>
      </c>
      <c r="Z143" t="s">
        <v>31</v>
      </c>
      <c r="AA143" t="s">
        <v>31</v>
      </c>
    </row>
    <row r="144" spans="1:27" ht="14.25" customHeight="1" x14ac:dyDescent="0.35">
      <c r="A144" s="61">
        <v>135</v>
      </c>
      <c r="B144">
        <v>135</v>
      </c>
      <c r="C144" s="7">
        <v>5</v>
      </c>
      <c r="D144" t="s">
        <v>126</v>
      </c>
      <c r="E144">
        <v>0</v>
      </c>
      <c r="G144">
        <v>7</v>
      </c>
      <c r="H144" t="s">
        <v>26</v>
      </c>
      <c r="I144" t="s">
        <v>31</v>
      </c>
      <c r="J144" t="e">
        <f>LOOKUP(I144,'Flight Test Matrix - Overview'!$V$34:$V$36,'Flight Test Matrix - Overview'!$X$25:$X$27)</f>
        <v>#N/A</v>
      </c>
      <c r="K144" t="s">
        <v>64</v>
      </c>
      <c r="L144" t="s">
        <v>31</v>
      </c>
      <c r="M144" t="e">
        <f>LOOKUP(L144,'Flight Test Matrix - Overview'!$M$34:$M$36,'Flight Test Matrix - Overview'!$O$34:$O$36)</f>
        <v>#N/A</v>
      </c>
      <c r="N144" t="s">
        <v>31</v>
      </c>
      <c r="O144" t="e">
        <f>LOOKUP(N144,'Flight Test Matrix - Overview'!$Q$34:$Q$36,'Flight Test Matrix - Overview'!$S$34:$S$36)</f>
        <v>#N/A</v>
      </c>
      <c r="P144" t="s">
        <v>31</v>
      </c>
      <c r="R144" t="str">
        <f t="shared" si="9"/>
        <v>Set flaps to 25°</v>
      </c>
      <c r="S144" t="s">
        <v>201</v>
      </c>
      <c r="T144" t="s">
        <v>31</v>
      </c>
      <c r="U144" t="s">
        <v>31</v>
      </c>
      <c r="V144" t="s">
        <v>31</v>
      </c>
      <c r="W144" t="s">
        <v>31</v>
      </c>
      <c r="X144" t="s">
        <v>31</v>
      </c>
      <c r="Y144" t="s">
        <v>120</v>
      </c>
      <c r="Z144" t="s">
        <v>31</v>
      </c>
      <c r="AA144" t="s">
        <v>31</v>
      </c>
    </row>
    <row r="145" spans="1:27" ht="14.25" customHeight="1" x14ac:dyDescent="0.35">
      <c r="A145" s="61">
        <v>136</v>
      </c>
      <c r="B145">
        <v>136</v>
      </c>
      <c r="C145" s="7">
        <v>7</v>
      </c>
      <c r="D145" t="s">
        <v>126</v>
      </c>
      <c r="E145">
        <v>0</v>
      </c>
      <c r="G145">
        <v>7</v>
      </c>
      <c r="H145" t="s">
        <v>26</v>
      </c>
      <c r="I145" t="s">
        <v>31</v>
      </c>
      <c r="J145" t="e">
        <f>LOOKUP(I145,'Flight Test Matrix - Overview'!$V$34:$V$36,'Flight Test Matrix - Overview'!$X$25:$X$27)</f>
        <v>#N/A</v>
      </c>
      <c r="K145" t="s">
        <v>64</v>
      </c>
      <c r="L145" t="s">
        <v>31</v>
      </c>
      <c r="M145" t="e">
        <f>LOOKUP(L145,'Flight Test Matrix - Overview'!$M$34:$M$36,'Flight Test Matrix - Overview'!$O$34:$O$36)</f>
        <v>#N/A</v>
      </c>
      <c r="N145" t="s">
        <v>31</v>
      </c>
      <c r="O145" t="e">
        <f>LOOKUP(N145,'Flight Test Matrix - Overview'!$Q$34:$Q$36,'Flight Test Matrix - Overview'!$S$34:$S$36)</f>
        <v>#N/A</v>
      </c>
      <c r="P145" t="s">
        <v>31</v>
      </c>
      <c r="R145" t="str">
        <f t="shared" si="9"/>
        <v>Set flaps to 25°</v>
      </c>
      <c r="S145" t="s">
        <v>201</v>
      </c>
      <c r="T145" t="s">
        <v>31</v>
      </c>
      <c r="U145" t="s">
        <v>31</v>
      </c>
      <c r="V145" t="s">
        <v>31</v>
      </c>
      <c r="W145" t="s">
        <v>31</v>
      </c>
      <c r="X145" t="s">
        <v>31</v>
      </c>
      <c r="Y145" t="s">
        <v>120</v>
      </c>
      <c r="Z145" t="s">
        <v>31</v>
      </c>
      <c r="AA145" t="s">
        <v>31</v>
      </c>
    </row>
    <row r="146" spans="1:27" ht="14.25" customHeight="1" x14ac:dyDescent="0.35">
      <c r="A146" s="61">
        <v>137</v>
      </c>
      <c r="B146">
        <v>137</v>
      </c>
      <c r="C146" s="7">
        <v>9</v>
      </c>
      <c r="D146" t="s">
        <v>126</v>
      </c>
      <c r="E146">
        <v>1</v>
      </c>
      <c r="G146">
        <v>7</v>
      </c>
      <c r="H146" t="s">
        <v>26</v>
      </c>
      <c r="I146" t="s">
        <v>31</v>
      </c>
      <c r="J146" t="e">
        <f>LOOKUP(I146,'Flight Test Matrix - Overview'!$V$34:$V$36,'Flight Test Matrix - Overview'!$X$25:$X$27)</f>
        <v>#N/A</v>
      </c>
      <c r="K146" t="s">
        <v>65</v>
      </c>
      <c r="L146" t="s">
        <v>31</v>
      </c>
      <c r="M146" t="e">
        <f>LOOKUP(L146,'Flight Test Matrix - Overview'!$M$34:$M$36,'Flight Test Matrix - Overview'!$O$34:$O$36)</f>
        <v>#N/A</v>
      </c>
      <c r="N146" t="s">
        <v>31</v>
      </c>
      <c r="O146" t="e">
        <f>LOOKUP(N146,'Flight Test Matrix - Overview'!$Q$34:$Q$36,'Flight Test Matrix - Overview'!$S$34:$S$36)</f>
        <v>#N/A</v>
      </c>
      <c r="P146" t="s">
        <v>31</v>
      </c>
      <c r="R146" t="str">
        <f t="shared" si="9"/>
        <v>Set flaps to 40°</v>
      </c>
      <c r="S146" t="s">
        <v>201</v>
      </c>
      <c r="T146" t="s">
        <v>31</v>
      </c>
      <c r="U146" t="s">
        <v>31</v>
      </c>
      <c r="V146" t="s">
        <v>31</v>
      </c>
      <c r="W146" t="s">
        <v>31</v>
      </c>
      <c r="X146" t="s">
        <v>31</v>
      </c>
      <c r="Y146" t="s">
        <v>120</v>
      </c>
      <c r="Z146" t="s">
        <v>31</v>
      </c>
      <c r="AA146" t="s">
        <v>31</v>
      </c>
    </row>
    <row r="147" spans="1:27" ht="14.25" customHeight="1" x14ac:dyDescent="0.35">
      <c r="A147" s="61">
        <v>138</v>
      </c>
      <c r="B147">
        <v>138</v>
      </c>
      <c r="C147" s="7">
        <v>11</v>
      </c>
      <c r="D147" t="s">
        <v>126</v>
      </c>
      <c r="E147">
        <v>1</v>
      </c>
      <c r="G147">
        <v>7</v>
      </c>
      <c r="H147" t="s">
        <v>26</v>
      </c>
      <c r="I147" t="s">
        <v>31</v>
      </c>
      <c r="J147" t="e">
        <f>LOOKUP(I147,'Flight Test Matrix - Overview'!$V$34:$V$36,'Flight Test Matrix - Overview'!$X$25:$X$27)</f>
        <v>#N/A</v>
      </c>
      <c r="K147" t="s">
        <v>65</v>
      </c>
      <c r="L147" t="s">
        <v>31</v>
      </c>
      <c r="M147" t="e">
        <f>LOOKUP(L147,'Flight Test Matrix - Overview'!$M$34:$M$36,'Flight Test Matrix - Overview'!$O$34:$O$36)</f>
        <v>#N/A</v>
      </c>
      <c r="N147" t="s">
        <v>31</v>
      </c>
      <c r="O147" t="e">
        <f>LOOKUP(N147,'Flight Test Matrix - Overview'!$Q$34:$Q$36,'Flight Test Matrix - Overview'!$S$34:$S$36)</f>
        <v>#N/A</v>
      </c>
      <c r="P147" t="s">
        <v>31</v>
      </c>
      <c r="R147" t="str">
        <f t="shared" si="9"/>
        <v>Set flaps to 40°</v>
      </c>
      <c r="S147" t="s">
        <v>201</v>
      </c>
      <c r="T147" t="s">
        <v>31</v>
      </c>
      <c r="U147" t="s">
        <v>31</v>
      </c>
      <c r="V147" t="s">
        <v>31</v>
      </c>
      <c r="W147" t="s">
        <v>31</v>
      </c>
      <c r="X147" t="s">
        <v>31</v>
      </c>
      <c r="Y147" t="s">
        <v>120</v>
      </c>
      <c r="Z147" t="s">
        <v>31</v>
      </c>
      <c r="AA147" t="s">
        <v>31</v>
      </c>
    </row>
    <row r="148" spans="1:27" ht="14.25" customHeight="1" x14ac:dyDescent="0.35">
      <c r="A148" s="61">
        <v>139</v>
      </c>
      <c r="B148">
        <v>139</v>
      </c>
      <c r="C148" s="7">
        <v>2</v>
      </c>
      <c r="D148" t="s">
        <v>126</v>
      </c>
      <c r="E148">
        <v>0</v>
      </c>
      <c r="G148">
        <v>7</v>
      </c>
      <c r="H148" t="s">
        <v>27</v>
      </c>
      <c r="I148" t="s">
        <v>31</v>
      </c>
      <c r="J148" t="e">
        <f>LOOKUP(I148,'Flight Test Matrix - Overview'!$V$34:$V$36,'Flight Test Matrix - Overview'!$X$25:$X$27)</f>
        <v>#N/A</v>
      </c>
      <c r="K148" t="s">
        <v>199</v>
      </c>
      <c r="L148" t="s">
        <v>31</v>
      </c>
      <c r="M148" t="e">
        <f>LOOKUP(L148,'Flight Test Matrix - Overview'!$M$34:$M$36,'Flight Test Matrix - Overview'!$O$34:$O$36)</f>
        <v>#N/A</v>
      </c>
      <c r="N148" t="s">
        <v>31</v>
      </c>
      <c r="O148" t="e">
        <f>LOOKUP(N148,'Flight Test Matrix - Overview'!$Q$34:$Q$36,'Flight Test Matrix - Overview'!$S$34:$S$36)</f>
        <v>#N/A</v>
      </c>
      <c r="P148" t="s">
        <v>31</v>
      </c>
      <c r="R148" t="str">
        <f t="shared" si="9"/>
        <v>Set flaps to UP</v>
      </c>
      <c r="S148" t="s">
        <v>201</v>
      </c>
      <c r="T148" t="s">
        <v>31</v>
      </c>
      <c r="U148" t="s">
        <v>31</v>
      </c>
      <c r="V148" t="s">
        <v>31</v>
      </c>
      <c r="W148" t="s">
        <v>31</v>
      </c>
      <c r="X148" t="s">
        <v>31</v>
      </c>
      <c r="Y148" t="s">
        <v>120</v>
      </c>
      <c r="Z148" t="s">
        <v>31</v>
      </c>
      <c r="AA148" t="s">
        <v>31</v>
      </c>
    </row>
    <row r="149" spans="1:27" ht="14.25" customHeight="1" x14ac:dyDescent="0.35">
      <c r="A149" s="61">
        <v>140</v>
      </c>
      <c r="B149">
        <v>140</v>
      </c>
      <c r="C149" s="7">
        <v>4</v>
      </c>
      <c r="D149" t="s">
        <v>126</v>
      </c>
      <c r="E149">
        <v>0</v>
      </c>
      <c r="G149">
        <v>7</v>
      </c>
      <c r="H149" t="s">
        <v>27</v>
      </c>
      <c r="I149" t="s">
        <v>31</v>
      </c>
      <c r="J149" t="e">
        <f>LOOKUP(I149,'Flight Test Matrix - Overview'!$V$34:$V$36,'Flight Test Matrix - Overview'!$X$25:$X$27)</f>
        <v>#N/A</v>
      </c>
      <c r="K149" t="s">
        <v>199</v>
      </c>
      <c r="L149" t="s">
        <v>31</v>
      </c>
      <c r="M149" t="e">
        <f>LOOKUP(L149,'Flight Test Matrix - Overview'!$M$34:$M$36,'Flight Test Matrix - Overview'!$O$34:$O$36)</f>
        <v>#N/A</v>
      </c>
      <c r="N149" t="s">
        <v>31</v>
      </c>
      <c r="O149" t="e">
        <f>LOOKUP(N149,'Flight Test Matrix - Overview'!$Q$34:$Q$36,'Flight Test Matrix - Overview'!$S$34:$S$36)</f>
        <v>#N/A</v>
      </c>
      <c r="P149" t="s">
        <v>31</v>
      </c>
      <c r="R149" t="str">
        <f t="shared" si="9"/>
        <v>Set flaps to UP</v>
      </c>
      <c r="S149" t="s">
        <v>201</v>
      </c>
      <c r="T149" t="s">
        <v>31</v>
      </c>
      <c r="U149" t="s">
        <v>31</v>
      </c>
      <c r="V149" t="s">
        <v>31</v>
      </c>
      <c r="W149" t="s">
        <v>31</v>
      </c>
      <c r="X149" t="s">
        <v>31</v>
      </c>
      <c r="Y149" t="s">
        <v>120</v>
      </c>
      <c r="Z149" t="s">
        <v>31</v>
      </c>
      <c r="AA149" t="s">
        <v>31</v>
      </c>
    </row>
    <row r="150" spans="1:27" ht="14.25" customHeight="1" x14ac:dyDescent="0.35">
      <c r="A150" s="61">
        <v>141</v>
      </c>
      <c r="B150">
        <v>141</v>
      </c>
      <c r="C150" s="7">
        <v>16</v>
      </c>
      <c r="D150" t="s">
        <v>126</v>
      </c>
      <c r="E150">
        <v>1</v>
      </c>
      <c r="G150">
        <v>7</v>
      </c>
      <c r="H150" t="s">
        <v>26</v>
      </c>
      <c r="I150" t="s">
        <v>31</v>
      </c>
      <c r="J150" t="e">
        <f>LOOKUP(I150,'Flight Test Matrix - Overview'!$V$34:$V$36,'Flight Test Matrix - Overview'!$X$25:$X$27)</f>
        <v>#N/A</v>
      </c>
      <c r="K150" t="s">
        <v>64</v>
      </c>
      <c r="L150" t="s">
        <v>31</v>
      </c>
      <c r="M150" t="e">
        <f>LOOKUP(L150,'Flight Test Matrix - Overview'!$M$34:$M$36,'Flight Test Matrix - Overview'!$O$34:$O$36)</f>
        <v>#N/A</v>
      </c>
      <c r="N150" t="s">
        <v>31</v>
      </c>
      <c r="O150" t="e">
        <f>LOOKUP(N150,'Flight Test Matrix - Overview'!$Q$34:$Q$36,'Flight Test Matrix - Overview'!$S$34:$S$36)</f>
        <v>#N/A</v>
      </c>
      <c r="P150" t="s">
        <v>31</v>
      </c>
      <c r="R150" t="str">
        <f t="shared" si="9"/>
        <v>Set flaps to 25°</v>
      </c>
      <c r="S150" t="s">
        <v>201</v>
      </c>
      <c r="T150" t="s">
        <v>31</v>
      </c>
      <c r="U150" t="s">
        <v>31</v>
      </c>
      <c r="V150" t="s">
        <v>31</v>
      </c>
      <c r="W150" t="s">
        <v>31</v>
      </c>
      <c r="X150" t="s">
        <v>31</v>
      </c>
      <c r="Y150" t="s">
        <v>120</v>
      </c>
      <c r="Z150" t="s">
        <v>31</v>
      </c>
      <c r="AA150" t="s">
        <v>31</v>
      </c>
    </row>
    <row r="151" spans="1:27" ht="14.25" customHeight="1" x14ac:dyDescent="0.35">
      <c r="A151" s="61">
        <v>142</v>
      </c>
      <c r="B151">
        <v>142</v>
      </c>
      <c r="C151" s="7">
        <v>8</v>
      </c>
      <c r="D151" t="s">
        <v>126</v>
      </c>
      <c r="E151">
        <v>1</v>
      </c>
      <c r="G151">
        <v>7</v>
      </c>
      <c r="H151" t="s">
        <v>27</v>
      </c>
      <c r="I151" t="s">
        <v>31</v>
      </c>
      <c r="J151" t="e">
        <f>LOOKUP(I151,'Flight Test Matrix - Overview'!$V$34:$V$36,'Flight Test Matrix - Overview'!$X$25:$X$27)</f>
        <v>#N/A</v>
      </c>
      <c r="K151" t="s">
        <v>64</v>
      </c>
      <c r="L151" t="s">
        <v>31</v>
      </c>
      <c r="M151" t="e">
        <f>LOOKUP(L151,'Flight Test Matrix - Overview'!$M$34:$M$36,'Flight Test Matrix - Overview'!$O$34:$O$36)</f>
        <v>#N/A</v>
      </c>
      <c r="N151" t="s">
        <v>31</v>
      </c>
      <c r="O151" t="e">
        <f>LOOKUP(N151,'Flight Test Matrix - Overview'!$Q$34:$Q$36,'Flight Test Matrix - Overview'!$S$34:$S$36)</f>
        <v>#N/A</v>
      </c>
      <c r="P151" t="s">
        <v>31</v>
      </c>
      <c r="R151" t="str">
        <f t="shared" si="9"/>
        <v>Set flaps to 25°</v>
      </c>
      <c r="S151" t="s">
        <v>201</v>
      </c>
      <c r="T151" t="s">
        <v>31</v>
      </c>
      <c r="U151" t="s">
        <v>31</v>
      </c>
      <c r="V151" t="s">
        <v>31</v>
      </c>
      <c r="W151" t="s">
        <v>31</v>
      </c>
      <c r="X151" t="s">
        <v>31</v>
      </c>
      <c r="Y151" t="s">
        <v>120</v>
      </c>
      <c r="Z151" t="s">
        <v>31</v>
      </c>
      <c r="AA151" t="s">
        <v>31</v>
      </c>
    </row>
    <row r="152" spans="1:27" ht="14.25" customHeight="1" x14ac:dyDescent="0.35">
      <c r="A152" s="61">
        <v>143</v>
      </c>
      <c r="B152">
        <v>143</v>
      </c>
      <c r="C152" s="7">
        <v>17</v>
      </c>
      <c r="D152" t="s">
        <v>126</v>
      </c>
      <c r="E152">
        <v>0</v>
      </c>
      <c r="G152">
        <v>7</v>
      </c>
      <c r="H152" t="s">
        <v>27</v>
      </c>
      <c r="I152" t="s">
        <v>31</v>
      </c>
      <c r="J152" t="e">
        <f>LOOKUP(I152,'Flight Test Matrix - Overview'!$V$34:$V$36,'Flight Test Matrix - Overview'!$X$25:$X$27)</f>
        <v>#N/A</v>
      </c>
      <c r="K152" t="s">
        <v>65</v>
      </c>
      <c r="L152" t="s">
        <v>31</v>
      </c>
      <c r="M152" t="e">
        <f>LOOKUP(L152,'Flight Test Matrix - Overview'!$M$34:$M$36,'Flight Test Matrix - Overview'!$O$34:$O$36)</f>
        <v>#N/A</v>
      </c>
      <c r="N152" t="s">
        <v>31</v>
      </c>
      <c r="O152" t="e">
        <f>LOOKUP(N152,'Flight Test Matrix - Overview'!$Q$34:$Q$36,'Flight Test Matrix - Overview'!$S$34:$S$36)</f>
        <v>#N/A</v>
      </c>
      <c r="P152" t="s">
        <v>31</v>
      </c>
      <c r="R152" t="str">
        <f t="shared" si="9"/>
        <v>Set flaps to 40°</v>
      </c>
      <c r="S152" t="s">
        <v>201</v>
      </c>
      <c r="T152" t="s">
        <v>31</v>
      </c>
      <c r="U152" t="s">
        <v>31</v>
      </c>
      <c r="V152" t="s">
        <v>31</v>
      </c>
      <c r="W152" t="s">
        <v>31</v>
      </c>
      <c r="X152" t="s">
        <v>31</v>
      </c>
      <c r="Y152" t="s">
        <v>120</v>
      </c>
      <c r="Z152" t="s">
        <v>31</v>
      </c>
      <c r="AA152" t="s">
        <v>31</v>
      </c>
    </row>
    <row r="153" spans="1:27" ht="14.25" customHeight="1" x14ac:dyDescent="0.35">
      <c r="A153" s="61">
        <v>144</v>
      </c>
      <c r="B153">
        <v>144</v>
      </c>
      <c r="C153" s="7">
        <v>12</v>
      </c>
      <c r="D153" t="s">
        <v>126</v>
      </c>
      <c r="E153">
        <v>0</v>
      </c>
      <c r="G153">
        <v>7</v>
      </c>
      <c r="H153" t="s">
        <v>27</v>
      </c>
      <c r="I153" t="s">
        <v>31</v>
      </c>
      <c r="J153" t="e">
        <f>LOOKUP(I153,'Flight Test Matrix - Overview'!$V$34:$V$36,'Flight Test Matrix - Overview'!$X$25:$X$27)</f>
        <v>#N/A</v>
      </c>
      <c r="K153" t="s">
        <v>65</v>
      </c>
      <c r="L153" t="s">
        <v>31</v>
      </c>
      <c r="M153" t="e">
        <f>LOOKUP(L153,'Flight Test Matrix - Overview'!$M$34:$M$36,'Flight Test Matrix - Overview'!$O$34:$O$36)</f>
        <v>#N/A</v>
      </c>
      <c r="N153" t="s">
        <v>31</v>
      </c>
      <c r="O153" t="e">
        <f>LOOKUP(N153,'Flight Test Matrix - Overview'!$Q$34:$Q$36,'Flight Test Matrix - Overview'!$S$34:$S$36)</f>
        <v>#N/A</v>
      </c>
      <c r="P153" t="s">
        <v>31</v>
      </c>
      <c r="R153" t="str">
        <f t="shared" si="9"/>
        <v>Set flaps to 40°</v>
      </c>
      <c r="S153" t="s">
        <v>201</v>
      </c>
      <c r="T153" t="s">
        <v>31</v>
      </c>
      <c r="U153" t="s">
        <v>31</v>
      </c>
      <c r="V153" t="s">
        <v>31</v>
      </c>
      <c r="W153" t="s">
        <v>31</v>
      </c>
      <c r="X153" t="s">
        <v>31</v>
      </c>
      <c r="Y153" t="s">
        <v>120</v>
      </c>
      <c r="Z153" t="s">
        <v>31</v>
      </c>
      <c r="AA153" t="s">
        <v>31</v>
      </c>
    </row>
    <row r="154" spans="1:27" ht="14.25" customHeight="1" x14ac:dyDescent="0.35">
      <c r="A154" s="61">
        <v>145</v>
      </c>
      <c r="B154">
        <v>145</v>
      </c>
      <c r="C154" s="7">
        <v>14</v>
      </c>
      <c r="D154" t="s">
        <v>127</v>
      </c>
      <c r="E154">
        <v>0</v>
      </c>
      <c r="G154">
        <v>7</v>
      </c>
      <c r="H154" t="s">
        <v>26</v>
      </c>
      <c r="I154" s="97" t="s">
        <v>31</v>
      </c>
      <c r="J154" t="e">
        <f>LOOKUP(I154,'Flight Test Matrix - Overview'!$V$34:$V$36,'Flight Test Matrix - Overview'!$X$25:$X$27)</f>
        <v>#N/A</v>
      </c>
      <c r="K154" t="s">
        <v>64</v>
      </c>
      <c r="L154" t="s">
        <v>31</v>
      </c>
      <c r="M154" t="e">
        <f>LOOKUP(L154,'Flight Test Matrix - Overview'!$M$34:$M$36,'Flight Test Matrix - Overview'!$O$34:$O$36)</f>
        <v>#N/A</v>
      </c>
      <c r="N154" t="s">
        <v>31</v>
      </c>
      <c r="O154" t="e">
        <f>LOOKUP(N154,'Flight Test Matrix - Overview'!$Q$34:$Q$36,'Flight Test Matrix - Overview'!$S$34:$S$36)</f>
        <v>#N/A</v>
      </c>
      <c r="P154" t="s">
        <v>31</v>
      </c>
      <c r="R154" t="str">
        <f t="shared" si="9"/>
        <v>Set flaps to 25°</v>
      </c>
      <c r="S154" t="s">
        <v>202</v>
      </c>
      <c r="T154" t="s">
        <v>31</v>
      </c>
      <c r="U154" t="s">
        <v>31</v>
      </c>
      <c r="V154" t="s">
        <v>31</v>
      </c>
      <c r="W154" t="s">
        <v>31</v>
      </c>
      <c r="X154" t="s">
        <v>31</v>
      </c>
      <c r="Y154" t="s">
        <v>120</v>
      </c>
      <c r="Z154" t="s">
        <v>31</v>
      </c>
      <c r="AA154" t="s">
        <v>31</v>
      </c>
    </row>
    <row r="155" spans="1:27" ht="14.25" customHeight="1" x14ac:dyDescent="0.35">
      <c r="A155" s="61">
        <v>146</v>
      </c>
      <c r="B155">
        <v>146</v>
      </c>
      <c r="C155" s="7">
        <v>14</v>
      </c>
      <c r="D155" t="s">
        <v>127</v>
      </c>
      <c r="E155">
        <v>0</v>
      </c>
      <c r="G155">
        <v>7</v>
      </c>
      <c r="H155" t="s">
        <v>26</v>
      </c>
      <c r="I155" s="97" t="s">
        <v>31</v>
      </c>
      <c r="J155" t="e">
        <f>LOOKUP(I155,'Flight Test Matrix - Overview'!$V$34:$V$36,'Flight Test Matrix - Overview'!$X$25:$X$27)</f>
        <v>#N/A</v>
      </c>
      <c r="K155" t="s">
        <v>64</v>
      </c>
      <c r="L155" t="s">
        <v>31</v>
      </c>
      <c r="M155" t="e">
        <f>LOOKUP(L155,'Flight Test Matrix - Overview'!$M$34:$M$36,'Flight Test Matrix - Overview'!$O$34:$O$36)</f>
        <v>#N/A</v>
      </c>
      <c r="N155" t="s">
        <v>31</v>
      </c>
      <c r="O155" t="e">
        <f>LOOKUP(N155,'Flight Test Matrix - Overview'!$Q$34:$Q$36,'Flight Test Matrix - Overview'!$S$34:$S$36)</f>
        <v>#N/A</v>
      </c>
      <c r="P155" t="s">
        <v>31</v>
      </c>
      <c r="R155" t="str">
        <f t="shared" si="9"/>
        <v>Set flaps to 25°</v>
      </c>
      <c r="S155" t="s">
        <v>202</v>
      </c>
      <c r="T155" t="s">
        <v>31</v>
      </c>
      <c r="U155" t="s">
        <v>31</v>
      </c>
      <c r="V155" t="s">
        <v>31</v>
      </c>
      <c r="W155" t="s">
        <v>31</v>
      </c>
      <c r="X155" t="s">
        <v>31</v>
      </c>
      <c r="Y155" t="s">
        <v>120</v>
      </c>
      <c r="Z155" t="s">
        <v>31</v>
      </c>
      <c r="AA155" t="s">
        <v>31</v>
      </c>
    </row>
    <row r="156" spans="1:27" ht="14.25" customHeight="1" x14ac:dyDescent="0.35">
      <c r="A156" s="61">
        <v>147</v>
      </c>
      <c r="B156">
        <v>147</v>
      </c>
      <c r="C156" s="7">
        <v>3</v>
      </c>
      <c r="D156" t="s">
        <v>128</v>
      </c>
      <c r="E156">
        <v>1</v>
      </c>
      <c r="G156">
        <v>4</v>
      </c>
      <c r="H156" t="s">
        <v>26</v>
      </c>
      <c r="I156" t="s">
        <v>58</v>
      </c>
      <c r="J156" t="str">
        <f>LOOKUP(I156,'Flight Test Matrix - Overview'!$V$34:$V$36,'Flight Test Matrix - Overview'!$X$25:$X$27)</f>
        <v>6500 ft</v>
      </c>
      <c r="K156" t="s">
        <v>199</v>
      </c>
      <c r="L156" t="s">
        <v>58</v>
      </c>
      <c r="M156">
        <f>LOOKUP(L156,'Flight Test Matrix - Overview'!$M$34:$M$36,'Flight Test Matrix - Overview'!$O$34:$O$36)</f>
        <v>80</v>
      </c>
      <c r="N156" t="s">
        <v>58</v>
      </c>
      <c r="O156" t="str">
        <f>LOOKUP(N156,'Flight Test Matrix - Overview'!$Q$34:$Q$36,'Flight Test Matrix - Overview'!$S$34:$S$36)</f>
        <v>fly level</v>
      </c>
      <c r="P156" t="s">
        <v>176</v>
      </c>
      <c r="R156" t="s">
        <v>116</v>
      </c>
      <c r="S156" t="str">
        <f t="shared" ref="S156:S171" si="10">"Roll " &amp;P156 &amp; " to 30° bank and stabilize"</f>
        <v>Roll LEFT to 30° bank and stabilize</v>
      </c>
      <c r="T156" t="s">
        <v>203</v>
      </c>
      <c r="U156" t="s">
        <v>204</v>
      </c>
      <c r="V156" t="s">
        <v>31</v>
      </c>
      <c r="W156" t="s">
        <v>31</v>
      </c>
      <c r="X156" t="s">
        <v>31</v>
      </c>
      <c r="Y156" t="s">
        <v>120</v>
      </c>
      <c r="Z156" t="s">
        <v>205</v>
      </c>
      <c r="AA156" t="s">
        <v>206</v>
      </c>
    </row>
    <row r="157" spans="1:27" ht="14.25" customHeight="1" x14ac:dyDescent="0.35">
      <c r="A157" s="61">
        <v>148</v>
      </c>
      <c r="B157">
        <v>148</v>
      </c>
      <c r="C157" s="7">
        <v>3</v>
      </c>
      <c r="D157" t="s">
        <v>128</v>
      </c>
      <c r="E157">
        <v>1</v>
      </c>
      <c r="G157">
        <v>4</v>
      </c>
      <c r="H157" t="s">
        <v>26</v>
      </c>
      <c r="I157" t="s">
        <v>58</v>
      </c>
      <c r="J157" t="str">
        <f>LOOKUP(I157,'Flight Test Matrix - Overview'!$V$34:$V$36,'Flight Test Matrix - Overview'!$X$25:$X$27)</f>
        <v>6500 ft</v>
      </c>
      <c r="K157" t="s">
        <v>199</v>
      </c>
      <c r="L157" t="s">
        <v>58</v>
      </c>
      <c r="M157">
        <f>LOOKUP(L157,'Flight Test Matrix - Overview'!$M$34:$M$36,'Flight Test Matrix - Overview'!$O$34:$O$36)</f>
        <v>80</v>
      </c>
      <c r="N157" t="s">
        <v>58</v>
      </c>
      <c r="O157" t="str">
        <f>LOOKUP(N157,'Flight Test Matrix - Overview'!$Q$34:$Q$36,'Flight Test Matrix - Overview'!$S$34:$S$36)</f>
        <v>fly level</v>
      </c>
      <c r="P157" t="s">
        <v>176</v>
      </c>
      <c r="R157" t="s">
        <v>116</v>
      </c>
      <c r="S157" t="str">
        <f t="shared" si="10"/>
        <v>Roll LEFT to 30° bank and stabilize</v>
      </c>
      <c r="T157" t="s">
        <v>203</v>
      </c>
      <c r="U157" t="s">
        <v>204</v>
      </c>
      <c r="V157" t="s">
        <v>31</v>
      </c>
      <c r="W157" t="s">
        <v>31</v>
      </c>
      <c r="X157" t="s">
        <v>31</v>
      </c>
      <c r="Y157" t="s">
        <v>120</v>
      </c>
      <c r="Z157" t="s">
        <v>205</v>
      </c>
      <c r="AA157" t="s">
        <v>206</v>
      </c>
    </row>
    <row r="158" spans="1:27" ht="14.25" customHeight="1" x14ac:dyDescent="0.35">
      <c r="A158" s="61">
        <v>149</v>
      </c>
      <c r="B158">
        <v>149</v>
      </c>
      <c r="C158" s="7">
        <v>5</v>
      </c>
      <c r="D158" t="s">
        <v>128</v>
      </c>
      <c r="E158">
        <v>1</v>
      </c>
      <c r="G158">
        <v>4</v>
      </c>
      <c r="H158" t="s">
        <v>26</v>
      </c>
      <c r="I158" t="s">
        <v>58</v>
      </c>
      <c r="J158" t="str">
        <f>LOOKUP(I158,'Flight Test Matrix - Overview'!$V$34:$V$36,'Flight Test Matrix - Overview'!$X$25:$X$27)</f>
        <v>6500 ft</v>
      </c>
      <c r="K158" t="s">
        <v>199</v>
      </c>
      <c r="L158" t="s">
        <v>58</v>
      </c>
      <c r="M158">
        <f>LOOKUP(L158,'Flight Test Matrix - Overview'!$M$34:$M$36,'Flight Test Matrix - Overview'!$O$34:$O$36)</f>
        <v>80</v>
      </c>
      <c r="N158" t="s">
        <v>58</v>
      </c>
      <c r="O158" t="str">
        <f>LOOKUP(N158,'Flight Test Matrix - Overview'!$Q$34:$Q$36,'Flight Test Matrix - Overview'!$S$34:$S$36)</f>
        <v>fly level</v>
      </c>
      <c r="P158" t="s">
        <v>181</v>
      </c>
      <c r="R158" t="s">
        <v>116</v>
      </c>
      <c r="S158" t="str">
        <f t="shared" si="10"/>
        <v>Roll RIGHT to 30° bank and stabilize</v>
      </c>
      <c r="T158" t="s">
        <v>203</v>
      </c>
      <c r="U158" t="s">
        <v>204</v>
      </c>
      <c r="V158" t="s">
        <v>31</v>
      </c>
      <c r="W158" t="s">
        <v>31</v>
      </c>
      <c r="X158" t="s">
        <v>31</v>
      </c>
      <c r="Y158" t="s">
        <v>120</v>
      </c>
      <c r="Z158" t="s">
        <v>205</v>
      </c>
      <c r="AA158" t="s">
        <v>206</v>
      </c>
    </row>
    <row r="159" spans="1:27" ht="14.25" customHeight="1" x14ac:dyDescent="0.35">
      <c r="A159" s="61">
        <v>150</v>
      </c>
      <c r="B159">
        <v>150</v>
      </c>
      <c r="C159" s="7">
        <v>7</v>
      </c>
      <c r="D159" t="s">
        <v>128</v>
      </c>
      <c r="E159">
        <v>1</v>
      </c>
      <c r="G159">
        <v>4</v>
      </c>
      <c r="H159" t="s">
        <v>26</v>
      </c>
      <c r="I159" t="s">
        <v>58</v>
      </c>
      <c r="J159" t="str">
        <f>LOOKUP(I159,'Flight Test Matrix - Overview'!$V$34:$V$36,'Flight Test Matrix - Overview'!$X$25:$X$27)</f>
        <v>6500 ft</v>
      </c>
      <c r="K159" t="s">
        <v>199</v>
      </c>
      <c r="L159" t="s">
        <v>58</v>
      </c>
      <c r="M159">
        <f>LOOKUP(L159,'Flight Test Matrix - Overview'!$M$34:$M$36,'Flight Test Matrix - Overview'!$O$34:$O$36)</f>
        <v>80</v>
      </c>
      <c r="N159" t="s">
        <v>58</v>
      </c>
      <c r="O159" t="str">
        <f>LOOKUP(N159,'Flight Test Matrix - Overview'!$Q$34:$Q$36,'Flight Test Matrix - Overview'!$S$34:$S$36)</f>
        <v>fly level</v>
      </c>
      <c r="P159" t="s">
        <v>181</v>
      </c>
      <c r="R159" t="s">
        <v>116</v>
      </c>
      <c r="S159" t="str">
        <f t="shared" si="10"/>
        <v>Roll RIGHT to 30° bank and stabilize</v>
      </c>
      <c r="T159" t="s">
        <v>203</v>
      </c>
      <c r="U159" t="s">
        <v>204</v>
      </c>
      <c r="V159" t="s">
        <v>31</v>
      </c>
      <c r="W159" t="s">
        <v>31</v>
      </c>
      <c r="X159" t="s">
        <v>31</v>
      </c>
      <c r="Y159" t="s">
        <v>120</v>
      </c>
      <c r="Z159" t="s">
        <v>205</v>
      </c>
      <c r="AA159" t="s">
        <v>206</v>
      </c>
    </row>
    <row r="160" spans="1:27" ht="14.25" customHeight="1" x14ac:dyDescent="0.35">
      <c r="A160" s="61">
        <v>151</v>
      </c>
      <c r="B160">
        <v>151</v>
      </c>
      <c r="C160" s="7">
        <v>11</v>
      </c>
      <c r="D160" t="s">
        <v>128</v>
      </c>
      <c r="E160">
        <v>1</v>
      </c>
      <c r="G160">
        <v>4</v>
      </c>
      <c r="H160" t="s">
        <v>26</v>
      </c>
      <c r="I160" t="s">
        <v>70</v>
      </c>
      <c r="J160" t="str">
        <f>LOOKUP(I160,'Flight Test Matrix - Overview'!$V$34:$V$36,'Flight Test Matrix - Overview'!$X$25:$X$27)</f>
        <v>3500 ft</v>
      </c>
      <c r="K160" t="s">
        <v>199</v>
      </c>
      <c r="L160" t="s">
        <v>58</v>
      </c>
      <c r="M160">
        <f>LOOKUP(L160,'Flight Test Matrix - Overview'!$M$34:$M$36,'Flight Test Matrix - Overview'!$O$34:$O$36)</f>
        <v>80</v>
      </c>
      <c r="N160" t="s">
        <v>58</v>
      </c>
      <c r="O160" t="str">
        <f>LOOKUP(N160,'Flight Test Matrix - Overview'!$Q$34:$Q$36,'Flight Test Matrix - Overview'!$S$34:$S$36)</f>
        <v>fly level</v>
      </c>
      <c r="P160" t="s">
        <v>176</v>
      </c>
      <c r="R160" t="s">
        <v>116</v>
      </c>
      <c r="S160" t="str">
        <f t="shared" si="10"/>
        <v>Roll LEFT to 30° bank and stabilize</v>
      </c>
      <c r="T160" t="s">
        <v>203</v>
      </c>
      <c r="U160" t="s">
        <v>204</v>
      </c>
      <c r="V160" t="s">
        <v>31</v>
      </c>
      <c r="W160" t="s">
        <v>31</v>
      </c>
      <c r="X160" t="s">
        <v>31</v>
      </c>
      <c r="Y160" t="s">
        <v>120</v>
      </c>
      <c r="Z160" t="s">
        <v>205</v>
      </c>
      <c r="AA160" t="s">
        <v>206</v>
      </c>
    </row>
    <row r="161" spans="1:27" ht="14.25" customHeight="1" x14ac:dyDescent="0.35">
      <c r="A161" s="61">
        <v>152</v>
      </c>
      <c r="B161">
        <v>152</v>
      </c>
      <c r="C161" s="7">
        <v>13</v>
      </c>
      <c r="D161" t="s">
        <v>128</v>
      </c>
      <c r="E161">
        <v>1</v>
      </c>
      <c r="G161">
        <v>4</v>
      </c>
      <c r="H161" t="s">
        <v>26</v>
      </c>
      <c r="I161" t="s">
        <v>70</v>
      </c>
      <c r="J161" t="str">
        <f>LOOKUP(I161,'Flight Test Matrix - Overview'!$V$34:$V$36,'Flight Test Matrix - Overview'!$X$25:$X$27)</f>
        <v>3500 ft</v>
      </c>
      <c r="K161" t="s">
        <v>199</v>
      </c>
      <c r="L161" t="s">
        <v>58</v>
      </c>
      <c r="M161">
        <f>LOOKUP(L161,'Flight Test Matrix - Overview'!$M$34:$M$36,'Flight Test Matrix - Overview'!$O$34:$O$36)</f>
        <v>80</v>
      </c>
      <c r="N161" t="s">
        <v>58</v>
      </c>
      <c r="O161" t="str">
        <f>LOOKUP(N161,'Flight Test Matrix - Overview'!$Q$34:$Q$36,'Flight Test Matrix - Overview'!$S$34:$S$36)</f>
        <v>fly level</v>
      </c>
      <c r="P161" t="s">
        <v>176</v>
      </c>
      <c r="R161" t="s">
        <v>116</v>
      </c>
      <c r="S161" t="str">
        <f t="shared" si="10"/>
        <v>Roll LEFT to 30° bank and stabilize</v>
      </c>
      <c r="T161" t="s">
        <v>203</v>
      </c>
      <c r="U161" t="s">
        <v>204</v>
      </c>
      <c r="V161" t="s">
        <v>31</v>
      </c>
      <c r="W161" t="s">
        <v>31</v>
      </c>
      <c r="X161" t="s">
        <v>31</v>
      </c>
      <c r="Y161" t="s">
        <v>120</v>
      </c>
      <c r="Z161" t="s">
        <v>205</v>
      </c>
      <c r="AA161" t="s">
        <v>206</v>
      </c>
    </row>
    <row r="162" spans="1:27" ht="14.25" customHeight="1" x14ac:dyDescent="0.35">
      <c r="A162" s="61">
        <v>153</v>
      </c>
      <c r="B162">
        <v>153</v>
      </c>
      <c r="C162" s="7">
        <v>13</v>
      </c>
      <c r="D162" t="s">
        <v>128</v>
      </c>
      <c r="E162">
        <v>1</v>
      </c>
      <c r="G162">
        <v>4</v>
      </c>
      <c r="H162" t="s">
        <v>26</v>
      </c>
      <c r="I162" t="s">
        <v>70</v>
      </c>
      <c r="J162" t="str">
        <f>LOOKUP(I162,'Flight Test Matrix - Overview'!$V$34:$V$36,'Flight Test Matrix - Overview'!$X$25:$X$27)</f>
        <v>3500 ft</v>
      </c>
      <c r="K162" t="s">
        <v>199</v>
      </c>
      <c r="L162" t="s">
        <v>58</v>
      </c>
      <c r="M162">
        <f>LOOKUP(L162,'Flight Test Matrix - Overview'!$M$34:$M$36,'Flight Test Matrix - Overview'!$O$34:$O$36)</f>
        <v>80</v>
      </c>
      <c r="N162" t="s">
        <v>58</v>
      </c>
      <c r="O162" t="str">
        <f>LOOKUP(N162,'Flight Test Matrix - Overview'!$Q$34:$Q$36,'Flight Test Matrix - Overview'!$S$34:$S$36)</f>
        <v>fly level</v>
      </c>
      <c r="P162" t="s">
        <v>181</v>
      </c>
      <c r="R162" t="s">
        <v>116</v>
      </c>
      <c r="S162" t="str">
        <f t="shared" si="10"/>
        <v>Roll RIGHT to 30° bank and stabilize</v>
      </c>
      <c r="T162" t="s">
        <v>203</v>
      </c>
      <c r="U162" t="s">
        <v>204</v>
      </c>
      <c r="V162" t="s">
        <v>31</v>
      </c>
      <c r="W162" t="s">
        <v>31</v>
      </c>
      <c r="X162" t="s">
        <v>31</v>
      </c>
      <c r="Y162" t="s">
        <v>120</v>
      </c>
      <c r="Z162" t="s">
        <v>205</v>
      </c>
      <c r="AA162" t="s">
        <v>206</v>
      </c>
    </row>
    <row r="163" spans="1:27" ht="14.25" customHeight="1" x14ac:dyDescent="0.35">
      <c r="A163" s="61">
        <v>154</v>
      </c>
      <c r="B163">
        <v>154</v>
      </c>
      <c r="C163" s="7">
        <v>17</v>
      </c>
      <c r="D163" t="s">
        <v>128</v>
      </c>
      <c r="E163">
        <v>1</v>
      </c>
      <c r="G163">
        <v>4</v>
      </c>
      <c r="H163" t="s">
        <v>26</v>
      </c>
      <c r="I163" t="s">
        <v>70</v>
      </c>
      <c r="J163" t="str">
        <f>LOOKUP(I163,'Flight Test Matrix - Overview'!$V$34:$V$36,'Flight Test Matrix - Overview'!$X$25:$X$27)</f>
        <v>3500 ft</v>
      </c>
      <c r="K163" t="s">
        <v>199</v>
      </c>
      <c r="L163" t="s">
        <v>58</v>
      </c>
      <c r="M163">
        <f>LOOKUP(L163,'Flight Test Matrix - Overview'!$M$34:$M$36,'Flight Test Matrix - Overview'!$O$34:$O$36)</f>
        <v>80</v>
      </c>
      <c r="N163" t="s">
        <v>58</v>
      </c>
      <c r="O163" t="str">
        <f>LOOKUP(N163,'Flight Test Matrix - Overview'!$Q$34:$Q$36,'Flight Test Matrix - Overview'!$S$34:$S$36)</f>
        <v>fly level</v>
      </c>
      <c r="P163" t="s">
        <v>181</v>
      </c>
      <c r="R163" t="s">
        <v>116</v>
      </c>
      <c r="S163" t="str">
        <f t="shared" si="10"/>
        <v>Roll RIGHT to 30° bank and stabilize</v>
      </c>
      <c r="T163" t="s">
        <v>203</v>
      </c>
      <c r="U163" t="s">
        <v>204</v>
      </c>
      <c r="V163" t="s">
        <v>31</v>
      </c>
      <c r="W163" t="s">
        <v>31</v>
      </c>
      <c r="X163" t="s">
        <v>31</v>
      </c>
      <c r="Y163" t="s">
        <v>120</v>
      </c>
      <c r="Z163" t="s">
        <v>205</v>
      </c>
      <c r="AA163" t="s">
        <v>206</v>
      </c>
    </row>
    <row r="164" spans="1:27" ht="14.25" customHeight="1" x14ac:dyDescent="0.35">
      <c r="A164" s="61">
        <v>155</v>
      </c>
      <c r="B164">
        <v>155</v>
      </c>
      <c r="C164" s="7">
        <v>17</v>
      </c>
      <c r="D164" t="s">
        <v>128</v>
      </c>
      <c r="E164">
        <v>1</v>
      </c>
      <c r="G164">
        <v>4</v>
      </c>
      <c r="H164" t="s">
        <v>27</v>
      </c>
      <c r="I164" t="s">
        <v>58</v>
      </c>
      <c r="J164" t="str">
        <f>LOOKUP(I164,'Flight Test Matrix - Overview'!$V$34:$V$36,'Flight Test Matrix - Overview'!$X$25:$X$27)</f>
        <v>6500 ft</v>
      </c>
      <c r="K164" t="s">
        <v>199</v>
      </c>
      <c r="L164" t="s">
        <v>58</v>
      </c>
      <c r="M164">
        <f>LOOKUP(L164,'Flight Test Matrix - Overview'!$M$34:$M$36,'Flight Test Matrix - Overview'!$O$34:$O$36)</f>
        <v>80</v>
      </c>
      <c r="N164" t="s">
        <v>58</v>
      </c>
      <c r="O164" t="str">
        <f>LOOKUP(N164,'Flight Test Matrix - Overview'!$Q$34:$Q$36,'Flight Test Matrix - Overview'!$S$34:$S$36)</f>
        <v>fly level</v>
      </c>
      <c r="P164" t="s">
        <v>176</v>
      </c>
      <c r="R164" t="s">
        <v>116</v>
      </c>
      <c r="S164" t="str">
        <f t="shared" si="10"/>
        <v>Roll LEFT to 30° bank and stabilize</v>
      </c>
      <c r="T164" t="s">
        <v>203</v>
      </c>
      <c r="U164" t="s">
        <v>204</v>
      </c>
      <c r="V164" t="s">
        <v>31</v>
      </c>
      <c r="W164" t="s">
        <v>31</v>
      </c>
      <c r="X164" t="s">
        <v>31</v>
      </c>
      <c r="Y164" t="s">
        <v>120</v>
      </c>
      <c r="Z164" t="s">
        <v>205</v>
      </c>
      <c r="AA164" t="s">
        <v>206</v>
      </c>
    </row>
    <row r="165" spans="1:27" ht="14.25" customHeight="1" x14ac:dyDescent="0.35">
      <c r="A165" s="61">
        <v>156</v>
      </c>
      <c r="B165">
        <v>156</v>
      </c>
      <c r="C165" s="7">
        <v>4</v>
      </c>
      <c r="D165" t="s">
        <v>128</v>
      </c>
      <c r="E165">
        <v>0</v>
      </c>
      <c r="G165">
        <v>4</v>
      </c>
      <c r="H165" t="s">
        <v>27</v>
      </c>
      <c r="I165" t="s">
        <v>58</v>
      </c>
      <c r="J165" t="str">
        <f>LOOKUP(I165,'Flight Test Matrix - Overview'!$V$34:$V$36,'Flight Test Matrix - Overview'!$X$25:$X$27)</f>
        <v>6500 ft</v>
      </c>
      <c r="K165" t="s">
        <v>199</v>
      </c>
      <c r="L165" t="s">
        <v>58</v>
      </c>
      <c r="M165">
        <f>LOOKUP(L165,'Flight Test Matrix - Overview'!$M$34:$M$36,'Flight Test Matrix - Overview'!$O$34:$O$36)</f>
        <v>80</v>
      </c>
      <c r="N165" t="s">
        <v>58</v>
      </c>
      <c r="O165" t="str">
        <f>LOOKUP(N165,'Flight Test Matrix - Overview'!$Q$34:$Q$36,'Flight Test Matrix - Overview'!$S$34:$S$36)</f>
        <v>fly level</v>
      </c>
      <c r="P165" t="s">
        <v>176</v>
      </c>
      <c r="R165" t="s">
        <v>116</v>
      </c>
      <c r="S165" t="str">
        <f t="shared" si="10"/>
        <v>Roll LEFT to 30° bank and stabilize</v>
      </c>
      <c r="T165" t="s">
        <v>203</v>
      </c>
      <c r="U165" t="s">
        <v>204</v>
      </c>
      <c r="V165" t="s">
        <v>31</v>
      </c>
      <c r="W165" t="s">
        <v>31</v>
      </c>
      <c r="X165" t="s">
        <v>31</v>
      </c>
      <c r="Y165" t="s">
        <v>120</v>
      </c>
      <c r="Z165" t="s">
        <v>205</v>
      </c>
      <c r="AA165" t="s">
        <v>206</v>
      </c>
    </row>
    <row r="166" spans="1:27" ht="14.25" customHeight="1" x14ac:dyDescent="0.35">
      <c r="A166" s="61">
        <v>157</v>
      </c>
      <c r="B166">
        <v>157</v>
      </c>
      <c r="C166" s="7">
        <v>6</v>
      </c>
      <c r="D166" t="s">
        <v>128</v>
      </c>
      <c r="E166">
        <v>1</v>
      </c>
      <c r="G166">
        <v>4</v>
      </c>
      <c r="H166" t="s">
        <v>27</v>
      </c>
      <c r="I166" t="s">
        <v>58</v>
      </c>
      <c r="J166" t="str">
        <f>LOOKUP(I166,'Flight Test Matrix - Overview'!$V$34:$V$36,'Flight Test Matrix - Overview'!$X$25:$X$27)</f>
        <v>6500 ft</v>
      </c>
      <c r="K166" t="s">
        <v>199</v>
      </c>
      <c r="L166" t="s">
        <v>58</v>
      </c>
      <c r="M166">
        <f>LOOKUP(L166,'Flight Test Matrix - Overview'!$M$34:$M$36,'Flight Test Matrix - Overview'!$O$34:$O$36)</f>
        <v>80</v>
      </c>
      <c r="N166" t="s">
        <v>58</v>
      </c>
      <c r="O166" t="str">
        <f>LOOKUP(N166,'Flight Test Matrix - Overview'!$Q$34:$Q$36,'Flight Test Matrix - Overview'!$S$34:$S$36)</f>
        <v>fly level</v>
      </c>
      <c r="P166" t="s">
        <v>181</v>
      </c>
      <c r="R166" t="s">
        <v>116</v>
      </c>
      <c r="S166" t="str">
        <f t="shared" si="10"/>
        <v>Roll RIGHT to 30° bank and stabilize</v>
      </c>
      <c r="T166" t="s">
        <v>203</v>
      </c>
      <c r="U166" t="s">
        <v>204</v>
      </c>
      <c r="V166" t="s">
        <v>31</v>
      </c>
      <c r="W166" t="s">
        <v>31</v>
      </c>
      <c r="X166" t="s">
        <v>31</v>
      </c>
      <c r="Y166" t="s">
        <v>120</v>
      </c>
      <c r="Z166" t="s">
        <v>205</v>
      </c>
      <c r="AA166" t="s">
        <v>206</v>
      </c>
    </row>
    <row r="167" spans="1:27" ht="14.25" customHeight="1" x14ac:dyDescent="0.35">
      <c r="A167" s="61">
        <v>158</v>
      </c>
      <c r="B167">
        <v>158</v>
      </c>
      <c r="C167" s="7">
        <v>8</v>
      </c>
      <c r="D167" t="s">
        <v>128</v>
      </c>
      <c r="E167">
        <v>1</v>
      </c>
      <c r="G167">
        <v>4</v>
      </c>
      <c r="H167" t="s">
        <v>27</v>
      </c>
      <c r="I167" t="s">
        <v>58</v>
      </c>
      <c r="J167" t="str">
        <f>LOOKUP(I167,'Flight Test Matrix - Overview'!$V$34:$V$36,'Flight Test Matrix - Overview'!$X$25:$X$27)</f>
        <v>6500 ft</v>
      </c>
      <c r="K167" t="s">
        <v>199</v>
      </c>
      <c r="L167" t="s">
        <v>58</v>
      </c>
      <c r="M167">
        <f>LOOKUP(L167,'Flight Test Matrix - Overview'!$M$34:$M$36,'Flight Test Matrix - Overview'!$O$34:$O$36)</f>
        <v>80</v>
      </c>
      <c r="N167" t="s">
        <v>58</v>
      </c>
      <c r="O167" t="str">
        <f>LOOKUP(N167,'Flight Test Matrix - Overview'!$Q$34:$Q$36,'Flight Test Matrix - Overview'!$S$34:$S$36)</f>
        <v>fly level</v>
      </c>
      <c r="P167" t="s">
        <v>181</v>
      </c>
      <c r="R167" t="s">
        <v>116</v>
      </c>
      <c r="S167" t="str">
        <f t="shared" si="10"/>
        <v>Roll RIGHT to 30° bank and stabilize</v>
      </c>
      <c r="T167" t="s">
        <v>203</v>
      </c>
      <c r="U167" t="s">
        <v>204</v>
      </c>
      <c r="V167" t="s">
        <v>31</v>
      </c>
      <c r="W167" t="s">
        <v>31</v>
      </c>
      <c r="X167" t="s">
        <v>31</v>
      </c>
      <c r="Y167" t="s">
        <v>120</v>
      </c>
      <c r="Z167" t="s">
        <v>205</v>
      </c>
      <c r="AA167" t="s">
        <v>206</v>
      </c>
    </row>
    <row r="168" spans="1:27" ht="14.25" customHeight="1" x14ac:dyDescent="0.35">
      <c r="A168" s="61">
        <v>159</v>
      </c>
      <c r="B168">
        <v>159</v>
      </c>
      <c r="C168" s="7">
        <v>8</v>
      </c>
      <c r="D168" t="s">
        <v>128</v>
      </c>
      <c r="E168">
        <v>1</v>
      </c>
      <c r="G168">
        <v>4</v>
      </c>
      <c r="H168" t="s">
        <v>27</v>
      </c>
      <c r="I168" t="s">
        <v>70</v>
      </c>
      <c r="J168" t="str">
        <f>LOOKUP(I168,'Flight Test Matrix - Overview'!$V$34:$V$36,'Flight Test Matrix - Overview'!$X$25:$X$27)</f>
        <v>3500 ft</v>
      </c>
      <c r="K168" t="s">
        <v>199</v>
      </c>
      <c r="L168" t="s">
        <v>58</v>
      </c>
      <c r="M168">
        <f>LOOKUP(L168,'Flight Test Matrix - Overview'!$M$34:$M$36,'Flight Test Matrix - Overview'!$O$34:$O$36)</f>
        <v>80</v>
      </c>
      <c r="N168" t="s">
        <v>58</v>
      </c>
      <c r="O168" t="str">
        <f>LOOKUP(N168,'Flight Test Matrix - Overview'!$Q$34:$Q$36,'Flight Test Matrix - Overview'!$S$34:$S$36)</f>
        <v>fly level</v>
      </c>
      <c r="P168" t="s">
        <v>176</v>
      </c>
      <c r="R168" t="s">
        <v>116</v>
      </c>
      <c r="S168" t="str">
        <f t="shared" si="10"/>
        <v>Roll LEFT to 30° bank and stabilize</v>
      </c>
      <c r="T168" t="s">
        <v>203</v>
      </c>
      <c r="U168" t="s">
        <v>204</v>
      </c>
      <c r="V168" t="s">
        <v>31</v>
      </c>
      <c r="W168" t="s">
        <v>31</v>
      </c>
      <c r="X168" t="s">
        <v>31</v>
      </c>
      <c r="Y168" t="s">
        <v>120</v>
      </c>
      <c r="Z168" t="s">
        <v>205</v>
      </c>
      <c r="AA168" t="s">
        <v>206</v>
      </c>
    </row>
    <row r="169" spans="1:27" ht="14.25" customHeight="1" x14ac:dyDescent="0.35">
      <c r="A169" s="61">
        <v>160</v>
      </c>
      <c r="B169">
        <v>160</v>
      </c>
      <c r="C169" s="7">
        <v>17</v>
      </c>
      <c r="D169" t="s">
        <v>128</v>
      </c>
      <c r="E169">
        <v>1</v>
      </c>
      <c r="G169">
        <v>4</v>
      </c>
      <c r="H169" t="s">
        <v>27</v>
      </c>
      <c r="I169" t="s">
        <v>70</v>
      </c>
      <c r="J169" t="str">
        <f>LOOKUP(I169,'Flight Test Matrix - Overview'!$V$34:$V$36,'Flight Test Matrix - Overview'!$X$25:$X$27)</f>
        <v>3500 ft</v>
      </c>
      <c r="K169" t="s">
        <v>199</v>
      </c>
      <c r="L169" t="s">
        <v>58</v>
      </c>
      <c r="M169">
        <f>LOOKUP(L169,'Flight Test Matrix - Overview'!$M$34:$M$36,'Flight Test Matrix - Overview'!$O$34:$O$36)</f>
        <v>80</v>
      </c>
      <c r="N169" t="s">
        <v>58</v>
      </c>
      <c r="O169" t="str">
        <f>LOOKUP(N169,'Flight Test Matrix - Overview'!$Q$34:$Q$36,'Flight Test Matrix - Overview'!$S$34:$S$36)</f>
        <v>fly level</v>
      </c>
      <c r="P169" t="s">
        <v>176</v>
      </c>
      <c r="R169" t="s">
        <v>116</v>
      </c>
      <c r="S169" t="str">
        <f t="shared" si="10"/>
        <v>Roll LEFT to 30° bank and stabilize</v>
      </c>
      <c r="T169" t="s">
        <v>203</v>
      </c>
      <c r="U169" t="s">
        <v>204</v>
      </c>
      <c r="V169" t="s">
        <v>31</v>
      </c>
      <c r="W169" t="s">
        <v>31</v>
      </c>
      <c r="X169" t="s">
        <v>31</v>
      </c>
      <c r="Y169" t="s">
        <v>120</v>
      </c>
      <c r="Z169" t="s">
        <v>205</v>
      </c>
      <c r="AA169" t="s">
        <v>206</v>
      </c>
    </row>
    <row r="170" spans="1:27" ht="14.25" customHeight="1" x14ac:dyDescent="0.35">
      <c r="A170" s="61">
        <v>161</v>
      </c>
      <c r="B170">
        <v>161</v>
      </c>
      <c r="C170" s="7">
        <v>17</v>
      </c>
      <c r="D170" t="s">
        <v>128</v>
      </c>
      <c r="E170">
        <v>1</v>
      </c>
      <c r="G170">
        <v>4</v>
      </c>
      <c r="H170" t="s">
        <v>27</v>
      </c>
      <c r="I170" t="s">
        <v>70</v>
      </c>
      <c r="J170" t="str">
        <f>LOOKUP(I170,'Flight Test Matrix - Overview'!$V$34:$V$36,'Flight Test Matrix - Overview'!$X$25:$X$27)</f>
        <v>3500 ft</v>
      </c>
      <c r="K170" t="s">
        <v>199</v>
      </c>
      <c r="L170" t="s">
        <v>58</v>
      </c>
      <c r="M170">
        <f>LOOKUP(L170,'Flight Test Matrix - Overview'!$M$34:$M$36,'Flight Test Matrix - Overview'!$O$34:$O$36)</f>
        <v>80</v>
      </c>
      <c r="N170" t="s">
        <v>58</v>
      </c>
      <c r="O170" t="str">
        <f>LOOKUP(N170,'Flight Test Matrix - Overview'!$Q$34:$Q$36,'Flight Test Matrix - Overview'!$S$34:$S$36)</f>
        <v>fly level</v>
      </c>
      <c r="P170" t="s">
        <v>181</v>
      </c>
      <c r="R170" t="s">
        <v>116</v>
      </c>
      <c r="S170" t="str">
        <f t="shared" si="10"/>
        <v>Roll RIGHT to 30° bank and stabilize</v>
      </c>
      <c r="T170" t="s">
        <v>203</v>
      </c>
      <c r="U170" t="s">
        <v>204</v>
      </c>
      <c r="V170" t="s">
        <v>31</v>
      </c>
      <c r="W170" t="s">
        <v>31</v>
      </c>
      <c r="X170" t="s">
        <v>31</v>
      </c>
      <c r="Y170" t="s">
        <v>120</v>
      </c>
      <c r="Z170" t="s">
        <v>205</v>
      </c>
      <c r="AA170" t="s">
        <v>206</v>
      </c>
    </row>
    <row r="171" spans="1:27" ht="14.25" customHeight="1" x14ac:dyDescent="0.35">
      <c r="A171" s="61">
        <v>162</v>
      </c>
      <c r="B171">
        <v>162</v>
      </c>
      <c r="C171" s="7">
        <v>12</v>
      </c>
      <c r="D171" t="s">
        <v>128</v>
      </c>
      <c r="E171">
        <v>0</v>
      </c>
      <c r="G171">
        <v>4</v>
      </c>
      <c r="H171" t="s">
        <v>27</v>
      </c>
      <c r="I171" t="s">
        <v>70</v>
      </c>
      <c r="J171" t="str">
        <f>LOOKUP(I171,'Flight Test Matrix - Overview'!$V$34:$V$36,'Flight Test Matrix - Overview'!$X$25:$X$27)</f>
        <v>3500 ft</v>
      </c>
      <c r="K171" t="s">
        <v>199</v>
      </c>
      <c r="L171" t="s">
        <v>58</v>
      </c>
      <c r="M171">
        <f>LOOKUP(L171,'Flight Test Matrix - Overview'!$M$34:$M$36,'Flight Test Matrix - Overview'!$O$34:$O$36)</f>
        <v>80</v>
      </c>
      <c r="N171" t="s">
        <v>58</v>
      </c>
      <c r="O171" t="str">
        <f>LOOKUP(N171,'Flight Test Matrix - Overview'!$Q$34:$Q$36,'Flight Test Matrix - Overview'!$S$34:$S$36)</f>
        <v>fly level</v>
      </c>
      <c r="P171" t="s">
        <v>181</v>
      </c>
      <c r="R171" t="s">
        <v>116</v>
      </c>
      <c r="S171" t="str">
        <f t="shared" si="10"/>
        <v>Roll RIGHT to 30° bank and stabilize</v>
      </c>
      <c r="T171" t="s">
        <v>203</v>
      </c>
      <c r="U171" t="s">
        <v>204</v>
      </c>
      <c r="V171" t="s">
        <v>31</v>
      </c>
      <c r="W171" t="s">
        <v>31</v>
      </c>
      <c r="X171" t="s">
        <v>31</v>
      </c>
      <c r="Y171" t="s">
        <v>120</v>
      </c>
      <c r="Z171" t="s">
        <v>205</v>
      </c>
      <c r="AA171" t="s">
        <v>206</v>
      </c>
    </row>
    <row r="172" spans="1:27" ht="14.25" customHeight="1" x14ac:dyDescent="0.35">
      <c r="A172" s="61">
        <v>163</v>
      </c>
      <c r="B172">
        <v>163</v>
      </c>
      <c r="C172" s="7">
        <v>5</v>
      </c>
      <c r="D172" t="s">
        <v>130</v>
      </c>
      <c r="E172">
        <v>1</v>
      </c>
      <c r="F172">
        <v>0.5</v>
      </c>
      <c r="G172">
        <v>5</v>
      </c>
      <c r="H172" t="s">
        <v>26</v>
      </c>
      <c r="I172" t="s">
        <v>58</v>
      </c>
      <c r="J172" t="str">
        <f>LOOKUP(I172,'Flight Test Matrix - Overview'!$V$34:$V$36,'Flight Test Matrix - Overview'!$X$25:$X$27)</f>
        <v>6500 ft</v>
      </c>
      <c r="K172" t="s">
        <v>199</v>
      </c>
      <c r="L172" t="s">
        <v>58</v>
      </c>
      <c r="M172">
        <f>LOOKUP(L172,'Flight Test Matrix - Overview'!$M$34:$M$36,'Flight Test Matrix - Overview'!$O$34:$O$36)</f>
        <v>80</v>
      </c>
      <c r="N172" t="s">
        <v>58</v>
      </c>
      <c r="O172" t="str">
        <f>LOOKUP(N172,'Flight Test Matrix - Overview'!$Q$34:$Q$36,'Flight Test Matrix - Overview'!$S$34:$S$36)</f>
        <v>fly level</v>
      </c>
      <c r="P172" t="s">
        <v>31</v>
      </c>
      <c r="R172" t="s">
        <v>116</v>
      </c>
      <c r="S172" t="s">
        <v>231</v>
      </c>
      <c r="T172" t="s">
        <v>232</v>
      </c>
      <c r="U172" t="s">
        <v>233</v>
      </c>
      <c r="V172" t="s">
        <v>234</v>
      </c>
      <c r="W172" t="s">
        <v>31</v>
      </c>
      <c r="X172" t="s">
        <v>31</v>
      </c>
      <c r="Y172" t="s">
        <v>120</v>
      </c>
      <c r="Z172" t="s">
        <v>31</v>
      </c>
      <c r="AA172" t="s">
        <v>235</v>
      </c>
    </row>
    <row r="173" spans="1:27" ht="14.25" customHeight="1" x14ac:dyDescent="0.35">
      <c r="A173" s="61">
        <v>164</v>
      </c>
      <c r="B173">
        <v>164</v>
      </c>
      <c r="C173" s="7">
        <v>9</v>
      </c>
      <c r="D173" s="93" t="s">
        <v>130</v>
      </c>
      <c r="E173">
        <v>1</v>
      </c>
      <c r="G173">
        <v>5</v>
      </c>
      <c r="H173" t="s">
        <v>26</v>
      </c>
      <c r="I173" t="s">
        <v>58</v>
      </c>
      <c r="J173" t="str">
        <f>LOOKUP(I173,'Flight Test Matrix - Overview'!$V$34:$V$36,'Flight Test Matrix - Overview'!$X$25:$X$27)</f>
        <v>6500 ft</v>
      </c>
      <c r="K173" t="s">
        <v>199</v>
      </c>
      <c r="L173" t="s">
        <v>58</v>
      </c>
      <c r="M173">
        <f>LOOKUP(L173,'Flight Test Matrix - Overview'!$M$34:$M$36,'Flight Test Matrix - Overview'!$O$34:$O$36)</f>
        <v>80</v>
      </c>
      <c r="N173" t="s">
        <v>58</v>
      </c>
      <c r="O173" t="str">
        <f>LOOKUP(N173,'Flight Test Matrix - Overview'!$Q$34:$Q$36,'Flight Test Matrix - Overview'!$S$34:$S$36)</f>
        <v>fly level</v>
      </c>
      <c r="P173" t="s">
        <v>31</v>
      </c>
      <c r="R173" t="s">
        <v>116</v>
      </c>
      <c r="S173" t="s">
        <v>231</v>
      </c>
      <c r="T173" t="s">
        <v>232</v>
      </c>
      <c r="U173" t="s">
        <v>233</v>
      </c>
      <c r="V173" t="s">
        <v>234</v>
      </c>
      <c r="W173" t="s">
        <v>31</v>
      </c>
      <c r="X173" t="s">
        <v>31</v>
      </c>
      <c r="Y173" t="s">
        <v>120</v>
      </c>
      <c r="Z173" t="s">
        <v>31</v>
      </c>
      <c r="AA173" t="s">
        <v>235</v>
      </c>
    </row>
    <row r="174" spans="1:27" ht="14.25" customHeight="1" x14ac:dyDescent="0.35">
      <c r="A174" s="61">
        <v>162</v>
      </c>
      <c r="B174">
        <v>162</v>
      </c>
      <c r="C174" s="7">
        <v>15</v>
      </c>
      <c r="D174" s="93" t="s">
        <v>130</v>
      </c>
      <c r="E174">
        <v>1</v>
      </c>
      <c r="F174">
        <v>1</v>
      </c>
      <c r="G174">
        <v>5</v>
      </c>
      <c r="H174" t="s">
        <v>26</v>
      </c>
      <c r="I174" t="s">
        <v>58</v>
      </c>
      <c r="J174" t="str">
        <f>LOOKUP(I174,'Flight Test Matrix - Overview'!$V$34:$V$36,'Flight Test Matrix - Overview'!$X$25:$X$27)</f>
        <v>6500 ft</v>
      </c>
      <c r="K174" t="s">
        <v>199</v>
      </c>
      <c r="L174" t="s">
        <v>58</v>
      </c>
      <c r="M174">
        <f>LOOKUP(L174,'Flight Test Matrix - Overview'!$M$34:$M$36,'Flight Test Matrix - Overview'!$O$34:$O$36)</f>
        <v>80</v>
      </c>
      <c r="N174" t="s">
        <v>58</v>
      </c>
      <c r="O174" t="str">
        <f>LOOKUP(N174,'Flight Test Matrix - Overview'!$Q$34:$Q$36,'Flight Test Matrix - Overview'!$S$34:$S$36)</f>
        <v>fly level</v>
      </c>
      <c r="P174" t="s">
        <v>31</v>
      </c>
      <c r="R174" t="s">
        <v>116</v>
      </c>
      <c r="S174" t="s">
        <v>231</v>
      </c>
      <c r="T174" t="s">
        <v>232</v>
      </c>
      <c r="U174" t="s">
        <v>233</v>
      </c>
      <c r="V174" t="s">
        <v>234</v>
      </c>
      <c r="W174" t="s">
        <v>31</v>
      </c>
      <c r="X174" t="s">
        <v>31</v>
      </c>
      <c r="Y174" t="s">
        <v>120</v>
      </c>
      <c r="Z174" t="s">
        <v>31</v>
      </c>
      <c r="AA174" t="s">
        <v>235</v>
      </c>
    </row>
    <row r="175" spans="1:27" ht="14.25" customHeight="1" x14ac:dyDescent="0.35">
      <c r="A175" s="61">
        <v>166</v>
      </c>
      <c r="B175">
        <v>166</v>
      </c>
      <c r="C175" s="7">
        <v>12</v>
      </c>
      <c r="D175" t="s">
        <v>130</v>
      </c>
      <c r="E175">
        <v>1</v>
      </c>
      <c r="G175">
        <v>5</v>
      </c>
      <c r="H175" t="s">
        <v>27</v>
      </c>
      <c r="I175" t="s">
        <v>58</v>
      </c>
      <c r="J175" t="str">
        <f>LOOKUP(I175,'Flight Test Matrix - Overview'!$V$34:$V$36,'Flight Test Matrix - Overview'!$X$25:$X$27)</f>
        <v>6500 ft</v>
      </c>
      <c r="K175" t="s">
        <v>199</v>
      </c>
      <c r="L175" t="s">
        <v>58</v>
      </c>
      <c r="M175">
        <f>LOOKUP(L175,'Flight Test Matrix - Overview'!$M$34:$M$36,'Flight Test Matrix - Overview'!$O$34:$O$36)</f>
        <v>80</v>
      </c>
      <c r="N175" t="s">
        <v>58</v>
      </c>
      <c r="O175" t="str">
        <f>LOOKUP(N175,'Flight Test Matrix - Overview'!$Q$34:$Q$36,'Flight Test Matrix - Overview'!$S$34:$S$36)</f>
        <v>fly level</v>
      </c>
      <c r="P175" t="s">
        <v>31</v>
      </c>
      <c r="R175" t="s">
        <v>116</v>
      </c>
      <c r="S175" t="s">
        <v>231</v>
      </c>
      <c r="T175" t="s">
        <v>232</v>
      </c>
      <c r="U175" t="s">
        <v>233</v>
      </c>
      <c r="V175" t="s">
        <v>234</v>
      </c>
      <c r="W175" t="s">
        <v>31</v>
      </c>
      <c r="X175" t="s">
        <v>31</v>
      </c>
      <c r="Y175" t="s">
        <v>120</v>
      </c>
      <c r="Z175" t="s">
        <v>31</v>
      </c>
      <c r="AA175" t="s">
        <v>235</v>
      </c>
    </row>
    <row r="176" spans="1:27" ht="14.25" customHeight="1" x14ac:dyDescent="0.35">
      <c r="A176" s="61">
        <v>167</v>
      </c>
      <c r="B176">
        <v>167</v>
      </c>
      <c r="C176" s="7">
        <v>0</v>
      </c>
      <c r="D176" t="s">
        <v>111</v>
      </c>
      <c r="E176">
        <v>1</v>
      </c>
      <c r="G176">
        <v>3</v>
      </c>
      <c r="H176" t="s">
        <v>27</v>
      </c>
      <c r="I176" t="s">
        <v>58</v>
      </c>
      <c r="J176" t="str">
        <f>LOOKUP(I176,'Flight Test Matrix - Overview'!$V$34:$V$36,'Flight Test Matrix - Overview'!$X$25:$X$27)</f>
        <v>6500 ft</v>
      </c>
      <c r="K176" t="s">
        <v>62</v>
      </c>
      <c r="L176" t="s">
        <v>58</v>
      </c>
      <c r="M176">
        <f>LOOKUP(L176,'Flight Test Matrix - Overview'!$M$34:$M$36,'Flight Test Matrix - Overview'!$O$34:$O$36)</f>
        <v>80</v>
      </c>
      <c r="N176" t="s">
        <v>58</v>
      </c>
      <c r="O176" t="str">
        <f>LOOKUP(N176,'Flight Test Matrix - Overview'!$Q$34:$Q$36,'Flight Test Matrix - Overview'!$S$34:$S$36)</f>
        <v>fly level</v>
      </c>
      <c r="P176" t="s">
        <v>114</v>
      </c>
      <c r="Q176" t="s">
        <v>115</v>
      </c>
      <c r="R176" t="s">
        <v>116</v>
      </c>
      <c r="S176" t="str">
        <f>"Short " &amp; P176 &amp; "-pulse on elevator, AOA change ~±3°"</f>
        <v>Short PUSH-PULL-pulse on elevator, AOA change ~±3°</v>
      </c>
      <c r="T176" t="s">
        <v>118</v>
      </c>
      <c r="U176" t="s">
        <v>119</v>
      </c>
      <c r="V176" t="s">
        <v>31</v>
      </c>
      <c r="W176" t="s">
        <v>31</v>
      </c>
      <c r="X176" t="s">
        <v>31</v>
      </c>
      <c r="Y176" t="s">
        <v>120</v>
      </c>
      <c r="Z176" t="s">
        <v>236</v>
      </c>
      <c r="AA176" t="s">
        <v>122</v>
      </c>
    </row>
    <row r="177" spans="1:27" ht="14.25" customHeight="1" x14ac:dyDescent="0.35">
      <c r="A177" s="61">
        <v>168</v>
      </c>
      <c r="B177">
        <v>168</v>
      </c>
      <c r="C177" s="7">
        <v>0</v>
      </c>
      <c r="D177" t="s">
        <v>82</v>
      </c>
      <c r="E177">
        <v>1</v>
      </c>
      <c r="G177">
        <v>5</v>
      </c>
      <c r="H177" t="s">
        <v>27</v>
      </c>
      <c r="I177" t="s">
        <v>58</v>
      </c>
      <c r="J177" t="str">
        <f>LOOKUP(I177,'Flight Test Matrix - Overview'!$V$34:$V$36,'Flight Test Matrix - Overview'!$X$25:$X$27)</f>
        <v>6500 ft</v>
      </c>
      <c r="K177" t="s">
        <v>62</v>
      </c>
      <c r="L177" t="s">
        <v>58</v>
      </c>
      <c r="M177">
        <f>LOOKUP(L177,'Flight Test Matrix - Overview'!$M$34:$M$36,'Flight Test Matrix - Overview'!$O$34:$O$36)</f>
        <v>80</v>
      </c>
      <c r="N177" t="s">
        <v>58</v>
      </c>
      <c r="O177" t="s">
        <v>149</v>
      </c>
      <c r="P177" t="s">
        <v>172</v>
      </c>
      <c r="Q177" t="s">
        <v>169</v>
      </c>
      <c r="R177" t="s">
        <v>116</v>
      </c>
      <c r="S177" t="str">
        <f>P177 &amp; " Elevator until IAS " &amp; IF(P177="Push",M177*1.15,M177*0.85)</f>
        <v>PULL Elevator until IAS 68</v>
      </c>
      <c r="T177" t="s">
        <v>170</v>
      </c>
      <c r="U177" t="s">
        <v>31</v>
      </c>
      <c r="V177" t="s">
        <v>31</v>
      </c>
      <c r="W177" t="s">
        <v>31</v>
      </c>
      <c r="X177" t="s">
        <v>31</v>
      </c>
      <c r="Y177" t="s">
        <v>120</v>
      </c>
      <c r="Z177" t="s">
        <v>237</v>
      </c>
      <c r="AA177" t="s">
        <v>122</v>
      </c>
    </row>
    <row r="178" spans="1:27" ht="14.25" customHeight="1" x14ac:dyDescent="0.35">
      <c r="A178" s="61">
        <v>169</v>
      </c>
      <c r="B178">
        <v>169</v>
      </c>
      <c r="C178" s="7">
        <v>0</v>
      </c>
      <c r="D178" t="s">
        <v>84</v>
      </c>
      <c r="E178">
        <v>1</v>
      </c>
      <c r="G178">
        <v>5</v>
      </c>
      <c r="H178" t="s">
        <v>27</v>
      </c>
      <c r="I178" t="s">
        <v>58</v>
      </c>
      <c r="J178" t="str">
        <f>LOOKUP(I178,'Flight Test Matrix - Overview'!$V$34:$V$36,'Flight Test Matrix - Overview'!$X$25:$X$27)</f>
        <v>6500 ft</v>
      </c>
      <c r="K178" t="s">
        <v>62</v>
      </c>
      <c r="L178" t="s">
        <v>58</v>
      </c>
      <c r="M178">
        <f>LOOKUP(L178,'Flight Test Matrix - Overview'!$M$34:$M$36,'Flight Test Matrix - Overview'!$O$34:$O$36)</f>
        <v>80</v>
      </c>
      <c r="N178" t="s">
        <v>58</v>
      </c>
      <c r="O178" t="str">
        <f>LOOKUP(N178,'Flight Test Matrix - Overview'!$Q$34:$Q$36,'Flight Test Matrix - Overview'!$S$34:$S$36)</f>
        <v>fly level</v>
      </c>
      <c r="P178" t="s">
        <v>168</v>
      </c>
      <c r="Q178" t="s">
        <v>115</v>
      </c>
      <c r="R178" t="s">
        <v>116</v>
      </c>
      <c r="S178" t="str">
        <f>"Slowly and continuously push stick until IAS " &amp; M178*1.15</f>
        <v>Slowly and continuously push stick until IAS 92</v>
      </c>
      <c r="T178" t="str">
        <f>"Slowly and continuously pull stick until above IAS " &amp; 'Flight Test Matrix - Overview'!$D$35</f>
        <v>Slowly and continuously pull stick until above IAS 48</v>
      </c>
      <c r="U178" t="s">
        <v>173</v>
      </c>
      <c r="V178" t="s">
        <v>31</v>
      </c>
      <c r="W178" t="s">
        <v>31</v>
      </c>
      <c r="X178" t="s">
        <v>31</v>
      </c>
      <c r="Y178" t="s">
        <v>120</v>
      </c>
      <c r="Z178" t="s">
        <v>238</v>
      </c>
      <c r="AA178" t="s">
        <v>175</v>
      </c>
    </row>
    <row r="179" spans="1:27" ht="14.25" customHeight="1" x14ac:dyDescent="0.35">
      <c r="A179" s="61">
        <v>170</v>
      </c>
      <c r="B179">
        <v>170</v>
      </c>
      <c r="C179" s="7">
        <v>0</v>
      </c>
      <c r="D179" t="s">
        <v>85</v>
      </c>
      <c r="E179">
        <v>1</v>
      </c>
      <c r="G179">
        <v>3</v>
      </c>
      <c r="H179" t="s">
        <v>27</v>
      </c>
      <c r="I179" t="s">
        <v>58</v>
      </c>
      <c r="J179" t="str">
        <f>LOOKUP(I179,'Flight Test Matrix - Overview'!$V$34:$V$36,'Flight Test Matrix - Overview'!$X$25:$X$27)</f>
        <v>6500 ft</v>
      </c>
      <c r="K179" t="s">
        <v>62</v>
      </c>
      <c r="L179" t="s">
        <v>58</v>
      </c>
      <c r="M179">
        <f>LOOKUP(L179,'Flight Test Matrix - Overview'!$M$34:$M$36,'Flight Test Matrix - Overview'!$O$34:$O$36)</f>
        <v>80</v>
      </c>
      <c r="N179" t="s">
        <v>58</v>
      </c>
      <c r="O179" t="str">
        <f>LOOKUP(N179,'Flight Test Matrix - Overview'!$Q$34:$Q$36,'Flight Test Matrix - Overview'!$S$34:$S$36)</f>
        <v>fly level</v>
      </c>
      <c r="P179" t="s">
        <v>181</v>
      </c>
      <c r="Q179" t="s">
        <v>115</v>
      </c>
      <c r="R179" t="s">
        <v>116</v>
      </c>
      <c r="S179" t="str">
        <f>"Bank " &amp; P179 &amp; " (10 deg/s) until 45 deg reached"</f>
        <v>Bank RIGHT (10 deg/s) until 45 deg reached</v>
      </c>
      <c r="T179" t="s">
        <v>177</v>
      </c>
      <c r="U179" t="str">
        <f>"Bank " &amp; IF(P179="LEFT","RIGHT","LEFT") &amp; " (10 deg/s) until 45 deg reached"</f>
        <v>Bank LEFT (10 deg/s) until 45 deg reached</v>
      </c>
      <c r="V179" t="s">
        <v>177</v>
      </c>
      <c r="W179" t="s">
        <v>178</v>
      </c>
      <c r="X179" t="s">
        <v>31</v>
      </c>
      <c r="Y179" t="s">
        <v>120</v>
      </c>
      <c r="Z179" t="s">
        <v>239</v>
      </c>
      <c r="AA179" t="s">
        <v>180</v>
      </c>
    </row>
    <row r="180" spans="1:27" ht="14.25" customHeight="1" x14ac:dyDescent="0.35">
      <c r="A180" s="61">
        <v>171</v>
      </c>
      <c r="B180">
        <v>171</v>
      </c>
      <c r="C180" s="7">
        <v>0</v>
      </c>
      <c r="D180" t="s">
        <v>86</v>
      </c>
      <c r="E180">
        <v>1</v>
      </c>
      <c r="G180">
        <v>4</v>
      </c>
      <c r="H180" t="s">
        <v>27</v>
      </c>
      <c r="I180" t="s">
        <v>58</v>
      </c>
      <c r="J180" t="str">
        <f>LOOKUP(I180,'Flight Test Matrix - Overview'!$V$34:$V$36,'Flight Test Matrix - Overview'!$X$25:$X$27)</f>
        <v>6500 ft</v>
      </c>
      <c r="K180" t="s">
        <v>62</v>
      </c>
      <c r="L180" t="s">
        <v>58</v>
      </c>
      <c r="M180">
        <f>LOOKUP(L180,'Flight Test Matrix - Overview'!$M$34:$M$36,'Flight Test Matrix - Overview'!$O$34:$O$36)</f>
        <v>80</v>
      </c>
      <c r="N180" t="s">
        <v>58</v>
      </c>
      <c r="O180" t="str">
        <f>LOOKUP(N180,'Flight Test Matrix - Overview'!$Q$34:$Q$36,'Flight Test Matrix - Overview'!$S$34:$S$36)</f>
        <v>fly level</v>
      </c>
      <c r="P180" t="s">
        <v>182</v>
      </c>
      <c r="Q180" t="s">
        <v>115</v>
      </c>
      <c r="R180" t="s">
        <v>116</v>
      </c>
      <c r="S180" t="s">
        <v>183</v>
      </c>
      <c r="T180" t="s">
        <v>184</v>
      </c>
      <c r="U180" t="s">
        <v>185</v>
      </c>
      <c r="V180" t="s">
        <v>186</v>
      </c>
      <c r="W180" t="s">
        <v>185</v>
      </c>
      <c r="X180" t="s">
        <v>187</v>
      </c>
      <c r="Y180" t="s">
        <v>120</v>
      </c>
      <c r="Z180" t="s">
        <v>240</v>
      </c>
      <c r="AA180" t="s">
        <v>180</v>
      </c>
    </row>
    <row r="181" spans="1:27" ht="14.25" customHeight="1" x14ac:dyDescent="0.35">
      <c r="A181" s="61">
        <v>172</v>
      </c>
      <c r="B181">
        <v>172</v>
      </c>
      <c r="C181" s="7">
        <v>0</v>
      </c>
      <c r="D181" t="s">
        <v>108</v>
      </c>
      <c r="E181">
        <v>1</v>
      </c>
      <c r="G181">
        <v>3</v>
      </c>
      <c r="H181" t="s">
        <v>27</v>
      </c>
      <c r="I181" t="s">
        <v>58</v>
      </c>
      <c r="J181" t="str">
        <f>LOOKUP(I181,'Flight Test Matrix - Overview'!$V$34:$V$36,'Flight Test Matrix - Overview'!$X$25:$X$27)</f>
        <v>6500 ft</v>
      </c>
      <c r="K181" t="s">
        <v>62</v>
      </c>
      <c r="L181" t="s">
        <v>58</v>
      </c>
      <c r="M181">
        <f>LOOKUP(L181,'Flight Test Matrix - Overview'!$M$34:$M$36,'Flight Test Matrix - Overview'!$O$34:$O$36)</f>
        <v>80</v>
      </c>
      <c r="N181" t="s">
        <v>58</v>
      </c>
      <c r="O181" t="str">
        <f>LOOKUP(N181,'Flight Test Matrix - Overview'!$Q$34:$Q$36,'Flight Test Matrix - Overview'!$S$34:$S$36)</f>
        <v>fly level</v>
      </c>
      <c r="P181" t="s">
        <v>181</v>
      </c>
      <c r="Q181" t="s">
        <v>115</v>
      </c>
      <c r="R181" t="s">
        <v>116</v>
      </c>
      <c r="S181" t="str">
        <f>"Sharp input to bank " &amp; P181 &amp; " until 30 deg reached"</f>
        <v>Sharp input to bank RIGHT until 30 deg reached</v>
      </c>
      <c r="T181" t="s">
        <v>189</v>
      </c>
      <c r="U181" t="e">
        <f>"Sharp input to bank " &amp; IF(#REF!="LEFT","RIGHT","LEFT") &amp; " until 30 deg reached"</f>
        <v>#REF!</v>
      </c>
      <c r="V181" t="s">
        <v>190</v>
      </c>
      <c r="W181" t="s">
        <v>178</v>
      </c>
      <c r="X181" t="s">
        <v>31</v>
      </c>
      <c r="Y181" t="s">
        <v>120</v>
      </c>
      <c r="Z181" t="s">
        <v>241</v>
      </c>
      <c r="AA181" t="s">
        <v>180</v>
      </c>
    </row>
    <row r="182" spans="1:27" ht="14.25" customHeight="1" x14ac:dyDescent="0.35">
      <c r="A182" s="61">
        <v>173</v>
      </c>
      <c r="B182">
        <v>173</v>
      </c>
      <c r="C182" s="7">
        <v>0</v>
      </c>
      <c r="D182" t="s">
        <v>112</v>
      </c>
      <c r="E182">
        <v>1</v>
      </c>
      <c r="G182">
        <v>3</v>
      </c>
      <c r="H182" t="s">
        <v>27</v>
      </c>
      <c r="I182" t="s">
        <v>58</v>
      </c>
      <c r="J182" t="str">
        <f>LOOKUP(I182,'Flight Test Matrix - Overview'!$V$34:$V$36,'Flight Test Matrix - Overview'!$X$25:$X$27)</f>
        <v>6500 ft</v>
      </c>
      <c r="K182" t="s">
        <v>62</v>
      </c>
      <c r="L182" t="s">
        <v>58</v>
      </c>
      <c r="M182">
        <f>LOOKUP(L182,'Flight Test Matrix - Overview'!$M$34:$M$36,'Flight Test Matrix - Overview'!$O$34:$O$36)</f>
        <v>80</v>
      </c>
      <c r="N182" t="s">
        <v>58</v>
      </c>
      <c r="O182" t="str">
        <f>LOOKUP(N182,'Flight Test Matrix - Overview'!$Q$34:$Q$36,'Flight Test Matrix - Overview'!$S$34:$S$36)</f>
        <v>fly level</v>
      </c>
      <c r="P182" s="96" t="s">
        <v>191</v>
      </c>
      <c r="R182" t="s">
        <v>116</v>
      </c>
      <c r="S182" t="s">
        <v>192</v>
      </c>
      <c r="T182" t="s">
        <v>193</v>
      </c>
      <c r="U182" t="s">
        <v>119</v>
      </c>
      <c r="V182" t="s">
        <v>31</v>
      </c>
      <c r="W182" t="s">
        <v>31</v>
      </c>
      <c r="X182" t="s">
        <v>31</v>
      </c>
      <c r="Y182" t="s">
        <v>120</v>
      </c>
      <c r="Z182" t="s">
        <v>241</v>
      </c>
      <c r="AA182" t="s">
        <v>194</v>
      </c>
    </row>
    <row r="183" spans="1:27" ht="14.25" customHeight="1" x14ac:dyDescent="0.35">
      <c r="A183" s="61">
        <v>174</v>
      </c>
      <c r="B183">
        <v>174</v>
      </c>
      <c r="C183" s="7">
        <v>0</v>
      </c>
      <c r="D183" t="s">
        <v>117</v>
      </c>
      <c r="E183">
        <v>1</v>
      </c>
      <c r="G183">
        <v>5</v>
      </c>
      <c r="H183" t="s">
        <v>27</v>
      </c>
      <c r="I183" t="s">
        <v>58</v>
      </c>
      <c r="J183" t="str">
        <f>LOOKUP(I183,'Flight Test Matrix - Overview'!$V$34:$V$36,'Flight Test Matrix - Overview'!$X$25:$X$27)</f>
        <v>6500 ft</v>
      </c>
      <c r="K183" t="s">
        <v>62</v>
      </c>
      <c r="L183" t="s">
        <v>58</v>
      </c>
      <c r="M183">
        <f>LOOKUP(L183,'Flight Test Matrix - Overview'!$M$34:$M$36,'Flight Test Matrix - Overview'!$O$34:$O$36)</f>
        <v>80</v>
      </c>
      <c r="N183" t="s">
        <v>58</v>
      </c>
      <c r="O183" t="str">
        <f>LOOKUP(N183,'Flight Test Matrix - Overview'!$Q$34:$Q$36,'Flight Test Matrix - Overview'!$S$34:$S$36)</f>
        <v>fly level</v>
      </c>
      <c r="P183" s="7" t="s">
        <v>181</v>
      </c>
      <c r="R183" t="s">
        <v>116</v>
      </c>
      <c r="S183" t="str">
        <f>"Gradual pedal input to " &amp; P183</f>
        <v>Gradual pedal input to RIGHT</v>
      </c>
      <c r="T183" t="s">
        <v>196</v>
      </c>
      <c r="U183" t="s">
        <v>197</v>
      </c>
      <c r="V183" t="str">
        <f>"Gradual pedal input to " &amp; IF(P183="LEFT","RIGHT","LEFT")</f>
        <v>Gradual pedal input to LEFT</v>
      </c>
      <c r="W183" t="s">
        <v>196</v>
      </c>
      <c r="X183" t="s">
        <v>197</v>
      </c>
      <c r="Y183" t="s">
        <v>120</v>
      </c>
      <c r="Z183" t="s">
        <v>242</v>
      </c>
      <c r="AA183" t="s">
        <v>180</v>
      </c>
    </row>
    <row r="184" spans="1:27" ht="14.25" customHeight="1" x14ac:dyDescent="0.35">
      <c r="A184" s="61">
        <v>175</v>
      </c>
      <c r="B184">
        <v>175</v>
      </c>
      <c r="C184" s="7">
        <v>0</v>
      </c>
      <c r="D184" t="s">
        <v>128</v>
      </c>
      <c r="E184">
        <v>1</v>
      </c>
      <c r="G184">
        <v>4</v>
      </c>
      <c r="H184" t="s">
        <v>27</v>
      </c>
      <c r="I184" t="s">
        <v>58</v>
      </c>
      <c r="J184" t="str">
        <f>LOOKUP(I184,'Flight Test Matrix - Overview'!$V$34:$V$36,'Flight Test Matrix - Overview'!$X$25:$X$27)</f>
        <v>6500 ft</v>
      </c>
      <c r="K184" t="s">
        <v>199</v>
      </c>
      <c r="L184" t="s">
        <v>58</v>
      </c>
      <c r="M184">
        <f>LOOKUP(L184,'Flight Test Matrix - Overview'!$M$34:$M$36,'Flight Test Matrix - Overview'!$O$34:$O$36)</f>
        <v>80</v>
      </c>
      <c r="N184" t="s">
        <v>58</v>
      </c>
      <c r="O184" t="str">
        <f>LOOKUP(N184,'Flight Test Matrix - Overview'!$Q$34:$Q$36,'Flight Test Matrix - Overview'!$S$34:$S$36)</f>
        <v>fly level</v>
      </c>
      <c r="P184" t="s">
        <v>181</v>
      </c>
      <c r="R184" t="s">
        <v>116</v>
      </c>
      <c r="S184" t="str">
        <f>"Roll " &amp;P184 &amp; " to 30° bank and stabilize"</f>
        <v>Roll RIGHT to 30° bank and stabilize</v>
      </c>
      <c r="T184" t="s">
        <v>203</v>
      </c>
      <c r="U184" t="s">
        <v>204</v>
      </c>
      <c r="V184" t="s">
        <v>31</v>
      </c>
      <c r="W184" t="s">
        <v>31</v>
      </c>
      <c r="X184" t="s">
        <v>31</v>
      </c>
      <c r="Y184" t="s">
        <v>120</v>
      </c>
      <c r="Z184" t="s">
        <v>243</v>
      </c>
      <c r="AA184" t="s">
        <v>206</v>
      </c>
    </row>
    <row r="185" spans="1:27" ht="14.25" customHeight="1" x14ac:dyDescent="0.35">
      <c r="A185" s="61">
        <v>176</v>
      </c>
      <c r="B185">
        <v>176</v>
      </c>
      <c r="C185" s="7">
        <v>0</v>
      </c>
      <c r="D185" t="s">
        <v>130</v>
      </c>
      <c r="E185">
        <v>1</v>
      </c>
      <c r="G185">
        <v>5</v>
      </c>
      <c r="H185" t="s">
        <v>27</v>
      </c>
      <c r="I185" t="s">
        <v>58</v>
      </c>
      <c r="J185" t="str">
        <f>LOOKUP(I185,'Flight Test Matrix - Overview'!$V$34:$V$36,'Flight Test Matrix - Overview'!$X$25:$X$27)</f>
        <v>6500 ft</v>
      </c>
      <c r="K185" t="s">
        <v>199</v>
      </c>
      <c r="L185" t="s">
        <v>58</v>
      </c>
      <c r="M185">
        <f>LOOKUP(L185,'Flight Test Matrix - Overview'!$M$34:$M$36,'Flight Test Matrix - Overview'!$O$34:$O$36)</f>
        <v>80</v>
      </c>
      <c r="N185" t="s">
        <v>58</v>
      </c>
      <c r="O185" t="str">
        <f>LOOKUP(N185,'Flight Test Matrix - Overview'!$Q$34:$Q$36,'Flight Test Matrix - Overview'!$S$34:$S$36)</f>
        <v>fly level</v>
      </c>
      <c r="P185" t="s">
        <v>31</v>
      </c>
      <c r="R185" t="s">
        <v>116</v>
      </c>
      <c r="S185" t="s">
        <v>231</v>
      </c>
      <c r="T185" t="s">
        <v>232</v>
      </c>
      <c r="U185" t="s">
        <v>233</v>
      </c>
      <c r="V185" t="s">
        <v>234</v>
      </c>
      <c r="W185" t="s">
        <v>31</v>
      </c>
      <c r="X185" t="s">
        <v>31</v>
      </c>
      <c r="Y185" t="s">
        <v>120</v>
      </c>
      <c r="Z185" t="s">
        <v>241</v>
      </c>
      <c r="AA185" t="s">
        <v>235</v>
      </c>
    </row>
    <row r="186" spans="1:27" ht="14.25" customHeight="1" x14ac:dyDescent="0.35">
      <c r="A186" s="61">
        <v>177</v>
      </c>
      <c r="B186">
        <v>177</v>
      </c>
      <c r="C186" s="7">
        <v>15</v>
      </c>
      <c r="D186" s="93" t="s">
        <v>130</v>
      </c>
      <c r="E186">
        <v>1</v>
      </c>
      <c r="F186">
        <v>1</v>
      </c>
      <c r="G186">
        <v>5</v>
      </c>
      <c r="H186" t="s">
        <v>26</v>
      </c>
      <c r="I186" t="s">
        <v>58</v>
      </c>
      <c r="J186" t="str">
        <f>LOOKUP(I186,'Flight Test Matrix - Overview'!$V$34:$V$36,'Flight Test Matrix - Overview'!$X$25:$X$27)</f>
        <v>6500 ft</v>
      </c>
      <c r="K186" t="s">
        <v>199</v>
      </c>
      <c r="L186" t="s">
        <v>58</v>
      </c>
      <c r="N186" t="s">
        <v>58</v>
      </c>
      <c r="O186" t="s">
        <v>244</v>
      </c>
      <c r="P186" t="s">
        <v>31</v>
      </c>
      <c r="R186" t="s">
        <v>116</v>
      </c>
      <c r="S186" t="s">
        <v>231</v>
      </c>
      <c r="T186" t="s">
        <v>232</v>
      </c>
      <c r="U186" t="s">
        <v>233</v>
      </c>
      <c r="V186" t="s">
        <v>234</v>
      </c>
      <c r="W186" t="s">
        <v>31</v>
      </c>
      <c r="X186" t="s">
        <v>31</v>
      </c>
      <c r="Y186" t="s">
        <v>120</v>
      </c>
      <c r="Z186" t="s">
        <v>31</v>
      </c>
      <c r="AA186" t="s">
        <v>235</v>
      </c>
    </row>
    <row r="187" spans="1:27" ht="14.25" customHeight="1" x14ac:dyDescent="0.35">
      <c r="A187" s="61">
        <v>178</v>
      </c>
      <c r="B187">
        <v>178</v>
      </c>
      <c r="C187" s="7">
        <v>15</v>
      </c>
      <c r="D187" s="93" t="s">
        <v>130</v>
      </c>
      <c r="E187">
        <v>1</v>
      </c>
      <c r="F187">
        <v>1</v>
      </c>
      <c r="G187">
        <v>5</v>
      </c>
      <c r="H187" t="s">
        <v>26</v>
      </c>
      <c r="I187" t="s">
        <v>58</v>
      </c>
      <c r="J187" t="str">
        <f>LOOKUP(I187,'Flight Test Matrix - Overview'!$V$34:$V$36,'Flight Test Matrix - Overview'!$X$25:$X$27)</f>
        <v>6500 ft</v>
      </c>
      <c r="K187" t="s">
        <v>199</v>
      </c>
      <c r="L187" t="s">
        <v>58</v>
      </c>
      <c r="N187" t="s">
        <v>58</v>
      </c>
      <c r="O187" t="s">
        <v>244</v>
      </c>
      <c r="P187" t="s">
        <v>31</v>
      </c>
      <c r="R187" t="s">
        <v>116</v>
      </c>
      <c r="S187" t="s">
        <v>231</v>
      </c>
      <c r="T187" t="s">
        <v>232</v>
      </c>
      <c r="U187" t="s">
        <v>233</v>
      </c>
      <c r="V187" t="s">
        <v>234</v>
      </c>
      <c r="W187" t="s">
        <v>31</v>
      </c>
      <c r="X187" t="s">
        <v>31</v>
      </c>
      <c r="Y187" t="s">
        <v>120</v>
      </c>
      <c r="Z187" t="s">
        <v>31</v>
      </c>
      <c r="AA187" t="s">
        <v>235</v>
      </c>
    </row>
    <row r="188" spans="1:27" ht="14.25" customHeight="1" x14ac:dyDescent="0.35">
      <c r="A188" s="61">
        <v>179</v>
      </c>
      <c r="B188">
        <v>179</v>
      </c>
      <c r="C188" s="7">
        <v>15</v>
      </c>
      <c r="D188" s="93" t="s">
        <v>130</v>
      </c>
      <c r="E188">
        <v>1</v>
      </c>
      <c r="F188">
        <v>1</v>
      </c>
      <c r="G188">
        <v>5</v>
      </c>
      <c r="H188" t="s">
        <v>26</v>
      </c>
      <c r="I188" t="s">
        <v>58</v>
      </c>
      <c r="J188" t="str">
        <f>LOOKUP(I188,'Flight Test Matrix - Overview'!$V$34:$V$36,'Flight Test Matrix - Overview'!$X$25:$X$27)</f>
        <v>6500 ft</v>
      </c>
      <c r="K188" t="s">
        <v>199</v>
      </c>
      <c r="L188" t="s">
        <v>58</v>
      </c>
      <c r="N188" t="s">
        <v>58</v>
      </c>
      <c r="O188" t="s">
        <v>244</v>
      </c>
      <c r="P188" t="s">
        <v>31</v>
      </c>
      <c r="R188" t="s">
        <v>116</v>
      </c>
      <c r="S188" t="s">
        <v>231</v>
      </c>
      <c r="T188" t="s">
        <v>232</v>
      </c>
      <c r="U188" t="s">
        <v>233</v>
      </c>
      <c r="V188" t="s">
        <v>234</v>
      </c>
      <c r="W188" t="s">
        <v>31</v>
      </c>
      <c r="X188" t="s">
        <v>31</v>
      </c>
      <c r="Y188" t="s">
        <v>120</v>
      </c>
      <c r="Z188" t="s">
        <v>31</v>
      </c>
      <c r="AA188" t="s">
        <v>235</v>
      </c>
    </row>
    <row r="189" spans="1:27" ht="14.25" customHeight="1" x14ac:dyDescent="0.35">
      <c r="A189" s="61">
        <v>180</v>
      </c>
      <c r="B189">
        <v>180</v>
      </c>
      <c r="C189" s="7">
        <v>15</v>
      </c>
      <c r="D189" s="93" t="s">
        <v>117</v>
      </c>
      <c r="E189">
        <v>1</v>
      </c>
      <c r="F189">
        <v>1</v>
      </c>
      <c r="G189">
        <v>5</v>
      </c>
      <c r="H189" t="s">
        <v>26</v>
      </c>
      <c r="I189" t="s">
        <v>58</v>
      </c>
      <c r="J189" t="str">
        <f>LOOKUP(I189,'Flight Test Matrix - Overview'!$V$34:$V$36,'Flight Test Matrix - Overview'!$X$25:$X$27)</f>
        <v>6500 ft</v>
      </c>
      <c r="K189" t="s">
        <v>62</v>
      </c>
      <c r="L189" t="s">
        <v>58</v>
      </c>
      <c r="M189">
        <v>80</v>
      </c>
      <c r="N189" t="s">
        <v>68</v>
      </c>
      <c r="O189" t="s">
        <v>143</v>
      </c>
      <c r="P189" s="7" t="s">
        <v>181</v>
      </c>
      <c r="R189" t="s">
        <v>116</v>
      </c>
      <c r="S189" t="s">
        <v>245</v>
      </c>
      <c r="T189" t="s">
        <v>196</v>
      </c>
      <c r="U189" t="s">
        <v>197</v>
      </c>
      <c r="V189" t="s">
        <v>246</v>
      </c>
      <c r="W189" t="s">
        <v>196</v>
      </c>
      <c r="X189" t="s">
        <v>197</v>
      </c>
      <c r="Y189" t="s">
        <v>120</v>
      </c>
      <c r="Z189" t="s">
        <v>198</v>
      </c>
      <c r="AA189" t="s">
        <v>180</v>
      </c>
    </row>
    <row r="190" spans="1:27" ht="14.25" customHeight="1" x14ac:dyDescent="0.35">
      <c r="A190" s="61">
        <v>181</v>
      </c>
      <c r="B190">
        <v>181</v>
      </c>
      <c r="C190" s="7">
        <v>15</v>
      </c>
      <c r="D190" s="93" t="s">
        <v>123</v>
      </c>
      <c r="E190">
        <v>1</v>
      </c>
      <c r="F190">
        <v>1</v>
      </c>
      <c r="G190">
        <v>5</v>
      </c>
      <c r="H190" t="s">
        <v>26</v>
      </c>
      <c r="I190" t="s">
        <v>58</v>
      </c>
      <c r="J190" t="str">
        <f>LOOKUP(I190,'Flight Test Matrix - Overview'!$V$34:$V$36,'Flight Test Matrix - Overview'!$X$25:$X$27)</f>
        <v>6500 ft</v>
      </c>
      <c r="K190" t="s">
        <v>62</v>
      </c>
      <c r="L190" t="s">
        <v>58</v>
      </c>
      <c r="M190">
        <v>80</v>
      </c>
      <c r="N190" t="s">
        <v>71</v>
      </c>
      <c r="O190" t="s">
        <v>154</v>
      </c>
      <c r="P190" s="96" t="s">
        <v>181</v>
      </c>
      <c r="R190" t="s">
        <v>116</v>
      </c>
      <c r="S190" t="s">
        <v>245</v>
      </c>
      <c r="T190" t="s">
        <v>196</v>
      </c>
      <c r="U190" t="s">
        <v>197</v>
      </c>
      <c r="V190" t="s">
        <v>246</v>
      </c>
      <c r="W190" t="s">
        <v>196</v>
      </c>
      <c r="X190" t="s">
        <v>197</v>
      </c>
      <c r="Y190" t="s">
        <v>120</v>
      </c>
      <c r="Z190" t="s">
        <v>198</v>
      </c>
      <c r="AA190" t="s">
        <v>180</v>
      </c>
    </row>
    <row r="191" spans="1:27" ht="14.25" customHeight="1" x14ac:dyDescent="0.35">
      <c r="A191" s="61">
        <v>182</v>
      </c>
      <c r="B191">
        <v>182</v>
      </c>
      <c r="C191" s="7">
        <v>16</v>
      </c>
      <c r="D191" t="s">
        <v>124</v>
      </c>
      <c r="E191">
        <v>1</v>
      </c>
      <c r="G191">
        <v>7</v>
      </c>
      <c r="H191" t="s">
        <v>26</v>
      </c>
      <c r="I191" t="s">
        <v>31</v>
      </c>
      <c r="J191" t="e">
        <f>LOOKUP(I191,'Flight Test Matrix - Overview'!$V$34:$V$36,'Flight Test Matrix - Overview'!$X$25:$X$27)</f>
        <v>#N/A</v>
      </c>
      <c r="K191" t="s">
        <v>64</v>
      </c>
      <c r="L191" t="s">
        <v>31</v>
      </c>
      <c r="M191" t="e">
        <f>LOOKUP(L191,'Flight Test Matrix - Overview'!$M$34:$M$36,'Flight Test Matrix - Overview'!$O$34:$O$36)</f>
        <v>#N/A</v>
      </c>
      <c r="N191" t="s">
        <v>31</v>
      </c>
      <c r="O191" t="e">
        <f>LOOKUP(N191,'Flight Test Matrix - Overview'!$Q$34:$Q$36,'Flight Test Matrix - Overview'!$S$34:$S$36)</f>
        <v>#N/A</v>
      </c>
      <c r="P191" t="s">
        <v>31</v>
      </c>
      <c r="R191" t="str">
        <f>"Set flaps to " &amp;K191</f>
        <v>Set flaps to 25°</v>
      </c>
      <c r="S191" t="s">
        <v>200</v>
      </c>
      <c r="T191" t="s">
        <v>31</v>
      </c>
      <c r="U191" t="s">
        <v>31</v>
      </c>
      <c r="V191" t="s">
        <v>31</v>
      </c>
      <c r="W191" t="s">
        <v>31</v>
      </c>
      <c r="X191" t="s">
        <v>31</v>
      </c>
      <c r="Y191" t="s">
        <v>120</v>
      </c>
      <c r="Z191" t="s">
        <v>31</v>
      </c>
      <c r="AA191" t="s">
        <v>31</v>
      </c>
    </row>
    <row r="192" spans="1:27" ht="14.25" customHeight="1" x14ac:dyDescent="0.35">
      <c r="A192" s="61">
        <v>183</v>
      </c>
      <c r="B192">
        <v>183</v>
      </c>
      <c r="C192" s="7">
        <v>16</v>
      </c>
      <c r="D192" t="s">
        <v>108</v>
      </c>
      <c r="E192">
        <v>1</v>
      </c>
      <c r="G192">
        <v>3</v>
      </c>
      <c r="H192" t="s">
        <v>26</v>
      </c>
      <c r="I192" t="s">
        <v>58</v>
      </c>
      <c r="J192" t="str">
        <f>LOOKUP(I192,'Flight Test Matrix - Overview'!$V$34:$V$36,'Flight Test Matrix - Overview'!$X$25:$X$27)</f>
        <v>6500 ft</v>
      </c>
      <c r="K192" t="s">
        <v>62</v>
      </c>
      <c r="L192" t="s">
        <v>58</v>
      </c>
      <c r="M192">
        <f>LOOKUP(L192,'Flight Test Matrix - Overview'!$M$34:$M$36,'Flight Test Matrix - Overview'!$O$34:$O$36)</f>
        <v>80</v>
      </c>
      <c r="N192" t="s">
        <v>68</v>
      </c>
      <c r="O192" t="str">
        <f>LOOKUP(N192,'Flight Test Matrix - Overview'!$Q$34:$Q$36,'Flight Test Matrix - Overview'!$S$34:$S$36)</f>
        <v>descent</v>
      </c>
      <c r="P192" t="s">
        <v>181</v>
      </c>
      <c r="Q192" t="s">
        <v>115</v>
      </c>
      <c r="R192" t="s">
        <v>116</v>
      </c>
      <c r="S192" t="str">
        <f t="shared" ref="S192:S195" si="11">"Sharp input to bank " &amp; P192 &amp; " until 30 deg reached"</f>
        <v>Sharp input to bank RIGHT until 30 deg reached</v>
      </c>
      <c r="T192" t="s">
        <v>189</v>
      </c>
      <c r="U192" t="str">
        <f t="shared" ref="U192:U195" si="12">"Sharp input to bank " &amp; IF(P182="LEFT","RIGHT","LEFT") &amp; " until 30 deg reached"</f>
        <v>Sharp input to bank LEFT until 30 deg reached</v>
      </c>
      <c r="V192" t="s">
        <v>190</v>
      </c>
      <c r="W192" t="s">
        <v>178</v>
      </c>
      <c r="X192" t="s">
        <v>31</v>
      </c>
      <c r="Y192" t="s">
        <v>120</v>
      </c>
      <c r="Z192" t="s">
        <v>31</v>
      </c>
      <c r="AA192" t="s">
        <v>180</v>
      </c>
    </row>
    <row r="193" spans="1:27" ht="14.25" customHeight="1" x14ac:dyDescent="0.35">
      <c r="A193" s="61">
        <v>184</v>
      </c>
      <c r="B193">
        <v>184</v>
      </c>
      <c r="C193" s="7">
        <v>16</v>
      </c>
      <c r="D193" t="s">
        <v>108</v>
      </c>
      <c r="E193">
        <v>1</v>
      </c>
      <c r="G193">
        <v>3</v>
      </c>
      <c r="H193" t="s">
        <v>26</v>
      </c>
      <c r="I193" t="s">
        <v>58</v>
      </c>
      <c r="J193" t="str">
        <f>LOOKUP(I193,'Flight Test Matrix - Overview'!$V$34:$V$36,'Flight Test Matrix - Overview'!$X$25:$X$27)</f>
        <v>6500 ft</v>
      </c>
      <c r="K193" t="s">
        <v>62</v>
      </c>
      <c r="L193" t="s">
        <v>58</v>
      </c>
      <c r="M193">
        <f>LOOKUP(L193,'Flight Test Matrix - Overview'!$M$34:$M$36,'Flight Test Matrix - Overview'!$O$34:$O$36)</f>
        <v>80</v>
      </c>
      <c r="N193" t="s">
        <v>68</v>
      </c>
      <c r="O193" t="str">
        <f>LOOKUP(N193,'Flight Test Matrix - Overview'!$Q$34:$Q$36,'Flight Test Matrix - Overview'!$S$34:$S$36)</f>
        <v>descent</v>
      </c>
      <c r="P193" t="s">
        <v>181</v>
      </c>
      <c r="Q193" t="s">
        <v>115</v>
      </c>
      <c r="R193" t="s">
        <v>116</v>
      </c>
      <c r="S193" t="str">
        <f t="shared" si="11"/>
        <v>Sharp input to bank RIGHT until 30 deg reached</v>
      </c>
      <c r="T193" t="s">
        <v>189</v>
      </c>
      <c r="U193" t="str">
        <f t="shared" si="12"/>
        <v>Sharp input to bank LEFT until 30 deg reached</v>
      </c>
      <c r="V193" t="s">
        <v>190</v>
      </c>
      <c r="W193" t="s">
        <v>178</v>
      </c>
      <c r="X193" t="s">
        <v>31</v>
      </c>
      <c r="Y193" t="s">
        <v>120</v>
      </c>
      <c r="Z193" t="s">
        <v>31</v>
      </c>
      <c r="AA193" t="s">
        <v>180</v>
      </c>
    </row>
    <row r="194" spans="1:27" ht="14.25" customHeight="1" x14ac:dyDescent="0.35">
      <c r="A194" s="61">
        <v>185</v>
      </c>
      <c r="B194">
        <v>185</v>
      </c>
      <c r="C194" s="7">
        <v>16</v>
      </c>
      <c r="D194" t="s">
        <v>108</v>
      </c>
      <c r="E194">
        <v>1</v>
      </c>
      <c r="G194">
        <v>3</v>
      </c>
      <c r="H194" t="s">
        <v>26</v>
      </c>
      <c r="I194" t="s">
        <v>58</v>
      </c>
      <c r="J194" t="str">
        <f>LOOKUP(I194,'Flight Test Matrix - Overview'!$V$34:$V$36,'Flight Test Matrix - Overview'!$X$25:$X$27)</f>
        <v>6500 ft</v>
      </c>
      <c r="K194" t="s">
        <v>62</v>
      </c>
      <c r="L194" t="s">
        <v>58</v>
      </c>
      <c r="M194">
        <f>LOOKUP(L194,'Flight Test Matrix - Overview'!$M$34:$M$36,'Flight Test Matrix - Overview'!$O$34:$O$36)</f>
        <v>80</v>
      </c>
      <c r="N194" t="s">
        <v>70</v>
      </c>
      <c r="O194" t="str">
        <f>LOOKUP(N194,'Flight Test Matrix - Overview'!$Q$34:$Q$36,'Flight Test Matrix - Overview'!$S$34:$S$36)</f>
        <v>climb</v>
      </c>
      <c r="P194" t="s">
        <v>181</v>
      </c>
      <c r="Q194" t="s">
        <v>115</v>
      </c>
      <c r="R194" t="s">
        <v>116</v>
      </c>
      <c r="S194" t="str">
        <f t="shared" si="11"/>
        <v>Sharp input to bank RIGHT until 30 deg reached</v>
      </c>
      <c r="T194" t="s">
        <v>189</v>
      </c>
      <c r="U194" t="str">
        <f t="shared" si="12"/>
        <v>Sharp input to bank LEFT until 30 deg reached</v>
      </c>
      <c r="V194" t="s">
        <v>190</v>
      </c>
      <c r="W194" t="s">
        <v>178</v>
      </c>
      <c r="X194" t="s">
        <v>31</v>
      </c>
      <c r="Y194" t="s">
        <v>120</v>
      </c>
      <c r="Z194" t="s">
        <v>31</v>
      </c>
      <c r="AA194" t="s">
        <v>180</v>
      </c>
    </row>
    <row r="195" spans="1:27" ht="14.25" customHeight="1" x14ac:dyDescent="0.35">
      <c r="A195" s="61">
        <v>186</v>
      </c>
      <c r="B195">
        <v>186</v>
      </c>
      <c r="C195" s="7">
        <v>16</v>
      </c>
      <c r="D195" t="s">
        <v>108</v>
      </c>
      <c r="E195">
        <v>1</v>
      </c>
      <c r="G195">
        <v>3</v>
      </c>
      <c r="H195" t="s">
        <v>26</v>
      </c>
      <c r="I195" t="s">
        <v>58</v>
      </c>
      <c r="J195" t="str">
        <f>LOOKUP(I195,'Flight Test Matrix - Overview'!$V$34:$V$36,'Flight Test Matrix - Overview'!$X$25:$X$27)</f>
        <v>6500 ft</v>
      </c>
      <c r="K195" t="s">
        <v>62</v>
      </c>
      <c r="L195" t="s">
        <v>58</v>
      </c>
      <c r="M195">
        <f>LOOKUP(L195,'Flight Test Matrix - Overview'!$M$34:$M$36,'Flight Test Matrix - Overview'!$O$34:$O$36)</f>
        <v>80</v>
      </c>
      <c r="N195" t="s">
        <v>70</v>
      </c>
      <c r="O195" t="str">
        <f>LOOKUP(N195,'Flight Test Matrix - Overview'!$Q$34:$Q$36,'Flight Test Matrix - Overview'!$S$34:$S$36)</f>
        <v>climb</v>
      </c>
      <c r="P195" t="s">
        <v>181</v>
      </c>
      <c r="Q195" t="s">
        <v>115</v>
      </c>
      <c r="R195" t="s">
        <v>116</v>
      </c>
      <c r="S195" t="str">
        <f t="shared" si="11"/>
        <v>Sharp input to bank RIGHT until 30 deg reached</v>
      </c>
      <c r="T195" t="s">
        <v>189</v>
      </c>
      <c r="U195" t="str">
        <f t="shared" si="12"/>
        <v>Sharp input to bank LEFT until 30 deg reached</v>
      </c>
      <c r="V195" t="s">
        <v>190</v>
      </c>
      <c r="W195" t="s">
        <v>178</v>
      </c>
      <c r="X195" t="s">
        <v>31</v>
      </c>
      <c r="Y195" t="s">
        <v>120</v>
      </c>
      <c r="Z195" t="s">
        <v>31</v>
      </c>
      <c r="AA195" t="s">
        <v>180</v>
      </c>
    </row>
    <row r="196" spans="1:27" ht="14.25" customHeight="1" x14ac:dyDescent="0.35">
      <c r="A196" s="61">
        <v>187</v>
      </c>
      <c r="B196">
        <v>187</v>
      </c>
      <c r="C196" s="7">
        <v>16</v>
      </c>
      <c r="D196" t="s">
        <v>123</v>
      </c>
      <c r="E196">
        <v>1</v>
      </c>
      <c r="F196">
        <v>0.5</v>
      </c>
      <c r="G196">
        <v>5</v>
      </c>
      <c r="H196" t="s">
        <v>26</v>
      </c>
      <c r="I196" t="s">
        <v>58</v>
      </c>
      <c r="J196" t="str">
        <f>LOOKUP(I196,'Flight Test Matrix - Overview'!$V$34:$V$36,'Flight Test Matrix - Overview'!$X$25:$X$27)</f>
        <v>6500 ft</v>
      </c>
      <c r="K196" t="s">
        <v>62</v>
      </c>
      <c r="L196" t="s">
        <v>58</v>
      </c>
      <c r="M196">
        <v>80</v>
      </c>
      <c r="N196" t="s">
        <v>68</v>
      </c>
      <c r="O196" t="str">
        <f>LOOKUP(N196,'Flight Test Matrix - Overview'!$Q$34:$Q$36,'Flight Test Matrix - Overview'!$S$34:$S$36)</f>
        <v>descent</v>
      </c>
      <c r="P196" s="7" t="s">
        <v>181</v>
      </c>
      <c r="R196" t="s">
        <v>116</v>
      </c>
      <c r="S196" t="s">
        <v>245</v>
      </c>
      <c r="T196" t="s">
        <v>196</v>
      </c>
      <c r="U196" t="s">
        <v>197</v>
      </c>
      <c r="V196" t="s">
        <v>246</v>
      </c>
      <c r="W196" t="s">
        <v>196</v>
      </c>
      <c r="X196" t="s">
        <v>197</v>
      </c>
      <c r="Y196" t="s">
        <v>120</v>
      </c>
      <c r="Z196" t="s">
        <v>198</v>
      </c>
      <c r="AA196" t="s">
        <v>180</v>
      </c>
    </row>
    <row r="197" spans="1:27" ht="14.25" customHeight="1" x14ac:dyDescent="0.35">
      <c r="A197" s="61">
        <v>188</v>
      </c>
      <c r="B197">
        <v>188</v>
      </c>
      <c r="C197" s="7">
        <v>16</v>
      </c>
      <c r="D197" t="s">
        <v>123</v>
      </c>
      <c r="E197">
        <v>1</v>
      </c>
      <c r="F197">
        <v>0.8</v>
      </c>
      <c r="G197">
        <v>5</v>
      </c>
      <c r="H197" t="s">
        <v>26</v>
      </c>
      <c r="I197" t="s">
        <v>58</v>
      </c>
      <c r="J197" t="str">
        <f>LOOKUP(I197,'Flight Test Matrix - Overview'!$V$34:$V$36,'Flight Test Matrix - Overview'!$X$25:$X$27)</f>
        <v>6500 ft</v>
      </c>
      <c r="K197" t="s">
        <v>62</v>
      </c>
      <c r="L197" t="s">
        <v>58</v>
      </c>
      <c r="M197">
        <v>80</v>
      </c>
      <c r="N197" t="s">
        <v>68</v>
      </c>
      <c r="O197" t="str">
        <f>LOOKUP(N197,'Flight Test Matrix - Overview'!$Q$34:$Q$36,'Flight Test Matrix - Overview'!$S$34:$S$36)</f>
        <v>descent</v>
      </c>
      <c r="P197" s="96" t="s">
        <v>176</v>
      </c>
      <c r="R197" t="s">
        <v>116</v>
      </c>
      <c r="S197" t="s">
        <v>245</v>
      </c>
      <c r="T197" t="s">
        <v>196</v>
      </c>
      <c r="U197" t="s">
        <v>197</v>
      </c>
      <c r="V197" t="s">
        <v>246</v>
      </c>
      <c r="W197" t="s">
        <v>196</v>
      </c>
      <c r="X197" t="s">
        <v>197</v>
      </c>
      <c r="Y197" t="s">
        <v>120</v>
      </c>
      <c r="Z197" t="s">
        <v>198</v>
      </c>
      <c r="AA197" t="s">
        <v>180</v>
      </c>
    </row>
    <row r="198" spans="1:27" ht="14.25" customHeight="1" x14ac:dyDescent="0.35">
      <c r="A198" s="61">
        <v>189</v>
      </c>
      <c r="B198">
        <v>189</v>
      </c>
      <c r="C198" s="7">
        <v>16</v>
      </c>
      <c r="D198" t="s">
        <v>123</v>
      </c>
      <c r="E198">
        <v>1</v>
      </c>
      <c r="F198">
        <v>1</v>
      </c>
      <c r="G198">
        <v>5</v>
      </c>
      <c r="H198" t="s">
        <v>26</v>
      </c>
      <c r="I198" t="s">
        <v>58</v>
      </c>
      <c r="J198" t="str">
        <f>LOOKUP(I198,'Flight Test Matrix - Overview'!$V$34:$V$36,'Flight Test Matrix - Overview'!$X$25:$X$27)</f>
        <v>6500 ft</v>
      </c>
      <c r="K198" t="s">
        <v>62</v>
      </c>
      <c r="L198" t="s">
        <v>58</v>
      </c>
      <c r="M198">
        <v>80</v>
      </c>
      <c r="N198" t="s">
        <v>70</v>
      </c>
      <c r="O198" t="str">
        <f>LOOKUP(N198,'Flight Test Matrix - Overview'!$Q$34:$Q$36,'Flight Test Matrix - Overview'!$S$34:$S$36)</f>
        <v>climb</v>
      </c>
      <c r="P198" s="7" t="s">
        <v>181</v>
      </c>
      <c r="R198" t="s">
        <v>116</v>
      </c>
      <c r="S198" t="s">
        <v>245</v>
      </c>
      <c r="T198" t="s">
        <v>196</v>
      </c>
      <c r="U198" t="s">
        <v>197</v>
      </c>
      <c r="V198" t="s">
        <v>246</v>
      </c>
      <c r="W198" t="s">
        <v>196</v>
      </c>
      <c r="X198" t="s">
        <v>197</v>
      </c>
      <c r="Y198" t="s">
        <v>120</v>
      </c>
      <c r="Z198" t="s">
        <v>198</v>
      </c>
      <c r="AA198" t="s">
        <v>180</v>
      </c>
    </row>
    <row r="199" spans="1:27" ht="14.25" customHeight="1" x14ac:dyDescent="0.35">
      <c r="A199" s="61">
        <v>190</v>
      </c>
      <c r="B199">
        <v>190</v>
      </c>
      <c r="C199" s="7">
        <v>16</v>
      </c>
      <c r="D199" t="s">
        <v>123</v>
      </c>
      <c r="E199">
        <v>1</v>
      </c>
      <c r="F199">
        <v>1</v>
      </c>
      <c r="G199">
        <v>5</v>
      </c>
      <c r="H199" t="s">
        <v>26</v>
      </c>
      <c r="I199" t="s">
        <v>58</v>
      </c>
      <c r="J199" t="str">
        <f>LOOKUP(I199,'Flight Test Matrix - Overview'!$V$34:$V$36,'Flight Test Matrix - Overview'!$X$25:$X$27)</f>
        <v>6500 ft</v>
      </c>
      <c r="K199" t="s">
        <v>62</v>
      </c>
      <c r="L199" t="s">
        <v>58</v>
      </c>
      <c r="M199">
        <v>80</v>
      </c>
      <c r="N199" t="s">
        <v>70</v>
      </c>
      <c r="O199" t="str">
        <f>LOOKUP(N199,'Flight Test Matrix - Overview'!$Q$34:$Q$36,'Flight Test Matrix - Overview'!$S$34:$S$36)</f>
        <v>climb</v>
      </c>
      <c r="P199" s="96" t="s">
        <v>176</v>
      </c>
      <c r="R199" t="s">
        <v>116</v>
      </c>
      <c r="S199" t="s">
        <v>245</v>
      </c>
      <c r="T199" t="s">
        <v>196</v>
      </c>
      <c r="U199" t="s">
        <v>197</v>
      </c>
      <c r="V199" t="s">
        <v>246</v>
      </c>
      <c r="W199" t="s">
        <v>196</v>
      </c>
      <c r="X199" t="s">
        <v>197</v>
      </c>
      <c r="Y199" t="s">
        <v>120</v>
      </c>
      <c r="Z199" t="s">
        <v>198</v>
      </c>
      <c r="AA199" t="s">
        <v>180</v>
      </c>
    </row>
    <row r="200" spans="1:27" ht="14.25" customHeight="1" x14ac:dyDescent="0.35">
      <c r="A200" s="61">
        <v>1001</v>
      </c>
      <c r="B200">
        <v>1001</v>
      </c>
      <c r="C200">
        <v>6</v>
      </c>
      <c r="D200" t="s">
        <v>247</v>
      </c>
      <c r="E200">
        <v>1</v>
      </c>
      <c r="H200" t="s">
        <v>27</v>
      </c>
      <c r="I200" t="s">
        <v>58</v>
      </c>
      <c r="J200" t="str">
        <f>LOOKUP(I200,'Flight Test Matrix - Overview'!$V$34:$V$36,'Flight Test Matrix - Overview'!$X$25:$X$27)</f>
        <v>6500 ft</v>
      </c>
      <c r="K200" t="s">
        <v>62</v>
      </c>
      <c r="L200" t="s">
        <v>68</v>
      </c>
      <c r="M200">
        <f>LOOKUP(L200,'Flight Test Matrix - Overview'!$M$34:$M$36,'Flight Test Matrix - Overview'!$O$34:$O$36)</f>
        <v>70</v>
      </c>
      <c r="N200" t="s">
        <v>70</v>
      </c>
      <c r="O200" t="str">
        <f>LOOKUP(N200,'Flight Test Matrix - Overview'!$Q$34:$Q$36,'Flight Test Matrix - Overview'!$S$34:$S$36)</f>
        <v>climb</v>
      </c>
    </row>
    <row r="201" spans="1:27" ht="14.25" customHeight="1" x14ac:dyDescent="0.35">
      <c r="A201" s="61">
        <v>1002</v>
      </c>
      <c r="B201">
        <v>1002</v>
      </c>
      <c r="C201">
        <v>6</v>
      </c>
      <c r="D201" t="s">
        <v>247</v>
      </c>
      <c r="E201">
        <v>1</v>
      </c>
      <c r="H201" t="s">
        <v>27</v>
      </c>
      <c r="I201" t="s">
        <v>58</v>
      </c>
      <c r="J201" t="str">
        <f>LOOKUP(I201,'Flight Test Matrix - Overview'!$V$34:$V$36,'Flight Test Matrix - Overview'!$X$25:$X$27)</f>
        <v>6500 ft</v>
      </c>
      <c r="K201" t="s">
        <v>62</v>
      </c>
      <c r="L201" t="s">
        <v>58</v>
      </c>
      <c r="M201">
        <f>LOOKUP(L201,'Flight Test Matrix - Overview'!$M$34:$M$36,'Flight Test Matrix - Overview'!$O$34:$O$36)</f>
        <v>80</v>
      </c>
      <c r="N201" t="s">
        <v>70</v>
      </c>
      <c r="O201" t="str">
        <f>LOOKUP(N201,'Flight Test Matrix - Overview'!$Q$34:$Q$36,'Flight Test Matrix - Overview'!$S$34:$S$36)</f>
        <v>climb</v>
      </c>
    </row>
    <row r="202" spans="1:27" ht="14.25" customHeight="1" x14ac:dyDescent="0.35">
      <c r="A202" s="61">
        <v>1003</v>
      </c>
      <c r="B202">
        <v>1003</v>
      </c>
      <c r="C202">
        <v>6</v>
      </c>
      <c r="D202" t="s">
        <v>247</v>
      </c>
      <c r="E202">
        <v>1</v>
      </c>
      <c r="H202" t="s">
        <v>27</v>
      </c>
      <c r="I202" t="s">
        <v>58</v>
      </c>
      <c r="J202" t="str">
        <f>LOOKUP(I202,'Flight Test Matrix - Overview'!$V$34:$V$36,'Flight Test Matrix - Overview'!$X$25:$X$27)</f>
        <v>6500 ft</v>
      </c>
      <c r="K202" t="s">
        <v>62</v>
      </c>
      <c r="L202" t="s">
        <v>70</v>
      </c>
      <c r="M202">
        <f>LOOKUP(L202,'Flight Test Matrix - Overview'!$M$34:$M$36,'Flight Test Matrix - Overview'!$O$34:$O$36)</f>
        <v>95</v>
      </c>
      <c r="N202" t="s">
        <v>70</v>
      </c>
      <c r="O202" t="str">
        <f>LOOKUP(N202,'Flight Test Matrix - Overview'!$Q$34:$Q$36,'Flight Test Matrix - Overview'!$S$34:$S$36)</f>
        <v>climb</v>
      </c>
    </row>
    <row r="203" spans="1:27" ht="14.25" customHeight="1" x14ac:dyDescent="0.35">
      <c r="A203" s="61">
        <v>1004</v>
      </c>
      <c r="B203">
        <v>1004</v>
      </c>
      <c r="C203">
        <v>6</v>
      </c>
      <c r="D203" t="s">
        <v>248</v>
      </c>
      <c r="E203">
        <v>1</v>
      </c>
      <c r="H203" t="s">
        <v>27</v>
      </c>
      <c r="I203" t="s">
        <v>58</v>
      </c>
      <c r="J203" t="str">
        <f>LOOKUP(I203,'Flight Test Matrix - Overview'!$V$34:$V$36,'Flight Test Matrix - Overview'!$X$25:$X$27)</f>
        <v>6500 ft</v>
      </c>
      <c r="K203" t="s">
        <v>62</v>
      </c>
      <c r="L203" t="s">
        <v>58</v>
      </c>
      <c r="M203">
        <f>LOOKUP(L203,'Flight Test Matrix - Overview'!$M$34:$M$36,'Flight Test Matrix - Overview'!$O$34:$O$36)</f>
        <v>80</v>
      </c>
      <c r="N203" t="s">
        <v>68</v>
      </c>
      <c r="O203" t="str">
        <f>LOOKUP(N203,'Flight Test Matrix - Overview'!$Q$34:$Q$36,'Flight Test Matrix - Overview'!$S$34:$S$36)</f>
        <v>descent</v>
      </c>
    </row>
    <row r="204" spans="1:27" ht="14.25" customHeight="1" x14ac:dyDescent="0.35">
      <c r="A204" s="61">
        <v>1005</v>
      </c>
      <c r="B204">
        <v>1005</v>
      </c>
      <c r="C204">
        <v>15</v>
      </c>
      <c r="D204" t="s">
        <v>249</v>
      </c>
      <c r="E204">
        <v>1</v>
      </c>
      <c r="H204" t="s">
        <v>26</v>
      </c>
      <c r="I204" t="s">
        <v>58</v>
      </c>
      <c r="J204" t="str">
        <f>LOOKUP(I204,'Flight Test Matrix - Overview'!$V$34:$V$36,'Flight Test Matrix - Overview'!$X$25:$X$27)</f>
        <v>6500 ft</v>
      </c>
      <c r="K204" t="s">
        <v>62</v>
      </c>
      <c r="L204" t="s">
        <v>58</v>
      </c>
      <c r="M204">
        <f>LOOKUP(L204,'Flight Test Matrix - Overview'!$M$34:$M$36,'Flight Test Matrix - Overview'!$O$34:$O$36)</f>
        <v>80</v>
      </c>
      <c r="N204" t="s">
        <v>58</v>
      </c>
      <c r="O204" t="str">
        <f>LOOKUP(N204,'Flight Test Matrix - Overview'!$Q$34:$Q$36,'Flight Test Matrix - Overview'!$S$34:$S$36)</f>
        <v>fly level</v>
      </c>
    </row>
    <row r="205" spans="1:27" ht="14.25" customHeight="1" x14ac:dyDescent="0.35">
      <c r="A205" s="61">
        <v>1006</v>
      </c>
      <c r="B205">
        <v>1006</v>
      </c>
      <c r="C205">
        <v>15</v>
      </c>
      <c r="D205" t="s">
        <v>250</v>
      </c>
      <c r="E205">
        <v>1</v>
      </c>
      <c r="H205" t="s">
        <v>26</v>
      </c>
      <c r="I205" t="s">
        <v>58</v>
      </c>
      <c r="J205" t="str">
        <f>LOOKUP(I205,'Flight Test Matrix - Overview'!$V$34:$V$36,'Flight Test Matrix - Overview'!$X$25:$X$27)</f>
        <v>6500 ft</v>
      </c>
      <c r="K205" t="s">
        <v>62</v>
      </c>
      <c r="L205" t="s">
        <v>58</v>
      </c>
      <c r="M205">
        <f>LOOKUP(L205,'Flight Test Matrix - Overview'!$M$34:$M$36,'Flight Test Matrix - Overview'!$O$34:$O$36)</f>
        <v>80</v>
      </c>
      <c r="N205" t="s">
        <v>58</v>
      </c>
      <c r="O205" t="str">
        <f>LOOKUP(N205,'Flight Test Matrix - Overview'!$Q$34:$Q$36,'Flight Test Matrix - Overview'!$S$34:$S$36)</f>
        <v>fly level</v>
      </c>
    </row>
    <row r="206" spans="1:27" ht="14.25" customHeight="1" x14ac:dyDescent="0.35">
      <c r="A206" s="61">
        <v>1007</v>
      </c>
      <c r="B206">
        <v>1007</v>
      </c>
      <c r="C206">
        <v>15</v>
      </c>
      <c r="D206" t="s">
        <v>250</v>
      </c>
      <c r="E206">
        <v>1</v>
      </c>
      <c r="H206" t="s">
        <v>26</v>
      </c>
      <c r="I206" t="s">
        <v>58</v>
      </c>
      <c r="J206" t="str">
        <f>LOOKUP(I206,'Flight Test Matrix - Overview'!$V$34:$V$36,'Flight Test Matrix - Overview'!$X$25:$X$27)</f>
        <v>6500 ft</v>
      </c>
      <c r="K206" t="s">
        <v>62</v>
      </c>
      <c r="L206" t="s">
        <v>58</v>
      </c>
      <c r="M206">
        <f>LOOKUP(L206,'Flight Test Matrix - Overview'!$M$34:$M$36,'Flight Test Matrix - Overview'!$O$34:$O$36)</f>
        <v>80</v>
      </c>
      <c r="N206" t="s">
        <v>58</v>
      </c>
      <c r="O206" t="str">
        <f>LOOKUP(N206,'Flight Test Matrix - Overview'!$Q$34:$Q$36,'Flight Test Matrix - Overview'!$S$34:$S$36)</f>
        <v>fly level</v>
      </c>
    </row>
    <row r="207" spans="1:27" ht="14.25" customHeight="1" x14ac:dyDescent="0.35">
      <c r="A207" s="61">
        <v>1008</v>
      </c>
      <c r="B207">
        <v>1008</v>
      </c>
      <c r="C207">
        <v>15</v>
      </c>
      <c r="D207" t="s">
        <v>250</v>
      </c>
      <c r="E207">
        <v>1</v>
      </c>
      <c r="H207" t="s">
        <v>26</v>
      </c>
      <c r="I207" t="s">
        <v>58</v>
      </c>
      <c r="J207" t="str">
        <f>LOOKUP(I207,'Flight Test Matrix - Overview'!$V$34:$V$36,'Flight Test Matrix - Overview'!$X$25:$X$27)</f>
        <v>6500 ft</v>
      </c>
      <c r="K207" t="s">
        <v>62</v>
      </c>
      <c r="L207" t="s">
        <v>58</v>
      </c>
      <c r="M207">
        <f>LOOKUP(L207,'Flight Test Matrix - Overview'!$M$34:$M$36,'Flight Test Matrix - Overview'!$O$34:$O$36)</f>
        <v>80</v>
      </c>
      <c r="N207" t="s">
        <v>58</v>
      </c>
      <c r="O207" t="str">
        <f>LOOKUP(N207,'Flight Test Matrix - Overview'!$Q$34:$Q$36,'Flight Test Matrix - Overview'!$S$34:$S$36)</f>
        <v>fly level</v>
      </c>
    </row>
    <row r="208" spans="1:27" ht="14.25" customHeight="1" x14ac:dyDescent="0.35">
      <c r="A208" s="61">
        <v>1009</v>
      </c>
      <c r="B208">
        <v>1009</v>
      </c>
      <c r="C208">
        <v>2</v>
      </c>
      <c r="D208" t="s">
        <v>111</v>
      </c>
      <c r="E208">
        <v>1</v>
      </c>
      <c r="H208" t="s">
        <v>26</v>
      </c>
      <c r="I208" t="s">
        <v>58</v>
      </c>
      <c r="J208" t="str">
        <f>LOOKUP(I208,'Flight Test Matrix - Overview'!$V$34:$V$36,'Flight Test Matrix - Overview'!$X$25:$X$27)</f>
        <v>6500 ft</v>
      </c>
      <c r="K208" t="s">
        <v>62</v>
      </c>
      <c r="L208" t="s">
        <v>70</v>
      </c>
      <c r="M208">
        <f>LOOKUP(L208,'Flight Test Matrix - Overview'!$M$34:$M$36,'Flight Test Matrix - Overview'!$O$34:$O$36)</f>
        <v>95</v>
      </c>
      <c r="N208" t="s">
        <v>58</v>
      </c>
      <c r="O208" t="str">
        <f>LOOKUP(N208,'Flight Test Matrix - Overview'!$Q$34:$Q$36,'Flight Test Matrix - Overview'!$S$34:$S$36)</f>
        <v>fly level</v>
      </c>
      <c r="P208" t="s">
        <v>114</v>
      </c>
    </row>
    <row r="209" spans="1:27" ht="14.25" customHeight="1" x14ac:dyDescent="0.35">
      <c r="A209" s="61">
        <v>1010</v>
      </c>
      <c r="B209">
        <v>1010</v>
      </c>
      <c r="C209">
        <v>11</v>
      </c>
      <c r="D209" t="s">
        <v>247</v>
      </c>
      <c r="E209">
        <v>1</v>
      </c>
      <c r="H209" t="s">
        <v>26</v>
      </c>
      <c r="I209" t="s">
        <v>68</v>
      </c>
      <c r="J209" t="str">
        <f>LOOKUP(I209,'Flight Test Matrix - Overview'!$V$34:$V$36,'Flight Test Matrix - Overview'!$X$25:$X$27)</f>
        <v>5500 ft</v>
      </c>
      <c r="K209" t="s">
        <v>199</v>
      </c>
      <c r="L209" t="s">
        <v>58</v>
      </c>
      <c r="M209">
        <f>LOOKUP(L209,'Flight Test Matrix - Overview'!$M$34:$M$36,'Flight Test Matrix - Overview'!$O$34:$O$36)</f>
        <v>80</v>
      </c>
      <c r="N209" t="s">
        <v>70</v>
      </c>
      <c r="O209" t="str">
        <f>LOOKUP(N209,'Flight Test Matrix - Overview'!$Q$34:$Q$36,'Flight Test Matrix - Overview'!$S$34:$S$36)</f>
        <v>climb</v>
      </c>
      <c r="P209" t="s">
        <v>31</v>
      </c>
    </row>
    <row r="210" spans="1:27" ht="14.25" customHeight="1" x14ac:dyDescent="0.35">
      <c r="A210" s="61">
        <v>1011</v>
      </c>
      <c r="B210">
        <v>1011</v>
      </c>
      <c r="C210">
        <v>11</v>
      </c>
      <c r="D210" t="s">
        <v>247</v>
      </c>
      <c r="E210">
        <v>1</v>
      </c>
      <c r="H210" t="s">
        <v>26</v>
      </c>
      <c r="I210" t="s">
        <v>68</v>
      </c>
      <c r="J210" t="str">
        <f>LOOKUP(I210,'Flight Test Matrix - Overview'!$V$34:$V$36,'Flight Test Matrix - Overview'!$X$25:$X$27)</f>
        <v>5500 ft</v>
      </c>
      <c r="K210" t="s">
        <v>199</v>
      </c>
      <c r="L210" t="s">
        <v>70</v>
      </c>
      <c r="M210">
        <f>LOOKUP(L210,'Flight Test Matrix - Overview'!$M$34:$M$36,'Flight Test Matrix - Overview'!$O$34:$O$36)</f>
        <v>95</v>
      </c>
      <c r="N210" t="s">
        <v>70</v>
      </c>
      <c r="O210" t="str">
        <f>LOOKUP(N210,'Flight Test Matrix - Overview'!$Q$34:$Q$36,'Flight Test Matrix - Overview'!$S$34:$S$36)</f>
        <v>climb</v>
      </c>
      <c r="P210" t="s">
        <v>31</v>
      </c>
    </row>
    <row r="211" spans="1:27" ht="14.25" customHeight="1" x14ac:dyDescent="0.35">
      <c r="A211" s="61">
        <v>1012</v>
      </c>
      <c r="B211" s="61">
        <v>1012</v>
      </c>
      <c r="C211">
        <v>11</v>
      </c>
      <c r="D211" t="s">
        <v>247</v>
      </c>
      <c r="E211">
        <v>1</v>
      </c>
      <c r="H211" t="s">
        <v>26</v>
      </c>
      <c r="I211" t="s">
        <v>68</v>
      </c>
      <c r="J211" t="str">
        <f>LOOKUP(I211,'Flight Test Matrix - Overview'!$V$34:$V$36,'Flight Test Matrix - Overview'!$X$25:$X$27)</f>
        <v>5500 ft</v>
      </c>
      <c r="K211" t="s">
        <v>199</v>
      </c>
      <c r="L211" t="s">
        <v>68</v>
      </c>
      <c r="M211">
        <f>LOOKUP(L211,'Flight Test Matrix - Overview'!$M$34:$M$36,'Flight Test Matrix - Overview'!$O$34:$O$36)</f>
        <v>70</v>
      </c>
      <c r="N211" t="s">
        <v>70</v>
      </c>
      <c r="O211" t="str">
        <f>LOOKUP(N211,'Flight Test Matrix - Overview'!$Q$34:$Q$36,'Flight Test Matrix - Overview'!$S$34:$S$36)</f>
        <v>climb</v>
      </c>
      <c r="P211" t="s">
        <v>31</v>
      </c>
    </row>
    <row r="212" spans="1:27" ht="14.25" customHeight="1" x14ac:dyDescent="0.35">
      <c r="A212" s="61">
        <v>1013</v>
      </c>
      <c r="B212">
        <v>1013</v>
      </c>
      <c r="C212">
        <v>11</v>
      </c>
      <c r="D212" t="s">
        <v>248</v>
      </c>
      <c r="E212">
        <v>1</v>
      </c>
      <c r="H212" t="s">
        <v>26</v>
      </c>
      <c r="I212" t="s">
        <v>58</v>
      </c>
      <c r="J212" t="str">
        <f>LOOKUP(I212,'Flight Test Matrix - Overview'!$V$34:$V$36,'Flight Test Matrix - Overview'!$X$25:$X$27)</f>
        <v>6500 ft</v>
      </c>
      <c r="K212" t="s">
        <v>62</v>
      </c>
      <c r="L212" t="s">
        <v>68</v>
      </c>
      <c r="M212">
        <f>LOOKUP(L212,'Flight Test Matrix - Overview'!$M$34:$M$36,'Flight Test Matrix - Overview'!$O$34:$O$36)</f>
        <v>70</v>
      </c>
      <c r="N212" t="s">
        <v>68</v>
      </c>
      <c r="O212" t="str">
        <f>LOOKUP(N212,'Flight Test Matrix - Overview'!$Q$34:$Q$36,'Flight Test Matrix - Overview'!$S$34:$S$36)</f>
        <v>descent</v>
      </c>
    </row>
    <row r="213" spans="1:27" ht="14.25" customHeight="1" x14ac:dyDescent="0.35">
      <c r="A213" s="61">
        <v>1014</v>
      </c>
      <c r="B213">
        <v>1014</v>
      </c>
      <c r="C213" s="7">
        <v>11</v>
      </c>
      <c r="D213" t="s">
        <v>130</v>
      </c>
      <c r="E213">
        <v>1</v>
      </c>
      <c r="G213">
        <v>5</v>
      </c>
      <c r="H213" t="s">
        <v>26</v>
      </c>
      <c r="I213" t="s">
        <v>58</v>
      </c>
      <c r="J213" t="str">
        <f>LOOKUP(I213,'Flight Test Matrix - Overview'!$V$34:$V$36,'Flight Test Matrix - Overview'!$X$25:$X$27)</f>
        <v>6500 ft</v>
      </c>
      <c r="K213" t="s">
        <v>199</v>
      </c>
      <c r="L213" t="s">
        <v>68</v>
      </c>
      <c r="M213">
        <f>LOOKUP(L213,'Flight Test Matrix - Overview'!$M$34:$M$36,'Flight Test Matrix - Overview'!$O$34:$O$36)</f>
        <v>70</v>
      </c>
      <c r="N213" t="s">
        <v>58</v>
      </c>
      <c r="O213" t="str">
        <f>LOOKUP(N213,'Flight Test Matrix - Overview'!$Q$34:$Q$36,'Flight Test Matrix - Overview'!$S$34:$S$36)</f>
        <v>fly level</v>
      </c>
      <c r="P213" t="s">
        <v>31</v>
      </c>
      <c r="R213" t="s">
        <v>116</v>
      </c>
      <c r="S213" t="s">
        <v>231</v>
      </c>
      <c r="T213" t="s">
        <v>232</v>
      </c>
      <c r="U213" t="s">
        <v>233</v>
      </c>
      <c r="V213" t="s">
        <v>234</v>
      </c>
      <c r="W213" t="s">
        <v>31</v>
      </c>
      <c r="X213" t="s">
        <v>31</v>
      </c>
      <c r="Y213" t="s">
        <v>120</v>
      </c>
      <c r="Z213" t="s">
        <v>31</v>
      </c>
      <c r="AA213" t="s">
        <v>235</v>
      </c>
    </row>
    <row r="214" spans="1:27" ht="14.25" customHeight="1" x14ac:dyDescent="0.35">
      <c r="A214" s="61">
        <v>1015</v>
      </c>
      <c r="B214">
        <v>1015</v>
      </c>
      <c r="C214">
        <v>11</v>
      </c>
      <c r="D214" t="s">
        <v>248</v>
      </c>
      <c r="E214">
        <v>1</v>
      </c>
      <c r="H214" t="s">
        <v>26</v>
      </c>
      <c r="I214" t="s">
        <v>68</v>
      </c>
      <c r="J214" t="str">
        <f>LOOKUP(I214,'Flight Test Matrix - Overview'!$V$34:$V$36,'Flight Test Matrix - Overview'!$X$25:$X$27)</f>
        <v>5500 ft</v>
      </c>
      <c r="K214" t="s">
        <v>62</v>
      </c>
      <c r="L214" t="s">
        <v>68</v>
      </c>
      <c r="M214">
        <f>LOOKUP(L214,'Flight Test Matrix - Overview'!$M$34:$M$36,'Flight Test Matrix - Overview'!$O$34:$O$36)</f>
        <v>70</v>
      </c>
      <c r="N214" t="s">
        <v>68</v>
      </c>
      <c r="O214" t="str">
        <f>LOOKUP(N214,'Flight Test Matrix - Overview'!$Q$34:$Q$36,'Flight Test Matrix - Overview'!$S$34:$S$36)</f>
        <v>descent</v>
      </c>
    </row>
    <row r="215" spans="1:27" ht="14.25" customHeight="1" x14ac:dyDescent="0.35"/>
    <row r="216" spans="1:27" ht="14.25" customHeight="1" x14ac:dyDescent="0.35"/>
    <row r="217" spans="1:27" ht="14.25" customHeight="1" x14ac:dyDescent="0.35"/>
    <row r="218" spans="1:27" ht="14.25" customHeight="1" x14ac:dyDescent="0.35"/>
    <row r="219" spans="1:27" ht="14.25" customHeight="1" x14ac:dyDescent="0.35"/>
    <row r="220" spans="1:27" ht="14.25" customHeight="1" x14ac:dyDescent="0.35"/>
    <row r="221" spans="1:27" ht="14.25" customHeight="1" x14ac:dyDescent="0.35"/>
    <row r="222" spans="1:27" ht="14.25" customHeight="1" x14ac:dyDescent="0.35"/>
    <row r="223" spans="1:27" ht="14.25" customHeight="1" x14ac:dyDescent="0.35"/>
    <row r="224" spans="1:27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</sheetData>
  <autoFilter ref="A1:AA214" xr:uid="{00000000-0009-0000-0000-000003000000}"/>
  <pageMargins left="0.7" right="0.7" top="0.78740157499999996" bottom="0.78740157499999996" header="0" footer="0"/>
  <pageSetup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000"/>
  <sheetViews>
    <sheetView workbookViewId="0"/>
  </sheetViews>
  <sheetFormatPr baseColWidth="10" defaultColWidth="14.453125" defaultRowHeight="15" customHeight="1" x14ac:dyDescent="0.35"/>
  <cols>
    <col min="1" max="1" width="14.54296875" customWidth="1"/>
    <col min="2" max="21" width="10.7265625" customWidth="1"/>
    <col min="22" max="22" width="16.54296875" customWidth="1"/>
    <col min="23" max="26" width="10.7265625" customWidth="1"/>
  </cols>
  <sheetData>
    <row r="1" spans="1:24" ht="14.25" customHeight="1" x14ac:dyDescent="0.35">
      <c r="A1" t="s">
        <v>207</v>
      </c>
      <c r="H1" t="s">
        <v>208</v>
      </c>
      <c r="V1" t="s">
        <v>209</v>
      </c>
    </row>
    <row r="2" spans="1:24" ht="14.25" customHeight="1" x14ac:dyDescent="0.35">
      <c r="A2" t="s">
        <v>210</v>
      </c>
      <c r="B2">
        <v>-20</v>
      </c>
      <c r="C2">
        <v>3.1000050000000001E-2</v>
      </c>
      <c r="E2" t="s">
        <v>211</v>
      </c>
      <c r="F2">
        <f>SLOPE(B2:B6,C2:C6)</f>
        <v>668.81452276856123</v>
      </c>
      <c r="H2" t="s">
        <v>212</v>
      </c>
      <c r="I2">
        <v>6.8</v>
      </c>
      <c r="J2">
        <v>-0.18840299999999999</v>
      </c>
      <c r="K2" t="s">
        <v>211</v>
      </c>
      <c r="L2">
        <f>SLOPE(I2:I6,J2:J6)</f>
        <v>-89.850531120073569</v>
      </c>
      <c r="W2" t="s">
        <v>213</v>
      </c>
      <c r="X2">
        <v>0</v>
      </c>
    </row>
    <row r="3" spans="1:24" ht="14.25" customHeight="1" x14ac:dyDescent="0.35">
      <c r="B3">
        <v>-10</v>
      </c>
      <c r="C3">
        <v>4.5597899999999997E-2</v>
      </c>
      <c r="E3" t="s">
        <v>214</v>
      </c>
      <c r="F3">
        <f>INTERCEPT(B2:B6,C2:C6)</f>
        <v>-40.258166589655289</v>
      </c>
      <c r="K3" t="s">
        <v>214</v>
      </c>
      <c r="L3">
        <f>INTERCEPT(I2:I6,J2:J6)</f>
        <v>-10.19256318172067</v>
      </c>
      <c r="W3" t="s">
        <v>215</v>
      </c>
      <c r="X3">
        <v>26.7</v>
      </c>
    </row>
    <row r="4" spans="1:24" ht="14.25" customHeight="1" x14ac:dyDescent="0.35">
      <c r="B4">
        <v>0</v>
      </c>
      <c r="C4">
        <v>5.8589500000000003E-2</v>
      </c>
      <c r="I4">
        <v>0</v>
      </c>
      <c r="J4">
        <v>-0.114625</v>
      </c>
    </row>
    <row r="5" spans="1:24" ht="14.25" customHeight="1" x14ac:dyDescent="0.35">
      <c r="B5">
        <v>10</v>
      </c>
      <c r="C5">
        <v>7.4728699999999995E-2</v>
      </c>
    </row>
    <row r="6" spans="1:24" ht="14.25" customHeight="1" x14ac:dyDescent="0.35">
      <c r="A6" t="s">
        <v>216</v>
      </c>
      <c r="B6">
        <v>20</v>
      </c>
      <c r="C6">
        <v>9.1050450000000005E-2</v>
      </c>
      <c r="H6" t="s">
        <v>217</v>
      </c>
      <c r="I6">
        <v>-10</v>
      </c>
      <c r="J6">
        <v>-1.6745900000000001E-3</v>
      </c>
      <c r="V6" t="s">
        <v>218</v>
      </c>
      <c r="W6" t="s">
        <v>213</v>
      </c>
      <c r="X6">
        <v>-20</v>
      </c>
    </row>
    <row r="7" spans="1:24" ht="14.25" customHeight="1" x14ac:dyDescent="0.35">
      <c r="W7" t="s">
        <v>215</v>
      </c>
      <c r="X7">
        <v>12</v>
      </c>
    </row>
    <row r="8" spans="1:24" ht="14.25" customHeight="1" x14ac:dyDescent="0.35"/>
    <row r="9" spans="1:24" ht="14.25" customHeight="1" x14ac:dyDescent="0.35">
      <c r="A9" t="s">
        <v>219</v>
      </c>
      <c r="H9" t="s">
        <v>220</v>
      </c>
    </row>
    <row r="10" spans="1:24" ht="14.25" customHeight="1" x14ac:dyDescent="0.35">
      <c r="A10" t="s">
        <v>221</v>
      </c>
      <c r="B10">
        <v>-20</v>
      </c>
      <c r="C10">
        <v>0.159192</v>
      </c>
      <c r="E10" t="s">
        <v>211</v>
      </c>
      <c r="F10">
        <f>SLOPE(B10:B14,C10:C14)</f>
        <v>184.07564756567447</v>
      </c>
      <c r="H10" t="s">
        <v>222</v>
      </c>
      <c r="I10">
        <v>-25</v>
      </c>
      <c r="J10">
        <v>-0.35192000000000001</v>
      </c>
      <c r="K10" t="s">
        <v>211</v>
      </c>
      <c r="L10">
        <f>SLOPE(I10:I14,J10:J14)</f>
        <v>99.756450185378981</v>
      </c>
    </row>
    <row r="11" spans="1:24" ht="14.25" customHeight="1" x14ac:dyDescent="0.35">
      <c r="B11">
        <v>-10</v>
      </c>
      <c r="C11">
        <v>0.220051</v>
      </c>
      <c r="E11" t="s">
        <v>214</v>
      </c>
      <c r="F11">
        <f>INTERCEPT(B10:B14,C10:C14)</f>
        <v>-49.740074737217753</v>
      </c>
      <c r="I11">
        <v>-15</v>
      </c>
      <c r="J11">
        <v>-0.28222000000000003</v>
      </c>
      <c r="K11" t="s">
        <v>214</v>
      </c>
      <c r="L11">
        <f>INTERCEPT(I10:I14,J10:J14)</f>
        <v>12.057434602178709</v>
      </c>
    </row>
    <row r="12" spans="1:24" ht="14.25" customHeight="1" x14ac:dyDescent="0.35">
      <c r="B12">
        <v>0</v>
      </c>
      <c r="C12">
        <v>0.27016400000000002</v>
      </c>
      <c r="I12">
        <v>-7</v>
      </c>
      <c r="J12">
        <v>-0.20841299999999999</v>
      </c>
    </row>
    <row r="13" spans="1:24" ht="14.25" customHeight="1" x14ac:dyDescent="0.35">
      <c r="B13">
        <v>10</v>
      </c>
      <c r="C13">
        <v>0.32218200000000002</v>
      </c>
      <c r="I13">
        <v>0</v>
      </c>
      <c r="J13">
        <v>-0.12764900000000001</v>
      </c>
    </row>
    <row r="14" spans="1:24" ht="14.25" customHeight="1" x14ac:dyDescent="0.35">
      <c r="A14" t="s">
        <v>223</v>
      </c>
      <c r="B14">
        <v>20</v>
      </c>
      <c r="C14">
        <v>0.37948799999999999</v>
      </c>
      <c r="I14">
        <v>6</v>
      </c>
      <c r="J14">
        <v>-4.5142599999999998E-2</v>
      </c>
    </row>
    <row r="15" spans="1:24" ht="14.25" customHeight="1" x14ac:dyDescent="0.35">
      <c r="H15" t="s">
        <v>224</v>
      </c>
      <c r="I15">
        <v>13</v>
      </c>
    </row>
    <row r="16" spans="1:24" ht="14.25" customHeight="1" x14ac:dyDescent="0.35"/>
    <row r="17" spans="8:12" ht="14.25" customHeight="1" x14ac:dyDescent="0.35"/>
    <row r="18" spans="8:12" ht="14.25" customHeight="1" x14ac:dyDescent="0.35">
      <c r="H18" t="s">
        <v>225</v>
      </c>
    </row>
    <row r="19" spans="8:12" ht="14.25" customHeight="1" x14ac:dyDescent="0.35">
      <c r="H19" t="s">
        <v>226</v>
      </c>
      <c r="I19">
        <v>25</v>
      </c>
      <c r="J19">
        <v>0.10828599999999999</v>
      </c>
    </row>
    <row r="20" spans="8:12" ht="14.25" customHeight="1" x14ac:dyDescent="0.35">
      <c r="I20">
        <v>15</v>
      </c>
      <c r="J20">
        <v>3.7770650000000003E-2</v>
      </c>
    </row>
    <row r="21" spans="8:12" ht="14.25" customHeight="1" x14ac:dyDescent="0.35">
      <c r="I21">
        <v>7</v>
      </c>
      <c r="J21">
        <v>-4.0531299999999999E-2</v>
      </c>
    </row>
    <row r="22" spans="8:12" ht="14.25" customHeight="1" x14ac:dyDescent="0.35">
      <c r="I22">
        <v>0</v>
      </c>
      <c r="J22">
        <v>-0.124496</v>
      </c>
    </row>
    <row r="23" spans="8:12" ht="14.25" customHeight="1" x14ac:dyDescent="0.35">
      <c r="I23">
        <v>-6</v>
      </c>
      <c r="J23">
        <v>-0.203565</v>
      </c>
    </row>
    <row r="24" spans="8:12" ht="14.25" customHeight="1" x14ac:dyDescent="0.35">
      <c r="H24" t="s">
        <v>227</v>
      </c>
      <c r="I24">
        <v>-13</v>
      </c>
      <c r="J24">
        <v>-0.32684200000000002</v>
      </c>
      <c r="K24" t="s">
        <v>211</v>
      </c>
      <c r="L24">
        <f>SLOPE(I24:I25,J24:J25)</f>
        <v>87.330624551856005</v>
      </c>
    </row>
    <row r="25" spans="8:12" ht="14.25" customHeight="1" x14ac:dyDescent="0.35">
      <c r="I25">
        <v>25</v>
      </c>
      <c r="J25">
        <v>0.10828599999999999</v>
      </c>
      <c r="K25" t="s">
        <v>214</v>
      </c>
      <c r="L25">
        <f>INTERCEPT(I24:I25,J24:J25)</f>
        <v>15.543315989777721</v>
      </c>
    </row>
    <row r="26" spans="8:12" ht="14.25" customHeight="1" x14ac:dyDescent="0.35"/>
    <row r="27" spans="8:12" ht="14.25" customHeight="1" x14ac:dyDescent="0.35"/>
    <row r="28" spans="8:12" ht="14.25" customHeight="1" x14ac:dyDescent="0.35">
      <c r="H28" t="s">
        <v>228</v>
      </c>
    </row>
    <row r="29" spans="8:12" ht="14.25" customHeight="1" x14ac:dyDescent="0.35">
      <c r="H29" t="s">
        <v>229</v>
      </c>
      <c r="I29">
        <v>25.5</v>
      </c>
      <c r="J29">
        <v>1.5527300000000001E-2</v>
      </c>
    </row>
    <row r="30" spans="8:12" ht="14.25" customHeight="1" x14ac:dyDescent="0.35">
      <c r="I30">
        <v>0</v>
      </c>
      <c r="J30">
        <v>-7.7481099999999997E-2</v>
      </c>
    </row>
    <row r="31" spans="8:12" ht="14.25" customHeight="1" x14ac:dyDescent="0.35">
      <c r="H31" t="s">
        <v>230</v>
      </c>
      <c r="I31">
        <v>-30</v>
      </c>
      <c r="J31">
        <v>-0.17852699999999999</v>
      </c>
      <c r="K31" t="s">
        <v>211</v>
      </c>
      <c r="L31">
        <f>SLOPE(I31:I32,J31:J32)</f>
        <v>286.0024230331407</v>
      </c>
    </row>
    <row r="32" spans="8:12" ht="14.25" customHeight="1" x14ac:dyDescent="0.35">
      <c r="I32">
        <v>25.5</v>
      </c>
      <c r="J32">
        <v>1.5527300000000001E-2</v>
      </c>
      <c r="K32" t="s">
        <v>214</v>
      </c>
      <c r="L32">
        <f>INTERCEPT(I31:I32,J31:J32)</f>
        <v>21.059154576837511</v>
      </c>
    </row>
    <row r="33" spans="8:12" ht="14.25" customHeight="1" x14ac:dyDescent="0.35"/>
    <row r="34" spans="8:12" ht="14.25" customHeight="1" x14ac:dyDescent="0.35"/>
    <row r="35" spans="8:12" ht="14.25" customHeight="1" x14ac:dyDescent="0.35"/>
    <row r="36" spans="8:12" ht="14.25" customHeight="1" x14ac:dyDescent="0.35">
      <c r="H36" t="s">
        <v>47</v>
      </c>
      <c r="I36">
        <v>0</v>
      </c>
      <c r="J36">
        <v>-0.16884099999999999</v>
      </c>
      <c r="K36" t="s">
        <v>211</v>
      </c>
      <c r="L36">
        <f>SLOPE(I40:I41,J40:J41)</f>
        <v>-383.72690923323682</v>
      </c>
    </row>
    <row r="37" spans="8:12" ht="14.25" customHeight="1" x14ac:dyDescent="0.35">
      <c r="I37">
        <v>25</v>
      </c>
      <c r="J37">
        <v>-0.23088</v>
      </c>
      <c r="K37" t="s">
        <v>214</v>
      </c>
      <c r="L37">
        <f>INTERCEPT(I36:I40,J36:J40)</f>
        <v>-61.974482934145556</v>
      </c>
    </row>
    <row r="38" spans="8:12" ht="14.25" customHeight="1" x14ac:dyDescent="0.35">
      <c r="I38">
        <v>50</v>
      </c>
      <c r="J38">
        <v>-0.30235800000000002</v>
      </c>
    </row>
    <row r="39" spans="8:12" ht="14.25" customHeight="1" x14ac:dyDescent="0.35">
      <c r="I39">
        <v>75</v>
      </c>
      <c r="J39">
        <v>-0.38214999999999999</v>
      </c>
    </row>
    <row r="40" spans="8:12" ht="14.25" customHeight="1" x14ac:dyDescent="0.35">
      <c r="I40">
        <v>100</v>
      </c>
      <c r="J40">
        <v>-0.42944300000000002</v>
      </c>
    </row>
    <row r="41" spans="8:12" ht="14.25" customHeight="1" x14ac:dyDescent="0.35">
      <c r="I41">
        <v>0</v>
      </c>
      <c r="J41">
        <v>-0.16884099999999999</v>
      </c>
    </row>
    <row r="42" spans="8:12" ht="14.25" customHeight="1" x14ac:dyDescent="0.35"/>
    <row r="43" spans="8:12" ht="14.25" customHeight="1" x14ac:dyDescent="0.35"/>
    <row r="44" spans="8:12" ht="14.25" customHeight="1" x14ac:dyDescent="0.35"/>
    <row r="45" spans="8:12" ht="14.25" customHeight="1" x14ac:dyDescent="0.35"/>
    <row r="46" spans="8:12" ht="14.25" customHeight="1" x14ac:dyDescent="0.35"/>
    <row r="47" spans="8:12" ht="14.25" customHeight="1" x14ac:dyDescent="0.35"/>
    <row r="48" spans="8:12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8740157499999996" bottom="0.78740157499999996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Flight Test Matrix - Overview</vt:lpstr>
      <vt:lpstr>Finanzen</vt:lpstr>
      <vt:lpstr>Timetable</vt:lpstr>
      <vt:lpstr>Matrix - Detailed</vt:lpstr>
      <vt:lpstr>ADB and Rudder Calibration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 Ferrari</dc:creator>
  <cp:lastModifiedBy>Flavio Ferrari</cp:lastModifiedBy>
  <dcterms:created xsi:type="dcterms:W3CDTF">2015-06-05T18:19:34Z</dcterms:created>
  <dcterms:modified xsi:type="dcterms:W3CDTF">2019-11-28T15:08:08Z</dcterms:modified>
</cp:coreProperties>
</file>