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kevin/OneDrive/ZHAW MSE InT/MSE FS19/MT/Thesis/appendix/flight_tests_related_documents/mass_balance/"/>
    </mc:Choice>
  </mc:AlternateContent>
  <xr:revisionPtr revIDLastSave="309" documentId="6_{4FE2C24D-0247-8841-A19A-E9C81AA11B7F}" xr6:coauthVersionLast="44" xr6:coauthVersionMax="44" xr10:uidLastSave="{2D25DC93-9593-294B-99FA-A57376E0441F}"/>
  <bookViews>
    <workbookView xWindow="0" yWindow="460" windowWidth="28800" windowHeight="16420" tabRatio="500" xr2:uid="{00000000-000D-0000-FFFF-FFFF00000000}"/>
  </bookViews>
  <sheets>
    <sheet name="Mass_and_Balance_Calc" sheetId="1" r:id="rId1"/>
    <sheet name="Weighting_1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28" i="1"/>
  <c r="D22" i="1"/>
  <c r="D15" i="1"/>
  <c r="D26" i="1"/>
  <c r="D29" i="1" l="1"/>
  <c r="B19" i="2"/>
  <c r="B20" i="2" s="1"/>
  <c r="B21" i="2" s="1"/>
  <c r="E17" i="2"/>
  <c r="C9" i="2"/>
  <c r="E9" i="2" s="1"/>
  <c r="D9" i="2"/>
  <c r="C9" i="1"/>
  <c r="E8" i="2"/>
  <c r="E18" i="2" l="1"/>
  <c r="E19" i="2" s="1"/>
  <c r="E20" i="2"/>
  <c r="B3" i="1" s="1"/>
  <c r="B15" i="1"/>
  <c r="B9" i="1" s="1"/>
  <c r="C8" i="1"/>
  <c r="C6" i="1"/>
  <c r="C7" i="1" s="1"/>
  <c r="D7" i="1" s="1"/>
  <c r="C4" i="1"/>
  <c r="C5" i="1" s="1"/>
  <c r="D5" i="1" s="1"/>
  <c r="B30" i="1"/>
  <c r="B31" i="1" s="1"/>
  <c r="B29" i="1"/>
  <c r="B28" i="1"/>
  <c r="B32" i="1" s="1"/>
  <c r="A31" i="1"/>
  <c r="A32" i="1" s="1"/>
  <c r="A30" i="1"/>
  <c r="A28" i="1"/>
  <c r="A29" i="1" s="1"/>
  <c r="D8" i="1"/>
  <c r="E7" i="2"/>
  <c r="E6" i="2"/>
  <c r="E21" i="2" l="1"/>
  <c r="C3" i="1" s="1"/>
  <c r="D3" i="1" s="1"/>
  <c r="F11" i="2"/>
  <c r="D6" i="1"/>
  <c r="D4" i="1"/>
  <c r="B33" i="1"/>
  <c r="A33" i="1"/>
  <c r="D9" i="1"/>
  <c r="B10" i="1" l="1"/>
  <c r="B12" i="1" s="1"/>
  <c r="D10" i="1"/>
  <c r="D12" i="1" s="1"/>
  <c r="C12" i="1" l="1"/>
  <c r="C10" i="1"/>
  <c r="D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Spillmann</author>
    <author>Microsoft Office-Anwender</author>
  </authors>
  <commentList>
    <comment ref="B3" authorId="0" shapeId="0" xr:uid="{C22D2B37-B786-E946-8511-5DBCE17BF7F3}">
      <text>
        <r>
          <rPr>
            <b/>
            <sz val="10"/>
            <color rgb="FF000000"/>
            <rFont val="Tahoma"/>
            <family val="2"/>
          </rPr>
          <t>Kevin Spillmann: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weight from actual weighting</t>
        </r>
      </text>
    </comment>
    <comment ref="C3" authorId="1" shapeId="0" xr:uid="{00000000-0006-0000-0000-000001000000}">
      <text>
        <r>
          <rPr>
            <b/>
            <sz val="10"/>
            <color rgb="FF000000"/>
            <rFont val="Calibri"/>
            <family val="2"/>
          </rPr>
          <t>Microsoft Office-Anwender: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Use arm from actual weighting</t>
        </r>
      </text>
    </comment>
  </commentList>
</comments>
</file>

<file path=xl/sharedStrings.xml><?xml version="1.0" encoding="utf-8"?>
<sst xmlns="http://schemas.openxmlformats.org/spreadsheetml/2006/main" count="72" uniqueCount="66">
  <si>
    <t>TOTAL</t>
  </si>
  <si>
    <t>Datum:</t>
  </si>
  <si>
    <t>Station</t>
  </si>
  <si>
    <t>Date:</t>
  </si>
  <si>
    <t>Right main wheel</t>
  </si>
  <si>
    <t>Nose wheel</t>
  </si>
  <si>
    <t>Left main wheel</t>
  </si>
  <si>
    <t>Basic empty weight</t>
  </si>
  <si>
    <t>Scale reading [kg]</t>
  </si>
  <si>
    <t>Tare [kg]</t>
  </si>
  <si>
    <t>Net weight [kg]</t>
  </si>
  <si>
    <t>Scale position</t>
  </si>
  <si>
    <t>Scale no.</t>
  </si>
  <si>
    <t>Remarks:</t>
  </si>
  <si>
    <t>Nose tip of propeller spinner</t>
  </si>
  <si>
    <t>Pilot</t>
  </si>
  <si>
    <t>Pax front</t>
  </si>
  <si>
    <t>Pax rear left</t>
  </si>
  <si>
    <t>Pax rear right</t>
  </si>
  <si>
    <t>Baggage area</t>
  </si>
  <si>
    <t>Fuel</t>
  </si>
  <si>
    <t>Arm [in]:</t>
  </si>
  <si>
    <t>Limits</t>
  </si>
  <si>
    <t>Lbs to kg</t>
  </si>
  <si>
    <t>Conversion Factors</t>
  </si>
  <si>
    <t>US gal to litres</t>
  </si>
  <si>
    <t>Litres to kg (fuel at 15°C)</t>
  </si>
  <si>
    <t>In to m</t>
  </si>
  <si>
    <t>Arm aft datum [m]</t>
  </si>
  <si>
    <t>Fuel [US gal]</t>
  </si>
  <si>
    <t>Fuel [L]</t>
  </si>
  <si>
    <t>Moment [kg m]</t>
  </si>
  <si>
    <t>Fuel loaded [USG]</t>
  </si>
  <si>
    <t>Fuel added [USG]</t>
  </si>
  <si>
    <t>Fuel weighted [USG]</t>
  </si>
  <si>
    <t>Moment fuel [kg m]</t>
  </si>
  <si>
    <t>Fuel weight [kg]</t>
  </si>
  <si>
    <t xml:space="preserve">C.G. arm = </t>
  </si>
  <si>
    <t>Moment measure [kg m]</t>
  </si>
  <si>
    <t>Moment empty [kg m]</t>
  </si>
  <si>
    <t>True empty weight [kg]</t>
  </si>
  <si>
    <t>True C.G. arm [in]</t>
  </si>
  <si>
    <t>ZFM</t>
  </si>
  <si>
    <t xml:space="preserve">MAC [m]: </t>
  </si>
  <si>
    <t>C.G. MAC [%]:</t>
  </si>
  <si>
    <t>Fl. No.</t>
  </si>
  <si>
    <t>Arm [in]</t>
  </si>
  <si>
    <t>Fuel added [L]</t>
  </si>
  <si>
    <t>Mass [kg]</t>
  </si>
  <si>
    <t>Basic empty mass</t>
  </si>
  <si>
    <t>cr</t>
  </si>
  <si>
    <t>ct</t>
  </si>
  <si>
    <t>mac</t>
  </si>
  <si>
    <t>lamda</t>
  </si>
  <si>
    <t>A</t>
  </si>
  <si>
    <t>Lamdba</t>
  </si>
  <si>
    <t>m</t>
  </si>
  <si>
    <t>m2</t>
  </si>
  <si>
    <t>rad</t>
  </si>
  <si>
    <t>Xle</t>
  </si>
  <si>
    <t>lemac</t>
  </si>
  <si>
    <t>datum to le</t>
  </si>
  <si>
    <t>Arm to leading edge [in]</t>
  </si>
  <si>
    <t>Nose wheel deflation [PSI]</t>
  </si>
  <si>
    <t>Inclination [°]</t>
  </si>
  <si>
    <t>Mass [kg]: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</si>
</sst>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rgb="FFFFFFFF"/>
      <name val="Segoe UI Symbo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auto="1"/>
      </top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2" fillId="3" borderId="2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1" fillId="3" borderId="18" xfId="0" applyFont="1" applyFill="1" applyBorder="1" applyProtection="1"/>
    <xf numFmtId="1" fontId="0" fillId="3" borderId="25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1" fillId="4" borderId="0" xfId="0" applyFont="1" applyFill="1" applyProtection="1"/>
    <xf numFmtId="0" fontId="0" fillId="4" borderId="0" xfId="0" applyFill="1" applyProtection="1"/>
    <xf numFmtId="0" fontId="1" fillId="4" borderId="0" xfId="0" applyFont="1" applyFill="1" applyAlignment="1" applyProtection="1">
      <alignment horizontal="right"/>
    </xf>
    <xf numFmtId="1" fontId="0" fillId="3" borderId="8" xfId="0" applyNumberFormat="1" applyFill="1" applyBorder="1" applyAlignment="1" applyProtection="1">
      <alignment horizontal="center"/>
    </xf>
    <xf numFmtId="0" fontId="0" fillId="3" borderId="27" xfId="0" applyFont="1" applyFill="1" applyBorder="1" applyAlignment="1" applyProtection="1">
      <alignment horizontal="center"/>
    </xf>
    <xf numFmtId="1" fontId="0" fillId="3" borderId="10" xfId="0" applyNumberFormat="1" applyFill="1" applyBorder="1" applyAlignment="1" applyProtection="1">
      <alignment horizontal="center"/>
    </xf>
    <xf numFmtId="0" fontId="0" fillId="3" borderId="17" xfId="0" applyFill="1" applyBorder="1" applyProtection="1"/>
    <xf numFmtId="0" fontId="0" fillId="3" borderId="22" xfId="0" applyFill="1" applyBorder="1" applyProtection="1"/>
    <xf numFmtId="14" fontId="2" fillId="4" borderId="0" xfId="0" applyNumberFormat="1" applyFont="1" applyFill="1" applyAlignment="1" applyProtection="1">
      <alignment horizontal="left"/>
    </xf>
    <xf numFmtId="0" fontId="1" fillId="3" borderId="21" xfId="0" applyFont="1" applyFill="1" applyBorder="1" applyProtection="1"/>
    <xf numFmtId="0" fontId="1" fillId="3" borderId="19" xfId="0" applyFont="1" applyFill="1" applyBorder="1" applyProtection="1"/>
    <xf numFmtId="0" fontId="1" fillId="3" borderId="5" xfId="0" applyFont="1" applyFill="1" applyBorder="1" applyAlignment="1" applyProtection="1">
      <alignment horizontal="center"/>
    </xf>
    <xf numFmtId="0" fontId="1" fillId="3" borderId="19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/>
    </xf>
    <xf numFmtId="0" fontId="1" fillId="3" borderId="26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  <protection locked="0"/>
    </xf>
    <xf numFmtId="1" fontId="2" fillId="3" borderId="2" xfId="0" applyNumberFormat="1" applyFont="1" applyFill="1" applyBorder="1" applyAlignment="1" applyProtection="1">
      <alignment horizontal="center"/>
      <protection locked="0"/>
    </xf>
    <xf numFmtId="0" fontId="2" fillId="3" borderId="14" xfId="0" applyFont="1" applyFill="1" applyBorder="1" applyAlignment="1" applyProtection="1">
      <alignment horizontal="center"/>
      <protection locked="0"/>
    </xf>
    <xf numFmtId="1" fontId="2" fillId="3" borderId="3" xfId="0" applyNumberFormat="1" applyFont="1" applyFill="1" applyBorder="1" applyAlignment="1" applyProtection="1">
      <alignment horizontal="center"/>
      <protection locked="0"/>
    </xf>
    <xf numFmtId="0" fontId="0" fillId="3" borderId="29" xfId="0" applyFont="1" applyFill="1" applyBorder="1" applyAlignment="1" applyProtection="1">
      <alignment horizontal="center"/>
    </xf>
    <xf numFmtId="1" fontId="0" fillId="3" borderId="23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16" xfId="0" applyFont="1" applyFill="1" applyBorder="1" applyAlignment="1" applyProtection="1">
      <alignment horizontal="center"/>
      <protection locked="0"/>
    </xf>
    <xf numFmtId="14" fontId="0" fillId="4" borderId="0" xfId="0" applyNumberFormat="1" applyFill="1" applyProtection="1"/>
    <xf numFmtId="0" fontId="1" fillId="2" borderId="4" xfId="0" applyFont="1" applyFill="1" applyBorder="1" applyProtection="1"/>
    <xf numFmtId="0" fontId="1" fillId="2" borderId="5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0" fillId="2" borderId="7" xfId="0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1" fontId="0" fillId="2" borderId="8" xfId="0" applyNumberFormat="1" applyFill="1" applyBorder="1" applyAlignment="1" applyProtection="1">
      <alignment horizontal="center"/>
    </xf>
    <xf numFmtId="0" fontId="0" fillId="2" borderId="9" xfId="0" applyFill="1" applyBorder="1" applyProtection="1"/>
    <xf numFmtId="2" fontId="0" fillId="2" borderId="1" xfId="0" applyNumberFormat="1" applyFont="1" applyFill="1" applyBorder="1" applyAlignment="1" applyProtection="1">
      <alignment horizontal="center"/>
    </xf>
    <xf numFmtId="165" fontId="0" fillId="2" borderId="1" xfId="0" applyNumberFormat="1" applyFill="1" applyBorder="1" applyAlignment="1" applyProtection="1">
      <alignment horizontal="center"/>
    </xf>
    <xf numFmtId="1" fontId="0" fillId="2" borderId="10" xfId="0" applyNumberFormat="1" applyFill="1" applyBorder="1" applyAlignment="1" applyProtection="1">
      <alignment horizontal="center"/>
    </xf>
    <xf numFmtId="0" fontId="1" fillId="2" borderId="11" xfId="0" applyFont="1" applyFill="1" applyBorder="1" applyProtection="1"/>
    <xf numFmtId="2" fontId="1" fillId="2" borderId="12" xfId="0" applyNumberFormat="1" applyFont="1" applyFill="1" applyBorder="1" applyAlignment="1" applyProtection="1">
      <alignment horizontal="center"/>
    </xf>
    <xf numFmtId="165" fontId="1" fillId="2" borderId="12" xfId="0" applyNumberFormat="1" applyFont="1" applyFill="1" applyBorder="1" applyAlignment="1" applyProtection="1">
      <alignment horizontal="center"/>
    </xf>
    <xf numFmtId="1" fontId="1" fillId="2" borderId="13" xfId="0" applyNumberFormat="1" applyFont="1" applyFill="1" applyBorder="1" applyAlignment="1" applyProtection="1">
      <alignment horizontal="center"/>
    </xf>
    <xf numFmtId="0" fontId="0" fillId="2" borderId="30" xfId="0" applyFill="1" applyBorder="1" applyProtection="1"/>
    <xf numFmtId="0" fontId="0" fillId="2" borderId="11" xfId="0" applyFill="1" applyBorder="1" applyProtection="1"/>
    <xf numFmtId="0" fontId="0" fillId="4" borderId="0" xfId="0" applyFill="1" applyBorder="1" applyProtection="1"/>
    <xf numFmtId="0" fontId="3" fillId="4" borderId="0" xfId="0" applyFont="1" applyFill="1" applyProtection="1"/>
    <xf numFmtId="0" fontId="0" fillId="3" borderId="15" xfId="0" applyFill="1" applyBorder="1" applyAlignment="1" applyProtection="1">
      <alignment horizontal="left"/>
    </xf>
    <xf numFmtId="0" fontId="0" fillId="3" borderId="17" xfId="0" applyFill="1" applyBorder="1" applyAlignment="1" applyProtection="1">
      <alignment horizontal="left"/>
    </xf>
    <xf numFmtId="0" fontId="0" fillId="3" borderId="18" xfId="0" applyFill="1" applyBorder="1" applyAlignment="1" applyProtection="1">
      <alignment horizontal="left"/>
    </xf>
    <xf numFmtId="0" fontId="1" fillId="3" borderId="21" xfId="0" applyFont="1" applyFill="1" applyBorder="1" applyAlignment="1" applyProtection="1">
      <alignment horizontal="center"/>
    </xf>
    <xf numFmtId="164" fontId="0" fillId="2" borderId="13" xfId="0" applyNumberFormat="1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164" fontId="2" fillId="3" borderId="20" xfId="0" applyNumberFormat="1" applyFont="1" applyFill="1" applyBorder="1" applyAlignment="1" applyProtection="1">
      <alignment horizontal="center"/>
    </xf>
    <xf numFmtId="0" fontId="0" fillId="2" borderId="0" xfId="0" applyFill="1" applyProtection="1"/>
    <xf numFmtId="2" fontId="2" fillId="2" borderId="0" xfId="0" applyNumberFormat="1" applyFont="1" applyFill="1" applyProtection="1"/>
    <xf numFmtId="2" fontId="0" fillId="2" borderId="0" xfId="0" applyNumberFormat="1" applyFill="1" applyProtection="1"/>
    <xf numFmtId="2" fontId="1" fillId="4" borderId="28" xfId="0" applyNumberFormat="1" applyFont="1" applyFill="1" applyBorder="1" applyAlignment="1" applyProtection="1">
      <alignment horizontal="center"/>
    </xf>
    <xf numFmtId="2" fontId="1" fillId="2" borderId="28" xfId="0" applyNumberFormat="1" applyFont="1" applyFill="1" applyBorder="1" applyProtection="1"/>
    <xf numFmtId="2" fontId="0" fillId="2" borderId="0" xfId="0" applyNumberFormat="1" applyFont="1" applyFill="1" applyBorder="1" applyAlignment="1" applyProtection="1">
      <alignment horizontal="center"/>
    </xf>
    <xf numFmtId="0" fontId="0" fillId="4" borderId="31" xfId="0" applyFill="1" applyBorder="1" applyProtection="1"/>
    <xf numFmtId="2" fontId="0" fillId="2" borderId="12" xfId="0" applyNumberFormat="1" applyFont="1" applyFill="1" applyBorder="1" applyAlignment="1" applyProtection="1">
      <alignment horizontal="center"/>
    </xf>
    <xf numFmtId="165" fontId="0" fillId="2" borderId="12" xfId="0" applyNumberFormat="1" applyFont="1" applyFill="1" applyBorder="1" applyAlignment="1" applyProtection="1">
      <alignment horizontal="center"/>
    </xf>
    <xf numFmtId="1" fontId="0" fillId="2" borderId="13" xfId="0" applyNumberFormat="1" applyFont="1" applyFill="1" applyBorder="1" applyAlignment="1" applyProtection="1">
      <alignment horizontal="center"/>
    </xf>
    <xf numFmtId="0" fontId="0" fillId="4" borderId="0" xfId="0" applyFont="1" applyFill="1" applyProtection="1"/>
    <xf numFmtId="0" fontId="0" fillId="4" borderId="0" xfId="0" applyFill="1" applyAlignment="1" applyProtection="1">
      <alignment horizontal="right"/>
    </xf>
    <xf numFmtId="0" fontId="0" fillId="4" borderId="0" xfId="0" applyFill="1" applyAlignment="1" applyProtection="1">
      <alignment horizontal="center"/>
    </xf>
    <xf numFmtId="2" fontId="1" fillId="4" borderId="0" xfId="0" applyNumberFormat="1" applyFont="1" applyFill="1" applyAlignment="1" applyProtection="1">
      <alignment horizontal="center"/>
    </xf>
    <xf numFmtId="14" fontId="2" fillId="4" borderId="0" xfId="0" applyNumberFormat="1" applyFont="1" applyFill="1" applyProtection="1"/>
    <xf numFmtId="1" fontId="2" fillId="4" borderId="0" xfId="0" applyNumberFormat="1" applyFont="1" applyFill="1" applyProtection="1"/>
    <xf numFmtId="165" fontId="0" fillId="3" borderId="17" xfId="0" applyNumberFormat="1" applyFill="1" applyBorder="1" applyAlignment="1" applyProtection="1">
      <alignment horizontal="center"/>
    </xf>
    <xf numFmtId="165" fontId="0" fillId="3" borderId="18" xfId="0" applyNumberFormat="1" applyFill="1" applyBorder="1" applyAlignment="1" applyProtection="1">
      <alignment horizontal="center"/>
    </xf>
    <xf numFmtId="1" fontId="0" fillId="3" borderId="13" xfId="0" applyNumberFormat="1" applyFill="1" applyBorder="1" applyAlignment="1" applyProtection="1">
      <alignment horizontal="center"/>
    </xf>
    <xf numFmtId="165" fontId="0" fillId="3" borderId="16" xfId="0" applyNumberFormat="1" applyFill="1" applyBorder="1" applyAlignment="1" applyProtection="1">
      <alignment horizontal="left"/>
    </xf>
    <xf numFmtId="165" fontId="0" fillId="3" borderId="8" xfId="0" applyNumberFormat="1" applyFill="1" applyBorder="1" applyAlignment="1" applyProtection="1">
      <alignment horizontal="left"/>
    </xf>
    <xf numFmtId="165" fontId="0" fillId="3" borderId="13" xfId="0" applyNumberFormat="1" applyFill="1" applyBorder="1" applyAlignment="1" applyProtection="1">
      <alignment horizontal="left"/>
    </xf>
    <xf numFmtId="14" fontId="2" fillId="4" borderId="0" xfId="0" applyNumberFormat="1" applyFont="1" applyFill="1" applyAlignment="1" applyProtection="1">
      <alignment horizontal="left"/>
      <protection locked="0"/>
    </xf>
    <xf numFmtId="0" fontId="10" fillId="0" borderId="0" xfId="0" applyFont="1"/>
    <xf numFmtId="165" fontId="0" fillId="4" borderId="0" xfId="0" applyNumberFormat="1" applyFill="1" applyAlignment="1" applyProtection="1">
      <alignment horizontal="center"/>
    </xf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Mass and Balance Envelope</a:t>
            </a:r>
          </a:p>
        </c:rich>
      </c:tx>
      <c:layout>
        <c:manualLayout>
          <c:xMode val="edge"/>
          <c:yMode val="edge"/>
          <c:x val="0.32134532764410001"/>
          <c:y val="4.44382452193475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6018700787401504E-2"/>
          <c:y val="0.14070351758794"/>
          <c:w val="0.84729012274200999"/>
          <c:h val="0.74144897716931102"/>
        </c:manualLayout>
      </c:layout>
      <c:scatterChart>
        <c:scatterStyle val="lineMarker"/>
        <c:varyColors val="0"/>
        <c:ser>
          <c:idx val="0"/>
          <c:order val="0"/>
          <c:tx>
            <c:v>Limits</c:v>
          </c:tx>
          <c:spPr>
            <a:ln w="50800" cap="sq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Mass_and_Balance_Calc!$A$28:$A$33</c:f>
              <c:numCache>
                <c:formatCode>0.000</c:formatCode>
                <c:ptCount val="6"/>
                <c:pt idx="0">
                  <c:v>2.1082000000000001</c:v>
                </c:pt>
                <c:pt idx="1">
                  <c:v>2.1082000000000001</c:v>
                </c:pt>
                <c:pt idx="2">
                  <c:v>2.2351999999999999</c:v>
                </c:pt>
                <c:pt idx="3">
                  <c:v>2.3622000000000001</c:v>
                </c:pt>
                <c:pt idx="4">
                  <c:v>2.3622000000000001</c:v>
                </c:pt>
                <c:pt idx="5">
                  <c:v>2.1082000000000001</c:v>
                </c:pt>
              </c:numCache>
            </c:numRef>
          </c:xVal>
          <c:yVal>
            <c:numRef>
              <c:f>Mass_and_Balance_Calc!$B$28:$B$33</c:f>
              <c:numCache>
                <c:formatCode>0</c:formatCode>
                <c:ptCount val="6"/>
                <c:pt idx="0">
                  <c:v>544.31084399999997</c:v>
                </c:pt>
                <c:pt idx="1">
                  <c:v>884.50512150000009</c:v>
                </c:pt>
                <c:pt idx="2">
                  <c:v>1106.7653828</c:v>
                </c:pt>
                <c:pt idx="3">
                  <c:v>1106.7653828</c:v>
                </c:pt>
                <c:pt idx="4">
                  <c:v>544.31084399999997</c:v>
                </c:pt>
                <c:pt idx="5">
                  <c:v>544.31084399999997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B-224C-870E-3E91ED841C9F}"/>
            </c:ext>
          </c:extLst>
        </c:ser>
        <c:ser>
          <c:idx val="1"/>
          <c:order val="1"/>
          <c:tx>
            <c:v>C.G.</c:v>
          </c:tx>
          <c:spPr>
            <a:ln w="635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127000">
                <a:noFill/>
              </a:ln>
              <a:effectLst/>
            </c:spPr>
          </c:marker>
          <c:xVal>
            <c:numRef>
              <c:f>Mass_and_Balance_Calc!$C$10</c:f>
              <c:numCache>
                <c:formatCode>0.000</c:formatCode>
                <c:ptCount val="1"/>
                <c:pt idx="0">
                  <c:v>2.2508762925197483</c:v>
                </c:pt>
              </c:numCache>
            </c:numRef>
          </c:xVal>
          <c:yVal>
            <c:numRef>
              <c:f>Mass_and_Balance_Calc!$B$10</c:f>
              <c:numCache>
                <c:formatCode>0.00</c:formatCode>
                <c:ptCount val="1"/>
                <c:pt idx="0">
                  <c:v>1008.07744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B-224C-870E-3E91ED841C9F}"/>
            </c:ext>
          </c:extLst>
        </c:ser>
        <c:ser>
          <c:idx val="2"/>
          <c:order val="2"/>
          <c:tx>
            <c:v>ZFM</c:v>
          </c:tx>
          <c:spPr>
            <a:ln w="1016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762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Mass_and_Balance_Calc!$C$12</c:f>
              <c:numCache>
                <c:formatCode>0.000</c:formatCode>
                <c:ptCount val="1"/>
                <c:pt idx="0">
                  <c:v>2.2345147217161703</c:v>
                </c:pt>
              </c:numCache>
            </c:numRef>
          </c:xVal>
          <c:yVal>
            <c:numRef>
              <c:f>Mass_and_Balance_Calc!$B$12</c:f>
              <c:numCache>
                <c:formatCode>0.00</c:formatCode>
                <c:ptCount val="1"/>
                <c:pt idx="0">
                  <c:v>915.66796752899199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F-4145-9A14-71BAE801A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3846032"/>
        <c:axId val="-463842688"/>
      </c:scatterChart>
      <c:valAx>
        <c:axId val="-463846032"/>
        <c:scaling>
          <c:orientation val="minMax"/>
          <c:max val="2.4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Arm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63842688"/>
        <c:crosses val="autoZero"/>
        <c:crossBetween val="midCat"/>
      </c:valAx>
      <c:valAx>
        <c:axId val="-463842688"/>
        <c:scaling>
          <c:orientation val="minMax"/>
          <c:max val="115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6384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127826</xdr:colOff>
      <xdr:row>16</xdr:row>
      <xdr:rowOff>183629</xdr:rowOff>
    </xdr:from>
    <xdr:to>
      <xdr:col>6</xdr:col>
      <xdr:colOff>1033759</xdr:colOff>
      <xdr:row>34</xdr:row>
      <xdr:rowOff>54429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"/>
  <sheetViews>
    <sheetView tabSelected="1" zoomScale="140" zoomScaleNormal="140" workbookViewId="0">
      <selection activeCell="J18" sqref="J18"/>
    </sheetView>
  </sheetViews>
  <sheetFormatPr baseColWidth="10" defaultColWidth="10.83203125" defaultRowHeight="16" x14ac:dyDescent="0.2"/>
  <cols>
    <col min="1" max="1" width="22.6640625" style="5" customWidth="1"/>
    <col min="2" max="2" width="14.33203125" style="5" customWidth="1"/>
    <col min="3" max="3" width="21.33203125" style="5" customWidth="1"/>
    <col min="4" max="4" width="17.6640625" style="5" customWidth="1"/>
    <col min="5" max="5" width="9.83203125" style="5" customWidth="1"/>
    <col min="6" max="6" width="10.33203125" style="5" customWidth="1"/>
    <col min="7" max="7" width="14.1640625" style="5" customWidth="1"/>
    <col min="8" max="16384" width="10.83203125" style="5"/>
  </cols>
  <sheetData>
    <row r="1" spans="1:7" ht="17" thickBot="1" x14ac:dyDescent="0.25">
      <c r="A1" s="7"/>
      <c r="B1" s="29"/>
      <c r="C1" s="7"/>
      <c r="D1" s="7"/>
      <c r="E1" s="7"/>
      <c r="F1" s="7"/>
      <c r="G1" s="7"/>
    </row>
    <row r="2" spans="1:7" x14ac:dyDescent="0.2">
      <c r="A2" s="30" t="s">
        <v>2</v>
      </c>
      <c r="B2" s="31" t="s">
        <v>48</v>
      </c>
      <c r="C2" s="31" t="s">
        <v>28</v>
      </c>
      <c r="D2" s="32" t="s">
        <v>31</v>
      </c>
      <c r="E2" s="7"/>
      <c r="F2" s="6" t="s">
        <v>3</v>
      </c>
      <c r="G2" s="69">
        <v>43628</v>
      </c>
    </row>
    <row r="3" spans="1:7" x14ac:dyDescent="0.2">
      <c r="A3" s="33" t="s">
        <v>49</v>
      </c>
      <c r="B3" s="60">
        <f>Weighting_1!E20</f>
        <v>751.66796752899199</v>
      </c>
      <c r="C3" s="34">
        <f>Weighting_1!E21*Mass_and_Balance_Calc!$B$21</f>
        <v>2.2523355348146556</v>
      </c>
      <c r="D3" s="35">
        <f>B3*C3</f>
        <v>1693.0084736474573</v>
      </c>
      <c r="E3" s="7"/>
      <c r="F3" s="6" t="s">
        <v>45</v>
      </c>
      <c r="G3" s="70">
        <v>3</v>
      </c>
    </row>
    <row r="4" spans="1:7" x14ac:dyDescent="0.2">
      <c r="A4" s="33" t="s">
        <v>15</v>
      </c>
      <c r="B4" s="27">
        <v>82</v>
      </c>
      <c r="C4" s="34">
        <f>80.5*B21</f>
        <v>2.0446999999999997</v>
      </c>
      <c r="D4" s="35">
        <f t="shared" ref="D4:D9" si="0">B4*C4</f>
        <v>167.66539999999998</v>
      </c>
      <c r="E4" s="7"/>
      <c r="F4" s="7"/>
      <c r="G4" s="7"/>
    </row>
    <row r="5" spans="1:7" x14ac:dyDescent="0.2">
      <c r="A5" s="33" t="s">
        <v>16</v>
      </c>
      <c r="B5" s="27">
        <v>70</v>
      </c>
      <c r="C5" s="34">
        <f>C4</f>
        <v>2.0446999999999997</v>
      </c>
      <c r="D5" s="35">
        <f t="shared" si="0"/>
        <v>143.12899999999999</v>
      </c>
      <c r="E5" s="7"/>
      <c r="F5" s="7"/>
      <c r="G5" s="7"/>
    </row>
    <row r="6" spans="1:7" x14ac:dyDescent="0.2">
      <c r="A6" s="33" t="s">
        <v>17</v>
      </c>
      <c r="B6" s="27">
        <v>1</v>
      </c>
      <c r="C6" s="34">
        <f>118.1*B21</f>
        <v>2.9997399999999996</v>
      </c>
      <c r="D6" s="35">
        <f t="shared" si="0"/>
        <v>2.9997399999999996</v>
      </c>
      <c r="E6" s="7"/>
      <c r="F6" s="7"/>
      <c r="G6" s="7"/>
    </row>
    <row r="7" spans="1:7" x14ac:dyDescent="0.2">
      <c r="A7" s="33" t="s">
        <v>18</v>
      </c>
      <c r="B7" s="27">
        <v>1</v>
      </c>
      <c r="C7" s="34">
        <f>C6</f>
        <v>2.9997399999999996</v>
      </c>
      <c r="D7" s="35">
        <f t="shared" si="0"/>
        <v>2.9997399999999996</v>
      </c>
      <c r="E7" s="7"/>
      <c r="F7" s="7"/>
      <c r="G7" s="7"/>
    </row>
    <row r="8" spans="1:7" x14ac:dyDescent="0.2">
      <c r="A8" s="33" t="s">
        <v>19</v>
      </c>
      <c r="B8" s="27">
        <v>10</v>
      </c>
      <c r="C8" s="34">
        <f>142.8*B21</f>
        <v>3.6271200000000001</v>
      </c>
      <c r="D8" s="35">
        <f t="shared" si="0"/>
        <v>36.2712</v>
      </c>
      <c r="E8" s="7"/>
      <c r="F8" s="7"/>
      <c r="G8" s="7"/>
    </row>
    <row r="9" spans="1:7" x14ac:dyDescent="0.2">
      <c r="A9" s="36" t="s">
        <v>20</v>
      </c>
      <c r="B9" s="37">
        <f>B15*B23</f>
        <v>92.409472471008002</v>
      </c>
      <c r="C9" s="38">
        <f>95*B21</f>
        <v>2.4129999999999998</v>
      </c>
      <c r="D9" s="39">
        <f t="shared" si="0"/>
        <v>222.9840570725423</v>
      </c>
      <c r="E9" s="7"/>
      <c r="F9" s="7"/>
      <c r="G9" s="7"/>
    </row>
    <row r="10" spans="1:7" ht="17" thickBot="1" x14ac:dyDescent="0.25">
      <c r="A10" s="40" t="s">
        <v>0</v>
      </c>
      <c r="B10" s="41">
        <f>SUM(B3:B9)</f>
        <v>1008.07744</v>
      </c>
      <c r="C10" s="42">
        <f>D10/B10</f>
        <v>2.2508762925197483</v>
      </c>
      <c r="D10" s="43">
        <f>SUM(D3:D9)</f>
        <v>2269.057610719999</v>
      </c>
      <c r="E10" s="7"/>
      <c r="F10" s="7"/>
      <c r="G10" s="7"/>
    </row>
    <row r="11" spans="1:7" ht="16.5" customHeight="1" thickBot="1" x14ac:dyDescent="0.25">
      <c r="A11" s="61"/>
      <c r="B11" s="61"/>
      <c r="C11" s="61"/>
      <c r="D11" s="61"/>
      <c r="E11" s="7"/>
      <c r="F11" s="7"/>
      <c r="G11" s="7"/>
    </row>
    <row r="12" spans="1:7" ht="16.5" customHeight="1" thickBot="1" x14ac:dyDescent="0.25">
      <c r="A12" s="40" t="s">
        <v>42</v>
      </c>
      <c r="B12" s="62">
        <f>B10-B9</f>
        <v>915.66796752899199</v>
      </c>
      <c r="C12" s="63">
        <f>D12/B12</f>
        <v>2.2345147217161703</v>
      </c>
      <c r="D12" s="64">
        <f>D10-D9</f>
        <v>2046.0735536474567</v>
      </c>
      <c r="E12" s="7"/>
      <c r="F12" s="7"/>
      <c r="G12" s="7"/>
    </row>
    <row r="13" spans="1:7" ht="17" thickBot="1" x14ac:dyDescent="0.25">
      <c r="A13" s="7"/>
      <c r="B13" s="7"/>
      <c r="C13" s="7"/>
      <c r="D13" s="7"/>
      <c r="E13" s="7"/>
      <c r="F13" s="7"/>
      <c r="G13" s="7"/>
    </row>
    <row r="14" spans="1:7" x14ac:dyDescent="0.2">
      <c r="A14" s="44" t="s">
        <v>29</v>
      </c>
      <c r="B14" s="28">
        <v>34</v>
      </c>
      <c r="C14" s="8" t="s">
        <v>44</v>
      </c>
      <c r="D14" s="68">
        <f>((C10-D28)/D15)*100</f>
        <v>16.199518883879417</v>
      </c>
      <c r="E14" s="7"/>
      <c r="F14" s="7"/>
      <c r="G14" s="7"/>
    </row>
    <row r="15" spans="1:7" ht="17" thickBot="1" x14ac:dyDescent="0.25">
      <c r="A15" s="45" t="s">
        <v>30</v>
      </c>
      <c r="B15" s="52">
        <f>B14*B22</f>
        <v>128.70400065600001</v>
      </c>
      <c r="C15" s="66" t="s">
        <v>43</v>
      </c>
      <c r="D15" s="67">
        <f>D23</f>
        <v>1.6020000000000001</v>
      </c>
      <c r="E15" s="7"/>
      <c r="F15" s="7"/>
      <c r="G15" s="7"/>
    </row>
    <row r="16" spans="1:7" x14ac:dyDescent="0.2">
      <c r="A16" s="7"/>
      <c r="B16" s="7"/>
      <c r="C16" s="7"/>
      <c r="D16" s="7"/>
      <c r="E16" s="7"/>
      <c r="F16" s="7"/>
      <c r="G16" s="7"/>
    </row>
    <row r="17" spans="1:7" x14ac:dyDescent="0.2">
      <c r="A17" s="7"/>
      <c r="B17" s="7"/>
      <c r="C17" s="7"/>
      <c r="D17" s="7"/>
      <c r="E17" s="7"/>
      <c r="F17" s="7"/>
      <c r="G17" s="7"/>
    </row>
    <row r="18" spans="1:7" x14ac:dyDescent="0.2">
      <c r="A18" s="46"/>
      <c r="B18" s="46"/>
      <c r="C18" s="7"/>
      <c r="D18" s="7"/>
      <c r="E18" s="7"/>
      <c r="F18" s="7"/>
      <c r="G18" s="7"/>
    </row>
    <row r="19" spans="1:7" ht="20" thickBot="1" x14ac:dyDescent="0.3">
      <c r="A19" s="47" t="s">
        <v>24</v>
      </c>
      <c r="B19" s="7"/>
      <c r="C19" s="7"/>
      <c r="D19" s="7"/>
      <c r="E19" s="7"/>
      <c r="F19" s="7"/>
      <c r="G19" s="7"/>
    </row>
    <row r="20" spans="1:7" x14ac:dyDescent="0.2">
      <c r="A20" s="48" t="s">
        <v>23</v>
      </c>
      <c r="B20" s="74">
        <v>0.45359237000000002</v>
      </c>
      <c r="C20" s="66" t="s">
        <v>50</v>
      </c>
      <c r="D20" s="67">
        <v>1.6</v>
      </c>
      <c r="E20" s="7" t="s">
        <v>56</v>
      </c>
      <c r="F20" s="7"/>
      <c r="G20" s="7"/>
    </row>
    <row r="21" spans="1:7" x14ac:dyDescent="0.2">
      <c r="A21" s="49" t="s">
        <v>27</v>
      </c>
      <c r="B21" s="75">
        <v>2.5399999999999999E-2</v>
      </c>
      <c r="C21" s="66" t="s">
        <v>51</v>
      </c>
      <c r="D21" s="67">
        <v>1.07</v>
      </c>
      <c r="E21" s="7" t="s">
        <v>56</v>
      </c>
      <c r="F21" s="7"/>
      <c r="G21" s="7"/>
    </row>
    <row r="22" spans="1:7" x14ac:dyDescent="0.2">
      <c r="A22" s="49" t="s">
        <v>25</v>
      </c>
      <c r="B22" s="75">
        <v>3.7854117839999999</v>
      </c>
      <c r="C22" s="66" t="s">
        <v>53</v>
      </c>
      <c r="D22" s="67">
        <f>D21/D20</f>
        <v>0.66874999999999996</v>
      </c>
      <c r="E22" s="7"/>
      <c r="F22" s="7"/>
      <c r="G22" s="7"/>
    </row>
    <row r="23" spans="1:7" ht="17" thickBot="1" x14ac:dyDescent="0.25">
      <c r="A23" s="50" t="s">
        <v>26</v>
      </c>
      <c r="B23" s="76">
        <v>0.71799999999999997</v>
      </c>
      <c r="C23" s="66" t="s">
        <v>52</v>
      </c>
      <c r="D23" s="67">
        <v>1.6020000000000001</v>
      </c>
      <c r="E23" s="7" t="s">
        <v>56</v>
      </c>
      <c r="F23" s="7"/>
      <c r="G23" s="7"/>
    </row>
    <row r="24" spans="1:7" x14ac:dyDescent="0.2">
      <c r="A24" s="7"/>
      <c r="B24" s="7"/>
      <c r="C24" s="66"/>
      <c r="D24" s="67"/>
      <c r="E24" s="7"/>
      <c r="F24" s="7"/>
      <c r="G24" s="7"/>
    </row>
    <row r="25" spans="1:7" x14ac:dyDescent="0.2">
      <c r="A25" s="7"/>
      <c r="B25" s="7"/>
      <c r="C25" s="66" t="s">
        <v>54</v>
      </c>
      <c r="D25" s="67">
        <v>15.8</v>
      </c>
      <c r="E25" s="7" t="s">
        <v>57</v>
      </c>
      <c r="F25" s="7"/>
      <c r="G25" s="7"/>
    </row>
    <row r="26" spans="1:7" ht="20" thickBot="1" x14ac:dyDescent="0.3">
      <c r="A26" s="47" t="s">
        <v>22</v>
      </c>
      <c r="B26" s="7"/>
      <c r="C26" s="66" t="s">
        <v>55</v>
      </c>
      <c r="D26" s="79">
        <f>RADIANS(5)</f>
        <v>8.7266462599716474E-2</v>
      </c>
      <c r="E26" s="7" t="s">
        <v>58</v>
      </c>
      <c r="F26" s="7"/>
      <c r="G26" s="7"/>
    </row>
    <row r="27" spans="1:7" x14ac:dyDescent="0.2">
      <c r="A27" s="51" t="s">
        <v>21</v>
      </c>
      <c r="B27" s="19" t="s">
        <v>65</v>
      </c>
      <c r="C27" s="66" t="s">
        <v>59</v>
      </c>
      <c r="D27" s="79">
        <f>D20*((1+2*D22)/12)*D25*TAN(D26)</f>
        <v>0.43082334208949186</v>
      </c>
      <c r="E27" s="7" t="s">
        <v>56</v>
      </c>
      <c r="F27" s="7"/>
      <c r="G27" s="7"/>
    </row>
    <row r="28" spans="1:7" x14ac:dyDescent="0.2">
      <c r="A28" s="71">
        <f>83*B21</f>
        <v>2.1082000000000001</v>
      </c>
      <c r="B28" s="9">
        <f>1200*B20</f>
        <v>544.31084399999997</v>
      </c>
      <c r="C28" s="66" t="s">
        <v>61</v>
      </c>
      <c r="D28" s="79">
        <f>Weighting_1!B12*B21</f>
        <v>1.99136</v>
      </c>
      <c r="E28" s="7" t="s">
        <v>56</v>
      </c>
      <c r="F28" s="7"/>
      <c r="G28" s="7"/>
    </row>
    <row r="29" spans="1:7" x14ac:dyDescent="0.2">
      <c r="A29" s="71">
        <f>A28</f>
        <v>2.1082000000000001</v>
      </c>
      <c r="B29" s="9">
        <f>1950*B20</f>
        <v>884.50512150000009</v>
      </c>
      <c r="C29" s="66" t="s">
        <v>60</v>
      </c>
      <c r="D29" s="79">
        <f>D28+D27</f>
        <v>2.4221833420894918</v>
      </c>
      <c r="E29" s="7" t="s">
        <v>56</v>
      </c>
      <c r="F29" s="7"/>
      <c r="G29" s="7"/>
    </row>
    <row r="30" spans="1:7" x14ac:dyDescent="0.2">
      <c r="A30" s="71">
        <f>88*B21</f>
        <v>2.2351999999999999</v>
      </c>
      <c r="B30" s="9">
        <f>2440*B20</f>
        <v>1106.7653828</v>
      </c>
      <c r="C30" s="7"/>
      <c r="D30" s="7"/>
      <c r="E30" s="7"/>
      <c r="F30" s="7"/>
      <c r="G30" s="7"/>
    </row>
    <row r="31" spans="1:7" ht="21" x14ac:dyDescent="0.3">
      <c r="A31" s="71">
        <f>93*B21</f>
        <v>2.3622000000000001</v>
      </c>
      <c r="B31" s="9">
        <f>B30</f>
        <v>1106.7653828</v>
      </c>
      <c r="C31" s="7"/>
      <c r="D31" s="78"/>
      <c r="E31" s="7"/>
      <c r="F31" s="7"/>
      <c r="G31" s="7"/>
    </row>
    <row r="32" spans="1:7" x14ac:dyDescent="0.2">
      <c r="A32" s="71">
        <f>A31</f>
        <v>2.3622000000000001</v>
      </c>
      <c r="B32" s="9">
        <f>B28</f>
        <v>544.31084399999997</v>
      </c>
      <c r="C32" s="7"/>
      <c r="D32" s="7"/>
      <c r="E32" s="7"/>
      <c r="F32" s="7"/>
      <c r="G32" s="7"/>
    </row>
    <row r="33" spans="1:7" ht="17" thickBot="1" x14ac:dyDescent="0.25">
      <c r="A33" s="72">
        <f>A28</f>
        <v>2.1082000000000001</v>
      </c>
      <c r="B33" s="73">
        <f>B28</f>
        <v>544.31084399999997</v>
      </c>
      <c r="C33" s="7"/>
      <c r="D33" s="7"/>
      <c r="E33" s="7"/>
      <c r="F33" s="7"/>
      <c r="G33" s="7"/>
    </row>
    <row r="34" spans="1:7" ht="41.25" customHeight="1" x14ac:dyDescent="0.2">
      <c r="A34" s="7"/>
      <c r="B34" s="7"/>
      <c r="C34" s="7"/>
      <c r="D34" s="7"/>
      <c r="E34" s="7"/>
      <c r="F34" s="7"/>
      <c r="G34" s="7"/>
    </row>
  </sheetData>
  <sheetProtection selectLockedCells="1"/>
  <pageMargins left="0.7" right="0.7" top="0.75" bottom="0.75" header="0.3" footer="0.3"/>
  <pageSetup paperSize="9" scale="86" orientation="landscape" horizontalDpi="4294967293" verticalDpi="0" r:id="rId1"/>
  <ignoredErrors>
    <ignoredError sqref="C10 C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2"/>
  <sheetViews>
    <sheetView workbookViewId="0">
      <selection activeCell="J15" sqref="J15"/>
    </sheetView>
  </sheetViews>
  <sheetFormatPr baseColWidth="10" defaultColWidth="10.83203125" defaultRowHeight="16" x14ac:dyDescent="0.2"/>
  <cols>
    <col min="1" max="1" width="22.6640625" style="5" customWidth="1"/>
    <col min="2" max="2" width="9.5" style="5" customWidth="1"/>
    <col min="3" max="3" width="16.1640625" style="5" bestFit="1" customWidth="1"/>
    <col min="4" max="4" width="20.83203125" style="5" bestFit="1" customWidth="1"/>
    <col min="5" max="5" width="14.1640625" style="5" bestFit="1" customWidth="1"/>
    <col min="6" max="6" width="10.83203125" style="5"/>
    <col min="7" max="7" width="6" style="5" customWidth="1"/>
    <col min="8" max="16384" width="10.83203125" style="5"/>
  </cols>
  <sheetData>
    <row r="1" spans="1:7" x14ac:dyDescent="0.2">
      <c r="A1" s="7"/>
      <c r="B1" s="7"/>
      <c r="C1" s="7"/>
      <c r="D1" s="7"/>
      <c r="E1" s="7"/>
      <c r="F1" s="7"/>
      <c r="G1" s="7"/>
    </row>
    <row r="2" spans="1:7" x14ac:dyDescent="0.2">
      <c r="A2" s="6" t="s">
        <v>1</v>
      </c>
      <c r="B2" s="65" t="s">
        <v>14</v>
      </c>
      <c r="C2" s="7"/>
      <c r="D2" s="7"/>
      <c r="E2" s="7"/>
      <c r="F2" s="7"/>
      <c r="G2" s="7"/>
    </row>
    <row r="3" spans="1:7" x14ac:dyDescent="0.2">
      <c r="A3" s="6" t="s">
        <v>3</v>
      </c>
      <c r="B3" s="77">
        <v>43622</v>
      </c>
      <c r="C3" s="14"/>
      <c r="D3" s="7"/>
      <c r="E3" s="7"/>
      <c r="F3" s="7"/>
      <c r="G3" s="7"/>
    </row>
    <row r="4" spans="1:7" ht="17" thickBot="1" x14ac:dyDescent="0.25">
      <c r="A4" s="7"/>
      <c r="B4" s="7"/>
      <c r="C4" s="7"/>
      <c r="D4" s="7"/>
      <c r="E4" s="7"/>
      <c r="F4" s="7"/>
      <c r="G4" s="7"/>
    </row>
    <row r="5" spans="1:7" x14ac:dyDescent="0.2">
      <c r="A5" s="15" t="s">
        <v>11</v>
      </c>
      <c r="B5" s="16" t="s">
        <v>12</v>
      </c>
      <c r="C5" s="17" t="s">
        <v>8</v>
      </c>
      <c r="D5" s="18" t="s">
        <v>9</v>
      </c>
      <c r="E5" s="19" t="s">
        <v>10</v>
      </c>
      <c r="F5" s="20" t="s">
        <v>46</v>
      </c>
      <c r="G5" s="7"/>
    </row>
    <row r="6" spans="1:7" x14ac:dyDescent="0.2">
      <c r="A6" s="12" t="s">
        <v>5</v>
      </c>
      <c r="B6" s="1">
        <v>2</v>
      </c>
      <c r="C6" s="21">
        <v>212.7</v>
      </c>
      <c r="D6" s="22">
        <v>0</v>
      </c>
      <c r="E6" s="9">
        <f>C6-D6</f>
        <v>212.7</v>
      </c>
      <c r="F6" s="10">
        <v>31</v>
      </c>
      <c r="G6" s="7"/>
    </row>
    <row r="7" spans="1:7" x14ac:dyDescent="0.2">
      <c r="A7" s="12" t="s">
        <v>4</v>
      </c>
      <c r="B7" s="1">
        <v>3</v>
      </c>
      <c r="C7" s="21">
        <v>302.10000000000002</v>
      </c>
      <c r="D7" s="22">
        <v>0</v>
      </c>
      <c r="E7" s="9">
        <f t="shared" ref="E7:E9" si="0">C7-D7</f>
        <v>302.10000000000002</v>
      </c>
      <c r="F7" s="10">
        <v>109.7</v>
      </c>
      <c r="G7" s="7"/>
    </row>
    <row r="8" spans="1:7" ht="17" thickBot="1" x14ac:dyDescent="0.25">
      <c r="A8" s="13" t="s">
        <v>6</v>
      </c>
      <c r="B8" s="2">
        <v>1</v>
      </c>
      <c r="C8" s="23">
        <v>300.5</v>
      </c>
      <c r="D8" s="24">
        <v>0</v>
      </c>
      <c r="E8" s="11">
        <f t="shared" ref="E8" si="1">C8-D8</f>
        <v>300.5</v>
      </c>
      <c r="F8" s="25">
        <v>109.7</v>
      </c>
      <c r="G8" s="7"/>
    </row>
    <row r="9" spans="1:7" ht="17" thickBot="1" x14ac:dyDescent="0.25">
      <c r="A9" s="3" t="s">
        <v>7</v>
      </c>
      <c r="B9" s="54"/>
      <c r="C9" s="53">
        <f>SUM(C6:C8)</f>
        <v>815.3</v>
      </c>
      <c r="D9" s="4">
        <f>SUM(D6:D8)</f>
        <v>0</v>
      </c>
      <c r="E9" s="26">
        <f t="shared" si="0"/>
        <v>815.3</v>
      </c>
      <c r="F9" s="7"/>
      <c r="G9" s="7"/>
    </row>
    <row r="10" spans="1:7" x14ac:dyDescent="0.2">
      <c r="A10" s="6"/>
      <c r="B10" s="7"/>
      <c r="C10" s="7"/>
      <c r="D10" s="7"/>
      <c r="E10" s="7"/>
      <c r="F10" s="7"/>
      <c r="G10" s="7"/>
    </row>
    <row r="11" spans="1:7" ht="17" thickBot="1" x14ac:dyDescent="0.25">
      <c r="A11" s="6" t="s">
        <v>13</v>
      </c>
      <c r="B11" s="7"/>
      <c r="C11" s="7"/>
      <c r="E11" s="8" t="s">
        <v>37</v>
      </c>
      <c r="F11" s="58">
        <f>($E$6*$F$6+($E$7+$E$8)*$F$7)/$E$9</f>
        <v>89.168306144977308</v>
      </c>
      <c r="G11" s="7"/>
    </row>
    <row r="12" spans="1:7" ht="17" thickTop="1" x14ac:dyDescent="0.2">
      <c r="A12" s="7" t="s">
        <v>62</v>
      </c>
      <c r="B12" s="67">
        <v>78.400000000000006</v>
      </c>
      <c r="C12" s="7"/>
      <c r="D12" s="7"/>
      <c r="E12" s="7"/>
      <c r="F12" s="7"/>
      <c r="G12" s="7"/>
    </row>
    <row r="13" spans="1:7" x14ac:dyDescent="0.2">
      <c r="A13" s="7" t="s">
        <v>64</v>
      </c>
      <c r="B13" s="67">
        <v>3.5</v>
      </c>
      <c r="C13" s="7"/>
      <c r="D13" s="7"/>
      <c r="E13" s="7"/>
      <c r="F13" s="7"/>
      <c r="G13" s="7"/>
    </row>
    <row r="14" spans="1:7" x14ac:dyDescent="0.2">
      <c r="A14" s="5" t="s">
        <v>63</v>
      </c>
      <c r="B14" s="67">
        <v>5</v>
      </c>
      <c r="C14" s="7"/>
      <c r="D14" s="7"/>
      <c r="E14" s="7"/>
      <c r="F14" s="7"/>
      <c r="G14" s="7"/>
    </row>
    <row r="15" spans="1:7" x14ac:dyDescent="0.2">
      <c r="B15" s="7"/>
      <c r="C15" s="7"/>
      <c r="D15" s="7"/>
      <c r="E15" s="7"/>
      <c r="F15" s="7"/>
      <c r="G15" s="7"/>
    </row>
    <row r="16" spans="1:7" x14ac:dyDescent="0.2">
      <c r="A16" s="55"/>
      <c r="B16" s="55"/>
      <c r="C16" s="55"/>
      <c r="D16" s="55"/>
      <c r="E16" s="55"/>
      <c r="F16" s="55"/>
      <c r="G16" s="55"/>
    </row>
    <row r="17" spans="1:7" x14ac:dyDescent="0.2">
      <c r="A17" s="55" t="s">
        <v>32</v>
      </c>
      <c r="B17" s="56">
        <v>34</v>
      </c>
      <c r="C17" s="55"/>
      <c r="D17" s="55" t="s">
        <v>38</v>
      </c>
      <c r="E17" s="57">
        <f>$C$9*$F$11*Mass_and_Balance_Calc!$B$21</f>
        <v>1846.5525679999998</v>
      </c>
      <c r="F17" s="55"/>
      <c r="G17" s="55"/>
    </row>
    <row r="18" spans="1:7" x14ac:dyDescent="0.2">
      <c r="A18" s="55" t="s">
        <v>47</v>
      </c>
      <c r="B18" s="56">
        <v>40.08</v>
      </c>
      <c r="C18" s="55"/>
      <c r="D18" s="55" t="s">
        <v>35</v>
      </c>
      <c r="E18" s="57">
        <f>Mass_and_Balance_Calc!C9*Weighting_1!B21</f>
        <v>153.54409435254229</v>
      </c>
      <c r="F18" s="55"/>
      <c r="G18" s="55"/>
    </row>
    <row r="19" spans="1:7" x14ac:dyDescent="0.2">
      <c r="A19" s="55" t="s">
        <v>33</v>
      </c>
      <c r="B19" s="57">
        <f>B18/Mass_and_Balance_Calc!B22</f>
        <v>10.588015858514588</v>
      </c>
      <c r="C19" s="55"/>
      <c r="D19" s="55" t="s">
        <v>39</v>
      </c>
      <c r="E19" s="57">
        <f>E17-E18</f>
        <v>1693.0084736474575</v>
      </c>
      <c r="F19" s="55"/>
      <c r="G19" s="55"/>
    </row>
    <row r="20" spans="1:7" x14ac:dyDescent="0.2">
      <c r="A20" s="55" t="s">
        <v>34</v>
      </c>
      <c r="B20" s="57">
        <f>B17-B19</f>
        <v>23.411984141485412</v>
      </c>
      <c r="C20" s="55"/>
      <c r="D20" s="55" t="s">
        <v>40</v>
      </c>
      <c r="E20" s="57">
        <f>C9-B21</f>
        <v>751.66796752899199</v>
      </c>
      <c r="F20" s="55"/>
      <c r="G20" s="55"/>
    </row>
    <row r="21" spans="1:7" ht="17" thickBot="1" x14ac:dyDescent="0.25">
      <c r="A21" s="55" t="s">
        <v>36</v>
      </c>
      <c r="B21" s="57">
        <f>B20*Mass_and_Balance_Calc!B22*Mass_and_Balance_Calc!B23</f>
        <v>63.632032471008003</v>
      </c>
      <c r="C21" s="55"/>
      <c r="D21" s="55" t="s">
        <v>41</v>
      </c>
      <c r="E21" s="59">
        <f>E19/E20/Mass_and_Balance_Calc!B21</f>
        <v>88.674627354907713</v>
      </c>
      <c r="F21" s="55"/>
      <c r="G21" s="55"/>
    </row>
    <row r="22" spans="1:7" ht="17" thickTop="1" x14ac:dyDescent="0.2">
      <c r="A22" s="55"/>
      <c r="B22" s="55"/>
      <c r="C22" s="55"/>
      <c r="D22" s="55"/>
      <c r="E22" s="55"/>
      <c r="F22" s="55"/>
      <c r="G22" s="55"/>
    </row>
  </sheetData>
  <sheetProtection selectLockedCells="1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Mass_and_Balance_Calc</vt:lpstr>
      <vt:lpstr>Weighting_1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Kevin Spillmann</cp:lastModifiedBy>
  <cp:lastPrinted>2019-06-15T15:47:17Z</cp:lastPrinted>
  <dcterms:created xsi:type="dcterms:W3CDTF">2017-08-17T13:07:04Z</dcterms:created>
  <dcterms:modified xsi:type="dcterms:W3CDTF">2019-09-11T19:57:35Z</dcterms:modified>
</cp:coreProperties>
</file>