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5175" windowHeight="1965"/>
  </bookViews>
  <sheets>
    <sheet name="Fix" sheetId="14" r:id="rId1"/>
    <sheet name="Fix LK" sheetId="16" r:id="rId2"/>
  </sheets>
  <calcPr calcId="145621"/>
</workbook>
</file>

<file path=xl/calcChain.xml><?xml version="1.0" encoding="utf-8"?>
<calcChain xmlns="http://schemas.openxmlformats.org/spreadsheetml/2006/main">
  <c r="W13" i="14" l="1"/>
  <c r="B50" i="14"/>
  <c r="W18" i="14"/>
  <c r="V18" i="14"/>
  <c r="T10" i="14"/>
  <c r="U10" i="14" s="1"/>
  <c r="T11" i="14"/>
  <c r="T12" i="14"/>
  <c r="T13" i="14"/>
  <c r="U13" i="14" s="1"/>
  <c r="T14" i="14"/>
  <c r="U14" i="14" s="1"/>
  <c r="T9" i="14"/>
  <c r="U9" i="14" s="1"/>
  <c r="U11" i="14"/>
  <c r="U12" i="14"/>
  <c r="S14" i="14"/>
  <c r="S13" i="14"/>
  <c r="S12" i="14"/>
  <c r="S11" i="14"/>
  <c r="S10" i="14"/>
  <c r="S4" i="14"/>
  <c r="I76" i="14" l="1"/>
  <c r="B29" i="16" l="1"/>
  <c r="B59" i="16" s="1"/>
  <c r="B28" i="16"/>
  <c r="B68" i="16" s="1"/>
  <c r="B27" i="16"/>
  <c r="B63" i="16"/>
  <c r="F61" i="16"/>
  <c r="G60" i="16"/>
  <c r="F59" i="16"/>
  <c r="F56" i="16"/>
  <c r="B56" i="16"/>
  <c r="F55" i="16"/>
  <c r="F54" i="16"/>
  <c r="B54" i="16"/>
  <c r="F52" i="16"/>
  <c r="F51" i="16"/>
  <c r="F50" i="16"/>
  <c r="F46" i="16"/>
  <c r="B45" i="16"/>
  <c r="B43" i="16"/>
  <c r="B42" i="16"/>
  <c r="L41" i="16"/>
  <c r="B34" i="16"/>
  <c r="B33" i="16"/>
  <c r="B32" i="16"/>
  <c r="B30" i="16"/>
  <c r="B64" i="16" s="1"/>
  <c r="B26" i="16"/>
  <c r="B25" i="16"/>
  <c r="B57" i="16" s="1"/>
  <c r="B24" i="16"/>
  <c r="B55" i="16" s="1"/>
  <c r="B23" i="16"/>
  <c r="B50" i="16" s="1"/>
  <c r="B22" i="16"/>
  <c r="B41" i="16" s="1"/>
  <c r="B21" i="16"/>
  <c r="B40" i="16" s="1"/>
  <c r="C40" i="16" s="1"/>
  <c r="E40" i="16" s="1"/>
  <c r="C18" i="16"/>
  <c r="B18" i="16"/>
  <c r="B31" i="16" s="1"/>
  <c r="I6" i="16"/>
  <c r="I5" i="16"/>
  <c r="A5" i="16"/>
  <c r="A6" i="16" s="1"/>
  <c r="A9" i="16" s="1"/>
  <c r="J17" i="16" s="1"/>
  <c r="I4" i="16"/>
  <c r="A4" i="16"/>
  <c r="I3" i="16"/>
  <c r="K28" i="16" l="1"/>
  <c r="B44" i="16"/>
  <c r="K31" i="16"/>
  <c r="C41" i="16"/>
  <c r="E41" i="16" s="1"/>
  <c r="B51" i="16"/>
  <c r="B66" i="16"/>
  <c r="K29" i="16"/>
  <c r="B61" i="16"/>
  <c r="K30" i="16"/>
  <c r="B47" i="16"/>
  <c r="B60" i="16" l="1"/>
  <c r="K27" i="16"/>
  <c r="M31" i="16" s="1"/>
  <c r="N31" i="16" s="1"/>
  <c r="B67" i="16"/>
  <c r="I36" i="16"/>
  <c r="J36" i="16" s="1"/>
  <c r="L36" i="16" s="1"/>
  <c r="C42" i="16"/>
  <c r="E42" i="16" l="1"/>
  <c r="C43" i="16"/>
  <c r="E43" i="16" l="1"/>
  <c r="C44" i="16"/>
  <c r="E44" i="16" l="1"/>
  <c r="C45" i="16"/>
  <c r="C46" i="16" l="1"/>
  <c r="E45" i="16"/>
  <c r="E46" i="16" l="1"/>
  <c r="C47" i="16"/>
  <c r="E47" i="16" l="1"/>
  <c r="C48" i="16"/>
  <c r="B30" i="14"/>
  <c r="B63" i="14" s="1"/>
  <c r="B26" i="14"/>
  <c r="B56" i="14" s="1"/>
  <c r="B25" i="14"/>
  <c r="B54" i="14" s="1"/>
  <c r="F61" i="14"/>
  <c r="G60" i="14"/>
  <c r="F59" i="14"/>
  <c r="F56" i="14"/>
  <c r="F55" i="14"/>
  <c r="F54" i="14"/>
  <c r="F52" i="14"/>
  <c r="F51" i="14"/>
  <c r="F50" i="14"/>
  <c r="F46" i="14"/>
  <c r="L41" i="14"/>
  <c r="B34" i="14"/>
  <c r="B45" i="14" s="1"/>
  <c r="B33" i="14"/>
  <c r="B43" i="14" s="1"/>
  <c r="B32" i="14"/>
  <c r="B42" i="14" s="1"/>
  <c r="B24" i="14"/>
  <c r="B55" i="14" s="1"/>
  <c r="B23" i="14"/>
  <c r="B22" i="14"/>
  <c r="B41" i="14" s="1"/>
  <c r="B21" i="14"/>
  <c r="B40" i="14" s="1"/>
  <c r="C40" i="14" s="1"/>
  <c r="C18" i="14"/>
  <c r="B18" i="14"/>
  <c r="I6" i="14"/>
  <c r="I5" i="14"/>
  <c r="A5" i="14"/>
  <c r="A6" i="14" s="1"/>
  <c r="I4" i="14"/>
  <c r="A4" i="14"/>
  <c r="I3" i="14"/>
  <c r="A9" i="14" l="1"/>
  <c r="J17" i="14" s="1"/>
  <c r="C41" i="14"/>
  <c r="C49" i="16"/>
  <c r="E48" i="16"/>
  <c r="B31" i="14"/>
  <c r="K31" i="14" s="1"/>
  <c r="B29" i="14"/>
  <c r="K29" i="14" s="1"/>
  <c r="B57" i="14"/>
  <c r="B64" i="14"/>
  <c r="B28" i="14"/>
  <c r="B27" i="14"/>
  <c r="E41" i="14"/>
  <c r="B51" i="14"/>
  <c r="E40" i="14"/>
  <c r="C42" i="14"/>
  <c r="E42" i="14" s="1"/>
  <c r="K30" i="14"/>
  <c r="B47" i="14"/>
  <c r="E49" i="16" l="1"/>
  <c r="C50" i="16"/>
  <c r="B44" i="14"/>
  <c r="I36" i="14" s="1"/>
  <c r="J36" i="14" s="1"/>
  <c r="L36" i="14" s="1"/>
  <c r="B59" i="14"/>
  <c r="B66" i="14"/>
  <c r="C43" i="14"/>
  <c r="E43" i="14" s="1"/>
  <c r="K28" i="14"/>
  <c r="B68" i="14"/>
  <c r="B61" i="14"/>
  <c r="B60" i="14"/>
  <c r="K27" i="14"/>
  <c r="B67" i="14"/>
  <c r="E50" i="16" l="1"/>
  <c r="C51" i="16"/>
  <c r="C44" i="14"/>
  <c r="E44" i="14" s="1"/>
  <c r="M31" i="14"/>
  <c r="N31" i="14" s="1"/>
  <c r="C52" i="16" l="1"/>
  <c r="E51" i="16"/>
  <c r="C45" i="14"/>
  <c r="C46" i="14" s="1"/>
  <c r="C53" i="16" l="1"/>
  <c r="E52" i="16"/>
  <c r="E45" i="14"/>
  <c r="E46" i="14"/>
  <c r="C47" i="14"/>
  <c r="E53" i="16" l="1"/>
  <c r="C54" i="16"/>
  <c r="C48" i="14"/>
  <c r="E47" i="14"/>
  <c r="E54" i="16" l="1"/>
  <c r="C55" i="16"/>
  <c r="E48" i="14"/>
  <c r="C49" i="14"/>
  <c r="E55" i="16" l="1"/>
  <c r="C56" i="16"/>
  <c r="E49" i="14"/>
  <c r="C50" i="14"/>
  <c r="E56" i="16" l="1"/>
  <c r="C57" i="16"/>
  <c r="E50" i="14"/>
  <c r="C51" i="14"/>
  <c r="E57" i="16" l="1"/>
  <c r="C58" i="16"/>
  <c r="E51" i="14"/>
  <c r="C52" i="14"/>
  <c r="E58" i="16" l="1"/>
  <c r="C59" i="16"/>
  <c r="C53" i="14"/>
  <c r="E52" i="14"/>
  <c r="E59" i="16" l="1"/>
  <c r="C60" i="16"/>
  <c r="E53" i="14"/>
  <c r="C54" i="14"/>
  <c r="C55" i="14" s="1"/>
  <c r="E60" i="16" l="1"/>
  <c r="I58" i="16" s="1"/>
  <c r="C61" i="16"/>
  <c r="E54" i="14"/>
  <c r="C62" i="16" l="1"/>
  <c r="E61" i="16"/>
  <c r="E55" i="14"/>
  <c r="C56" i="14"/>
  <c r="E62" i="16" l="1"/>
  <c r="C63" i="16"/>
  <c r="E56" i="14"/>
  <c r="C57" i="14"/>
  <c r="E63" i="16" l="1"/>
  <c r="C64" i="16"/>
  <c r="C58" i="14"/>
  <c r="E57" i="14"/>
  <c r="C65" i="16" l="1"/>
  <c r="E64" i="16"/>
  <c r="E58" i="14"/>
  <c r="C59" i="14"/>
  <c r="E59" i="14" s="1"/>
  <c r="E65" i="16" l="1"/>
  <c r="C66" i="16"/>
  <c r="C60" i="14"/>
  <c r="E66" i="16" l="1"/>
  <c r="C67" i="16"/>
  <c r="E60" i="14"/>
  <c r="I58" i="14" s="1"/>
  <c r="C61" i="14"/>
  <c r="E67" i="16" l="1"/>
  <c r="C68" i="16"/>
  <c r="E68" i="16" s="1"/>
  <c r="E70" i="16" s="1"/>
  <c r="C62" i="14"/>
  <c r="E61" i="14"/>
  <c r="E62" i="14" l="1"/>
  <c r="C63" i="14"/>
  <c r="E63" i="14" l="1"/>
  <c r="C64" i="14"/>
  <c r="C65" i="14" l="1"/>
  <c r="E64" i="14"/>
  <c r="E65" i="14" l="1"/>
  <c r="C66" i="14"/>
  <c r="E66" i="14" l="1"/>
  <c r="C67" i="14"/>
  <c r="E67" i="14" l="1"/>
  <c r="C68" i="14"/>
  <c r="E68" i="14" s="1"/>
  <c r="E70" i="14" l="1"/>
</calcChain>
</file>

<file path=xl/sharedStrings.xml><?xml version="1.0" encoding="utf-8"?>
<sst xmlns="http://schemas.openxmlformats.org/spreadsheetml/2006/main" count="187" uniqueCount="96">
  <si>
    <t>Double:</t>
  </si>
  <si>
    <t>GB</t>
  </si>
  <si>
    <t>MB</t>
  </si>
  <si>
    <t>KB</t>
  </si>
  <si>
    <t>B</t>
  </si>
  <si>
    <t>Arrays</t>
  </si>
  <si>
    <t>Doubles per GB</t>
  </si>
  <si>
    <t>Simulation Params:</t>
  </si>
  <si>
    <t>ARRAY</t>
  </si>
  <si>
    <t>etamax</t>
  </si>
  <si>
    <t>NG</t>
  </si>
  <si>
    <t>NC</t>
  </si>
  <si>
    <t>Order/2 + 1</t>
  </si>
  <si>
    <t>Order</t>
  </si>
  <si>
    <t>CovPot</t>
  </si>
  <si>
    <t>Doubles</t>
  </si>
  <si>
    <t>static double CovPot[2][NG][etamax][ARRAY][ARRAY]</t>
  </si>
  <si>
    <t>complex&lt;double&gt; U[2][ARRAY][ARRAY][3][3]</t>
  </si>
  <si>
    <t>U</t>
  </si>
  <si>
    <t>static complex&lt;double&gt; A[2][2][ARRAY][ARRAY][3][3]</t>
  </si>
  <si>
    <t>A</t>
  </si>
  <si>
    <t>static complex&lt;double&gt; A2[Order/2 +1][ARRAY][ARRAY][3][3]</t>
  </si>
  <si>
    <t>A2</t>
  </si>
  <si>
    <t>static complex&lt;double&gt; Ai[Order/2][2][ARRAY][ARRAY][3][3]</t>
  </si>
  <si>
    <t>Ai</t>
  </si>
  <si>
    <t>complex&lt;double&gt; Fij[Order/2][2][3][ARRAY][ARRAY][3][3]</t>
  </si>
  <si>
    <t>Fij</t>
  </si>
  <si>
    <t>Dum Vars (2 of them)</t>
  </si>
  <si>
    <t>complex&lt;double&gt; AT/AS[ARRAY][ARRAY][3][3]</t>
  </si>
  <si>
    <t>T</t>
  </si>
  <si>
    <t>static complex&lt;double&gt; AxCor[2][ARRAY][ARRAY]</t>
  </si>
  <si>
    <t>AA Cor F'ns (2 of them)</t>
  </si>
  <si>
    <t>static double AlphaCor[2][ARRAY][ARRAY]</t>
  </si>
  <si>
    <t>AlphaCor</t>
  </si>
  <si>
    <t>static double RhoCG[2][NG][etamax][ARRAY][ARRAY]</t>
  </si>
  <si>
    <t>RhoCG</t>
  </si>
  <si>
    <t>Current Process:</t>
  </si>
  <si>
    <t>Load/Unloading which?</t>
  </si>
  <si>
    <t>Doubles (running)</t>
  </si>
  <si>
    <t>DeclAACor();</t>
  </si>
  <si>
    <t>DeclAlphaCor();</t>
  </si>
  <si>
    <t>DeclT();</t>
  </si>
  <si>
    <t>Mod</t>
  </si>
  <si>
    <t>N Loop</t>
  </si>
  <si>
    <t>DeclCovPot();</t>
  </si>
  <si>
    <t>Nuc Loop</t>
  </si>
  <si>
    <t>Eta Loop</t>
  </si>
  <si>
    <t>DeclRho();</t>
  </si>
  <si>
    <t>RelRho();</t>
  </si>
  <si>
    <t>Eta Close</t>
  </si>
  <si>
    <t>Nuc Close</t>
  </si>
  <si>
    <t>DeclU();</t>
  </si>
  <si>
    <t>Mem (GB, Running)</t>
  </si>
  <si>
    <t>RelCovPot();</t>
  </si>
  <si>
    <t>DeclA();</t>
  </si>
  <si>
    <t>RelU();</t>
  </si>
  <si>
    <t>DeclFij();</t>
  </si>
  <si>
    <t>DeclA2();</t>
  </si>
  <si>
    <t>DeclAi();</t>
  </si>
  <si>
    <t>Somewhere in recursion</t>
  </si>
  <si>
    <t>DeclDum();</t>
  </si>
  <si>
    <t>RelDum();</t>
  </si>
  <si>
    <t>End Recursion</t>
  </si>
  <si>
    <t>RelFij();</t>
  </si>
  <si>
    <t>RelA2();</t>
  </si>
  <si>
    <t>RelAi();</t>
  </si>
  <si>
    <t>Notes</t>
  </si>
  <si>
    <t>We could merge this process and have rho use 1/8 the memory currently</t>
  </si>
  <si>
    <t>T also can be declared later, but for now it holds statistics</t>
  </si>
  <si>
    <t>T must be in memory at latest here!</t>
  </si>
  <si>
    <t>bytes/double</t>
  </si>
  <si>
    <t>Here is the Recursion</t>
  </si>
  <si>
    <t>Per 2 Orders</t>
  </si>
  <si>
    <t>Now, 10 small Ts</t>
  </si>
  <si>
    <t>Recall</t>
  </si>
  <si>
    <t>DeclT gives Recall</t>
  </si>
  <si>
    <t>MuShape</t>
  </si>
  <si>
    <t>static double MuShape[2][CGRho][CGRho]</t>
  </si>
  <si>
    <t>CDFTable</t>
  </si>
  <si>
    <t>static complex&lt;double&gt; Tmunu[Order/2][ARRAY][ARRAY] (10 arrays by symmetry)</t>
  </si>
  <si>
    <t>DeclMuShape();</t>
  </si>
  <si>
    <t>sizeof(AACor)</t>
  </si>
  <si>
    <t>Tot</t>
  </si>
  <si>
    <t>Free</t>
  </si>
  <si>
    <t>Used</t>
  </si>
  <si>
    <t>BuffCache</t>
  </si>
  <si>
    <t>Mem</t>
  </si>
  <si>
    <t>Events per 1k CPU hours</t>
  </si>
  <si>
    <t>Base Time</t>
  </si>
  <si>
    <t>Time In Rec</t>
  </si>
  <si>
    <t>CPU Hr/ event</t>
  </si>
  <si>
    <t>Tuv</t>
  </si>
  <si>
    <t>E.B?</t>
  </si>
  <si>
    <t>Space/File</t>
  </si>
  <si>
    <t>Files</t>
  </si>
  <si>
    <t>Space/Ord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</si>
</sst>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abSelected="1" topLeftCell="A7" workbookViewId="0">
      <selection activeCell="H17" sqref="H17"/>
    </sheetView>
  </sheetViews>
  <sheetFormatPr defaultRowHeight="15" x14ac:dyDescent="0.25"/>
  <cols>
    <col min="1" max="1" width="21.7109375" customWidth="1"/>
    <col min="2" max="2" width="8.7109375" customWidth="1"/>
    <col min="3" max="3" width="10" bestFit="1" customWidth="1"/>
    <col min="5" max="5" width="12" bestFit="1" customWidth="1"/>
    <col min="6" max="6" width="11.7109375" bestFit="1" customWidth="1"/>
    <col min="8" max="8" width="9.140625" customWidth="1"/>
    <col min="9" max="9" width="10" bestFit="1" customWidth="1"/>
    <col min="11" max="11" width="10" bestFit="1" customWidth="1"/>
    <col min="13" max="13" width="10" bestFit="1" customWidth="1"/>
  </cols>
  <sheetData>
    <row r="1" spans="1:23" x14ac:dyDescent="0.25">
      <c r="A1" t="s">
        <v>0</v>
      </c>
      <c r="B1">
        <v>8</v>
      </c>
      <c r="C1" t="s">
        <v>70</v>
      </c>
    </row>
    <row r="3" spans="1:23" x14ac:dyDescent="0.25">
      <c r="A3">
        <v>1</v>
      </c>
      <c r="B3" t="s">
        <v>1</v>
      </c>
      <c r="F3" t="s">
        <v>82</v>
      </c>
      <c r="G3">
        <v>13132095</v>
      </c>
      <c r="I3">
        <f>G3/1024/1024</f>
        <v>12.523741722106934</v>
      </c>
    </row>
    <row r="4" spans="1:23" x14ac:dyDescent="0.25">
      <c r="A4">
        <f>1024*A3</f>
        <v>1024</v>
      </c>
      <c r="B4" t="s">
        <v>2</v>
      </c>
      <c r="F4" t="s">
        <v>83</v>
      </c>
      <c r="G4">
        <v>10462910</v>
      </c>
      <c r="I4">
        <f>G4/1024/1024</f>
        <v>9.9782085418701172</v>
      </c>
      <c r="R4" t="s">
        <v>88</v>
      </c>
      <c r="S4">
        <f>0+5+92+46</f>
        <v>143</v>
      </c>
    </row>
    <row r="5" spans="1:23" x14ac:dyDescent="0.25">
      <c r="A5">
        <f>1024*A4</f>
        <v>1048576</v>
      </c>
      <c r="B5" t="s">
        <v>3</v>
      </c>
      <c r="F5" t="s">
        <v>84</v>
      </c>
      <c r="G5">
        <v>20052076</v>
      </c>
      <c r="I5">
        <f>G5/1024/1024</f>
        <v>19.123149871826172</v>
      </c>
    </row>
    <row r="6" spans="1:23" x14ac:dyDescent="0.25">
      <c r="A6">
        <f>1024*A5</f>
        <v>1073741824</v>
      </c>
      <c r="B6" t="s">
        <v>4</v>
      </c>
      <c r="F6" t="s">
        <v>85</v>
      </c>
      <c r="G6">
        <v>6639776</v>
      </c>
      <c r="I6">
        <f>G6/1024/1024</f>
        <v>6.332183837890625</v>
      </c>
    </row>
    <row r="8" spans="1:23" x14ac:dyDescent="0.25">
      <c r="Q8" t="s">
        <v>13</v>
      </c>
      <c r="R8" t="s">
        <v>86</v>
      </c>
      <c r="S8" t="s">
        <v>89</v>
      </c>
      <c r="T8" t="s">
        <v>90</v>
      </c>
      <c r="U8" t="s">
        <v>87</v>
      </c>
    </row>
    <row r="9" spans="1:23" x14ac:dyDescent="0.25">
      <c r="A9">
        <f>A6/B1</f>
        <v>134217728</v>
      </c>
      <c r="C9" t="s">
        <v>6</v>
      </c>
      <c r="Q9">
        <v>0</v>
      </c>
      <c r="R9">
        <v>4.9000000000000004</v>
      </c>
      <c r="S9">
        <v>0</v>
      </c>
      <c r="T9">
        <f>ROUNDUP(ROUNDUP(R9,0)/2,0)*($S$4+S9)/3600</f>
        <v>0.11916666666666667</v>
      </c>
      <c r="U9">
        <f>1000/T9</f>
        <v>8391.6083916083917</v>
      </c>
    </row>
    <row r="10" spans="1:23" x14ac:dyDescent="0.25">
      <c r="A10" s="1">
        <v>134000000</v>
      </c>
      <c r="Q10">
        <v>2</v>
      </c>
      <c r="R10">
        <v>7.89</v>
      </c>
      <c r="S10">
        <f>S9+8</f>
        <v>8</v>
      </c>
      <c r="T10">
        <f t="shared" ref="T10:T14" si="0">ROUNDUP(ROUNDUP(R10,0)/2,0)*($S$4+S10)/3600</f>
        <v>0.16777777777777778</v>
      </c>
      <c r="U10">
        <f t="shared" ref="U10:U14" si="1">1000/T10</f>
        <v>5960.2649006622514</v>
      </c>
    </row>
    <row r="11" spans="1:23" x14ac:dyDescent="0.25">
      <c r="Q11">
        <v>4</v>
      </c>
      <c r="R11">
        <v>10.7</v>
      </c>
      <c r="S11">
        <f>S10+17</f>
        <v>25</v>
      </c>
      <c r="T11">
        <f t="shared" si="0"/>
        <v>0.28000000000000003</v>
      </c>
      <c r="U11">
        <f t="shared" si="1"/>
        <v>3571.4285714285711</v>
      </c>
    </row>
    <row r="12" spans="1:23" x14ac:dyDescent="0.25">
      <c r="A12" t="s">
        <v>7</v>
      </c>
      <c r="K12" t="s">
        <v>72</v>
      </c>
      <c r="Q12">
        <v>6</v>
      </c>
      <c r="R12">
        <v>13.6</v>
      </c>
      <c r="S12">
        <f>S11+33</f>
        <v>58</v>
      </c>
      <c r="T12">
        <f t="shared" si="0"/>
        <v>0.39083333333333331</v>
      </c>
      <c r="U12">
        <f t="shared" si="1"/>
        <v>2558.6353944562902</v>
      </c>
    </row>
    <row r="13" spans="1:23" x14ac:dyDescent="0.25">
      <c r="A13" t="s">
        <v>8</v>
      </c>
      <c r="B13">
        <v>1201</v>
      </c>
      <c r="Q13">
        <v>8</v>
      </c>
      <c r="R13">
        <v>16.5</v>
      </c>
      <c r="S13">
        <f>S12+53</f>
        <v>111</v>
      </c>
      <c r="T13">
        <f t="shared" si="0"/>
        <v>0.63500000000000001</v>
      </c>
      <c r="U13">
        <f t="shared" si="1"/>
        <v>1574.8031496062993</v>
      </c>
      <c r="W13">
        <f>(143+182*100+190)/3600</f>
        <v>5.1480555555555556</v>
      </c>
    </row>
    <row r="14" spans="1:23" x14ac:dyDescent="0.25">
      <c r="A14" t="s">
        <v>9</v>
      </c>
      <c r="B14">
        <v>10</v>
      </c>
      <c r="Q14">
        <v>10</v>
      </c>
      <c r="R14">
        <v>19.399999999999999</v>
      </c>
      <c r="S14">
        <f>S13+71</f>
        <v>182</v>
      </c>
      <c r="T14">
        <f t="shared" si="0"/>
        <v>0.90277777777777779</v>
      </c>
      <c r="U14">
        <f t="shared" si="1"/>
        <v>1107.6923076923076</v>
      </c>
    </row>
    <row r="15" spans="1:23" x14ac:dyDescent="0.25">
      <c r="A15" t="s">
        <v>10</v>
      </c>
      <c r="B15">
        <v>8</v>
      </c>
    </row>
    <row r="16" spans="1:23" x14ac:dyDescent="0.25">
      <c r="A16" t="s">
        <v>11</v>
      </c>
      <c r="B16">
        <v>3</v>
      </c>
      <c r="Q16" t="s">
        <v>93</v>
      </c>
      <c r="R16">
        <v>14</v>
      </c>
      <c r="S16" t="s">
        <v>2</v>
      </c>
    </row>
    <row r="17" spans="1:24" x14ac:dyDescent="0.25">
      <c r="A17" t="s">
        <v>13</v>
      </c>
      <c r="B17">
        <v>0</v>
      </c>
      <c r="J17">
        <f>B15*B13*B13*3*3*2/A9</f>
        <v>1.5475283861160278</v>
      </c>
      <c r="V17" t="s">
        <v>94</v>
      </c>
      <c r="W17" t="s">
        <v>95</v>
      </c>
    </row>
    <row r="18" spans="1:24" x14ac:dyDescent="0.25">
      <c r="A18" t="s">
        <v>12</v>
      </c>
      <c r="B18">
        <f>B17/2+1</f>
        <v>1</v>
      </c>
      <c r="C18">
        <f>C17/2+1</f>
        <v>1</v>
      </c>
      <c r="Q18" t="s">
        <v>91</v>
      </c>
      <c r="S18">
        <v>10</v>
      </c>
      <c r="V18">
        <f>SUM(S18:S27)</f>
        <v>11</v>
      </c>
      <c r="W18">
        <f>V18*R16</f>
        <v>154</v>
      </c>
      <c r="X18" t="s">
        <v>2</v>
      </c>
    </row>
    <row r="19" spans="1:24" x14ac:dyDescent="0.25">
      <c r="Q19" t="s">
        <v>92</v>
      </c>
      <c r="S19">
        <v>1</v>
      </c>
    </row>
    <row r="20" spans="1:24" x14ac:dyDescent="0.25">
      <c r="A20" t="s">
        <v>5</v>
      </c>
      <c r="B20" t="s">
        <v>15</v>
      </c>
    </row>
    <row r="21" spans="1:24" x14ac:dyDescent="0.25">
      <c r="A21" t="s">
        <v>78</v>
      </c>
      <c r="B21">
        <f>1025*2</f>
        <v>2050</v>
      </c>
    </row>
    <row r="22" spans="1:24" x14ac:dyDescent="0.25">
      <c r="A22" t="s">
        <v>76</v>
      </c>
      <c r="B22">
        <f>2*B13*B13</f>
        <v>2884802</v>
      </c>
      <c r="D22" t="s">
        <v>77</v>
      </c>
    </row>
    <row r="23" spans="1:24" x14ac:dyDescent="0.25">
      <c r="A23" t="s">
        <v>35</v>
      </c>
      <c r="B23">
        <f>2*B15*B14*B13*B13</f>
        <v>230784160</v>
      </c>
      <c r="D23" t="s">
        <v>34</v>
      </c>
    </row>
    <row r="24" spans="1:24" x14ac:dyDescent="0.25">
      <c r="A24" t="s">
        <v>14</v>
      </c>
      <c r="B24">
        <f>2*B15*B14*B13*B13</f>
        <v>230784160</v>
      </c>
      <c r="D24" t="s">
        <v>16</v>
      </c>
    </row>
    <row r="25" spans="1:24" x14ac:dyDescent="0.25">
      <c r="A25" t="s">
        <v>18</v>
      </c>
      <c r="B25">
        <f>2*B13*B13*3*3*2*1.6</f>
        <v>83082297.600000009</v>
      </c>
      <c r="D25" t="s">
        <v>17</v>
      </c>
    </row>
    <row r="26" spans="1:24" x14ac:dyDescent="0.25">
      <c r="A26" t="s">
        <v>20</v>
      </c>
      <c r="B26">
        <f>2*2*B13*B13*3*3*2*1.6</f>
        <v>166164595.20000002</v>
      </c>
      <c r="D26" t="s">
        <v>19</v>
      </c>
    </row>
    <row r="27" spans="1:24" x14ac:dyDescent="0.25">
      <c r="A27" t="s">
        <v>22</v>
      </c>
      <c r="B27">
        <f>B18*B13*B13*3*3*2*1.6</f>
        <v>41541148.800000004</v>
      </c>
      <c r="D27" t="s">
        <v>21</v>
      </c>
      <c r="K27">
        <f>B27/$B$18</f>
        <v>41541148.800000004</v>
      </c>
    </row>
    <row r="28" spans="1:24" x14ac:dyDescent="0.25">
      <c r="A28" t="s">
        <v>24</v>
      </c>
      <c r="B28">
        <f>B18*2*B13*B13*3*3*2*1.6</f>
        <v>83082297.600000009</v>
      </c>
      <c r="D28" t="s">
        <v>23</v>
      </c>
      <c r="K28">
        <f>B28/$B$18</f>
        <v>83082297.600000009</v>
      </c>
    </row>
    <row r="29" spans="1:24" x14ac:dyDescent="0.25">
      <c r="A29" t="s">
        <v>26</v>
      </c>
      <c r="B29">
        <f>B18*2*3*B13*B13*3*3*2*1.61</f>
        <v>250804685.88000003</v>
      </c>
      <c r="D29" t="s">
        <v>25</v>
      </c>
      <c r="K29">
        <f>B29/$B$18</f>
        <v>250804685.88000003</v>
      </c>
    </row>
    <row r="30" spans="1:24" x14ac:dyDescent="0.25">
      <c r="A30" t="s">
        <v>27</v>
      </c>
      <c r="B30">
        <f>2*B13*B13*3*3*2*1.6</f>
        <v>83082297.600000009</v>
      </c>
      <c r="D30" t="s">
        <v>28</v>
      </c>
      <c r="K30">
        <f>B30/$B$18</f>
        <v>83082297.600000009</v>
      </c>
    </row>
    <row r="31" spans="1:24" x14ac:dyDescent="0.25">
      <c r="A31" t="s">
        <v>29</v>
      </c>
      <c r="B31">
        <f>10*B18*B13*B13</f>
        <v>14424010</v>
      </c>
      <c r="D31" t="s">
        <v>79</v>
      </c>
      <c r="K31">
        <f>B31/$B$18</f>
        <v>14424010</v>
      </c>
      <c r="M31">
        <f>SUM(K27:K31)</f>
        <v>472934439.88000005</v>
      </c>
      <c r="N31">
        <f>M31/$A$9</f>
        <v>3.5236361613869671</v>
      </c>
    </row>
    <row r="32" spans="1:24" x14ac:dyDescent="0.25">
      <c r="A32" t="s">
        <v>31</v>
      </c>
      <c r="B32">
        <f>2*2*B13*B13*2</f>
        <v>11539208</v>
      </c>
      <c r="D32" t="s">
        <v>30</v>
      </c>
    </row>
    <row r="33" spans="1:12" x14ac:dyDescent="0.25">
      <c r="A33" t="s">
        <v>33</v>
      </c>
      <c r="B33">
        <f>2*B13*B13</f>
        <v>2884802</v>
      </c>
      <c r="D33" t="s">
        <v>32</v>
      </c>
    </row>
    <row r="34" spans="1:12" x14ac:dyDescent="0.25">
      <c r="A34" t="s">
        <v>74</v>
      </c>
      <c r="B34">
        <f>3*B13*B13</f>
        <v>4327203</v>
      </c>
    </row>
    <row r="36" spans="1:12" x14ac:dyDescent="0.25">
      <c r="I36">
        <f>B44</f>
        <v>14424010</v>
      </c>
      <c r="J36">
        <f>I36/A9</f>
        <v>0.10746724903583527</v>
      </c>
      <c r="L36">
        <f>1024*1024*J36</f>
        <v>112687.578125</v>
      </c>
    </row>
    <row r="37" spans="1:12" x14ac:dyDescent="0.25">
      <c r="A37" t="s">
        <v>36</v>
      </c>
    </row>
    <row r="39" spans="1:12" x14ac:dyDescent="0.25">
      <c r="A39" t="s">
        <v>37</v>
      </c>
      <c r="B39" t="s">
        <v>42</v>
      </c>
      <c r="C39" t="s">
        <v>38</v>
      </c>
      <c r="E39" t="s">
        <v>52</v>
      </c>
      <c r="H39" t="s">
        <v>66</v>
      </c>
    </row>
    <row r="40" spans="1:12" x14ac:dyDescent="0.25">
      <c r="A40" t="s">
        <v>78</v>
      </c>
      <c r="B40">
        <f>B21</f>
        <v>2050</v>
      </c>
      <c r="C40">
        <f>B40</f>
        <v>2050</v>
      </c>
      <c r="E40">
        <f>C40/$A$9</f>
        <v>1.5273690223693848E-5</v>
      </c>
    </row>
    <row r="41" spans="1:12" x14ac:dyDescent="0.25">
      <c r="A41" t="s">
        <v>80</v>
      </c>
      <c r="B41">
        <f>B22</f>
        <v>2884802</v>
      </c>
      <c r="C41">
        <f>B41+C40</f>
        <v>2886852</v>
      </c>
      <c r="E41">
        <f t="shared" ref="E41:E68" si="2">C41/$A$9</f>
        <v>2.1508723497390747E-2</v>
      </c>
      <c r="L41">
        <f>2608916/1024/1024</f>
        <v>2.4880561828613281</v>
      </c>
    </row>
    <row r="42" spans="1:12" x14ac:dyDescent="0.25">
      <c r="A42" t="s">
        <v>39</v>
      </c>
      <c r="B42">
        <f>B32</f>
        <v>11539208</v>
      </c>
      <c r="C42">
        <f t="shared" ref="C42:C68" si="3">B42+C41</f>
        <v>14426060</v>
      </c>
      <c r="E42">
        <f t="shared" si="2"/>
        <v>0.10748252272605896</v>
      </c>
    </row>
    <row r="43" spans="1:12" x14ac:dyDescent="0.25">
      <c r="A43" t="s">
        <v>40</v>
      </c>
      <c r="B43">
        <f>B33</f>
        <v>2884802</v>
      </c>
      <c r="C43">
        <f t="shared" si="3"/>
        <v>17310862</v>
      </c>
      <c r="E43">
        <f t="shared" si="2"/>
        <v>0.12897597253322601</v>
      </c>
    </row>
    <row r="44" spans="1:12" x14ac:dyDescent="0.25">
      <c r="A44" t="s">
        <v>41</v>
      </c>
      <c r="B44">
        <f>B31</f>
        <v>14424010</v>
      </c>
      <c r="C44">
        <f t="shared" si="3"/>
        <v>31734872</v>
      </c>
      <c r="E44">
        <f t="shared" si="2"/>
        <v>0.23644322156906128</v>
      </c>
      <c r="H44" t="s">
        <v>73</v>
      </c>
    </row>
    <row r="45" spans="1:12" x14ac:dyDescent="0.25">
      <c r="A45" t="s">
        <v>75</v>
      </c>
      <c r="B45">
        <f>B34</f>
        <v>4327203</v>
      </c>
      <c r="C45">
        <f t="shared" si="3"/>
        <v>36062075</v>
      </c>
      <c r="E45">
        <f t="shared" si="2"/>
        <v>0.26868339627981186</v>
      </c>
    </row>
    <row r="46" spans="1:12" x14ac:dyDescent="0.25">
      <c r="A46" t="s">
        <v>43</v>
      </c>
      <c r="B46">
        <v>0</v>
      </c>
      <c r="C46">
        <f t="shared" si="3"/>
        <v>36062075</v>
      </c>
      <c r="E46">
        <f t="shared" si="2"/>
        <v>0.26868339627981186</v>
      </c>
      <c r="F46">
        <f>140208/1024/1024</f>
        <v>0.1337127685546875</v>
      </c>
      <c r="H46" t="s">
        <v>68</v>
      </c>
    </row>
    <row r="47" spans="1:12" x14ac:dyDescent="0.25">
      <c r="A47" t="s">
        <v>44</v>
      </c>
      <c r="B47">
        <f>B24</f>
        <v>230784160</v>
      </c>
      <c r="C47">
        <f t="shared" si="3"/>
        <v>266846235</v>
      </c>
      <c r="E47">
        <f t="shared" si="2"/>
        <v>1.9881593808531761</v>
      </c>
    </row>
    <row r="48" spans="1:12" x14ac:dyDescent="0.25">
      <c r="A48" t="s">
        <v>45</v>
      </c>
      <c r="B48">
        <v>0</v>
      </c>
      <c r="C48">
        <f t="shared" si="3"/>
        <v>266846235</v>
      </c>
      <c r="E48">
        <f t="shared" si="2"/>
        <v>1.9881593808531761</v>
      </c>
    </row>
    <row r="49" spans="1:9" x14ac:dyDescent="0.25">
      <c r="A49" t="s">
        <v>46</v>
      </c>
      <c r="B49">
        <v>0</v>
      </c>
      <c r="C49">
        <f t="shared" si="3"/>
        <v>266846235</v>
      </c>
      <c r="E49">
        <f t="shared" si="2"/>
        <v>1.9881593808531761</v>
      </c>
    </row>
    <row r="50" spans="1:9" x14ac:dyDescent="0.25">
      <c r="A50" t="s">
        <v>47</v>
      </c>
      <c r="B50">
        <f>B23</f>
        <v>230784160</v>
      </c>
      <c r="C50">
        <f t="shared" si="3"/>
        <v>497630395</v>
      </c>
      <c r="E50">
        <f t="shared" si="2"/>
        <v>3.7076353654265404</v>
      </c>
      <c r="F50">
        <f>371536/1024/1024</f>
        <v>0.3543243408203125</v>
      </c>
      <c r="H50" t="s">
        <v>67</v>
      </c>
    </row>
    <row r="51" spans="1:9" x14ac:dyDescent="0.25">
      <c r="A51" t="s">
        <v>48</v>
      </c>
      <c r="B51">
        <f>-B50</f>
        <v>-230784160</v>
      </c>
      <c r="C51">
        <f t="shared" si="3"/>
        <v>266846235</v>
      </c>
      <c r="E51">
        <f t="shared" si="2"/>
        <v>1.9881593808531761</v>
      </c>
      <c r="F51">
        <f>358908/1024/1024</f>
        <v>0.34228134155273438</v>
      </c>
    </row>
    <row r="52" spans="1:9" x14ac:dyDescent="0.25">
      <c r="A52" t="s">
        <v>49</v>
      </c>
      <c r="B52">
        <v>0</v>
      </c>
      <c r="C52">
        <f t="shared" si="3"/>
        <v>266846235</v>
      </c>
      <c r="E52">
        <f t="shared" si="2"/>
        <v>1.9881593808531761</v>
      </c>
      <c r="F52">
        <f>371536/1024/1024</f>
        <v>0.3543243408203125</v>
      </c>
    </row>
    <row r="53" spans="1:9" x14ac:dyDescent="0.25">
      <c r="A53" t="s">
        <v>50</v>
      </c>
      <c r="B53">
        <v>0</v>
      </c>
      <c r="C53">
        <f t="shared" si="3"/>
        <v>266846235</v>
      </c>
      <c r="E53">
        <f t="shared" si="2"/>
        <v>1.9881593808531761</v>
      </c>
    </row>
    <row r="54" spans="1:9" x14ac:dyDescent="0.25">
      <c r="A54" t="s">
        <v>51</v>
      </c>
      <c r="B54">
        <f>B25</f>
        <v>83082297.600000009</v>
      </c>
      <c r="C54">
        <f t="shared" si="3"/>
        <v>349928532.60000002</v>
      </c>
      <c r="E54">
        <f t="shared" si="2"/>
        <v>2.6071707352995874</v>
      </c>
      <c r="F54">
        <f>371536/1024/1024</f>
        <v>0.3543243408203125</v>
      </c>
    </row>
    <row r="55" spans="1:9" x14ac:dyDescent="0.25">
      <c r="A55" t="s">
        <v>53</v>
      </c>
      <c r="B55">
        <f>-B24</f>
        <v>-230784160</v>
      </c>
      <c r="C55">
        <f>B55+C54</f>
        <v>119144372.60000002</v>
      </c>
      <c r="E55">
        <f t="shared" si="2"/>
        <v>0.88769475072622317</v>
      </c>
      <c r="F55">
        <f>371568/1024/1024</f>
        <v>0.3543548583984375</v>
      </c>
    </row>
    <row r="56" spans="1:9" x14ac:dyDescent="0.25">
      <c r="A56" t="s">
        <v>54</v>
      </c>
      <c r="B56">
        <f>B26</f>
        <v>166164595.20000002</v>
      </c>
      <c r="C56">
        <f t="shared" si="3"/>
        <v>285308967.80000007</v>
      </c>
      <c r="E56">
        <f t="shared" si="2"/>
        <v>2.1257174596190458</v>
      </c>
      <c r="F56">
        <f>371568/1024/1024</f>
        <v>0.3543548583984375</v>
      </c>
    </row>
    <row r="57" spans="1:9" x14ac:dyDescent="0.25">
      <c r="A57" t="s">
        <v>55</v>
      </c>
      <c r="B57">
        <f>-B25</f>
        <v>-83082297.600000009</v>
      </c>
      <c r="C57">
        <f t="shared" si="3"/>
        <v>202226670.20000005</v>
      </c>
      <c r="E57">
        <f t="shared" si="2"/>
        <v>1.5067061051726345</v>
      </c>
    </row>
    <row r="58" spans="1:9" x14ac:dyDescent="0.25">
      <c r="A58" s="2" t="s">
        <v>71</v>
      </c>
      <c r="B58">
        <v>0</v>
      </c>
      <c r="C58">
        <f t="shared" si="3"/>
        <v>202226670.20000005</v>
      </c>
      <c r="E58">
        <f t="shared" si="2"/>
        <v>1.5067061051726345</v>
      </c>
      <c r="I58">
        <f>E60-E59</f>
        <v>0.30950567722320566</v>
      </c>
    </row>
    <row r="59" spans="1:9" x14ac:dyDescent="0.25">
      <c r="A59" t="s">
        <v>56</v>
      </c>
      <c r="B59">
        <f>B29</f>
        <v>250804685.88000003</v>
      </c>
      <c r="C59">
        <f>B59+C58</f>
        <v>453031356.08000004</v>
      </c>
      <c r="E59">
        <f>C59/$A$9</f>
        <v>3.3753466314077381</v>
      </c>
      <c r="F59">
        <f>2194764/1024/1024</f>
        <v>2.0930900573730469</v>
      </c>
    </row>
    <row r="60" spans="1:9" x14ac:dyDescent="0.25">
      <c r="A60" t="s">
        <v>57</v>
      </c>
      <c r="B60">
        <f>B27</f>
        <v>41541148.800000004</v>
      </c>
      <c r="C60">
        <f t="shared" si="3"/>
        <v>494572504.88000005</v>
      </c>
      <c r="E60">
        <f t="shared" si="2"/>
        <v>3.6848523086309437</v>
      </c>
      <c r="G60">
        <f>552288/1024/1024</f>
        <v>0.526702880859375</v>
      </c>
    </row>
    <row r="61" spans="1:9" x14ac:dyDescent="0.25">
      <c r="A61" t="s">
        <v>58</v>
      </c>
      <c r="B61">
        <f>B28</f>
        <v>83082297.600000009</v>
      </c>
      <c r="C61">
        <f t="shared" si="3"/>
        <v>577654802.48000002</v>
      </c>
      <c r="E61">
        <f t="shared" si="2"/>
        <v>4.3038636630773546</v>
      </c>
      <c r="F61">
        <f>3180276/1024/1024</f>
        <v>3.0329475402832031</v>
      </c>
      <c r="H61" t="s">
        <v>69</v>
      </c>
    </row>
    <row r="62" spans="1:9" x14ac:dyDescent="0.25">
      <c r="A62" t="s">
        <v>59</v>
      </c>
      <c r="B62">
        <v>0</v>
      </c>
      <c r="C62">
        <f t="shared" si="3"/>
        <v>577654802.48000002</v>
      </c>
      <c r="E62">
        <f t="shared" si="2"/>
        <v>4.3038636630773546</v>
      </c>
    </row>
    <row r="63" spans="1:9" x14ac:dyDescent="0.25">
      <c r="A63" t="s">
        <v>60</v>
      </c>
      <c r="B63">
        <f>B30</f>
        <v>83082297.600000009</v>
      </c>
      <c r="C63">
        <f t="shared" si="3"/>
        <v>660737100.08000004</v>
      </c>
      <c r="E63">
        <f t="shared" si="2"/>
        <v>4.9228750175237659</v>
      </c>
    </row>
    <row r="64" spans="1:9" x14ac:dyDescent="0.25">
      <c r="A64" t="s">
        <v>61</v>
      </c>
      <c r="B64">
        <f>-B30</f>
        <v>-83082297.600000009</v>
      </c>
      <c r="C64">
        <f t="shared" si="3"/>
        <v>577654802.48000002</v>
      </c>
      <c r="E64">
        <f t="shared" si="2"/>
        <v>4.3038636630773546</v>
      </c>
    </row>
    <row r="65" spans="1:9" x14ac:dyDescent="0.25">
      <c r="A65" t="s">
        <v>62</v>
      </c>
      <c r="B65">
        <v>0</v>
      </c>
      <c r="C65">
        <f t="shared" si="3"/>
        <v>577654802.48000002</v>
      </c>
      <c r="E65">
        <f t="shared" si="2"/>
        <v>4.3038636630773546</v>
      </c>
    </row>
    <row r="66" spans="1:9" x14ac:dyDescent="0.25">
      <c r="A66" t="s">
        <v>63</v>
      </c>
      <c r="B66">
        <f>-B29</f>
        <v>-250804685.88000003</v>
      </c>
      <c r="C66">
        <f t="shared" si="3"/>
        <v>326850116.60000002</v>
      </c>
      <c r="E66">
        <f t="shared" si="2"/>
        <v>2.435223136842251</v>
      </c>
    </row>
    <row r="67" spans="1:9" x14ac:dyDescent="0.25">
      <c r="A67" t="s">
        <v>64</v>
      </c>
      <c r="B67">
        <f>-B27</f>
        <v>-41541148.800000004</v>
      </c>
      <c r="C67">
        <f t="shared" si="3"/>
        <v>285308967.80000001</v>
      </c>
      <c r="E67">
        <f t="shared" si="2"/>
        <v>2.1257174596190453</v>
      </c>
    </row>
    <row r="68" spans="1:9" x14ac:dyDescent="0.25">
      <c r="A68" t="s">
        <v>65</v>
      </c>
      <c r="B68">
        <f>-B28</f>
        <v>-83082297.600000009</v>
      </c>
      <c r="C68">
        <f t="shared" si="3"/>
        <v>202226670.19999999</v>
      </c>
      <c r="E68">
        <f t="shared" si="2"/>
        <v>1.506706105172634</v>
      </c>
    </row>
    <row r="70" spans="1:9" x14ac:dyDescent="0.25">
      <c r="E70">
        <f>MAX(E42:E68)</f>
        <v>4.9228750175237659</v>
      </c>
    </row>
    <row r="75" spans="1:9" x14ac:dyDescent="0.25">
      <c r="A75" t="s">
        <v>81</v>
      </c>
      <c r="I75">
        <v>3000</v>
      </c>
    </row>
    <row r="76" spans="1:9" x14ac:dyDescent="0.25">
      <c r="I76">
        <f>I75*12/9</f>
        <v>4000</v>
      </c>
    </row>
    <row r="89" spans="1:1" x14ac:dyDescent="0.25">
      <c r="A89" s="2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opLeftCell="A40" workbookViewId="0">
      <selection activeCell="P61" sqref="P61"/>
    </sheetView>
  </sheetViews>
  <sheetFormatPr defaultRowHeight="15" x14ac:dyDescent="0.25"/>
  <cols>
    <col min="1" max="1" width="21.7109375" customWidth="1"/>
    <col min="2" max="2" width="8.7109375" customWidth="1"/>
    <col min="3" max="3" width="10" bestFit="1" customWidth="1"/>
    <col min="5" max="5" width="12" bestFit="1" customWidth="1"/>
    <col min="6" max="6" width="11.7109375" bestFit="1" customWidth="1"/>
    <col min="8" max="8" width="9.140625" customWidth="1"/>
    <col min="9" max="9" width="10" bestFit="1" customWidth="1"/>
    <col min="11" max="11" width="10" bestFit="1" customWidth="1"/>
    <col min="13" max="13" width="10" bestFit="1" customWidth="1"/>
  </cols>
  <sheetData>
    <row r="1" spans="1:11" x14ac:dyDescent="0.25">
      <c r="A1" t="s">
        <v>0</v>
      </c>
      <c r="B1">
        <v>8</v>
      </c>
      <c r="C1" t="s">
        <v>70</v>
      </c>
    </row>
    <row r="3" spans="1:11" x14ac:dyDescent="0.25">
      <c r="A3">
        <v>1</v>
      </c>
      <c r="B3" t="s">
        <v>1</v>
      </c>
      <c r="F3" t="s">
        <v>82</v>
      </c>
      <c r="G3">
        <v>13132095</v>
      </c>
      <c r="I3">
        <f>G3/1024/1024</f>
        <v>12.523741722106934</v>
      </c>
    </row>
    <row r="4" spans="1:11" x14ac:dyDescent="0.25">
      <c r="A4">
        <f>1024*A3</f>
        <v>1024</v>
      </c>
      <c r="B4" t="s">
        <v>2</v>
      </c>
      <c r="F4" t="s">
        <v>83</v>
      </c>
      <c r="G4">
        <v>10462910</v>
      </c>
      <c r="I4">
        <f>G4/1024/1024</f>
        <v>9.9782085418701172</v>
      </c>
    </row>
    <row r="5" spans="1:11" x14ac:dyDescent="0.25">
      <c r="A5">
        <f>1024*A4</f>
        <v>1048576</v>
      </c>
      <c r="B5" t="s">
        <v>3</v>
      </c>
      <c r="F5" t="s">
        <v>84</v>
      </c>
      <c r="G5">
        <v>20052076</v>
      </c>
      <c r="I5">
        <f>G5/1024/1024</f>
        <v>19.123149871826172</v>
      </c>
    </row>
    <row r="6" spans="1:11" x14ac:dyDescent="0.25">
      <c r="A6">
        <f>1024*A5</f>
        <v>1073741824</v>
      </c>
      <c r="B6" t="s">
        <v>4</v>
      </c>
      <c r="F6" t="s">
        <v>85</v>
      </c>
      <c r="G6">
        <v>6639776</v>
      </c>
      <c r="I6">
        <f>G6/1024/1024</f>
        <v>6.332183837890625</v>
      </c>
    </row>
    <row r="9" spans="1:11" x14ac:dyDescent="0.25">
      <c r="A9">
        <f>A6/B1</f>
        <v>134217728</v>
      </c>
      <c r="C9" t="s">
        <v>6</v>
      </c>
    </row>
    <row r="10" spans="1:11" x14ac:dyDescent="0.25">
      <c r="A10" s="1">
        <v>134000000</v>
      </c>
    </row>
    <row r="12" spans="1:11" x14ac:dyDescent="0.25">
      <c r="A12" t="s">
        <v>7</v>
      </c>
      <c r="K12" t="s">
        <v>72</v>
      </c>
    </row>
    <row r="13" spans="1:11" x14ac:dyDescent="0.25">
      <c r="A13" t="s">
        <v>8</v>
      </c>
      <c r="B13">
        <v>601</v>
      </c>
    </row>
    <row r="14" spans="1:11" x14ac:dyDescent="0.25">
      <c r="A14" t="s">
        <v>9</v>
      </c>
      <c r="B14">
        <v>10</v>
      </c>
    </row>
    <row r="15" spans="1:11" x14ac:dyDescent="0.25">
      <c r="A15" t="s">
        <v>10</v>
      </c>
      <c r="B15">
        <v>8</v>
      </c>
    </row>
    <row r="16" spans="1:11" x14ac:dyDescent="0.25">
      <c r="A16" t="s">
        <v>11</v>
      </c>
      <c r="B16">
        <v>3</v>
      </c>
    </row>
    <row r="17" spans="1:14" x14ac:dyDescent="0.25">
      <c r="A17" t="s">
        <v>13</v>
      </c>
      <c r="B17">
        <v>28</v>
      </c>
      <c r="J17">
        <f>B15*B13*B13*3*3*2/A9</f>
        <v>0.38752663135528564</v>
      </c>
    </row>
    <row r="18" spans="1:14" x14ac:dyDescent="0.25">
      <c r="A18" t="s">
        <v>12</v>
      </c>
      <c r="B18">
        <f>B17/2+1</f>
        <v>15</v>
      </c>
      <c r="C18">
        <f>C17/2+1</f>
        <v>1</v>
      </c>
    </row>
    <row r="20" spans="1:14" x14ac:dyDescent="0.25">
      <c r="A20" t="s">
        <v>5</v>
      </c>
      <c r="B20" t="s">
        <v>15</v>
      </c>
    </row>
    <row r="21" spans="1:14" x14ac:dyDescent="0.25">
      <c r="A21" t="s">
        <v>78</v>
      </c>
      <c r="B21">
        <f>1025*2</f>
        <v>2050</v>
      </c>
    </row>
    <row r="22" spans="1:14" x14ac:dyDescent="0.25">
      <c r="A22" t="s">
        <v>76</v>
      </c>
      <c r="B22">
        <f>2*B13*B13</f>
        <v>722402</v>
      </c>
      <c r="D22" t="s">
        <v>77</v>
      </c>
    </row>
    <row r="23" spans="1:14" x14ac:dyDescent="0.25">
      <c r="A23" t="s">
        <v>35</v>
      </c>
      <c r="B23">
        <f>2*B15*B14*B13*B13</f>
        <v>57792160</v>
      </c>
      <c r="D23" t="s">
        <v>34</v>
      </c>
    </row>
    <row r="24" spans="1:14" x14ac:dyDescent="0.25">
      <c r="A24" t="s">
        <v>14</v>
      </c>
      <c r="B24">
        <f>2*B15*B14*B13*B13</f>
        <v>57792160</v>
      </c>
      <c r="D24" t="s">
        <v>16</v>
      </c>
    </row>
    <row r="25" spans="1:14" x14ac:dyDescent="0.25">
      <c r="A25" t="s">
        <v>18</v>
      </c>
      <c r="B25">
        <f>2*B13*B13*3*3*2*1.6</f>
        <v>20805177.600000001</v>
      </c>
      <c r="D25" t="s">
        <v>17</v>
      </c>
    </row>
    <row r="26" spans="1:14" x14ac:dyDescent="0.25">
      <c r="A26" t="s">
        <v>20</v>
      </c>
      <c r="B26">
        <f>2*2*B13*B13*3*3*2*1.6</f>
        <v>41610355.200000003</v>
      </c>
      <c r="D26" t="s">
        <v>19</v>
      </c>
    </row>
    <row r="27" spans="1:14" x14ac:dyDescent="0.25">
      <c r="A27" t="s">
        <v>22</v>
      </c>
      <c r="B27">
        <f>2*B13*B13*3*3*2*1.6</f>
        <v>20805177.600000001</v>
      </c>
      <c r="D27" t="s">
        <v>21</v>
      </c>
      <c r="K27">
        <f>B27/$B$18</f>
        <v>1387011.84</v>
      </c>
    </row>
    <row r="28" spans="1:14" x14ac:dyDescent="0.25">
      <c r="A28" t="s">
        <v>24</v>
      </c>
      <c r="B28">
        <f>2*2*B13*B13*3*3*2*1.6</f>
        <v>41610355.200000003</v>
      </c>
      <c r="D28" t="s">
        <v>23</v>
      </c>
      <c r="K28">
        <f>B28/$B$18</f>
        <v>2774023.68</v>
      </c>
    </row>
    <row r="29" spans="1:14" x14ac:dyDescent="0.25">
      <c r="A29" t="s">
        <v>26</v>
      </c>
      <c r="B29">
        <f>2*2*3*B13*B13*3*3*2*1.61</f>
        <v>125611259.76000001</v>
      </c>
      <c r="D29" t="s">
        <v>25</v>
      </c>
      <c r="K29">
        <f>B29/$B$18</f>
        <v>8374083.9840000002</v>
      </c>
    </row>
    <row r="30" spans="1:14" x14ac:dyDescent="0.25">
      <c r="A30" t="s">
        <v>27</v>
      </c>
      <c r="B30">
        <f>2*B13*B13*3*3*2*1.6</f>
        <v>20805177.600000001</v>
      </c>
      <c r="D30" t="s">
        <v>28</v>
      </c>
      <c r="K30">
        <f>B30/$B$18</f>
        <v>1387011.84</v>
      </c>
    </row>
    <row r="31" spans="1:14" x14ac:dyDescent="0.25">
      <c r="A31" t="s">
        <v>29</v>
      </c>
      <c r="B31">
        <f>10*B18*B13*B13</f>
        <v>54180150</v>
      </c>
      <c r="D31" t="s">
        <v>79</v>
      </c>
      <c r="K31">
        <f>B31/$B$18</f>
        <v>3612010</v>
      </c>
      <c r="M31">
        <f>SUM(K27:K31)</f>
        <v>17534141.344000001</v>
      </c>
      <c r="N31">
        <f>M31/$A$9</f>
        <v>0.1306395332813263</v>
      </c>
    </row>
    <row r="32" spans="1:14" x14ac:dyDescent="0.25">
      <c r="A32" t="s">
        <v>31</v>
      </c>
      <c r="B32">
        <f>2*2*B13*B13*2</f>
        <v>2889608</v>
      </c>
      <c r="D32" t="s">
        <v>30</v>
      </c>
    </row>
    <row r="33" spans="1:12" x14ac:dyDescent="0.25">
      <c r="A33" t="s">
        <v>33</v>
      </c>
      <c r="B33">
        <f>2*B13*B13</f>
        <v>722402</v>
      </c>
      <c r="D33" t="s">
        <v>32</v>
      </c>
    </row>
    <row r="34" spans="1:12" x14ac:dyDescent="0.25">
      <c r="A34" t="s">
        <v>74</v>
      </c>
      <c r="B34">
        <f>3*B13*B13</f>
        <v>1083603</v>
      </c>
    </row>
    <row r="36" spans="1:12" x14ac:dyDescent="0.25">
      <c r="I36">
        <f>B44</f>
        <v>54180150</v>
      </c>
      <c r="J36">
        <f>I36/A9</f>
        <v>0.40367357432842255</v>
      </c>
      <c r="L36">
        <f>1024*1024*J36</f>
        <v>423282.421875</v>
      </c>
    </row>
    <row r="37" spans="1:12" x14ac:dyDescent="0.25">
      <c r="A37" t="s">
        <v>36</v>
      </c>
    </row>
    <row r="39" spans="1:12" x14ac:dyDescent="0.25">
      <c r="A39" t="s">
        <v>37</v>
      </c>
      <c r="B39" t="s">
        <v>42</v>
      </c>
      <c r="C39" t="s">
        <v>38</v>
      </c>
      <c r="E39" t="s">
        <v>52</v>
      </c>
      <c r="H39" t="s">
        <v>66</v>
      </c>
    </row>
    <row r="40" spans="1:12" x14ac:dyDescent="0.25">
      <c r="A40" t="s">
        <v>78</v>
      </c>
      <c r="B40">
        <f>B21</f>
        <v>2050</v>
      </c>
      <c r="C40">
        <f>B40</f>
        <v>2050</v>
      </c>
      <c r="E40">
        <f>C40/$A$9</f>
        <v>1.5273690223693848E-5</v>
      </c>
    </row>
    <row r="41" spans="1:12" x14ac:dyDescent="0.25">
      <c r="A41" t="s">
        <v>80</v>
      </c>
      <c r="B41">
        <f>B22</f>
        <v>722402</v>
      </c>
      <c r="C41">
        <f>B41+C40</f>
        <v>724452</v>
      </c>
      <c r="E41">
        <f t="shared" ref="E41:E68" si="0">C41/$A$9</f>
        <v>5.3975880146026611E-3</v>
      </c>
      <c r="L41">
        <f>2608916/1024/1024</f>
        <v>2.4880561828613281</v>
      </c>
    </row>
    <row r="42" spans="1:12" x14ac:dyDescent="0.25">
      <c r="A42" t="s">
        <v>39</v>
      </c>
      <c r="B42">
        <f>B32</f>
        <v>2889608</v>
      </c>
      <c r="C42">
        <f t="shared" ref="C42:C68" si="1">B42+C41</f>
        <v>3614060</v>
      </c>
      <c r="E42">
        <f t="shared" si="0"/>
        <v>2.692684531211853E-2</v>
      </c>
    </row>
    <row r="43" spans="1:12" x14ac:dyDescent="0.25">
      <c r="A43" t="s">
        <v>40</v>
      </c>
      <c r="B43">
        <f>B33</f>
        <v>722402</v>
      </c>
      <c r="C43">
        <f t="shared" si="1"/>
        <v>4336462</v>
      </c>
      <c r="E43">
        <f t="shared" si="0"/>
        <v>3.2309159636497498E-2</v>
      </c>
    </row>
    <row r="44" spans="1:12" x14ac:dyDescent="0.25">
      <c r="A44" t="s">
        <v>41</v>
      </c>
      <c r="B44">
        <f>B31</f>
        <v>54180150</v>
      </c>
      <c r="C44">
        <f t="shared" si="1"/>
        <v>58516612</v>
      </c>
      <c r="E44">
        <f t="shared" si="0"/>
        <v>0.43598273396492004</v>
      </c>
      <c r="H44" t="s">
        <v>73</v>
      </c>
    </row>
    <row r="45" spans="1:12" x14ac:dyDescent="0.25">
      <c r="A45" t="s">
        <v>75</v>
      </c>
      <c r="B45">
        <f>B34</f>
        <v>1083603</v>
      </c>
      <c r="C45">
        <f t="shared" si="1"/>
        <v>59600215</v>
      </c>
      <c r="E45">
        <f t="shared" si="0"/>
        <v>0.44405620545148849</v>
      </c>
    </row>
    <row r="46" spans="1:12" x14ac:dyDescent="0.25">
      <c r="A46" t="s">
        <v>43</v>
      </c>
      <c r="B46">
        <v>0</v>
      </c>
      <c r="C46">
        <f t="shared" si="1"/>
        <v>59600215</v>
      </c>
      <c r="E46">
        <f t="shared" si="0"/>
        <v>0.44405620545148849</v>
      </c>
      <c r="F46">
        <f>140208/1024/1024</f>
        <v>0.1337127685546875</v>
      </c>
      <c r="H46" t="s">
        <v>68</v>
      </c>
    </row>
    <row r="47" spans="1:12" x14ac:dyDescent="0.25">
      <c r="A47" t="s">
        <v>44</v>
      </c>
      <c r="B47">
        <f>B24</f>
        <v>57792160</v>
      </c>
      <c r="C47">
        <f t="shared" si="1"/>
        <v>117392375</v>
      </c>
      <c r="E47">
        <f t="shared" si="0"/>
        <v>0.87464135140180588</v>
      </c>
    </row>
    <row r="48" spans="1:12" x14ac:dyDescent="0.25">
      <c r="A48" t="s">
        <v>45</v>
      </c>
      <c r="B48">
        <v>0</v>
      </c>
      <c r="C48">
        <f t="shared" si="1"/>
        <v>117392375</v>
      </c>
      <c r="E48">
        <f t="shared" si="0"/>
        <v>0.87464135140180588</v>
      </c>
    </row>
    <row r="49" spans="1:9" x14ac:dyDescent="0.25">
      <c r="A49" t="s">
        <v>46</v>
      </c>
      <c r="B49">
        <v>0</v>
      </c>
      <c r="C49">
        <f t="shared" si="1"/>
        <v>117392375</v>
      </c>
      <c r="E49">
        <f t="shared" si="0"/>
        <v>0.87464135140180588</v>
      </c>
    </row>
    <row r="50" spans="1:9" x14ac:dyDescent="0.25">
      <c r="A50" t="s">
        <v>47</v>
      </c>
      <c r="B50">
        <f>B23</f>
        <v>57792160</v>
      </c>
      <c r="C50">
        <f t="shared" si="1"/>
        <v>175184535</v>
      </c>
      <c r="E50">
        <f t="shared" si="0"/>
        <v>1.3052264973521233</v>
      </c>
      <c r="F50">
        <f>371536/1024/1024</f>
        <v>0.3543243408203125</v>
      </c>
      <c r="H50" t="s">
        <v>67</v>
      </c>
    </row>
    <row r="51" spans="1:9" x14ac:dyDescent="0.25">
      <c r="A51" t="s">
        <v>48</v>
      </c>
      <c r="B51">
        <f>-B50</f>
        <v>-57792160</v>
      </c>
      <c r="C51">
        <f t="shared" si="1"/>
        <v>117392375</v>
      </c>
      <c r="E51">
        <f t="shared" si="0"/>
        <v>0.87464135140180588</v>
      </c>
      <c r="F51">
        <f>358908/1024/1024</f>
        <v>0.34228134155273438</v>
      </c>
    </row>
    <row r="52" spans="1:9" x14ac:dyDescent="0.25">
      <c r="A52" t="s">
        <v>49</v>
      </c>
      <c r="B52">
        <v>0</v>
      </c>
      <c r="C52">
        <f t="shared" si="1"/>
        <v>117392375</v>
      </c>
      <c r="E52">
        <f t="shared" si="0"/>
        <v>0.87464135140180588</v>
      </c>
      <c r="F52">
        <f>371536/1024/1024</f>
        <v>0.3543243408203125</v>
      </c>
    </row>
    <row r="53" spans="1:9" x14ac:dyDescent="0.25">
      <c r="A53" t="s">
        <v>50</v>
      </c>
      <c r="B53">
        <v>0</v>
      </c>
      <c r="C53">
        <f t="shared" si="1"/>
        <v>117392375</v>
      </c>
      <c r="E53">
        <f t="shared" si="0"/>
        <v>0.87464135140180588</v>
      </c>
    </row>
    <row r="54" spans="1:9" x14ac:dyDescent="0.25">
      <c r="A54" t="s">
        <v>51</v>
      </c>
      <c r="B54">
        <f>B25</f>
        <v>20805177.600000001</v>
      </c>
      <c r="C54">
        <f t="shared" si="1"/>
        <v>138197552.59999999</v>
      </c>
      <c r="E54">
        <f t="shared" si="0"/>
        <v>1.0296520039439201</v>
      </c>
      <c r="F54">
        <f>371536/1024/1024</f>
        <v>0.3543243408203125</v>
      </c>
    </row>
    <row r="55" spans="1:9" x14ac:dyDescent="0.25">
      <c r="A55" t="s">
        <v>53</v>
      </c>
      <c r="B55">
        <f>-B24</f>
        <v>-57792160</v>
      </c>
      <c r="C55">
        <f t="shared" si="1"/>
        <v>80405392.599999994</v>
      </c>
      <c r="E55">
        <f t="shared" si="0"/>
        <v>0.59906685799360271</v>
      </c>
      <c r="F55">
        <f>371568/1024/1024</f>
        <v>0.3543548583984375</v>
      </c>
    </row>
    <row r="56" spans="1:9" x14ac:dyDescent="0.25">
      <c r="A56" t="s">
        <v>54</v>
      </c>
      <c r="B56">
        <f>B26</f>
        <v>41610355.200000003</v>
      </c>
      <c r="C56">
        <f t="shared" si="1"/>
        <v>122015747.8</v>
      </c>
      <c r="E56">
        <f t="shared" si="0"/>
        <v>0.90908816307783125</v>
      </c>
      <c r="F56">
        <f>371568/1024/1024</f>
        <v>0.3543548583984375</v>
      </c>
    </row>
    <row r="57" spans="1:9" x14ac:dyDescent="0.25">
      <c r="A57" t="s">
        <v>55</v>
      </c>
      <c r="B57">
        <f>-B25</f>
        <v>-20805177.600000001</v>
      </c>
      <c r="C57">
        <f t="shared" si="1"/>
        <v>101210570.19999999</v>
      </c>
      <c r="E57">
        <f t="shared" si="0"/>
        <v>0.75407751053571692</v>
      </c>
    </row>
    <row r="58" spans="1:9" x14ac:dyDescent="0.25">
      <c r="A58" s="2" t="s">
        <v>71</v>
      </c>
      <c r="B58">
        <v>0</v>
      </c>
      <c r="C58">
        <f t="shared" si="1"/>
        <v>101210570.19999999</v>
      </c>
      <c r="E58">
        <f t="shared" si="0"/>
        <v>0.75407751053571692</v>
      </c>
      <c r="I58">
        <f>E60-E59</f>
        <v>0.15501065254211421</v>
      </c>
    </row>
    <row r="59" spans="1:9" x14ac:dyDescent="0.25">
      <c r="A59" t="s">
        <v>56</v>
      </c>
      <c r="B59">
        <f>B29</f>
        <v>125611259.76000001</v>
      </c>
      <c r="C59">
        <f>B59+C58</f>
        <v>226821829.95999998</v>
      </c>
      <c r="E59">
        <f>C59/$A$9</f>
        <v>1.6899543252587317</v>
      </c>
      <c r="F59">
        <f>2194764/1024/1024</f>
        <v>2.0930900573730469</v>
      </c>
    </row>
    <row r="60" spans="1:9" x14ac:dyDescent="0.25">
      <c r="A60" t="s">
        <v>57</v>
      </c>
      <c r="B60">
        <f>B27</f>
        <v>20805177.600000001</v>
      </c>
      <c r="C60">
        <f t="shared" si="1"/>
        <v>247627007.55999997</v>
      </c>
      <c r="E60">
        <f t="shared" si="0"/>
        <v>1.8449649778008459</v>
      </c>
      <c r="G60">
        <f>552288/1024/1024</f>
        <v>0.526702880859375</v>
      </c>
    </row>
    <row r="61" spans="1:9" x14ac:dyDescent="0.25">
      <c r="A61" t="s">
        <v>58</v>
      </c>
      <c r="B61">
        <f>B28</f>
        <v>41610355.200000003</v>
      </c>
      <c r="C61">
        <f t="shared" si="1"/>
        <v>289237362.75999999</v>
      </c>
      <c r="E61">
        <f t="shared" si="0"/>
        <v>2.1549862828850745</v>
      </c>
      <c r="F61">
        <f>3180276/1024/1024</f>
        <v>3.0329475402832031</v>
      </c>
      <c r="H61" t="s">
        <v>69</v>
      </c>
    </row>
    <row r="62" spans="1:9" x14ac:dyDescent="0.25">
      <c r="A62" t="s">
        <v>59</v>
      </c>
      <c r="B62">
        <v>0</v>
      </c>
      <c r="C62">
        <f t="shared" si="1"/>
        <v>289237362.75999999</v>
      </c>
      <c r="E62">
        <f t="shared" si="0"/>
        <v>2.1549862828850745</v>
      </c>
    </row>
    <row r="63" spans="1:9" x14ac:dyDescent="0.25">
      <c r="A63" t="s">
        <v>60</v>
      </c>
      <c r="B63">
        <f>B30</f>
        <v>20805177.600000001</v>
      </c>
      <c r="C63">
        <f t="shared" si="1"/>
        <v>310042540.36000001</v>
      </c>
      <c r="E63">
        <f t="shared" si="0"/>
        <v>2.309996935427189</v>
      </c>
    </row>
    <row r="64" spans="1:9" x14ac:dyDescent="0.25">
      <c r="A64" t="s">
        <v>61</v>
      </c>
      <c r="B64">
        <f>-B30</f>
        <v>-20805177.600000001</v>
      </c>
      <c r="C64">
        <f t="shared" si="1"/>
        <v>289237362.75999999</v>
      </c>
      <c r="E64">
        <f t="shared" si="0"/>
        <v>2.1549862828850745</v>
      </c>
    </row>
    <row r="65" spans="1:5" x14ac:dyDescent="0.25">
      <c r="A65" t="s">
        <v>62</v>
      </c>
      <c r="B65">
        <v>0</v>
      </c>
      <c r="C65">
        <f t="shared" si="1"/>
        <v>289237362.75999999</v>
      </c>
      <c r="E65">
        <f t="shared" si="0"/>
        <v>2.1549862828850745</v>
      </c>
    </row>
    <row r="66" spans="1:5" x14ac:dyDescent="0.25">
      <c r="A66" t="s">
        <v>63</v>
      </c>
      <c r="B66">
        <f>-B29</f>
        <v>-125611259.76000001</v>
      </c>
      <c r="C66">
        <f t="shared" si="1"/>
        <v>163626103</v>
      </c>
      <c r="E66">
        <f t="shared" si="0"/>
        <v>1.2191094681620598</v>
      </c>
    </row>
    <row r="67" spans="1:5" x14ac:dyDescent="0.25">
      <c r="A67" t="s">
        <v>64</v>
      </c>
      <c r="B67">
        <f>-B27</f>
        <v>-20805177.600000001</v>
      </c>
      <c r="C67">
        <f t="shared" si="1"/>
        <v>142820925.40000001</v>
      </c>
      <c r="E67">
        <f t="shared" si="0"/>
        <v>1.0640988156199456</v>
      </c>
    </row>
    <row r="68" spans="1:5" x14ac:dyDescent="0.25">
      <c r="A68" t="s">
        <v>65</v>
      </c>
      <c r="B68">
        <f>-B28</f>
        <v>-41610355.200000003</v>
      </c>
      <c r="C68">
        <f t="shared" si="1"/>
        <v>101210570.2</v>
      </c>
      <c r="E68">
        <f t="shared" si="0"/>
        <v>0.75407751053571703</v>
      </c>
    </row>
    <row r="70" spans="1:5" x14ac:dyDescent="0.25">
      <c r="E70">
        <f>MAX(E42:E68)</f>
        <v>2.309996935427189</v>
      </c>
    </row>
    <row r="75" spans="1:5" x14ac:dyDescent="0.25">
      <c r="A75" t="s">
        <v>81</v>
      </c>
    </row>
    <row r="89" spans="1:1" x14ac:dyDescent="0.25">
      <c r="A89" s="2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</vt:lpstr>
      <vt:lpstr>Fix 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Rose</dc:creator>
  <cp:lastModifiedBy>Steven Rose</cp:lastModifiedBy>
  <dcterms:created xsi:type="dcterms:W3CDTF">2017-09-20T02:57:25Z</dcterms:created>
  <dcterms:modified xsi:type="dcterms:W3CDTF">2019-06-14T17:03:14Z</dcterms:modified>
</cp:coreProperties>
</file>