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5.png" ContentType="image/png"/>
  <Override PartName="/xl/media/image4.png" ContentType="image/png"/>
  <Override PartName="/xl/media/image3.png" ContentType="image/png"/>
  <Override PartName="/xl/media/image1.png" ContentType="image/png"/>
  <Override PartName="/xl/media/image2.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How To Use" sheetId="1" state="visible" r:id="rId2"/>
    <sheet name="Revision History" sheetId="2" state="visible" r:id="rId3"/>
    <sheet name="Register Configuration" sheetId="3" state="visible" r:id="rId4"/>
    <sheet name="DStream .ds file" sheetId="4" state="visible" r:id="rId5"/>
  </sheets>
  <definedNames>
    <definedName function="false" hidden="false" localSheetId="2" name="_xlnm.Print_Area" vbProcedure="false">'Register Configuration'!$B$40:$F$239</definedName>
    <definedName function="false" hidden="false" name="BusWidth" vbProcedure="false">'Register Configuration'!$AC$4:$AC$5</definedName>
    <definedName function="false" hidden="false" name="DDRTypes" vbProcedure="false">'Register Configuration'!$AA$4:$AA$6</definedName>
    <definedName function="false" hidden="false" name="RowBankInterleavingOption" vbProcedure="false">'Register Configuration'!$AA$9:$AA$10</definedName>
    <definedName function="false" hidden="false" localSheetId="2" name="_xlnm._FilterDatabase" vbProcedure="false">'register configuration'!#ref!</definedName>
    <definedName function="false" hidden="false" localSheetId="3" name="DStream_.ds_file" vbProcedure="false">'DStream .ds file'!$A$1:$D$377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<sst xmlns="http://schemas.openxmlformats.org/spreadsheetml/2006/main" count="1217" uniqueCount="917">
  <si>
    <t xml:space="preserve">How to use the DRAM register programming aid outline</t>
  </si>
  <si>
    <t xml:space="preserve">Step 1. Obtain the desired DRAM data sheet from the DRAM vendor</t>
  </si>
  <si>
    <r>
      <rPr>
        <sz val="11"/>
        <rFont val="Calibri"/>
        <family val="2"/>
        <charset val="1"/>
      </rPr>
      <t xml:space="preserve">The following are to be completed in the "</t>
    </r>
    <r>
      <rPr>
        <i val="true"/>
        <sz val="11"/>
        <rFont val="Calibri"/>
        <family val="2"/>
        <charset val="1"/>
      </rPr>
      <t xml:space="preserve">Register Configuration"</t>
    </r>
    <r>
      <rPr>
        <sz val="11"/>
        <rFont val="Calibri"/>
        <family val="2"/>
        <charset val="1"/>
      </rPr>
      <t xml:space="preserve"> Worksheet tab.</t>
    </r>
  </si>
  <si>
    <t xml:space="preserve">Step 2. Update the Device Information table to include the DRAM information and system usage </t>
  </si>
  <si>
    <t xml:space="preserve">There is also an option to enable or disable ROW-BANK interleaving via a pull-down menu as shown below:</t>
  </si>
  <si>
    <t xml:space="preserve">Step 3. Go through the various shaded cells in the spread sheet to update with data from the DRAM sheet (take special note of the “Legend” table to ascertain the meaning of different shaded cells; in many cases, the cells may not need to be updated).</t>
  </si>
  <si>
    <r>
      <rPr>
        <sz val="11"/>
        <rFont val="Calibri"/>
        <family val="2"/>
        <charset val="1"/>
      </rPr>
      <t xml:space="preserve">The following refers to the "</t>
    </r>
    <r>
      <rPr>
        <i val="true"/>
        <sz val="11"/>
        <rFont val="Calibri"/>
        <family val="2"/>
        <charset val="1"/>
      </rPr>
      <t xml:space="preserve">DStream .ds file</t>
    </r>
    <r>
      <rPr>
        <sz val="11"/>
        <rFont val="Calibri"/>
        <family val="2"/>
        <charset val="1"/>
      </rPr>
      <t xml:space="preserve">" Worksheet tab.  In this tab, the entire DRAM initialization  can be obtained.  This initialization can be used as a DStream .ds file (see below) or are reference for the bootloader DRAM initialization.</t>
    </r>
  </si>
  <si>
    <t xml:space="preserve">Step 4. Go to the "DStream .ds file" file Worksheet tab and copy and paste this into a text document (make sure to rename the document with a “.ds” file ending); this is ready to use with the ARM DStream development system.</t>
  </si>
  <si>
    <t xml:space="preserve">Step 5. This .ds file can also be used as a reference for other debugger tools and bootloaders.</t>
  </si>
  <si>
    <t xml:space="preserve">Note, there are some commands that are specific for the DS5 debugger and are noted in the "Dstream .ds file" work sheet. These commands should be commented out or removed for use in bootloaders or non-debugger based DDR stress tests (for example, when using a USB loadable DDR stress test)</t>
  </si>
  <si>
    <t xml:space="preserve">Latest Version Number</t>
  </si>
  <si>
    <t xml:space="preserve">Updated ADDRMAP0.ADDRMAP_CS_BIT0 to disable when only one chip select is used. Updated ADDRMAP4.ADDRMAP_COL_BIT10 is disable when there are less than 10 columns bits in 32-bit mode and when there are less than 11 column bits in 16-bit mode. Also added programming for ADDRMAP3 column bits 9, 8, 7, and 6 which depend on the number of column bits programmed and the data bus size.</t>
  </si>
  <si>
    <t xml:space="preserve">Revision History</t>
  </si>
  <si>
    <t xml:space="preserve">Version number
(Highest to Lowest)</t>
  </si>
  <si>
    <t xml:space="preserve">Details:</t>
  </si>
  <si>
    <t xml:space="preserve">Updated cells for mode register writes to MR1 and MR2 to make nWR and RL&amp;WL automatically updated based on other cells programmed in the spreadsheet.  Updated cell color code for drive strength settings in the PHY section and for DDR_PHY_OFFSET_RD_CON0 and DDR_PHY_OFFSET_WR_CON0 fields.
Updated field T_RAS_MAX to allow user input.
Updated fields RD2PRE compare the user input against a set value in order to determine the maximum value to use. Also, updated the following timing parameters to ensure they meet the minimum JEDEC requirement at lower frequencies: WR2PRE, T_FAW, T_RAS_MIN, T_RP, T_RC, T_ZQ_RESET_NOP, T_XP, RD2PRE, T_RCD, T_CKESR, T_CKE.
</t>
  </si>
  <si>
    <t xml:space="preserve">1.0</t>
  </si>
  <si>
    <t xml:space="preserve">Updated to enable bank interleaving as default. </t>
  </si>
  <si>
    <t xml:space="preserve">Removed erroneous description in the Device Information table regarding "MX7D only supports 32-bit" as it also supports a 16-bit bus. 
In addition, set the DDRC_ZQCTL0.ZQ_RESISTOR_SHARED bit as the NXP validation board uses a device which shares a ZQ resistor between chip selects. </t>
  </si>
  <si>
    <t xml:space="preserve">Removed references to reg_ddrc_ctrlupd, which is not supported in this design. </t>
  </si>
  <si>
    <t xml:space="preserve">Updated various bit fields for more accurate timing calculation: tRAS, tCCD. Updated PHY ZQ configuration sequence.</t>
  </si>
  <si>
    <t xml:space="preserve">Minor text edit to Register Configuration, changed "Density of each LPDDR3 device" to "Density of each DRAM device"</t>
  </si>
  <si>
    <t xml:space="preserve">Added LPDDR2 support</t>
  </si>
  <si>
    <t xml:space="preserve">Added 16-bit support, and added back in "memory 0x30000000 0x33FFFFFF noverify" to .ds file since this is needed when using the DS5 debugger.</t>
  </si>
  <si>
    <t xml:space="preserve">Added DDR3 support and row-bank interleaving option, removed "memory 0x30000000 0x33FFFFFF noverify" from .ds file</t>
  </si>
  <si>
    <t xml:space="preserve">Internal release, only supports LPDDR3</t>
  </si>
  <si>
    <t xml:space="preserve">Initial </t>
  </si>
  <si>
    <t xml:space="preserve">i.MX7D DDR Controller Configuration Spreadsheet </t>
  </si>
  <si>
    <t xml:space="preserve">This tool is configured to work with (enter board name):</t>
  </si>
  <si>
    <t xml:space="preserve">NXP LPDDR2 validation board</t>
  </si>
  <si>
    <t xml:space="preserve">LPDDR2</t>
  </si>
  <si>
    <t xml:space="preserve">Instructions</t>
  </si>
  <si>
    <t xml:space="preserve">Legend</t>
  </si>
  <si>
    <t xml:space="preserve">Shaded cells may require updating per the DRAM memory data sheet parameters. Certain registers should not need to be modified by the user. If a register is not provided then it is assumed this parameter is not to be changed per the provided initialization script.Certain registers are provided though they may be noted as recommended to not change. </t>
  </si>
  <si>
    <t xml:space="preserve">On Register Configuration Tab, this color indicates the bitfields that would commonly require updating.</t>
  </si>
  <si>
    <t xml:space="preserve">On Register Configuration Tab, this color indicates the bitfields that may be updated, but should typically not require it.</t>
  </si>
  <si>
    <t xml:space="preserve">ENABLED</t>
  </si>
  <si>
    <t xml:space="preserve">DISABLED</t>
  </si>
  <si>
    <t xml:space="preserve">On Register Configuration Tab, this color indicates the bitfields that are updated automatically from setting provided in the "Device Information" table or other cells, and should not be changed manually</t>
  </si>
  <si>
    <t xml:space="preserve">Automatically Updated Setting</t>
  </si>
  <si>
    <t xml:space="preserve">On Register Configuration Tab, an unshaded cell means that the value should remain as is and should not be modified. In these cases, the settings are provided for completeness.</t>
  </si>
  <si>
    <t xml:space="preserve">On other tabs, this color indicates the cells that are affected by changes on the Register Configuration tab.</t>
  </si>
  <si>
    <t xml:space="preserve">Device Information</t>
  </si>
  <si>
    <r>
      <rPr>
        <b val="true"/>
        <sz val="11"/>
        <rFont val="Calibri"/>
        <family val="2"/>
        <charset val="1"/>
      </rPr>
      <t xml:space="preserve">ROW-BANK Interleaving Option
</t>
    </r>
    <r>
      <rPr>
        <sz val="11"/>
        <rFont val="Calibri"/>
        <family val="2"/>
        <charset val="1"/>
      </rPr>
      <t xml:space="preserve">Option to enable bank interleaving.  Enabling this swaps the row and bank addressing to the DRAM allowing a row to be activated across all banks.  This essentially increases the row-page size by a factor of 8.  This may increase read/write performance for sequential accesses as we reduce the number of precharge-activate commands at the expense of power as we are now keeping all 8 banks open (active).
This option affects how the Address Map registers are programmed.</t>
    </r>
  </si>
  <si>
    <t xml:space="preserve">Memory type:</t>
  </si>
  <si>
    <t xml:space="preserve">Manufacturer:</t>
  </si>
  <si>
    <t xml:space="preserve">Micron</t>
  </si>
  <si>
    <t xml:space="preserve">Memory part number:</t>
  </si>
  <si>
    <t xml:space="preserve">Micron LPDDR2</t>
  </si>
  <si>
    <t xml:space="preserve">Density of each DRAM device (Gb):</t>
  </si>
  <si>
    <t xml:space="preserve">Number of DRAM devices per chip select</t>
  </si>
  <si>
    <r>
      <rPr>
        <sz val="10"/>
        <rFont val="Arial"/>
        <family val="2"/>
        <charset val="1"/>
      </rPr>
      <t xml:space="preserve">Density per chip select (Gb)</t>
    </r>
    <r>
      <rPr>
        <vertAlign val="superscript"/>
        <sz val="10"/>
        <rFont val="Arial"/>
        <family val="2"/>
        <charset val="1"/>
      </rPr>
      <t xml:space="preserve">1</t>
    </r>
    <r>
      <rPr>
        <sz val="10"/>
        <rFont val="Arial"/>
        <family val="2"/>
        <charset val="1"/>
      </rPr>
      <t xml:space="preserve">:</t>
    </r>
  </si>
  <si>
    <r>
      <rPr>
        <sz val="10"/>
        <rFont val="Arial"/>
        <family val="2"/>
        <charset val="1"/>
      </rPr>
      <t xml:space="preserve">Number of Chip Selects used</t>
    </r>
    <r>
      <rPr>
        <vertAlign val="superscript"/>
        <sz val="10"/>
        <rFont val="Arial"/>
        <family val="2"/>
        <charset val="1"/>
      </rPr>
      <t xml:space="preserve">2</t>
    </r>
  </si>
  <si>
    <t xml:space="preserve">Total DRAM density (Gb)</t>
  </si>
  <si>
    <r>
      <rPr>
        <sz val="10"/>
        <rFont val="Arial"/>
        <family val="2"/>
        <charset val="1"/>
      </rPr>
      <t xml:space="preserve">Number of ROW Addresses</t>
    </r>
    <r>
      <rPr>
        <vertAlign val="superscript"/>
        <sz val="10"/>
        <rFont val="Arial"/>
        <family val="2"/>
        <charset val="1"/>
      </rPr>
      <t xml:space="preserve">2</t>
    </r>
  </si>
  <si>
    <r>
      <rPr>
        <sz val="10"/>
        <rFont val="Arial"/>
        <family val="2"/>
        <charset val="1"/>
      </rPr>
      <t xml:space="preserve">Number of COLUMN Addresses</t>
    </r>
    <r>
      <rPr>
        <vertAlign val="superscript"/>
        <sz val="10"/>
        <rFont val="Arial"/>
        <family val="2"/>
        <charset val="1"/>
      </rPr>
      <t xml:space="preserve">2</t>
    </r>
  </si>
  <si>
    <r>
      <rPr>
        <sz val="10"/>
        <rFont val="Arial"/>
        <family val="2"/>
        <charset val="1"/>
      </rPr>
      <t xml:space="preserve">Number of BANK addresses</t>
    </r>
    <r>
      <rPr>
        <vertAlign val="superscript"/>
        <sz val="10"/>
        <rFont val="Arial"/>
        <family val="2"/>
        <charset val="1"/>
      </rPr>
      <t xml:space="preserve">2</t>
    </r>
  </si>
  <si>
    <r>
      <rPr>
        <sz val="10"/>
        <rFont val="Arial"/>
        <family val="2"/>
        <charset val="1"/>
      </rPr>
      <t xml:space="preserve">Number of BANKS</t>
    </r>
    <r>
      <rPr>
        <vertAlign val="superscript"/>
        <sz val="10"/>
        <rFont val="Arial"/>
        <family val="2"/>
        <charset val="1"/>
      </rPr>
      <t xml:space="preserve">2</t>
    </r>
  </si>
  <si>
    <t xml:space="preserve">Bus Width: 32 or 16 (bits) </t>
  </si>
  <si>
    <r>
      <rPr>
        <sz val="10"/>
        <rFont val="Arial"/>
        <family val="2"/>
        <charset val="1"/>
      </rPr>
      <t xml:space="preserve">Clock Cycle Freq (MHz)</t>
    </r>
    <r>
      <rPr>
        <vertAlign val="superscript"/>
        <sz val="10"/>
        <rFont val="Arial"/>
        <family val="2"/>
        <charset val="1"/>
      </rPr>
      <t xml:space="preserve">3</t>
    </r>
  </si>
  <si>
    <t xml:space="preserve">Clock Cycle Time (ns)</t>
  </si>
  <si>
    <t xml:space="preserve">DDRC Base Address (do not modify)</t>
  </si>
  <si>
    <t xml:space="preserve">307A0000</t>
  </si>
  <si>
    <t xml:space="preserve">PHY Base Address (do not modify)</t>
  </si>
  <si>
    <t xml:space="preserve">1. Important: it is necessary to populate this field with the density in Gbits as it is used in later calculations. This field is cacluated from the previous two fields. The user can also simply type in the total density as well in this field.</t>
  </si>
  <si>
    <t xml:space="preserve">2. Important, these fields need to be filled out correctly as these values are used later in this tool for register settings.</t>
  </si>
  <si>
    <t xml:space="preserve">3. Even though i.MX7D runs at 528MHz, set timings according to 533MHz to allow for a little more margin</t>
  </si>
  <si>
    <t xml:space="preserve">DDRC Control Parameter</t>
  </si>
  <si>
    <t xml:space="preserve">N/A</t>
  </si>
  <si>
    <t xml:space="preserve">control bit setting (decimal)</t>
  </si>
  <si>
    <t xml:space="preserve">bit setting within register</t>
  </si>
  <si>
    <t xml:space="preserve">Notes</t>
  </si>
  <si>
    <t xml:space="preserve">Register name</t>
  </si>
  <si>
    <t xml:space="preserve">Register address</t>
  </si>
  <si>
    <t xml:space="preserve">Register value (HEX)</t>
  </si>
  <si>
    <t xml:space="preserve">ACTIVE_RANKS</t>
  </si>
  <si>
    <r>
      <rPr>
        <b val="true"/>
        <sz val="10"/>
        <color rgb="FF000000"/>
        <rFont val="Arial"/>
        <family val="2"/>
        <charset val="1"/>
      </rPr>
      <t xml:space="preserve">Note, this information is automatically obtained from the Device Information table above.
</t>
    </r>
    <r>
      <rPr>
        <sz val="10"/>
        <color rgb="FF000000"/>
        <rFont val="Arial"/>
        <family val="2"/>
        <charset val="1"/>
      </rPr>
      <t xml:space="preserve">Description: Maps the Chip Selects in use.
Only the following bit configurations are legal:
■ 01 - for one rank (CS0 populated)
■ 11- for two ranks (CS1 and CS0 populated)
Value After Reset: 0x3</t>
    </r>
  </si>
  <si>
    <t xml:space="preserve">DDRC_MSTR</t>
  </si>
  <si>
    <t xml:space="preserve">BURST_RDWR</t>
  </si>
  <si>
    <t xml:space="preserve">-</t>
  </si>
  <si>
    <r>
      <rPr>
        <sz val="10"/>
        <color rgb="FF000000"/>
        <rFont val="Arial"/>
        <family val="2"/>
        <charset val="1"/>
      </rPr>
      <t xml:space="preserve">Description: SDRAM burst length used:
■0001 - Reserved.
</t>
    </r>
    <r>
      <rPr>
        <b val="true"/>
        <sz val="10"/>
        <color rgb="FF000000"/>
        <rFont val="Arial"/>
        <family val="2"/>
        <charset val="1"/>
      </rPr>
      <t xml:space="preserve">■0010 - Burst length of 4 (recommended for LPDDR2)
</t>
    </r>
    <r>
      <rPr>
        <sz val="10"/>
        <color rgb="FF000000"/>
        <rFont val="Arial"/>
        <family val="2"/>
        <charset val="1"/>
      </rPr>
      <t xml:space="preserve">■</t>
    </r>
    <r>
      <rPr>
        <b val="true"/>
        <sz val="10"/>
        <color rgb="FF000000"/>
        <rFont val="Arial"/>
        <family val="2"/>
        <charset val="1"/>
      </rPr>
      <t xml:space="preserve">0100 - Burst length of 8 (recommended for DDR3/LPDDR3)
</t>
    </r>
    <r>
      <rPr>
        <sz val="10"/>
        <color rgb="FF000000"/>
        <rFont val="Arial"/>
        <family val="2"/>
        <charset val="1"/>
      </rPr>
      <t xml:space="preserve">■1000 - Burst length of 16 (only supported for LPDDR2)
All other values are reserved.
This controls the burst size used to access the SDRAM. This must match the burst length mode register setting in the SDRAM. 
Value After Reset: 0x4</t>
    </r>
  </si>
  <si>
    <t xml:space="preserve">DLL_OFF_MODE</t>
  </si>
  <si>
    <t xml:space="preserve">Description: Set to 1 when the uMCTL2 and DRAM has to be put in DLL-off mode for low frequency operation.
Set to 0 to put uMCTL2 and DRAM in DLL-on mode for normal frequency operation.
Value After Reset: 0x0</t>
  </si>
  <si>
    <t xml:space="preserve">DATA_BUS_WIDTH</t>
  </si>
  <si>
    <t xml:space="preserve">Description: Selects proportion of DQ bus width that is used by the SDRAM
■00 - Full DQ bus width to SDRAM 
■01 - Half DQ bus width to SDRAM
(The following bit settings are not implmented in this design)
■10 - Quarter DQ bus width to SDRAM
■11 - Reserved.
Value After Reset: 0x0</t>
  </si>
  <si>
    <t xml:space="preserve">BURSTCHOP</t>
  </si>
  <si>
    <t xml:space="preserve">Description: When set, enable burst-chop in DDR3. This is only supported in AXI bus configurations (UMCTL2_INCL_ARB not set) using full bus width mode (MSTR.data_bus_width = 00).
■ 0 - Disabled.
■ 1 - Burst-Chop enabled.
Value After Reset: 0x0</t>
  </si>
  <si>
    <t xml:space="preserve">BURST_MODE</t>
  </si>
  <si>
    <t xml:space="preserve">Description: Indicates burst mode.
0 - Sequential burst mode
1 - Interleaved burst mode (not supported in current design)
Value After Reset: 0x0</t>
  </si>
  <si>
    <t xml:space="preserve">LPDDR3</t>
  </si>
  <si>
    <r>
      <rPr>
        <b val="true"/>
        <sz val="10"/>
        <color rgb="FF000000"/>
        <rFont val="Arial"/>
        <family val="2"/>
        <charset val="1"/>
      </rPr>
      <t xml:space="preserve">Note, this information is automatically obtained from the Device Information table above.
</t>
    </r>
    <r>
      <rPr>
        <sz val="10"/>
        <color rgb="FF000000"/>
        <rFont val="Arial"/>
        <family val="2"/>
        <charset val="1"/>
      </rPr>
      <t xml:space="preserve">Description: Select LPDDR3 SDRAM
■1 - LPDDR3 SDRAM device in use.
■0 - non-LPDDR3 device in use
Present only in designs configured to support LPDDR3.
Value After Reset: 0x0</t>
    </r>
  </si>
  <si>
    <r>
      <rPr>
        <b val="true"/>
        <sz val="10"/>
        <color rgb="FF000000"/>
        <rFont val="Arial"/>
        <family val="2"/>
        <charset val="1"/>
      </rPr>
      <t xml:space="preserve">Note, this information is automatically obtained from the Device Information table above</t>
    </r>
    <r>
      <rPr>
        <sz val="10"/>
        <color rgb="FF000000"/>
        <rFont val="Arial"/>
        <family val="2"/>
        <charset val="1"/>
      </rPr>
      <t xml:space="preserve">.
Description: Select LPDDR2 SDRAM
■1 - LPDDR2 SDRAM device in use.
■0 - non-LPDDR2 device in use
Present only in designs configured to support LPDDR2.
Value After Reset: 0x0</t>
    </r>
  </si>
  <si>
    <t xml:space="preserve">DDR3</t>
  </si>
  <si>
    <r>
      <rPr>
        <b val="true"/>
        <sz val="10"/>
        <color rgb="FF000000"/>
        <rFont val="Arial"/>
        <family val="2"/>
        <charset val="1"/>
      </rPr>
      <t xml:space="preserve">Note, this information is automatically obtained from the Device Information table above.
</t>
    </r>
    <r>
      <rPr>
        <sz val="10"/>
        <color rgb="FF000000"/>
        <rFont val="Arial"/>
        <family val="2"/>
        <charset val="1"/>
      </rPr>
      <t xml:space="preserve">Description: Select DDR3 SDRAM
■1 - DDR3 SDRAM device in use
■0 - non-DDR3 SDRAM device in use
Only present in designs that support DDR3.
Value After Reset: (MEMC_DDR3==1) ? 0x1 : 0x0</t>
    </r>
  </si>
  <si>
    <t xml:space="preserve">The following ADDRMAP registers are automatically updated from the Device Information table above and should NOT be manually changed.</t>
  </si>
  <si>
    <t xml:space="preserve">ADDRMAP_CS_BIT1</t>
  </si>
  <si>
    <t xml:space="preserve">Reserved for future use. Set to zero as these bits are not write-able in this design.
Value After Reset: 0x0</t>
  </si>
  <si>
    <t xml:space="preserve">DDRC_ADDRMAP0</t>
  </si>
  <si>
    <t xml:space="preserve">ADDRMAP_CS_BIT0</t>
  </si>
  <si>
    <t xml:space="preserve">Description: Selects the HIF address bit used as rank address bit 0.
Valid Range: 0 to 27, and 31
Internal Base: 6
The selected HIF address bit is determined by adding the internal base to the value of this field.
If set to 31, rank address bit 0 is set to 0.
Value After Reset: 0x0</t>
  </si>
  <si>
    <t xml:space="preserve">ADDRMAP_BANK_B2</t>
  </si>
  <si>
    <t xml:space="preserve">Description: Selects the HIF address bit used as bank address bit 2.
Valid Range: 0 to 29 and 31
Internal Base: 4
The selected HIF address bit is determined by adding the internal base to the value of this field.
If set to 31, bank address bit 2 is set to 0.
Value After Reset: 0x0</t>
  </si>
  <si>
    <t xml:space="preserve">DDRC_ADDRMAP1</t>
  </si>
  <si>
    <t xml:space="preserve">ADDRMAP_BANK_B1</t>
  </si>
  <si>
    <t xml:space="preserve">Description: Selects the HIF address bits used as bank address bit 1.
Valid Range: 0 to 30
Internal Base: 3
The selected HIF address bit for each of the bank address bits is determined by adding the internal base to the value of this field.
Value After Reset: 0x0</t>
  </si>
  <si>
    <t xml:space="preserve">ADDRMAP_BANK_B0</t>
  </si>
  <si>
    <t xml:space="preserve">Description: Selects the HIF address bits used as bank address bit 0.
Valid Range: 0 to 30
Internal Base: 2
The selected HIF address bit for each of the bank address bits is determined by adding the internal base to the value of this field.
Value After Reset: 0x0</t>
  </si>
  <si>
    <t xml:space="preserve">ADDRMAP_COL_B9</t>
  </si>
  <si>
    <t xml:space="preserve">Description:
• Full bus width mode: Selects the HIF address bit used as column address bit 9.
• Half bus width mode: Selects the HIF address bit used as column address bit 11 (10 in LPDDR2 /
LPDDR3 mode)
• Quarter bus width mode: Selects the HIF address bit used as column address bit 13 (11 in
LPDDR2 / LPDDR3 mode).
Valid Range: 0 to 7, and 15
Internal Base: 9
The selected HIF address bit is determined by adding the internal base to the value of this field. If set to
15, this column address bit is set to 0.
NOTE: Per JEDEC DDR2 / DDR3 / mDDR specification, column address bit 10 is reserved for indicating
auto-precharge, and hence no source address bit can be mapped to column address bit 10.
In LPDDR2 / LPDDR3, there is a dedicated bit for auto- precharge in the CA bus and hence column bit 10
is used.
Value After Reset: 0x0</t>
  </si>
  <si>
    <t xml:space="preserve">DDRC_ADDRMAP3</t>
  </si>
  <si>
    <t xml:space="preserve">ADDRMAP_COL_B8</t>
  </si>
  <si>
    <t xml:space="preserve">Description:
• Full bus width mode: Selects the HIF address bit used as column address bit 8.
• Half bus width mode: Selects the HIF address bit used as column address bit 9.
• Quarter bus width mode: Selects the HIF address bit used as column address bit 11 (10 in
LPDDR2 / LPDDR3 mode).
Valid Range: 0 to 7, and 15
Internal Base: 8
The selected HIF address bit is determined by adding the internal base to the value of this field.
If set to 15, this column address bit is set to 0.
NOTE: Per JEDEC DDR2 / DDR3 / mDDR specification, column address bit 10 is reserved for indicating
auto-precharge, and hence no source address bit can be mapped to column address bit 10.
In LPDDR2 / LPDDR3, there is a dedicated bit for auto-precharge in the CA bus and hence column bit 10
is used.
Value After Reset: 0x0</t>
  </si>
  <si>
    <t xml:space="preserve">ADDRMAP_COL_B7</t>
  </si>
  <si>
    <t xml:space="preserve">Description:
• Full bus width mode: Selects the HIF address bit used as column address bit 7.
• Half bus width mode: Selects the HIF address bit used as column address bit 8.
• Quarter bus width mode: Selects the HIF address bit used as column address bit 9.
Valid Range: 0 to 7, and 15
Internal Base: 7
The selected HIF address bit is determined by adding the internal base to the value of this field. If set to
15, this column address bit is set to 0.
Value After Reset: 0x0</t>
  </si>
  <si>
    <t xml:space="preserve">ADDRMAP_COL_B6</t>
  </si>
  <si>
    <t xml:space="preserve">Description:
• Full bus width mode: Selects the HIF address bit used as column address bit 6.
• Half bus width mode: Selects the HIF address bit used as column address bit 7.
• Quarter bus width mode: Selects the HIF address bit used as column address bit 8.
Valid Range: 0 to 7, and 15
Internal Base: 6
The selected HIF address bit is determined by adding the internal base to the value of this field. If set to
15, this column address bit is set to 0.
Value After Reset: 0x0</t>
  </si>
  <si>
    <t xml:space="preserve">ADDRMAP_COL_B11</t>
  </si>
  <si>
    <t xml:space="preserve">Description: Selects the HIF address bit used as column address bit 11.
Valid Range: 0 to 7 and 15
Internal Base: 11
The selected HIF address bit is determined by adding the internal base to the value of this field.
If set to 15, column address bit 11 is set to 0.
Value After Reset: 0x0</t>
  </si>
  <si>
    <t xml:space="preserve">DDRC_ADDRMAP4</t>
  </si>
  <si>
    <t xml:space="preserve">ADDRMAP_COL_B10</t>
  </si>
  <si>
    <t xml:space="preserve">Description: Selects the HIF address bit used as column address bit 10.
Valid Range: 0 to 7 and 15
Internal Base: 10
The selected HIF address bit is determined by adding the internal base to the value of this field.
If set to 15, bank column bit 10 is set to 0.
Value After Reset: 0x0</t>
  </si>
  <si>
    <t xml:space="preserve">ADDRMAP_ROW_B11</t>
  </si>
  <si>
    <t xml:space="preserve">Description: Selects the HIF address bit used as row address bit 11.
Valid Range: 0 to 11, and 15
Internal Base: 17
The selected HIF address bit is determined by adding the internal base to the value of this field.
If set to 15, row address bit 11 is set to 0.
Value After Reset: 0x0</t>
  </si>
  <si>
    <t xml:space="preserve">DDRC_ADDRMAP5</t>
  </si>
  <si>
    <t xml:space="preserve">ADDRMAP_ROW_B2_10</t>
  </si>
  <si>
    <t xml:space="preserve">Description: Selects the HIF address bits used as row address bits 2 to 10.
Valid Range: 0 to 11
Internal Base: 8 (for row address bit 2), 9 (for row address bit 3), 10 (for row address bit 4) and so on, increasing to 16 (for row address bit 10)
The selected HIF address bit for each of the row address bits is determined by adding the internal base to the value of this field.
Value After Reset: 0x0</t>
  </si>
  <si>
    <t xml:space="preserve">ADDRMAP_ROW_B1</t>
  </si>
  <si>
    <t xml:space="preserve">Description: Selects the HIF address bits used as row address bit 1.
Valid Range: 0 to 11
Internal Base: 7
The selected HIF address bit for each of the row address bits is determined by adding the internal base to the value of this field.
Value After Reset: 0x0</t>
  </si>
  <si>
    <t xml:space="preserve">ADDRMAP_ROW_B0</t>
  </si>
  <si>
    <t xml:space="preserve">Description: Selects the HIF address bits used as row address bit 0.
Valid Range: 0 to 11
Internal Base: 6
The selected HIF address bit for each of the row address bits is determined by adding the internal base to the value of this field.
Value After Reset: 0x0</t>
  </si>
  <si>
    <t xml:space="preserve">LPDDR3_6GB_12_GB</t>
  </si>
  <si>
    <t xml:space="preserve">Description: Set this to 1 if there is an LPDDR3 SDRAM 6Gb or 12Gb device in use.
■ 0 - non-LPDDR3 6Gb/12Gb device in use. All addresses are valid.
■ 1 - LPDDR3 SDRAM 6Gb/12Gb device in use. Every address having row[14:13]==2'b11 is considered as invalid
Value After Reset: 0x0</t>
  </si>
  <si>
    <t xml:space="preserve">DDRC_ADDRMAP6</t>
  </si>
  <si>
    <t xml:space="preserve">ADDRMAP_ROW_B15</t>
  </si>
  <si>
    <t xml:space="preserve">Description: Selects the HIF address bit used as row address bit 15.
Valid Range: 0 to 11, and 15
Internal Base: 21
The selected HIF address bit is determined by adding the internal base to the value of this field.
If set to 15, row address bit 15 is set to 0.
Value After Reset: 0x0</t>
  </si>
  <si>
    <t xml:space="preserve">ADDRMAP_ROW_B14</t>
  </si>
  <si>
    <t xml:space="preserve">Description: Selects the HIF address bit used as row address bit 14.
Valid Range: 0 to 11, and 15
Internal Base: 20
The selected HIF address bit is determined by adding the internal base to the value of this field.
If set to 15, row address bit 14 is set to 0.
Value After Reset: 0x0</t>
  </si>
  <si>
    <t xml:space="preserve">ADDRMAP_ROW_B13</t>
  </si>
  <si>
    <t xml:space="preserve">Description: Selects the HIF address bit used as row address bit 13.
Valid Range: 0 to 11, and 15
Internal Base: 19
The selected HIF address bit is determined by adding the internal base to the value of this field.
If set to 15, row address bit 13 is set to 0.
Value After Reset: 0x0</t>
  </si>
  <si>
    <t xml:space="preserve">ADDRMAP_ROW_B12</t>
  </si>
  <si>
    <t xml:space="preserve">Description: Selects the HIF address bit used as row address bit 12.
Valid Range: 0 to 11, and 15
Internal Base: 18
The selected HIF address bit is determined by adding the internal base to the value of this field.
If set to 15, row address bit 12 is set to 0.
Value After Reset: 0x0</t>
  </si>
  <si>
    <t xml:space="preserve">DDRC timing parameter (DDR device timing parameter)</t>
  </si>
  <si>
    <t xml:space="preserve">value from DDR data sheet (ns)</t>
  </si>
  <si>
    <t xml:space="preserve">Clock Cycle or Binary Setting</t>
  </si>
  <si>
    <t xml:space="preserve">Register address (HEX)</t>
  </si>
  <si>
    <t xml:space="preserve">T_RFC_NOM_X32</t>
  </si>
  <si>
    <r>
      <rPr>
        <b val="true"/>
        <sz val="10"/>
        <color rgb="FF000000"/>
        <rFont val="Arial"/>
        <family val="2"/>
        <charset val="1"/>
      </rPr>
      <t xml:space="preserve">Note, user must supply tREFI (in ns) from the DRAM data sheet, see description for more details.
</t>
    </r>
    <r>
      <rPr>
        <sz val="10"/>
        <color rgb="FF000000"/>
        <rFont val="Arial"/>
        <family val="2"/>
        <charset val="1"/>
      </rPr>
      <t xml:space="preserve">Description: tREFI: Average time interval between refreshes per rank (Specification: 7.8us for DDR3. See JEDEC specification for LPDDR2 and LPDDR3).
For LPDDR2/LPDDR3:
■if using all-bank refreshes (RFSHCTL0.per_bank_refresh = 0), this register should be set to tREFIab (normal configuration)
■if using per-bank refreshes (RFSHCTL0.per_bank_refresh = 1), this register should be set to tREFIpb
Since this design is configured with MEMC_FREQ_RATIO=2, program this to (tREFI/2), no rounding up (this is performed automatically)
Note that RFSHTMG.t_rfc_nom_x32 * 32 must be greater than RFSHTMG.t_rfc_min.
Unit: Multiples of 32 clocks.
Value After Reset: 0x62</t>
    </r>
  </si>
  <si>
    <t xml:space="preserve">DDRC_RFSHTMG</t>
  </si>
  <si>
    <t xml:space="preserve">T_RFC_MIN</t>
  </si>
  <si>
    <r>
      <rPr>
        <b val="true"/>
        <sz val="10"/>
        <color rgb="FF000000"/>
        <rFont val="Arial"/>
        <family val="2"/>
        <charset val="1"/>
      </rPr>
      <t xml:space="preserve">Note, user must supply tRFC (min) (in ns) from the DRAM data sheet
</t>
    </r>
    <r>
      <rPr>
        <sz val="10"/>
        <color rgb="FF000000"/>
        <rFont val="Arial"/>
        <family val="2"/>
        <charset val="1"/>
      </rPr>
      <t xml:space="preserve">Description: tRFC (min): Minimum time from refresh to refresh or activate.
Since this design is set for MEMC_FREQ_RATIO=2 configurations, t_rfc_min should be set to RoundUp(RoundUp(tRFCmin/tCK)/2). (this is performed automatically)
In LPDDR2/LPDDR3 mode:
■if using all-bank refreshes, the tRFCmin value in the above equations is equal to tRFCab
■if using per-bank refreshes, the tRFCmin value in the above equations is equal to tRFCpb
Unit: Clocks.
Value After Reset: 0x8c</t>
    </r>
  </si>
  <si>
    <t xml:space="preserve">DDRC_INIT2 is used only for LPDDR2 configurations and can be left as is for LPDDR3/DDR3. In either case, it is not recommended to change these settings.</t>
  </si>
  <si>
    <t xml:space="preserve">IDLE_AFTER_RESET_X32</t>
  </si>
  <si>
    <r>
      <rPr>
        <b val="true"/>
        <sz val="10"/>
        <color rgb="FF000000"/>
        <rFont val="Arial"/>
        <family val="2"/>
        <charset val="1"/>
      </rPr>
      <t xml:space="preserve">Note, this field is updated automatically and it is not recommended to manually configure it.
</t>
    </r>
    <r>
      <rPr>
        <sz val="10"/>
        <color rgb="FF000000"/>
        <rFont val="Arial"/>
        <family val="2"/>
        <charset val="1"/>
      </rPr>
      <t xml:space="preserve">Idle time after the reset command, tINIT4.
Present only in designs configured to support LPDDR2.
Unit: 32 clock cycles.
Value After Reset: 0x0</t>
    </r>
  </si>
  <si>
    <t xml:space="preserve">DDRC_INIT2</t>
  </si>
  <si>
    <t xml:space="preserve">MIN_STABLE_CLOCK_X1</t>
  </si>
  <si>
    <t xml:space="preserve">Time to wait after the first CKE high, tINIT2.
Present only in designs configured to support LPDDR2 / LPDDR3.
Unit: 1 clock cycle. LPDDR2 / LPDDR3 typically requires 5 x tCK delay.
Value After Reset: 0x0</t>
  </si>
  <si>
    <t xml:space="preserve">DDRC_INIT1 is used only for DDR3 configurations and can be left as is for LPDDR3/LPDDR2. In either case, it is not recommended to change these settings.</t>
  </si>
  <si>
    <t xml:space="preserve">DRAM_RSTN_X1024</t>
  </si>
  <si>
    <r>
      <rPr>
        <b val="true"/>
        <sz val="10"/>
        <color rgb="FF000000"/>
        <rFont val="Arial"/>
        <family val="2"/>
        <charset val="1"/>
      </rPr>
      <t xml:space="preserve">Note, this field is updated automatically and it is not recommended to manually configure it.
</t>
    </r>
    <r>
      <rPr>
        <sz val="10"/>
        <color rgb="FF000000"/>
        <rFont val="Arial"/>
        <family val="2"/>
        <charset val="1"/>
      </rPr>
      <t xml:space="preserve">Description: Number of cycles to assert SDRAM reset signal during init sequence.
This is only present for designs supporting DDR3. JEDEC specs this should be 200us.  This bit setting is automatically calculated for this.
For all other memories, this should be automatically set to a minimum of 1.
Value After Reset: 0x0</t>
    </r>
  </si>
  <si>
    <t xml:space="preserve">DDRC_INIT1</t>
  </si>
  <si>
    <t xml:space="preserve">FINAL_WAIT_X32</t>
  </si>
  <si>
    <t xml:space="preserve">Description: Cycles to wait after completing the SDRAM initialization sequence before starting the dynamic scheduler.
Unit: Counts of a global timer that pulses every 32 clock cycles.
There is no known specific requirement for this; it may be set to zero.
Value After Reset: 0x0</t>
  </si>
  <si>
    <t xml:space="preserve">PRE_OCD_X32</t>
  </si>
  <si>
    <t xml:space="preserve">Description: Wait period before driving the OCD complete command to SDRAM.
Unit: Counts of a global timer that pulses every 32 clock cycles.
There is no known specific requirement for this; it may be set to zero.
Value After Reset: 0x0</t>
  </si>
  <si>
    <t xml:space="preserve">SKIP_DRAM_INIT</t>
  </si>
  <si>
    <t xml:space="preserve">Description: If lower bit is enabled the SDRAM initialization routine is skipped. The upper bit decides what state the controller starts up in when reset is removed
■ 00 - SDRAM Initialization routine is run after power-up
■ 01 - SDRAM Initialization routine is skipped after power-up. Controller starts up in Normal Mode
■ 11 - SDRAM Initialization routine is skipped after power-up. Controller starts up in Self-refresh Mode
■ 10 - SDRAM Initialization routine is run after power-up.
Value After Reset: 0x0</t>
  </si>
  <si>
    <t xml:space="preserve">DDRC_INIT0</t>
  </si>
  <si>
    <t xml:space="preserve">POST_CKE_X1024</t>
  </si>
  <si>
    <r>
      <rPr>
        <b val="true"/>
        <sz val="10"/>
        <color rgb="FF000000"/>
        <rFont val="Arial"/>
        <family val="2"/>
        <charset val="1"/>
      </rPr>
      <t xml:space="preserve">Note, this field is updated automatically and it is not recommended to manually configure it.
</t>
    </r>
    <r>
      <rPr>
        <sz val="10"/>
        <color rgb="FF000000"/>
        <rFont val="Arial"/>
        <family val="2"/>
        <charset val="1"/>
      </rPr>
      <t xml:space="preserve">Description: Cycles to wait after driving CKE high to start the SDRAM initialization sequence.
Unit: 1024 clocks.
LPDDR2/LPDDR3 typically requires this to be programmed for a delay of 200 us per JEDEC.
Since this design is configured with MEMC_FREQ_RATIO=2, program this to JEDEC spec value divided by 2, and round it up to next integer value.  (this is performed automatically)
For DDR3, this is automatically set for a value of 0x2.
Value After Reset: 0x2</t>
    </r>
  </si>
  <si>
    <t xml:space="preserve">PRE_CKE_X1024</t>
  </si>
  <si>
    <r>
      <rPr>
        <b val="true"/>
        <sz val="10"/>
        <color rgb="FF000000"/>
        <rFont val="Arial"/>
        <family val="2"/>
        <charset val="1"/>
      </rPr>
      <t xml:space="preserve">Note, this field is updated automatically and it is not recommended to manually configure it.
</t>
    </r>
    <r>
      <rPr>
        <sz val="10"/>
        <color rgb="FF000000"/>
        <rFont val="Arial"/>
        <family val="2"/>
        <charset val="1"/>
      </rPr>
      <t xml:space="preserve">Description: Cycles to wait after reset before driving CKE high to start the SDRAM initialization sequence.
Unit: 1024 clock cycles.
LPDDR2/LPDDR3: tINIT1 of 100 ns (min) per JEDEC.
Since this design is configured with MEMC_FREQ_RATIO=2, program this to JEDEC spec value divided by 2, and round it up to next integer value.  (this is performed automatically)
DDR3: JEDEC specs this as 500us.
Value After Reset: 0x4e</t>
    </r>
  </si>
  <si>
    <t xml:space="preserve">DEV_ZQINIT_X32</t>
  </si>
  <si>
    <r>
      <rPr>
        <b val="true"/>
        <sz val="10"/>
        <color rgb="FF000000"/>
        <rFont val="Arial"/>
        <family val="2"/>
        <charset val="1"/>
      </rPr>
      <t xml:space="preserve">Note, this field is updated automatically and it is not recommended to manually configure it.
</t>
    </r>
    <r>
      <rPr>
        <sz val="10"/>
        <color rgb="FF000000"/>
        <rFont val="Arial"/>
        <family val="2"/>
        <charset val="1"/>
      </rPr>
      <t xml:space="preserve">Description: ZQ initial calibration, tZQINIT.
Unit: 32 clock cycles.
Per JEDEC:
DDR3 typically requires 512 clocks.
LPDDR2/LPDDR3 requires 1 us.
Value After Reset: 0x10</t>
    </r>
  </si>
  <si>
    <t xml:space="preserve">DDRC_INIT5</t>
  </si>
  <si>
    <t xml:space="preserve">MAX_AUTO_INIT_X1024</t>
  </si>
  <si>
    <r>
      <rPr>
        <b val="true"/>
        <sz val="10"/>
        <color rgb="FF000000"/>
        <rFont val="Arial"/>
        <family val="2"/>
        <charset val="1"/>
      </rPr>
      <t xml:space="preserve">Note, this field is updated automatically and it is not recommended to manually configure it.
</t>
    </r>
    <r>
      <rPr>
        <sz val="10"/>
        <color rgb="FF000000"/>
        <rFont val="Arial"/>
        <family val="2"/>
        <charset val="1"/>
      </rPr>
      <t xml:space="preserve">Description: Maximum duration of the auto initialization, tINIT5. Present only in designs configured to support LPDDR2/LPDDR3.
LPDDR2/LPDDR3 typically requires 10 us per JEDEC.
For DDR3, this parameter is not used and is automatically set to a value of 4.
Value After Reset: (MEMC_LPDDR2) ? 0x4 : 0x0</t>
    </r>
  </si>
  <si>
    <t xml:space="preserve">The following register is not recommended to be changed by the user</t>
  </si>
  <si>
    <t xml:space="preserve">DIFF_RANK_WR_GAP</t>
  </si>
  <si>
    <t xml:space="preserve">Description: Only present for multi-rank configurations.
Indicates the number of clocks of gap in data responses when performing consecutive writes to different ranks.
This is used to switch the delays in the PHY to match the rank requirements.
The value programmed in this register takes care of the ODT switch off timing requirement when switching ranks during writes.
■ N is value required by PHY, in terms of PHY clocks.
Since this design is configured with MEMC_FREQ_RATIO=2, program this to (N/2) and round it up to the next integer value (this is performed automatically).
Value After Reset: 0x6</t>
  </si>
  <si>
    <t xml:space="preserve">DDRC_RANKCTL</t>
  </si>
  <si>
    <t xml:space="preserve">DIFF_RANK_RD_GAP</t>
  </si>
  <si>
    <t xml:space="preserve">Description: Only present for multi-rank configurations.
Indicates the number of clocks of gap in data responses when performing consecutive reads to different ranks.
This is used to switch the delays in the PHY to match the rank requirements.
The value programmed in this register takes care of the ODT switch off timing requirement when switching ranks during reads.
■ N is value required by PHY, in terms of PHY clocks.
Since this design is configured with MEMC_FREQ_RATIO=2, program this to (N/2) and round it up to the next integer value (this is performed automatically).
Value After Reset: 0x6</t>
  </si>
  <si>
    <t xml:space="preserve">MAX_RANK_RD</t>
  </si>
  <si>
    <t xml:space="preserve">Description: Only present for multi-rank configurations.
Background: Reads to the same rank can be performed back-to-back. Reads to different ranks require additional gap dictated by the register RANKCTL.diff_rank_rd_gap. This is to avoid possible data bus contention as well as to give PHY enough time to switch the delay when changing ranks. The uMCTL2 arbitrates for bus access on a cycle-by-cycle basis; therefore after a read is scheduled, there are few clock cycles (determined by the value on RANKCTL.diff_rank_rd_gap register) in which only reads from the same rank are eligible to be scheduled. This prevents reads from other ranks from having fair access to the data bus.
This parameter represents the maximum number of reads that can be scheduled consecutively to the same rank. After this number is reached, a delay equal to RANKCTL.diff_rank_rd_gap is inserted by the scheduler to allow all ranks a fair opportunity to be scheduled. Higher numbers increase bandwidth utilization, lower numbers increase fairness.
This feature can be DISABLED by setting this register to 0. When set to 0, the Controller stays on the same rank as long as commands are available for it.
Minimum programmable value is 0 (feature disabled) and maximum programmable value is 0xF.
FOR PERFORMANCE ONLY. Recommend leave as default.
Value After Reset: 0xf</t>
  </si>
  <si>
    <t xml:space="preserve">WR2PRE</t>
  </si>
  <si>
    <r>
      <rPr>
        <b val="true"/>
        <sz val="10"/>
        <color rgb="FF000000"/>
        <rFont val="Arial"/>
        <family val="2"/>
        <charset val="1"/>
      </rPr>
      <t xml:space="preserve">User input required: tWR (in ns)
</t>
    </r>
    <r>
      <rPr>
        <sz val="10"/>
        <color rgb="FF000000"/>
        <rFont val="Arial"/>
        <family val="2"/>
        <charset val="1"/>
      </rPr>
      <t xml:space="preserve">Description: Minimum time between write and precharge to same bank.
Unit: Clocks
Specifications: WL + BL/2 + tWR = approximately 8 cycles + 15 ns = 14 clocks @400MHz and less for lower frequencies
where:
■ WL = write latency
■ BL = burst length. This must match the value programmed in the BL bit of the mode register to the SDRAM. BST (burst terminate) is not supported at present.
■ tWR = Write recovery time. This comes directly from the SDRAM specification.
Add one extra cycle for LPDDR2/LPDDR3 for this parameter.
Since this design is configured with MEMC_FREQ_RATIO=2, divide the above value by 2. No rounding up.  (this is performed automatically)
Value After Reset: 0xf</t>
    </r>
  </si>
  <si>
    <t xml:space="preserve">DDRC_DRAMTMG0</t>
  </si>
  <si>
    <t xml:space="preserve">T_FAW</t>
  </si>
  <si>
    <r>
      <rPr>
        <b val="true"/>
        <sz val="10"/>
        <color rgb="FF000000"/>
        <rFont val="Arial"/>
        <family val="2"/>
        <charset val="1"/>
      </rPr>
      <t xml:space="preserve">User input required: tFAW (in ns)
</t>
    </r>
    <r>
      <rPr>
        <sz val="10"/>
        <color rgb="FF000000"/>
        <rFont val="Arial"/>
        <family val="2"/>
        <charset val="1"/>
      </rPr>
      <t xml:space="preserve">Description: tFAW Valid only when 8 or more banks (or banks x bank groups) are present.
In 8-bank design, at most 4 banks must be activated in a rolling window of tFAW cycles.
Since this design is configured with MEMC_FREQ_RATIO=2, program this to (tFAW/2) and round up to next integer value.  (this is performed automatically)
In a 4-bank design, set this register to 0x1 independent of the MEMC_FREQ_RATIO configuration.
Unit: Clocks
Value After Reset: 0x10</t>
    </r>
  </si>
  <si>
    <t xml:space="preserve">T_RAS_MAX</t>
  </si>
  <si>
    <r>
      <rPr>
        <b val="true"/>
        <sz val="10"/>
        <color rgb="FF000000"/>
        <rFont val="Arial"/>
        <family val="2"/>
        <charset val="1"/>
      </rPr>
      <t xml:space="preserve">User input required: tRAS(MAX) (in ns)
</t>
    </r>
    <r>
      <rPr>
        <sz val="10"/>
        <color rgb="FF000000"/>
        <rFont val="Arial"/>
        <family val="2"/>
        <charset val="1"/>
      </rPr>
      <t xml:space="preserve">Description: tRAS(max): Maximum time between activate and precharge to same bank. This is the maximum time that a page can be kept open
</t>
    </r>
    <r>
      <rPr>
        <b val="true"/>
        <sz val="10"/>
        <color rgb="FF000000"/>
        <rFont val="Arial"/>
        <family val="2"/>
        <charset val="1"/>
      </rPr>
      <t xml:space="preserve">Minimum value of this register is 1. Zero is invalid.
</t>
    </r>
    <r>
      <rPr>
        <sz val="10"/>
        <color rgb="FF000000"/>
        <rFont val="Arial"/>
        <family val="2"/>
        <charset val="1"/>
      </rPr>
      <t xml:space="preserve">Since this design is configured with MEMC_FREQ_RATIO=2, program this to (tRAS(max)-1)/2. No rounding up.  (this is performed automatically)
Unit: Multiples of 1024 clocks.
Per JEDEC:
For LPDDR3, JEDEC JESD209-3B along with LPDDR3 devices that follow this JEDEC spec specify tRAS_max as 70us. In JEDEC JESD209-3C, tRAS_max is specified as "min(70.2 , 9 x RM x tREFI)".  The user should confirm with their memory vendor's data sheet how tRAS_max is specified.
Value After Reset: 0x1b</t>
    </r>
  </si>
  <si>
    <t xml:space="preserve">T_RAS_MIN</t>
  </si>
  <si>
    <r>
      <rPr>
        <b val="true"/>
        <sz val="10"/>
        <color rgb="FF000000"/>
        <rFont val="Arial"/>
        <family val="2"/>
        <charset val="1"/>
      </rPr>
      <t xml:space="preserve">User input required: tRAS(min) (in ns)
</t>
    </r>
    <r>
      <rPr>
        <sz val="10"/>
        <color rgb="FF000000"/>
        <rFont val="Arial"/>
        <family val="2"/>
        <charset val="1"/>
      </rPr>
      <t xml:space="preserve">Description:</t>
    </r>
    <r>
      <rPr>
        <b val="true"/>
        <sz val="10"/>
        <color rgb="FF000000"/>
        <rFont val="Arial"/>
        <family val="2"/>
        <charset val="1"/>
      </rPr>
      <t xml:space="preserve"> </t>
    </r>
    <r>
      <rPr>
        <sz val="10"/>
        <color rgb="FF000000"/>
        <rFont val="Arial"/>
        <family val="2"/>
        <charset val="1"/>
      </rPr>
      <t xml:space="preserve">tRAS(min): Minimum time between activate and precharge to the same bank.
Since this design is configured with MEMC_FREQ_RATIO=2, program this to tRAS(min)/2. No rounding up. (this is performed automatically)
Unit: Clocks
Value After Reset: 0xf</t>
    </r>
  </si>
  <si>
    <t xml:space="preserve">T_XP</t>
  </si>
  <si>
    <r>
      <rPr>
        <b val="true"/>
        <sz val="10"/>
        <color rgb="FF000000"/>
        <rFont val="Arial"/>
        <family val="2"/>
        <charset val="1"/>
      </rPr>
      <t xml:space="preserve">User input required: tXP or tXPDLL depending on DRAM type (in ns)
</t>
    </r>
    <r>
      <rPr>
        <sz val="10"/>
        <color rgb="FF000000"/>
        <rFont val="Arial"/>
        <family val="2"/>
        <charset val="1"/>
      </rPr>
      <t xml:space="preserve">Description: tXP: Minimum time after power-down exit to any operation. 
For LPDDR3, refer to tXP in DRAM data sheet and supply the value of tXP in ns.
For DDR3, this should be programmed to tXPDLL if slow powerdown exit is selected in the DDR3 MR0[12] register (see programming for DDRC_INIT3), supply this value in ns.
Since this design is configured with MEMC_FREQ_RATIO=2, program this to (tXP/2) and round it up to the next integer value.  (this is performed automatically)
Units: Clocks
Value After Reset: 0x8</t>
    </r>
  </si>
  <si>
    <t xml:space="preserve">DDRC_DRAMTMG1</t>
  </si>
  <si>
    <t xml:space="preserve">RD2PRE</t>
  </si>
  <si>
    <r>
      <rPr>
        <b val="true"/>
        <sz val="10"/>
        <color rgb="FF000000"/>
        <rFont val="Arial"/>
        <family val="2"/>
        <charset val="1"/>
      </rPr>
      <t xml:space="preserve">Note, the user must supply the value of tRTP (in ns) from the DRAM data sheet.
</t>
    </r>
    <r>
      <rPr>
        <sz val="10"/>
        <color rgb="FF000000"/>
        <rFont val="Arial"/>
        <family val="2"/>
        <charset val="1"/>
      </rPr>
      <t xml:space="preserve">Description: tRTP: Minimum time from read to precharge of same bank.
■ DDR3: tAL + max (tRTP, 4) (typically tAL = 0)
■ LPDDR2-S2: BL/2 + tRTP - 1
■ LPDDR2-S4: BL/2 + max(tRTP,2) - 2
■ LPDDR3: BL/2 + max(tRTP,4) - 4
Since this design is configured with MEMC_FREQ_RATIO=2, divide the above value by 2. No rounding up.  (this is performed automatically)
Unit: Clocks.
Value After Reset: 0x4</t>
    </r>
  </si>
  <si>
    <t xml:space="preserve">T_RC (LPDDR3)</t>
  </si>
  <si>
    <r>
      <rPr>
        <b val="true"/>
        <sz val="10"/>
        <color rgb="FF000000"/>
        <rFont val="Arial"/>
        <family val="2"/>
        <charset val="1"/>
      </rPr>
      <t xml:space="preserve">Note, for LPDDR3 this field is updated automatically and it is not recommended to manually configure it. 
For DDR3, enter the tRC value in "ns".
</t>
    </r>
    <r>
      <rPr>
        <sz val="10"/>
        <color rgb="FF000000"/>
        <rFont val="Arial"/>
        <family val="2"/>
        <charset val="1"/>
      </rPr>
      <t xml:space="preserve">Description: tRC: Minimum time between activates to same bank.
Since this design is configured with MEMC_FREQ_RATIO=2, program this to (tRC/2) and round up to next integer value.  (this is performed automatically)
Unit: Clocks.
Value After Reset: 0x14</t>
    </r>
  </si>
  <si>
    <t xml:space="preserve">T_RC (DDR3)</t>
  </si>
  <si>
    <t xml:space="preserve">Number of DDR Clock Cycles or time (ns)</t>
  </si>
  <si>
    <t xml:space="preserve">(Automatically Calculated) Number of DDRC Clock Cycles</t>
  </si>
  <si>
    <t xml:space="preserve">WRITE_LATENCY</t>
  </si>
  <si>
    <r>
      <rPr>
        <b val="true"/>
        <sz val="10"/>
        <color rgb="FF000000"/>
        <rFont val="Arial"/>
        <family val="2"/>
        <charset val="1"/>
      </rPr>
      <t xml:space="preserve">Note, this field is updated automatically and it is not recommended to manually configure it.
</t>
    </r>
    <r>
      <rPr>
        <sz val="10"/>
        <color rgb="FF000000"/>
        <rFont val="Arial"/>
        <family val="2"/>
        <charset val="1"/>
      </rPr>
      <t xml:space="preserve">Description: Set to WL
Time from write command to write data on SDRAM interface. This must be set to WL.
Note that, depending on the PHY, if using RDIMM, it may be necessary to use a value of WL + 1 to compensate for the extra cycle of latency through the RDIMM
Since this design is configured with MEMC_FREQ_RATIO=2, divide the value calculated using the above equation by 2, and round it up to next integer.  (this is performed automatically)
This register field is not required for DDR3, as the DFI read and write latencies defined in DFITMG0 and DFITMG1 are sufficient for those protocols
Unit: clocks
Value After Reset: 0x3</t>
    </r>
  </si>
  <si>
    <t xml:space="preserve">DDRC_DRAMTMG2</t>
  </si>
  <si>
    <t xml:space="preserve">READ_LATENCY</t>
  </si>
  <si>
    <r>
      <rPr>
        <b val="true"/>
        <sz val="10"/>
        <color rgb="FF000000"/>
        <rFont val="Arial"/>
        <family val="2"/>
        <charset val="1"/>
      </rPr>
      <t xml:space="preserve">Note, this field is updated automatically and it is not recommended to manually configure it.
</t>
    </r>
    <r>
      <rPr>
        <sz val="10"/>
        <color rgb="FF000000"/>
        <rFont val="Arial"/>
        <family val="2"/>
        <charset val="1"/>
      </rPr>
      <t xml:space="preserve">Description: Set to RL
Time from read command to read data on SDRAM interface. This must be set to RL. Note that, depending on the PHY, if using RDIMM, it mat be necessary to use a value of RL + 1 to compensate for the extra cycle of latency through the RDIMM
Since this design is configured with MEMC_FREQ_RATIO=2, divide the value calculated using the above equation by 2, and round it up to next integer.  (this is performed automatically)
This register field is not required for DDR3, as the DFI read and write latencies defined in DFITMG0 and DFITMG1 are sufficient for those protocols
Unit: clocks
Value After Reset: 0x5</t>
    </r>
  </si>
  <si>
    <t xml:space="preserve">RD2WR</t>
  </si>
  <si>
    <r>
      <rPr>
        <b val="true"/>
        <sz val="10"/>
        <color rgb="FF000000"/>
        <rFont val="Arial"/>
        <family val="2"/>
        <charset val="1"/>
      </rPr>
      <t xml:space="preserve">Note, the user must supply the tDQSCK_max (in ns) value from the DRAM data sheet for LPDDR3 and LPDDR2.
</t>
    </r>
    <r>
      <rPr>
        <sz val="10"/>
        <color rgb="FF000000"/>
        <rFont val="Arial"/>
        <family val="2"/>
        <charset val="1"/>
      </rPr>
      <t xml:space="preserve">Description: DDR3: RL + BL/2 + 2 - WL
LPDDR2/LPDDR3: RL + BL/2 + RU(tDQSCKmax/tCK) + 1 - WL.
Minimum time from read command to write command. Include time for bus turnaround and all per-bank, per-rank, and global constraints.
Unit: Clocks.
Where:
■ WL = write latency
■ BL = burst length. This must match the value programmed in the BL bit of the mode register to the SDRAM
■ RL = read latency = CAS latency
Since this design is configured with MEMC_FREQ_RATIO=2, divide the value calculated using the above equation by 2, and round it up to next integer.  (this is performed automatically)
Value After Reset: 0x6</t>
    </r>
  </si>
  <si>
    <t xml:space="preserve">WR2RD</t>
  </si>
  <si>
    <r>
      <rPr>
        <b val="true"/>
        <sz val="10"/>
        <rFont val="Arial"/>
        <family val="2"/>
        <charset val="1"/>
      </rPr>
      <t xml:space="preserve">Note, the user must supply the tWTR (in clock cycles) value from the DRAM data sheet.
</t>
    </r>
    <r>
      <rPr>
        <sz val="10"/>
        <rFont val="Arial"/>
        <family val="2"/>
        <charset val="1"/>
      </rPr>
      <t xml:space="preserve">Description: CWL + BL/2 + tWTR
This register accounts for the minimum time from write command to read command. Includes time for bus turnaround, recovery times, and all per-bank, per-rank, and global constraints.
Unit: Clocks.
Where:
■ CWL = CAS write latency
■ BL = burst length. This must match the value programmed in the BL bit of the mode register to the SDRAM
■ tWTR = internal write to read command delay. This comes directly from the SDRAM specification.
Add one extra cycle for LPDDR2/LPDDR3 operation. 
Since this design is configured with MEMC_FREQ_RATIO=2, divide the value calculated using the above equation by 2, and round it up to next integer. (this is performed automatically)
Value After Reset: 0xd</t>
    </r>
  </si>
  <si>
    <t xml:space="preserve">T_MRW</t>
  </si>
  <si>
    <r>
      <rPr>
        <b val="true"/>
        <sz val="10"/>
        <color rgb="FF000000"/>
        <rFont val="Arial"/>
        <family val="2"/>
        <charset val="1"/>
      </rPr>
      <t xml:space="preserve">Note, this field is updated automatically and it is not recommended to manually configure it.
</t>
    </r>
    <r>
      <rPr>
        <sz val="10"/>
        <color rgb="FF000000"/>
        <rFont val="Arial"/>
        <family val="2"/>
        <charset val="1"/>
      </rPr>
      <t xml:space="preserve">Description: Time to wait after a mode register write or read (MRW or MRR).
Present only in designs configured to support LPDDR2 or LPDDR3
</t>
    </r>
    <r>
      <rPr>
        <b val="true"/>
        <sz val="10"/>
        <color rgb="FF000000"/>
        <rFont val="Arial"/>
        <family val="2"/>
        <charset val="1"/>
      </rPr>
      <t xml:space="preserve">LPDDR2 typically requires value of 5.
LPDDR3 typically requires value of 10.
</t>
    </r>
    <r>
      <rPr>
        <sz val="10"/>
        <color rgb="FF000000"/>
        <rFont val="Arial"/>
        <family val="2"/>
        <charset val="1"/>
      </rPr>
      <t xml:space="preserve">Value After Reset: 0x0</t>
    </r>
  </si>
  <si>
    <t xml:space="preserve">DDRC_DRAMTMG3</t>
  </si>
  <si>
    <t xml:space="preserve">T_MRD</t>
  </si>
  <si>
    <r>
      <rPr>
        <b val="true"/>
        <sz val="10"/>
        <color rgb="FF000000"/>
        <rFont val="Arial"/>
        <family val="2"/>
        <charset val="1"/>
      </rPr>
      <t xml:space="preserve">Note, the user must supply the tMRD (in clock cycles) value from the DRAM data sheet.
</t>
    </r>
    <r>
      <rPr>
        <sz val="10"/>
        <color rgb="FF000000"/>
        <rFont val="Arial"/>
        <family val="2"/>
        <charset val="1"/>
      </rPr>
      <t xml:space="preserve">Description: tMRD: Cycles between load mode commands.
For DDR3, this parameter is also used to define the cycles between load mode command and following non-load mode command.
Since this design is configured with MEMC_FREQ_RATIO=2, program this to (tMRD/2) and round it up to the next integer value.  (this is performed automatically)
</t>
    </r>
    <r>
      <rPr>
        <b val="true"/>
        <sz val="10"/>
        <color rgb="FF000000"/>
        <rFont val="Arial"/>
        <family val="2"/>
        <charset val="1"/>
      </rPr>
      <t xml:space="preserve">When selecting LPDDR2, a the default value of "4"  is automatically set.
</t>
    </r>
    <r>
      <rPr>
        <sz val="10"/>
        <color rgb="FF000000"/>
        <rFont val="Arial"/>
        <family val="2"/>
        <charset val="1"/>
      </rPr>
      <t xml:space="preserve">Value After Reset: 0x4</t>
    </r>
  </si>
  <si>
    <t xml:space="preserve">T_MOD</t>
  </si>
  <si>
    <r>
      <rPr>
        <b val="true"/>
        <sz val="10"/>
        <color rgb="FF000000"/>
        <rFont val="Arial"/>
        <family val="2"/>
        <charset val="1"/>
      </rPr>
      <t xml:space="preserve">Note, the user must supply the tMOD (in clock cycles) value from the DRAM data sheet.
</t>
    </r>
    <r>
      <rPr>
        <sz val="10"/>
        <color rgb="FF000000"/>
        <rFont val="Arial"/>
        <family val="2"/>
        <charset val="1"/>
      </rPr>
      <t xml:space="preserve">Description: tMOD: 
</t>
    </r>
    <r>
      <rPr>
        <b val="true"/>
        <sz val="10"/>
        <color rgb="FF000000"/>
        <rFont val="Arial"/>
        <family val="2"/>
        <charset val="1"/>
      </rPr>
      <t xml:space="preserve">Used for DDR3</t>
    </r>
    <r>
      <rPr>
        <sz val="10"/>
        <color rgb="FF000000"/>
        <rFont val="Arial"/>
        <family val="2"/>
        <charset val="1"/>
      </rPr>
      <t xml:space="preserve">. Cycles between load mode command and following non-load mode command. 
Set to tMOD/2 (rounded up to next integer) since this design is configured with MEMC_FREQ_RATIO=2.  (this is performed automatically)
</t>
    </r>
    <r>
      <rPr>
        <b val="true"/>
        <sz val="10"/>
        <color rgb="FF000000"/>
        <rFont val="Arial"/>
        <family val="2"/>
        <charset val="1"/>
      </rPr>
      <t xml:space="preserve">When selecting LPDDR3, a the default value of "24"  is automatically set.
When selecting LPDDR2, a the default value of "0"  is automatically set.
</t>
    </r>
    <r>
      <rPr>
        <sz val="10"/>
        <color rgb="FF000000"/>
        <rFont val="Arial"/>
        <family val="2"/>
        <charset val="1"/>
      </rPr>
      <t xml:space="preserve">Value After Reset:  0x0</t>
    </r>
  </si>
  <si>
    <t xml:space="preserve">T_RCD</t>
  </si>
  <si>
    <r>
      <rPr>
        <b val="true"/>
        <sz val="10"/>
        <color rgb="FF000000"/>
        <rFont val="Arial"/>
        <family val="2"/>
        <charset val="1"/>
      </rPr>
      <t xml:space="preserve">Note, the user must supply the tRCD (in ns) value from the DRAM data sheet.
</t>
    </r>
    <r>
      <rPr>
        <sz val="10"/>
        <color rgb="FF000000"/>
        <rFont val="Arial"/>
        <family val="2"/>
        <charset val="1"/>
      </rPr>
      <t xml:space="preserve">Description: tRCD - tAL:
Minimum time from activate to read or write command to same bank.
Since this design is configured with MEMC_FREQ_RATIO=2, program this to ((tRCD - tAL)/2) and round it up to the next integer value. (this is performed automatically)
Minimum value allowed for this register is 1, which implies minimum (tRCD - tAL) value to be 2 since this design is configured with MEMC_FREQ_RATIO=2. 
Unit: Clocks.
Value After Reset: 0x5</t>
    </r>
  </si>
  <si>
    <t xml:space="preserve">DDRC_DRAMTMG4</t>
  </si>
  <si>
    <t xml:space="preserve">T_CCD</t>
  </si>
  <si>
    <r>
      <rPr>
        <b val="true"/>
        <sz val="10"/>
        <color rgb="FF000000"/>
        <rFont val="Arial"/>
        <family val="2"/>
        <charset val="1"/>
      </rPr>
      <t xml:space="preserve">Note, the user must supply the tCCD (in clock cycles) value from the DRAM data sheet.
</t>
    </r>
    <r>
      <rPr>
        <sz val="10"/>
        <color rgb="FF000000"/>
        <rFont val="Arial"/>
        <family val="2"/>
        <charset val="1"/>
      </rPr>
      <t xml:space="preserve">Description: tCCD
This is the minimum time between two reads or two writes.
Since this design is configured with MEMC_FREQ_RATIO=2, program this to (tCCD/2) and round it up to the next integer value. (this is performed automatically)
Unit: clocks.
Value After Reset: 0x4</t>
    </r>
  </si>
  <si>
    <t xml:space="preserve">T_RRD</t>
  </si>
  <si>
    <r>
      <rPr>
        <b val="true"/>
        <sz val="10"/>
        <color rgb="FF000000"/>
        <rFont val="Arial"/>
        <family val="2"/>
        <charset val="1"/>
      </rPr>
      <t xml:space="preserve">Note, the user must supply the tRRD (in ns) value from the DRAM data sheet.
</t>
    </r>
    <r>
      <rPr>
        <sz val="10"/>
        <color rgb="FF000000"/>
        <rFont val="Arial"/>
        <family val="2"/>
        <charset val="1"/>
      </rPr>
      <t xml:space="preserve">Description: tRRD
Minimum time between activates from bank "a" to bank "b"
Since this design is configured with MEMC_FREQ_RATIO=2, program this to (tRRD/2) and round it up to the next integer value. (this is performed automatically)
Unit: Clocks.
Value After Reset: 0x4</t>
    </r>
  </si>
  <si>
    <t xml:space="preserve">T_RP</t>
  </si>
  <si>
    <r>
      <rPr>
        <b val="true"/>
        <sz val="10"/>
        <color rgb="FF000000"/>
        <rFont val="Arial"/>
        <family val="2"/>
        <charset val="1"/>
      </rPr>
      <t xml:space="preserve">Note, the user must supply the tRP (in ns) value from the DRAM data sheet.
</t>
    </r>
    <r>
      <rPr>
        <sz val="10"/>
        <color rgb="FF000000"/>
        <rFont val="Arial"/>
        <family val="2"/>
        <charset val="1"/>
      </rPr>
      <t xml:space="preserve">Description: tRP: Minimum time from precharge to activate of same bank.
Since this design is configured with MEMC_FREQ_RATIO=2, t_rp should be set to RoundDown(RoundUp(tRP/tCK)/2) + 1. (this is performed automatically)
Unit: Clocks.
Value After Reset: 0x5</t>
    </r>
  </si>
  <si>
    <t xml:space="preserve">T_CKSRX</t>
  </si>
  <si>
    <r>
      <rPr>
        <b val="true"/>
        <sz val="10"/>
        <color rgb="FF000000"/>
        <rFont val="Arial"/>
        <family val="2"/>
        <charset val="1"/>
      </rPr>
      <t xml:space="preserve">Note, the user must supply the parameter described below (in clock cycles).
</t>
    </r>
    <r>
      <rPr>
        <sz val="10"/>
        <color rgb="FF000000"/>
        <rFont val="Arial"/>
        <family val="2"/>
        <charset val="1"/>
      </rPr>
      <t xml:space="preserve">Description: This is the time before Self Refresh Exit that CK is maintained as a valid clock before issuing SRX.
Specifies the clock stable time before SRX.
Recommended settings:
■LPDDR2: 2 (program a value of 4, this gets div-by-2)
■LPDDR3: 2 (program a value of 4, this gets div-by-2)
■DDR3: tCKSRX (program the number of clocks, if DRAM data sheet shows this in ns, convert to number of DRAM clock cycles, rounded up)
Since this design is configured with MEMC_FREQ_RATIO=2, program this to recommended value divided by two and round it up to next integer. (this is performed automatically)
Value After Reset: 0x5</t>
    </r>
  </si>
  <si>
    <t xml:space="preserve">DDRC_DRAMTMG5</t>
  </si>
  <si>
    <t xml:space="preserve">T_CKSRE</t>
  </si>
  <si>
    <r>
      <rPr>
        <b val="true"/>
        <sz val="10"/>
        <color rgb="FF000000"/>
        <rFont val="Arial"/>
        <family val="2"/>
        <charset val="1"/>
      </rPr>
      <t xml:space="preserve">Note, the user must supply the parameter described below (in clock cycles).
</t>
    </r>
    <r>
      <rPr>
        <sz val="10"/>
        <color rgb="FF000000"/>
        <rFont val="Arial"/>
        <family val="2"/>
        <charset val="1"/>
      </rPr>
      <t xml:space="preserve">Description: This is the time after Self Refresh Down Entry that CK is maintained as a valid clock.
Specifies the clock disable delay after SRE.
Recommended settings:
■LPDDR2: 2 (program a value of 4, this gets div-by-2)
■LPDDR3: 2 (program a value of 4, this gets div-by-2)
■DDR3: max (10 ns, 5 tCK) ( tCKSRE: program the number of clocks, if DRAM data sheet shows this in ns, convert to number of DRAM clock cycles, rounded up)
Since this design is configured with MEMC_FREQ_RATIO=2, program this to recommended value divided by two and round it up to next integer. (this is performed automatically)
Value After Reset: 0x5</t>
    </r>
  </si>
  <si>
    <t xml:space="preserve">T_CKESR (LPDDR3/LPDDR2, in ns)</t>
  </si>
  <si>
    <r>
      <rPr>
        <b val="true"/>
        <sz val="10"/>
        <color rgb="FF000000"/>
        <rFont val="Arial"/>
        <family val="2"/>
        <charset val="1"/>
      </rPr>
      <t xml:space="preserve">Note, the user must supply the parameter described below (in ns or clock cycles depending on the memory type).
</t>
    </r>
    <r>
      <rPr>
        <sz val="10"/>
        <color rgb="FF000000"/>
        <rFont val="Arial"/>
        <family val="2"/>
        <charset val="1"/>
      </rPr>
      <t xml:space="preserve">Description: Minimum CKE low width for Self refresh or Self refresh power down entry to exit timing in memory clock cycles.
Recommended settings:
■ LPDDR2: tCKESR
■ LPDDR3: tCKESR
■ DDR3: tCKE + 1
Since this design is configured with MEMC_FREQ_RATIO=2, program this to recommended value divided by two and round it up to next integer. (this is performed automatically)
Value After Reset: 0x4</t>
    </r>
  </si>
  <si>
    <t xml:space="preserve">T_CKESR (DDR3, in clock cycles, automatically calculated from T_CKE parameter)</t>
  </si>
  <si>
    <t xml:space="preserve">T_CKE (LPDDR3/LPDDR2, in ns)</t>
  </si>
  <si>
    <r>
      <rPr>
        <b val="true"/>
        <sz val="10"/>
        <color rgb="FF000000"/>
        <rFont val="Arial"/>
        <family val="2"/>
        <charset val="1"/>
      </rPr>
      <t xml:space="preserve">Note, the user must supply the parameter described below (in ns or clock cycles depending on the memory type).
</t>
    </r>
    <r>
      <rPr>
        <sz val="10"/>
        <color rgb="FF000000"/>
        <rFont val="Arial"/>
        <family val="2"/>
        <charset val="1"/>
      </rPr>
      <t xml:space="preserve">Description: Minimum number of cycles of CKE HIGH/LOW during power-down and self refresh.
■ LPDDR2/LPDDR3 mode: Set this to the larger of tCKE or tCKESR
■ DDR3: Set this to tCKE value.
Since this design is configured with MEMC_FREQ_RATIO=2, program this to (value described above)/2 and round it up to the next integer value. (this is performed automatically)
Unit: Clocks.
Value After Reset: 0x3</t>
    </r>
  </si>
  <si>
    <t xml:space="preserve">T_CKE (DDR3, in clock cycles)</t>
  </si>
  <si>
    <t xml:space="preserve">DDRC_DRAMTMG6 is used only for LPDDR3/LPDDR2 configurations and can be left as is for DDR3. In either case, it is not recommended to change these settings.</t>
  </si>
  <si>
    <t xml:space="preserve">T_CKDPDE</t>
  </si>
  <si>
    <r>
      <rPr>
        <b val="true"/>
        <sz val="10"/>
        <color rgb="FF000000"/>
        <rFont val="Arial"/>
        <family val="2"/>
        <charset val="1"/>
      </rPr>
      <t xml:space="preserve">Note, since this parameter is used for LPDDR2 and LPDDR3, if using DDR3, you can leave this at the default value.
</t>
    </r>
    <r>
      <rPr>
        <sz val="10"/>
        <color rgb="FF000000"/>
        <rFont val="Arial"/>
        <family val="2"/>
        <charset val="1"/>
      </rPr>
      <t xml:space="preserve">Description: This is the time after Deep Power Down Entry that CK is maintained as a valid clock. Specifies the clock disable delay after DPDE.
Recommended settings:
■LPDDR2: 2
■LPDDR3: 2
Since this design is configured with MEMC_FREQ_RATIO=2, program this to recommended value divided by two and round it up to next integer. (this is performed automatically)
This is only present for designs supporting LPDDR2/LPDDR3 devices.
Value After Reset: 0x2</t>
    </r>
  </si>
  <si>
    <t xml:space="preserve">DDRC_DRAMTMG6</t>
  </si>
  <si>
    <t xml:space="preserve">T_CKDPDX</t>
  </si>
  <si>
    <r>
      <rPr>
        <b val="true"/>
        <sz val="10"/>
        <color rgb="FF000000"/>
        <rFont val="Arial"/>
        <family val="2"/>
        <charset val="1"/>
      </rPr>
      <t xml:space="preserve">Note, since this parameter is used for LPDDR2 and LPDDR3, if using DDR3, you can leave this at the default value.
</t>
    </r>
    <r>
      <rPr>
        <sz val="10"/>
        <color rgb="FF000000"/>
        <rFont val="Arial"/>
        <family val="2"/>
        <charset val="1"/>
      </rPr>
      <t xml:space="preserve">Description: This is the time before Deep Power Down Exit that CK is maintained as a valid clock before issuing DPDX. Specifies the clock stable time before DPDX.
Recommended settings:
■LPDDR2: 2
■LPDDR3: 2
Since this design is configured with MEMC_FREQ_RATIO=2, program this to recommended value divided by two and round it up to next integer. (this is performed automatically)
This is only present for designs supporting LPDDR2 devices.
Value After Reset: 0x2</t>
    </r>
  </si>
  <si>
    <t xml:space="preserve">T_CKCSX</t>
  </si>
  <si>
    <r>
      <rPr>
        <b val="true"/>
        <sz val="10"/>
        <color rgb="FF000000"/>
        <rFont val="Arial"/>
        <family val="2"/>
        <charset val="1"/>
      </rPr>
      <t xml:space="preserve">Note, since this parameter is used for LPDDR2 and LPDDR3, if using DDR3, you can leave this at the default value. Also, this is automatically updated and manual configuration is not recommended.
</t>
    </r>
    <r>
      <rPr>
        <sz val="10"/>
        <color rgb="FF000000"/>
        <rFont val="Arial"/>
        <family val="2"/>
        <charset val="1"/>
      </rPr>
      <t xml:space="preserve">Description: This is the time before Clock Stop Exit that CK is maintained as a valid clock before issuing Clock Stop Exit. Specifies the clock stable time before next command after Clock Stop Exit.
Recommended settings:
■LPDDR2: tXP + 2
■LPDDR3: tXP + 2
Since this design is configured with MEMC_FREQ_RATIO=2, program this to recommended value divided by two and round it up to next integer. (this is performed automatically)
This is only present for designs supporting LPDDR2/LPDDR3 devices.
Value After Reset: 0x5</t>
    </r>
  </si>
  <si>
    <t xml:space="preserve">DDRC_DRAMTMG7 is used only for LPDDR3/LPDDR2 configurations and can be left as is for DDR3. In either case, it is not recommended to change these settings.</t>
  </si>
  <si>
    <t xml:space="preserve">T_CKPDE</t>
  </si>
  <si>
    <r>
      <rPr>
        <b val="true"/>
        <sz val="10"/>
        <color rgb="FF000000"/>
        <rFont val="Arial"/>
        <family val="2"/>
        <charset val="1"/>
      </rPr>
      <t xml:space="preserve">Note, since this parameter is used for LPDDR2 and LPDDR3, if using DDR3, you can leave this at the default value.
</t>
    </r>
    <r>
      <rPr>
        <sz val="10"/>
        <color rgb="FF000000"/>
        <rFont val="Arial"/>
        <family val="2"/>
        <charset val="1"/>
      </rPr>
      <t xml:space="preserve">Description: This is the time after Power Down Entry that CK is maintained as a valid clock. Specifies the clock disable delay after PDE.
Recommended settings:
■LPDDR2: 2
■LPDDR3: 2
Since this design is configured with MEMC_FREQ_RATIO=2, program this to recommended value divided by two and round it up to next integer. (this is performed automatically)
This is only present for designs supporting LPDDR2/LPDDR3 devices.
Value After Reset: 0x2</t>
    </r>
  </si>
  <si>
    <t xml:space="preserve">DDRC_DRAMTMG7</t>
  </si>
  <si>
    <t xml:space="preserve">T_CKPDX</t>
  </si>
  <si>
    <r>
      <rPr>
        <b val="true"/>
        <sz val="10"/>
        <color rgb="FF000000"/>
        <rFont val="Arial"/>
        <family val="2"/>
        <charset val="1"/>
      </rPr>
      <t xml:space="preserve">Note, since this parameter is used for LPDDR2 and LPDDR3, if using DDR3, you can leave this at the default value.
</t>
    </r>
    <r>
      <rPr>
        <sz val="10"/>
        <color rgb="FF000000"/>
        <rFont val="Arial"/>
        <family val="2"/>
        <charset val="1"/>
      </rPr>
      <t xml:space="preserve">Description: This is the time before Power Down Exit that CK is maintained as a valid clock before issuing PDX. Specifies the clock stable time before PDX.
Recommended settings:
■LPDDR2: 2
■LPDDR3: 2
Since this design is configured with MEMC_FREQ_RATIO=2, program this to recommended value divided by two and round it up to next integer. (this is performed automatically)
This is only present for designs supporting LPDDR2/LPDDR3 devices.
Value After Reset: 0x2</t>
    </r>
  </si>
  <si>
    <t xml:space="preserve">T_XS_DLL_X32 (LPDDR3/LPDDR2)</t>
  </si>
  <si>
    <r>
      <rPr>
        <b val="true"/>
        <sz val="10"/>
        <color rgb="FF000000"/>
        <rFont val="Arial"/>
        <family val="2"/>
        <charset val="1"/>
      </rPr>
      <t xml:space="preserve">This is automatically calculated for LPDDR2 and LPDDR3 based on tRFC+10. If using DDR3, write to the "T_XS_DLL_X32 (DDR3)" cell with the parameter tXSDLL (tDLLK in clock cycles) from the DRAM data sheet.
</t>
    </r>
    <r>
      <rPr>
        <sz val="10"/>
        <color rgb="FF000000"/>
        <rFont val="Arial"/>
        <family val="2"/>
        <charset val="1"/>
      </rPr>
      <t xml:space="preserve">Description: tXSDLL: Exit Self Refresh to commands requiring a locked DLL.
Since this design is configured with MEMC_FREQ_RATIO=2, program this to the above value divided by 2 and round up to next integer value. (this is performed automatically)
Unit: Multiples of 32 clocks.
Note: In LPDDR2/LPDDR3 mode, t_xs_x32 and t_xs_dll_x32 must be set the same values derived from tXSR. </t>
    </r>
    <r>
      <rPr>
        <b val="true"/>
        <sz val="10"/>
        <color rgb="FF000000"/>
        <rFont val="Arial"/>
        <family val="2"/>
        <charset val="1"/>
      </rPr>
      <t xml:space="preserve">This automatically calculated based on tRFC.
</t>
    </r>
    <r>
      <rPr>
        <sz val="10"/>
        <color rgb="FF000000"/>
        <rFont val="Arial"/>
        <family val="2"/>
        <charset val="1"/>
      </rPr>
      <t xml:space="preserve">Value After Reset: 0x44</t>
    </r>
  </si>
  <si>
    <t xml:space="preserve">DDRC_DRAMTMG8</t>
  </si>
  <si>
    <t xml:space="preserve">T_XS_DLL_X32 (DDR3)</t>
  </si>
  <si>
    <t xml:space="preserve">T_XS_X32</t>
  </si>
  <si>
    <r>
      <rPr>
        <b val="true"/>
        <sz val="10"/>
        <color rgb="FF000000"/>
        <rFont val="Arial"/>
        <family val="2"/>
        <charset val="1"/>
      </rPr>
      <t xml:space="preserve">This is automatically calculated based on tRFC. Both tXS and tXSR equate to tRFC+10.
</t>
    </r>
    <r>
      <rPr>
        <sz val="10"/>
        <color rgb="FF000000"/>
        <rFont val="Arial"/>
        <family val="2"/>
        <charset val="1"/>
      </rPr>
      <t xml:space="preserve">Description: tXS: Exit Self Refresh to commands not requiring a locked DLL.
Since this design is configured with MEMC_FREQ_RATIO=2, program this to the above value divided by 2 and round up to next integer value. (this is performed automatically)
Unit: Multiples of 32 clocks.
Note: In LPDDR2/LPDDR3 mode, t_xs_x32 and t_xs_dll_x32 must be set the same values derived from tXSR.</t>
    </r>
    <r>
      <rPr>
        <b val="true"/>
        <sz val="10"/>
        <color rgb="FF000000"/>
        <rFont val="Arial"/>
        <family val="2"/>
        <charset val="1"/>
      </rPr>
      <t xml:space="preserve"> 
</t>
    </r>
    <r>
      <rPr>
        <sz val="10"/>
        <color rgb="FF000000"/>
        <rFont val="Arial"/>
        <family val="2"/>
        <charset val="1"/>
      </rPr>
      <t xml:space="preserve">Value After Reset: 0x5</t>
    </r>
  </si>
  <si>
    <t xml:space="preserve">DIS_AUTO_ZQ</t>
  </si>
  <si>
    <t xml:space="preserve">Description: Disable Automatic ZQ Calibration
■ 1 - Disables uMCTL2 generation of ZQCS command. Register DBGCMD.zq_calib_short can be used instead to issue ZQ calibration request from APB module.
■ 0 - Internally generate ZQCS commands based on ZQCTL1.t_zq_short_interval_x1024.
Value After Reset: 0x0</t>
  </si>
  <si>
    <t xml:space="preserve">DDRC_ZQCTL0</t>
  </si>
  <si>
    <t xml:space="preserve">DIS_SRX_ZQCL</t>
  </si>
  <si>
    <t xml:space="preserve">Description: Disable ZQCL command at Self-Refresh exit.
■ 1 - Disable issuing of ZQCL command at Self-Refresh exit.
■ 0 - Enable issuing of ZQCL command at Self-Refresh exit.
Value After Reset: 0x0</t>
  </si>
  <si>
    <t xml:space="preserve">ZQ_RESISTOR_SHARED</t>
  </si>
  <si>
    <t xml:space="preserve">Description: Shared ZQ resistor between ranks.
■ 1 - Denotes that ZQ resistor is shared between ranks. Means ZQinit/ZQCL/ZQCS commands are sent to one rank at a time with tZQinit/tZQCL/tZQCS timing met between commands so that commands to different ranks do not overlap.
■ 0 - ZQ resistor is not shared.
Value After Reset: 0x0</t>
  </si>
  <si>
    <t xml:space="preserve">T_ZQ_LONG_NOP</t>
  </si>
  <si>
    <r>
      <rPr>
        <sz val="10"/>
        <color rgb="FF000000"/>
        <rFont val="Arial"/>
        <family val="2"/>
        <charset val="1"/>
      </rPr>
      <t xml:space="preserve">Description: Number of cycles of NOP required after a ZQCL (ZQ calibration long) command is issued to SDRAM.
</t>
    </r>
    <r>
      <rPr>
        <b val="true"/>
        <sz val="10"/>
        <color rgb="FF000000"/>
        <rFont val="Arial"/>
        <family val="2"/>
        <charset val="1"/>
      </rPr>
      <t xml:space="preserve">For DDR3:
■ Set to tZQoper. User must first convert this to ns if the value is given in clocks. For example, if the DDR3 data sheet specs tZQoper as 256 clocks, convert this to ns as follows: 256clocks/533Mhz=480ns.
</t>
    </r>
    <r>
      <rPr>
        <sz val="10"/>
        <color rgb="FF000000"/>
        <rFont val="Arial"/>
        <family val="2"/>
        <charset val="1"/>
      </rPr>
      <t xml:space="preserve">■ Since this design is configured with MEMC_FREQ_RATIO=2, program this to tZQoper/2 and round it up to the next integer value. (this is performed automatically)
</t>
    </r>
    <r>
      <rPr>
        <b val="true"/>
        <sz val="10"/>
        <color rgb="FF000000"/>
        <rFont val="Arial"/>
        <family val="2"/>
        <charset val="1"/>
      </rPr>
      <t xml:space="preserve">For LPDDR2/LPDDR3: 
■ Set to tZQCL. User must enter this as ns (not clocks).
</t>
    </r>
    <r>
      <rPr>
        <sz val="10"/>
        <color rgb="FF000000"/>
        <rFont val="Arial"/>
        <family val="2"/>
        <charset val="1"/>
      </rPr>
      <t xml:space="preserve">■ Since this design is configured with MEMC_FREQ_RATIO=2, program this to tZQCL/2 and round it up to the next integer value. (this is performed automatically)
Unit: Clock cycles.
Value After Reset: 0x200</t>
    </r>
  </si>
  <si>
    <t xml:space="preserve">T_ZQ_SHORT_NOP</t>
  </si>
  <si>
    <r>
      <rPr>
        <b val="true"/>
        <sz val="10"/>
        <color rgb="FF000000"/>
        <rFont val="Arial"/>
        <family val="2"/>
        <charset val="1"/>
      </rPr>
      <t xml:space="preserve">Note, the user must input the value of tZQCS in units of ns, not clock cycles. If the DRAM data sheet provides this in terms of clocks, the user must first convert to ns. For example, if the DRAM data sheets specs tZQCS as 64 clocks, the user converts this to ns by: 64clocks/533MHz=120ns.
</t>
    </r>
    <r>
      <rPr>
        <sz val="10"/>
        <color rgb="FF000000"/>
        <rFont val="Arial"/>
        <family val="2"/>
        <charset val="1"/>
      </rPr>
      <t xml:space="preserve">Description: tZQCS.
Number of cycles of NOP required after a ZQCS (ZQ calibration short) command is issued to SDRAM.
Since this design is configured with MEMC_FREQ_RATIO=2, program this to tZQCS/2 and round it up to the next integer value. (this is performed automatically)
Unit: Clock cycles.
Value After Reset: 0x40</t>
    </r>
  </si>
  <si>
    <t xml:space="preserve">DDRC_ZQCTL1 is mainly used only for LPDDR3/LPDDR2 configurations and can be left as is for DDR3 as DDR3 will use the default settings.</t>
  </si>
  <si>
    <t xml:space="preserve">T_ZQ_RESET_NOP</t>
  </si>
  <si>
    <r>
      <rPr>
        <b val="true"/>
        <sz val="10"/>
        <color rgb="FF000000"/>
        <rFont val="Arial"/>
        <family val="2"/>
        <charset val="1"/>
      </rPr>
      <t xml:space="preserve">Note, the user must input the value of tZQRESET from the DRAM sheet, unless using DDR3, in which case the default value will be used regardless of the input.
</t>
    </r>
    <r>
      <rPr>
        <sz val="10"/>
        <color rgb="FF000000"/>
        <rFont val="Arial"/>
        <family val="2"/>
        <charset val="1"/>
      </rPr>
      <t xml:space="preserve">Description: tZQReset: Number of cycles of NOP required after a ZQReset (ZQ calibration Reset) command is issued to SDRAM.
Since this design is configured with MEMC_FREQ_RATIO=2, program this to tZQReset/2 and round it up to the next integer value. (this is performed automatically)
Unit: Clock cycles.
This is only present for designs supporting LPDDR2/LPDDR3 devices.
Value After Reset: 0x20</t>
    </r>
  </si>
  <si>
    <t xml:space="preserve">DDRC_ZQCTL1</t>
  </si>
  <si>
    <t xml:space="preserve">T_ZQ_SHORT_INTERVAL_X1024</t>
  </si>
  <si>
    <t xml:space="preserve">Description: Average interval to wait between automatically issuing ZQCS (ZQ calibration short) commands to DDR3/LPDDR2/LPDDR3 devices.
Meaningless, if ZQCTL0.dis_auto_zq=1.
Unit: 1024 clock cycles.
This is only present for designs supporting DDR3 or LPDDR2/LPDDR3 devices.
Value After Reset: 0x100</t>
  </si>
  <si>
    <t xml:space="preserve">WR_ODT_HOLD</t>
  </si>
  <si>
    <r>
      <rPr>
        <b val="true"/>
        <sz val="10"/>
        <color rgb="FF000000"/>
        <rFont val="Arial"/>
        <family val="2"/>
        <charset val="1"/>
      </rPr>
      <t xml:space="preserve">Note, for LPDDR3, input the value of tDQSS from the DRAM data sheet (in clock cycles), otherwise for DDR3, this will be automatically set to 0x6.
</t>
    </r>
    <r>
      <rPr>
        <sz val="10"/>
        <color rgb="FF000000"/>
        <rFont val="Arial"/>
        <family val="2"/>
        <charset val="1"/>
      </rPr>
      <t xml:space="preserve">Description: Cycles to hold ODT for a write command. The minimum supported value is 2.
For DDR3:
■ BL8 - 0x6
■ BL4 - 0x4
For LPDDR3:
■ RU(tDQSSmax/tCK) + 4
Value After Reset: 0x4</t>
    </r>
  </si>
  <si>
    <t xml:space="preserve">DDRC_ODTCFG</t>
  </si>
  <si>
    <t xml:space="preserve">WR_ODT_DELAY</t>
  </si>
  <si>
    <r>
      <rPr>
        <b val="true"/>
        <sz val="10"/>
        <color rgb="FF000000"/>
        <rFont val="Arial"/>
        <family val="2"/>
        <charset val="1"/>
      </rPr>
      <t xml:space="preserve">Note, as this controller does not support LPDDR3 with ODT, program this to 0.  Otherwise, if using DDR3, this should still be 0.
</t>
    </r>
    <r>
      <rPr>
        <sz val="10"/>
        <color rgb="FF000000"/>
        <rFont val="Arial"/>
        <family val="2"/>
        <charset val="1"/>
      </rPr>
      <t xml:space="preserve">Description: The delay, in clock cycles, from issuing a write command to setting ODT values associated with that command. ODT setting must remain constant for the entire time that DQS is driven by the uMCTL2. ODT is used only in DDR3 and LPDDR3 designs.
Recommended values:
DDR3:
■ 0
LPDDR3:
■ (CWL - RU(tODToffmax/tCK))
Value After Reset: 0x0</t>
    </r>
  </si>
  <si>
    <t xml:space="preserve">RD_ODT_HOLD</t>
  </si>
  <si>
    <r>
      <rPr>
        <b val="true"/>
        <sz val="10"/>
        <color rgb="FF000000"/>
        <rFont val="Arial"/>
        <family val="2"/>
        <charset val="1"/>
      </rPr>
      <t xml:space="preserve">Note, as this controller does not support LPDDR3 with ODT, program this to 6.  Otherwise, if using DDR3, this should still be 6.
</t>
    </r>
    <r>
      <rPr>
        <sz val="10"/>
        <color rgb="FF000000"/>
        <rFont val="Arial"/>
        <family val="2"/>
        <charset val="1"/>
      </rPr>
      <t xml:space="preserve">Description: Cycles to hold ODT for a read command. The minimum supported value is 2. Recommended values:
For DDR3:
■ BL8 - 0x6
■ BL4 - 0x4
For LPDDR3:
■ RU(tDQSCKmax/tCK) + 4 + 1
Value After Reset: 0x4</t>
    </r>
  </si>
  <si>
    <t xml:space="preserve">RD_ODT_DELAY</t>
  </si>
  <si>
    <r>
      <rPr>
        <b val="true"/>
        <sz val="10"/>
        <color rgb="FF000000"/>
        <rFont val="Arial"/>
        <family val="2"/>
        <charset val="1"/>
      </rPr>
      <t xml:space="preserve">Note, this field is automatically generated depending on the DRAM type used.
</t>
    </r>
    <r>
      <rPr>
        <sz val="10"/>
        <color rgb="FF000000"/>
        <rFont val="Arial"/>
        <family val="2"/>
        <charset val="1"/>
      </rPr>
      <t xml:space="preserve">Description: The delay, in clock cycles, from issuing a read command to setting ODT values associated with that command. ODT setting must remain constant for the entire time that DQS is driven by the uMCTL2. ODT is used only in DDR3 and LPDDR3 designs.
Recommended values:
For DDR3:
■ (CL - CWL)
For LPDDR3/LPDDR2:
■ (normally set to 0)
Value After Reset: 0x0</t>
    </r>
  </si>
  <si>
    <t xml:space="preserve">The following register is automatically updated from the Device Information table above and should NOT be manually changed.</t>
  </si>
  <si>
    <t xml:space="preserve">RANK1_RD_ODT</t>
  </si>
  <si>
    <t xml:space="preserve">Description: Indicates which remote ODTs must be turned on during a read from rank 1.
Each rank has a remote ODT (in the SDRAM) which can be turned on by setting the appropriate bit here.
Rank 0 is controlled by the LSB; rank 1 is controlled by bit next to the LSB and so on.
For each rank, set its bit to 1 to enable its ODT.
Value After Reset: 0x2</t>
  </si>
  <si>
    <t xml:space="preserve">DDRC_ODTMAP</t>
  </si>
  <si>
    <t xml:space="preserve">RANK1_WR_ODT</t>
  </si>
  <si>
    <t xml:space="preserve">Description: Indicates which remote ODTs must be turned on during a write to rank 1.
Each rank has a remote ODT (in the SDRAM) which can be turned on by setting the appropriate bit here.
Rank 0 is controlled by the LSB; rank 1 is controlled by bit next to the LSB and so on.
For each rank, set its bit to 1 to enable its ODT.
Value After Reset: 0x2</t>
  </si>
  <si>
    <t xml:space="preserve">RANK0_RD_ODT</t>
  </si>
  <si>
    <t xml:space="preserve">Description: Indicates which remote ODTs must be turned on during a read from rank 0.
Each rank has a remote ODT (in the SDRAM) which can be turned on by setting the appropriate bit here.
Rank 0 is controlled by the LSB; rank 1 is controlled by bit next to the LSB and so on.
For each rank, set its bit to 1 to enable its ODT.
Value After Reset: 0x1</t>
  </si>
  <si>
    <t xml:space="preserve">RANK0_WR_ODT</t>
  </si>
  <si>
    <t xml:space="preserve">Description: Indicates which remote ODTs must be turned on during a write to rank 0.
Each rank has a remote ODT (in the SDRAM) which can be turned on by setting the appropriate bit here.
Rank 0 is controlled by the LSB; rank 1 is controlled by bit next to the LSB and so on.
For each rank, set its bit to 1 to enable its ODT.
Value After Reset: 0x1</t>
  </si>
  <si>
    <t xml:space="preserve">Mode register programming - CONFIGURABLE BASED ON DRAM TYPE</t>
  </si>
  <si>
    <t xml:space="preserve">Mode Register Settings are the same for all Chip Selects. 
Look for the supported memory type and fill in the parameters for that memory type.</t>
  </si>
  <si>
    <t xml:space="preserve">DDRC EMR and EMR3:
LPDDR3/LPDDR2 MR3 Register Settings 
or
DDR3 MR2 and MR3 Register Settings</t>
  </si>
  <si>
    <r>
      <rPr>
        <b val="true"/>
        <sz val="10"/>
        <rFont val="Arial"/>
        <family val="2"/>
        <charset val="1"/>
      </rPr>
      <t xml:space="preserve">EMR2</t>
    </r>
    <r>
      <rPr>
        <sz val="10"/>
        <rFont val="Arial"/>
        <family val="2"/>
        <charset val="1"/>
      </rPr>
      <t xml:space="preserve"> 
LPDDR3/LPDDR2 MR3:DS</t>
    </r>
  </si>
  <si>
    <r>
      <rPr>
        <b val="true"/>
        <sz val="10"/>
        <rFont val="Arial"/>
        <family val="2"/>
        <charset val="1"/>
      </rPr>
      <t xml:space="preserve">LPDDR3/LPDDR2 MR3:
</t>
    </r>
    <r>
      <rPr>
        <sz val="10"/>
        <rFont val="Arial"/>
        <family val="2"/>
        <charset val="1"/>
      </rPr>
      <t xml:space="preserve">DS, drive strength. 
0001b: 34.3Ω typical
0010b: 40Ω typical (default)
0011b: 48Ω typical
0100b: Reserved
0110b: Reserved
1001b: 34.3Ω pull-down, 40Ω pull-up
1010b: 40Ω pull-down, 48Ω pull-up
1011b: 34.3Ω pull-down, 48Ω pull-up
All others: Reserved</t>
    </r>
  </si>
  <si>
    <t xml:space="preserve">DDRC_INIT4</t>
  </si>
  <si>
    <r>
      <rPr>
        <b val="true"/>
        <sz val="10"/>
        <rFont val="Arial"/>
        <family val="2"/>
        <charset val="1"/>
      </rPr>
      <t xml:space="preserve">EMR2
</t>
    </r>
    <r>
      <rPr>
        <sz val="10"/>
        <rFont val="Arial"/>
        <family val="2"/>
        <charset val="1"/>
      </rPr>
      <t xml:space="preserve">DDR3 MR2: RTT(WR)</t>
    </r>
  </si>
  <si>
    <r>
      <rPr>
        <b val="true"/>
        <sz val="10"/>
        <rFont val="Arial"/>
        <family val="2"/>
        <charset val="1"/>
      </rPr>
      <t xml:space="preserve">DDR3 MR2:
</t>
    </r>
    <r>
      <rPr>
        <sz val="10"/>
        <rFont val="Arial"/>
        <family val="2"/>
        <charset val="1"/>
      </rPr>
      <t xml:space="preserve">RTT(WR), Dynamic ODT
00b: RTT(WR) Disabled
01b: RZQ/4
10b: RZQ/2
11b: Reserved</t>
    </r>
  </si>
  <si>
    <r>
      <rPr>
        <b val="true"/>
        <sz val="10"/>
        <rFont val="Arial"/>
        <family val="2"/>
        <charset val="1"/>
      </rPr>
      <t xml:space="preserve">EMR2
</t>
    </r>
    <r>
      <rPr>
        <sz val="10"/>
        <rFont val="Arial"/>
        <family val="2"/>
        <charset val="1"/>
      </rPr>
      <t xml:space="preserve">DDR3 MR2: SRT</t>
    </r>
  </si>
  <si>
    <r>
      <rPr>
        <b val="true"/>
        <sz val="10"/>
        <rFont val="Arial"/>
        <family val="2"/>
        <charset val="1"/>
      </rPr>
      <t xml:space="preserve">DDR3 MR2:
</t>
    </r>
    <r>
      <rPr>
        <sz val="10"/>
        <rFont val="Arial"/>
        <family val="2"/>
        <charset val="1"/>
      </rPr>
      <t xml:space="preserve">SRT, Self Refresh Temperature
0b: normal
1b: extended</t>
    </r>
  </si>
  <si>
    <r>
      <rPr>
        <b val="true"/>
        <sz val="10"/>
        <rFont val="Arial"/>
        <family val="2"/>
        <charset val="1"/>
      </rPr>
      <t xml:space="preserve">EMR2
</t>
    </r>
    <r>
      <rPr>
        <sz val="10"/>
        <rFont val="Arial"/>
        <family val="2"/>
        <charset val="1"/>
      </rPr>
      <t xml:space="preserve">DDR3 MR2: ASR</t>
    </r>
  </si>
  <si>
    <r>
      <rPr>
        <b val="true"/>
        <sz val="10"/>
        <rFont val="Arial"/>
        <family val="2"/>
        <charset val="1"/>
      </rPr>
      <t xml:space="preserve">DDR3 MR2:
</t>
    </r>
    <r>
      <rPr>
        <sz val="10"/>
        <rFont val="Arial"/>
        <family val="2"/>
        <charset val="1"/>
      </rPr>
      <t xml:space="preserve">ASR, Auto Self Refresh
0b: disabled
1b: enabled</t>
    </r>
  </si>
  <si>
    <r>
      <rPr>
        <b val="true"/>
        <sz val="10"/>
        <rFont val="Arial"/>
        <family val="2"/>
        <charset val="1"/>
      </rPr>
      <t xml:space="preserve">EMR2
</t>
    </r>
    <r>
      <rPr>
        <sz val="10"/>
        <rFont val="Arial"/>
        <family val="2"/>
        <charset val="1"/>
      </rPr>
      <t xml:space="preserve">DDR3 MR2: CWL</t>
    </r>
  </si>
  <si>
    <r>
      <rPr>
        <b val="true"/>
        <sz val="10"/>
        <rFont val="Arial"/>
        <family val="2"/>
        <charset val="1"/>
      </rPr>
      <t xml:space="preserve">DDR3 MR2:
</t>
    </r>
    <r>
      <rPr>
        <sz val="10"/>
        <rFont val="Arial"/>
        <family val="2"/>
        <charset val="1"/>
      </rPr>
      <t xml:space="preserve">CWL</t>
    </r>
    <r>
      <rPr>
        <b val="true"/>
        <sz val="10"/>
        <rFont val="Arial"/>
        <family val="2"/>
        <charset val="1"/>
      </rPr>
      <t xml:space="preserve">, </t>
    </r>
    <r>
      <rPr>
        <sz val="10"/>
        <rFont val="Arial"/>
        <family val="2"/>
        <charset val="1"/>
      </rPr>
      <t xml:space="preserve">CAS Write Latency
000b: 5ck
001b: 6ck
010b: 7ck
011b: 8ck
100b: 9ck
101b: 10ck
110b: reserved
111b: reserved</t>
    </r>
  </si>
  <si>
    <r>
      <rPr>
        <b val="true"/>
        <sz val="10"/>
        <rFont val="Arial"/>
        <family val="2"/>
        <charset val="1"/>
      </rPr>
      <t xml:space="preserve">EMR3
</t>
    </r>
    <r>
      <rPr>
        <sz val="10"/>
        <rFont val="Arial"/>
        <family val="2"/>
        <charset val="1"/>
      </rPr>
      <t xml:space="preserve">DDR3 MR3</t>
    </r>
  </si>
  <si>
    <r>
      <rPr>
        <b val="true"/>
        <sz val="10"/>
        <rFont val="Arial"/>
        <family val="2"/>
        <charset val="1"/>
      </rPr>
      <t xml:space="preserve">DDR3 MR3:
</t>
    </r>
    <r>
      <rPr>
        <sz val="10"/>
        <rFont val="Arial"/>
        <family val="2"/>
        <charset val="1"/>
      </rPr>
      <t xml:space="preserve">MPR Enable
0b: normal operations
1b: dataflow from MPR</t>
    </r>
  </si>
  <si>
    <r>
      <rPr>
        <b val="true"/>
        <sz val="10"/>
        <rFont val="Arial"/>
        <family val="2"/>
        <charset val="1"/>
      </rPr>
      <t xml:space="preserve">DDR3 MR3:
</t>
    </r>
    <r>
      <rPr>
        <sz val="10"/>
        <rFont val="Arial"/>
        <family val="2"/>
        <charset val="1"/>
      </rPr>
      <t xml:space="preserve">MPR Read function
00b: predefined pattern
01b to 11b: reserved</t>
    </r>
  </si>
  <si>
    <t xml:space="preserve">DDRC MR and EMR:
LPDDR3/LPDDR2 MR1 and MR2 Register Settings
or
DDR3 MR0 and MR1 Register Settings</t>
  </si>
  <si>
    <r>
      <rPr>
        <b val="true"/>
        <sz val="10"/>
        <rFont val="Arial"/>
        <family val="2"/>
        <charset val="1"/>
      </rPr>
      <t xml:space="preserve">MR
</t>
    </r>
    <r>
      <rPr>
        <sz val="10"/>
        <rFont val="Arial"/>
        <family val="2"/>
        <charset val="1"/>
      </rPr>
      <t xml:space="preserve">LPDDR3/LPDDR2 MR1: nWR (for AP)</t>
    </r>
  </si>
  <si>
    <r>
      <rPr>
        <b val="true"/>
        <sz val="10"/>
        <rFont val="Arial"/>
        <family val="2"/>
        <charset val="1"/>
      </rPr>
      <t xml:space="preserve">LPDDR3/LPDDR2 MR1:
</t>
    </r>
    <r>
      <rPr>
        <sz val="10"/>
        <rFont val="Arial"/>
        <family val="2"/>
        <charset val="1"/>
      </rPr>
      <t xml:space="preserve">Time value comes from data sheet (tWR). If nWRE = 0
001b: nWR = 3
100b: nWR = 6
110b: nWR = 8
111b: nWR = 9</t>
    </r>
  </si>
  <si>
    <t xml:space="preserve">DDRC_INIT3</t>
  </si>
  <si>
    <r>
      <rPr>
        <b val="true"/>
        <sz val="10"/>
        <rFont val="Arial"/>
        <family val="2"/>
        <charset val="1"/>
      </rPr>
      <t xml:space="preserve">MR
</t>
    </r>
    <r>
      <rPr>
        <sz val="10"/>
        <rFont val="Arial"/>
        <family val="2"/>
        <charset val="1"/>
      </rPr>
      <t xml:space="preserve">LPDDR3/LPDDR2 MR1: BL</t>
    </r>
  </si>
  <si>
    <r>
      <rPr>
        <b val="true"/>
        <sz val="10"/>
        <rFont val="Arial"/>
        <family val="2"/>
        <charset val="1"/>
      </rPr>
      <t xml:space="preserve">LPDDR3/LPDDR2 MR1:
</t>
    </r>
    <r>
      <rPr>
        <sz val="10"/>
        <rFont val="Arial"/>
        <family val="2"/>
        <charset val="1"/>
      </rPr>
      <t xml:space="preserve">burst length, setting of 011 (BL=8) is required for LPDDR3
burst length, setting of 010 (BL=4) is required for LPDDR2</t>
    </r>
  </si>
  <si>
    <r>
      <rPr>
        <b val="true"/>
        <sz val="10"/>
        <rFont val="Arial"/>
        <family val="2"/>
        <charset val="1"/>
      </rPr>
      <t xml:space="preserve">EMR
</t>
    </r>
    <r>
      <rPr>
        <sz val="10"/>
        <rFont val="Arial"/>
        <family val="2"/>
        <charset val="1"/>
      </rPr>
      <t xml:space="preserve">LPDDR3/LPDDR2 MR2: WR Lev</t>
    </r>
  </si>
  <si>
    <r>
      <rPr>
        <b val="true"/>
        <sz val="10"/>
        <rFont val="Arial"/>
        <family val="2"/>
        <charset val="1"/>
      </rPr>
      <t xml:space="preserve">LPDDR3/LPDDR2 MR2:
</t>
    </r>
    <r>
      <rPr>
        <sz val="10"/>
        <rFont val="Arial"/>
        <family val="2"/>
        <charset val="1"/>
      </rPr>
      <t xml:space="preserve">Enable write leveling</t>
    </r>
  </si>
  <si>
    <r>
      <rPr>
        <b val="true"/>
        <sz val="10"/>
        <rFont val="Arial"/>
        <family val="2"/>
        <charset val="1"/>
      </rPr>
      <t xml:space="preserve">EMR
</t>
    </r>
    <r>
      <rPr>
        <sz val="10"/>
        <rFont val="Arial"/>
        <family val="2"/>
        <charset val="1"/>
      </rPr>
      <t xml:space="preserve">LPDDR3/LPDDR2 MR2: WL Sel</t>
    </r>
  </si>
  <si>
    <r>
      <rPr>
        <b val="true"/>
        <sz val="10"/>
        <rFont val="Arial"/>
        <family val="2"/>
        <charset val="1"/>
      </rPr>
      <t xml:space="preserve">LPDDR3/LPDDR2 MR2:
</t>
    </r>
    <r>
      <rPr>
        <sz val="10"/>
        <rFont val="Arial"/>
        <family val="2"/>
        <charset val="1"/>
      </rPr>
      <t xml:space="preserve">WL Set A/B Select</t>
    </r>
  </si>
  <si>
    <r>
      <rPr>
        <b val="true"/>
        <sz val="10"/>
        <rFont val="Arial"/>
        <family val="2"/>
        <charset val="1"/>
      </rPr>
      <t xml:space="preserve">EMR
</t>
    </r>
    <r>
      <rPr>
        <sz val="10"/>
        <rFont val="Arial"/>
        <family val="2"/>
        <charset val="1"/>
      </rPr>
      <t xml:space="preserve">LPDDR3/LPDDR2 MR2: nWRE</t>
    </r>
  </si>
  <si>
    <r>
      <rPr>
        <b val="true"/>
        <sz val="10"/>
        <rFont val="Arial"/>
        <family val="2"/>
        <charset val="1"/>
      </rPr>
      <t xml:space="preserve">LPDDR3/LPDDR2 MR2:
</t>
    </r>
    <r>
      <rPr>
        <sz val="10"/>
        <rFont val="Arial"/>
        <family val="2"/>
        <charset val="1"/>
      </rPr>
      <t xml:space="preserve">Enable nWRE Programming</t>
    </r>
  </si>
  <si>
    <r>
      <rPr>
        <b val="true"/>
        <sz val="10"/>
        <rFont val="Arial"/>
        <family val="2"/>
        <charset val="1"/>
      </rPr>
      <t xml:space="preserve">EMR
</t>
    </r>
    <r>
      <rPr>
        <sz val="10"/>
        <rFont val="Arial"/>
        <family val="2"/>
        <charset val="1"/>
      </rPr>
      <t xml:space="preserve">LPDDR3/LPDDR2 MR2: RL &amp; WL</t>
    </r>
  </si>
  <si>
    <r>
      <rPr>
        <b val="true"/>
        <sz val="10"/>
        <rFont val="Arial"/>
        <family val="2"/>
        <charset val="1"/>
      </rPr>
      <t xml:space="preserve">LPDDR3/LPDDR2 MR2:
</t>
    </r>
    <r>
      <rPr>
        <sz val="10"/>
        <rFont val="Arial"/>
        <family val="2"/>
        <charset val="1"/>
      </rPr>
      <t xml:space="preserve">If WL Sel = 0 (default, WL Set A)
0001b: RL3/WL1 (≤166 MHz)1
0100b: RL6/WL3 (≤400 MHz)
0110b: RL8/WL4 (≤533 MHz) (recommened for LPDDR2)
0111b: RL9/WL5 (≤600 MHz)
1000b: RL10/WL6 (≤667 MHz)
1001b: RL11/WL6 (≤733 MHz)
1010b: RL12/WL6 (≤800 MHz) (recommened for LPDDR3)
1100b: RL14/WL8 (≤933 MHz)
1110b: RL16/WL8 (≤1066 MHz)</t>
    </r>
  </si>
  <si>
    <r>
      <rPr>
        <b val="true"/>
        <sz val="10"/>
        <rFont val="Arial"/>
        <family val="2"/>
        <charset val="1"/>
      </rPr>
      <t xml:space="preserve">MR
</t>
    </r>
    <r>
      <rPr>
        <sz val="10"/>
        <rFont val="Arial"/>
        <family val="2"/>
        <charset val="1"/>
      </rPr>
      <t xml:space="preserve">DDR3 MR0: PD</t>
    </r>
  </si>
  <si>
    <r>
      <rPr>
        <b val="true"/>
        <sz val="10"/>
        <rFont val="Arial"/>
        <family val="2"/>
        <charset val="1"/>
      </rPr>
      <t xml:space="preserve">DDR3 MR0:
</t>
    </r>
    <r>
      <rPr>
        <sz val="10"/>
        <rFont val="Arial"/>
        <family val="2"/>
        <charset val="1"/>
      </rPr>
      <t xml:space="preserve">Precharge PD:
0b: DLL off 
1b: DLL on</t>
    </r>
  </si>
  <si>
    <r>
      <rPr>
        <b val="true"/>
        <sz val="10"/>
        <rFont val="Arial"/>
        <family val="2"/>
        <charset val="1"/>
      </rPr>
      <t xml:space="preserve">MR
</t>
    </r>
    <r>
      <rPr>
        <sz val="10"/>
        <rFont val="Arial"/>
        <family val="2"/>
        <charset val="1"/>
      </rPr>
      <t xml:space="preserve">DDR3 MR0: WR</t>
    </r>
  </si>
  <si>
    <r>
      <rPr>
        <b val="true"/>
        <sz val="10"/>
        <rFont val="Arial"/>
        <family val="2"/>
        <charset val="1"/>
      </rPr>
      <t xml:space="preserve">DDR3 MR0:
</t>
    </r>
    <r>
      <rPr>
        <sz val="10"/>
        <rFont val="Arial"/>
        <family val="2"/>
        <charset val="1"/>
      </rPr>
      <t xml:space="preserve">Write Recovery (WR):
000b: 16
001b: 5
010b: 6
011b: 7
100b: 8
101b: 10
110b: 12
111b: 14</t>
    </r>
  </si>
  <si>
    <r>
      <rPr>
        <b val="true"/>
        <sz val="10"/>
        <rFont val="Arial"/>
        <family val="2"/>
        <charset val="1"/>
      </rPr>
      <t xml:space="preserve">MR
</t>
    </r>
    <r>
      <rPr>
        <sz val="10"/>
        <rFont val="Arial"/>
        <family val="2"/>
        <charset val="1"/>
      </rPr>
      <t xml:space="preserve">DDR3 MR0: DLL</t>
    </r>
  </si>
  <si>
    <r>
      <rPr>
        <b val="true"/>
        <sz val="10"/>
        <rFont val="Arial"/>
        <family val="2"/>
        <charset val="1"/>
      </rPr>
      <t xml:space="preserve">DDR3 MR0:
</t>
    </r>
    <r>
      <rPr>
        <sz val="10"/>
        <rFont val="Arial"/>
        <family val="2"/>
        <charset val="1"/>
      </rPr>
      <t xml:space="preserve">DLL Reset:
0b: no
1b: yes</t>
    </r>
  </si>
  <si>
    <r>
      <rPr>
        <b val="true"/>
        <sz val="10"/>
        <rFont val="Arial"/>
        <family val="2"/>
        <charset val="1"/>
      </rPr>
      <t xml:space="preserve">MR
</t>
    </r>
    <r>
      <rPr>
        <sz val="10"/>
        <rFont val="Arial"/>
        <family val="2"/>
        <charset val="1"/>
      </rPr>
      <t xml:space="preserve">DDR3 MR0: CAS Latency bit 3</t>
    </r>
  </si>
  <si>
    <r>
      <rPr>
        <b val="true"/>
        <sz val="10"/>
        <rFont val="Arial"/>
        <family val="2"/>
        <charset val="1"/>
      </rPr>
      <t xml:space="preserve">DDR3 MR0:
</t>
    </r>
    <r>
      <rPr>
        <sz val="10"/>
        <rFont val="Arial"/>
        <family val="2"/>
        <charset val="1"/>
      </rPr>
      <t xml:space="preserve">CAS LATENCY SETTING, bit[3:0]:
0 0 0 0 reserved
0 0 1 0 - 5 
0 1 0 0 - 6 
0 1 1 0 - 7
1 0 0 0 - 8
1 0 1 0 - 9
1 1 0 0 - 10
1 1 1 0 - 11
0 0 0 1 - 12
0 0 1 1 - 13
0 1 0 1 - 14</t>
    </r>
  </si>
  <si>
    <r>
      <rPr>
        <b val="true"/>
        <sz val="10"/>
        <rFont val="Arial"/>
        <family val="2"/>
        <charset val="1"/>
      </rPr>
      <t xml:space="preserve">MR
</t>
    </r>
    <r>
      <rPr>
        <sz val="10"/>
        <rFont val="Arial"/>
        <family val="2"/>
        <charset val="1"/>
      </rPr>
      <t xml:space="preserve">DDR3 MR0: CAS Latency bit 2</t>
    </r>
  </si>
  <si>
    <r>
      <rPr>
        <b val="true"/>
        <sz val="10"/>
        <rFont val="Arial"/>
        <family val="2"/>
        <charset val="1"/>
      </rPr>
      <t xml:space="preserve">MR
</t>
    </r>
    <r>
      <rPr>
        <sz val="10"/>
        <rFont val="Arial"/>
        <family val="2"/>
        <charset val="1"/>
      </rPr>
      <t xml:space="preserve">DDR3 MR0: CAS Latency bit 1</t>
    </r>
  </si>
  <si>
    <r>
      <rPr>
        <b val="true"/>
        <sz val="10"/>
        <rFont val="Arial"/>
        <family val="2"/>
        <charset val="1"/>
      </rPr>
      <t xml:space="preserve">MR
</t>
    </r>
    <r>
      <rPr>
        <sz val="10"/>
        <rFont val="Arial"/>
        <family val="2"/>
        <charset val="1"/>
      </rPr>
      <t xml:space="preserve">DDR3 MR0: CAS Latency bit 0</t>
    </r>
  </si>
  <si>
    <r>
      <rPr>
        <b val="true"/>
        <sz val="10"/>
        <rFont val="Arial"/>
        <family val="2"/>
        <charset val="1"/>
      </rPr>
      <t xml:space="preserve">MR
</t>
    </r>
    <r>
      <rPr>
        <sz val="10"/>
        <rFont val="Arial"/>
        <family val="2"/>
        <charset val="1"/>
      </rPr>
      <t xml:space="preserve">DDR3 MR0: BT</t>
    </r>
  </si>
  <si>
    <r>
      <rPr>
        <b val="true"/>
        <sz val="10"/>
        <rFont val="Arial"/>
        <family val="2"/>
        <charset val="1"/>
      </rPr>
      <t xml:space="preserve">DDR3 MR0:
</t>
    </r>
    <r>
      <rPr>
        <sz val="10"/>
        <rFont val="Arial"/>
        <family val="2"/>
        <charset val="1"/>
      </rPr>
      <t xml:space="preserve">READ Burst Type (BT):
0b:sequential
1b: interleaved</t>
    </r>
  </si>
  <si>
    <r>
      <rPr>
        <b val="true"/>
        <sz val="10"/>
        <rFont val="Arial"/>
        <family val="2"/>
        <charset val="1"/>
      </rPr>
      <t xml:space="preserve">MR
</t>
    </r>
    <r>
      <rPr>
        <sz val="10"/>
        <rFont val="Arial"/>
        <family val="2"/>
        <charset val="1"/>
      </rPr>
      <t xml:space="preserve">DDR3 MR0: BL</t>
    </r>
  </si>
  <si>
    <r>
      <rPr>
        <b val="true"/>
        <sz val="10"/>
        <rFont val="Arial"/>
        <family val="2"/>
        <charset val="1"/>
      </rPr>
      <t xml:space="preserve">DDR3 MR0:
</t>
    </r>
    <r>
      <rPr>
        <sz val="10"/>
        <rFont val="Arial"/>
        <family val="2"/>
        <charset val="1"/>
      </rPr>
      <t xml:space="preserve">Burst Length (BL):
00b: fixed BL8
01b: 4 or 8 (via A12)
10b: fixed BC4 (chop)
11b: reserved</t>
    </r>
  </si>
  <si>
    <r>
      <rPr>
        <b val="true"/>
        <sz val="10"/>
        <rFont val="Arial"/>
        <family val="2"/>
        <charset val="1"/>
      </rPr>
      <t xml:space="preserve">EMR
</t>
    </r>
    <r>
      <rPr>
        <sz val="10"/>
        <rFont val="Arial"/>
        <family val="2"/>
        <charset val="1"/>
      </rPr>
      <t xml:space="preserve">DDR3 MR1: Q OFF</t>
    </r>
  </si>
  <si>
    <r>
      <rPr>
        <b val="true"/>
        <sz val="10"/>
        <rFont val="Arial"/>
        <family val="2"/>
        <charset val="1"/>
      </rPr>
      <t xml:space="preserve">DDR3 MR1:
</t>
    </r>
    <r>
      <rPr>
        <sz val="10"/>
        <rFont val="Arial"/>
        <family val="2"/>
        <charset val="1"/>
      </rPr>
      <t xml:space="preserve">QOff
0: Enabled
1: Disabled</t>
    </r>
  </si>
  <si>
    <r>
      <rPr>
        <b val="true"/>
        <sz val="10"/>
        <rFont val="Arial"/>
        <family val="2"/>
        <charset val="1"/>
      </rPr>
      <t xml:space="preserve">EMR
</t>
    </r>
    <r>
      <rPr>
        <sz val="10"/>
        <rFont val="Arial"/>
        <family val="2"/>
        <charset val="1"/>
      </rPr>
      <t xml:space="preserve">DDR3 MR1: TDQS</t>
    </r>
  </si>
  <si>
    <r>
      <rPr>
        <b val="true"/>
        <sz val="10"/>
        <rFont val="Arial"/>
        <family val="2"/>
        <charset val="1"/>
      </rPr>
      <t xml:space="preserve">DDR3 MR1:
</t>
    </r>
    <r>
      <rPr>
        <sz val="10"/>
        <rFont val="Arial"/>
        <family val="2"/>
        <charset val="1"/>
      </rPr>
      <t xml:space="preserve">TDQS
0: Disabled
1: Enabled</t>
    </r>
  </si>
  <si>
    <r>
      <rPr>
        <b val="true"/>
        <sz val="10"/>
        <rFont val="Arial"/>
        <family val="2"/>
        <charset val="1"/>
      </rPr>
      <t xml:space="preserve">EMR
</t>
    </r>
    <r>
      <rPr>
        <sz val="10"/>
        <rFont val="Arial"/>
        <family val="2"/>
        <charset val="1"/>
      </rPr>
      <t xml:space="preserve">DDR3 MR1: RTT bit2</t>
    </r>
  </si>
  <si>
    <r>
      <rPr>
        <b val="true"/>
        <sz val="10"/>
        <rFont val="Arial"/>
        <family val="2"/>
        <charset val="1"/>
      </rPr>
      <t xml:space="preserve">DDR3 MR1:
</t>
    </r>
    <r>
      <rPr>
        <sz val="10"/>
        <rFont val="Arial"/>
        <family val="2"/>
        <charset val="1"/>
      </rPr>
      <t xml:space="preserve">RTT (non-writes only listed)
0 0 0 - disabled
0 0 1 - RZQ/4 (60ohm)
0 1 0 - RZQ/2 (120ohm)
0 1 1 -  RZQ/6 (40ohm) 
1 0 0 - RZQ/12 (20ohm)
1 0 1 - RZQ/8 (30ohm)
1 1 0 - reserved
1 1 1 - reserved</t>
    </r>
  </si>
  <si>
    <r>
      <rPr>
        <b val="true"/>
        <sz val="10"/>
        <rFont val="Arial"/>
        <family val="2"/>
        <charset val="1"/>
      </rPr>
      <t xml:space="preserve">EMR
</t>
    </r>
    <r>
      <rPr>
        <sz val="10"/>
        <rFont val="Arial"/>
        <family val="2"/>
        <charset val="1"/>
      </rPr>
      <t xml:space="preserve">DDR3 MR1: RTT bit1</t>
    </r>
  </si>
  <si>
    <r>
      <rPr>
        <b val="true"/>
        <sz val="10"/>
        <rFont val="Arial"/>
        <family val="2"/>
        <charset val="1"/>
      </rPr>
      <t xml:space="preserve">EMR
</t>
    </r>
    <r>
      <rPr>
        <sz val="10"/>
        <rFont val="Arial"/>
        <family val="2"/>
        <charset val="1"/>
      </rPr>
      <t xml:space="preserve">DDR3 MR1: RTT bit0</t>
    </r>
  </si>
  <si>
    <r>
      <rPr>
        <b val="true"/>
        <sz val="10"/>
        <rFont val="Arial"/>
        <family val="2"/>
        <charset val="1"/>
      </rPr>
      <t xml:space="preserve">EMR
</t>
    </r>
    <r>
      <rPr>
        <sz val="10"/>
        <rFont val="Arial"/>
        <family val="2"/>
        <charset val="1"/>
      </rPr>
      <t xml:space="preserve">DDR3 MR1: WL</t>
    </r>
  </si>
  <si>
    <r>
      <rPr>
        <b val="true"/>
        <sz val="10"/>
        <rFont val="Arial"/>
        <family val="2"/>
        <charset val="1"/>
      </rPr>
      <t xml:space="preserve">DDR3 MR1:
</t>
    </r>
    <r>
      <rPr>
        <sz val="10"/>
        <rFont val="Arial"/>
        <family val="2"/>
        <charset val="1"/>
      </rPr>
      <t xml:space="preserve">Write Levelization
0: Disable (normal)
1: Enable</t>
    </r>
  </si>
  <si>
    <r>
      <rPr>
        <b val="true"/>
        <sz val="10"/>
        <rFont val="Arial"/>
        <family val="2"/>
        <charset val="1"/>
      </rPr>
      <t xml:space="preserve">EMR
</t>
    </r>
    <r>
      <rPr>
        <sz val="10"/>
        <rFont val="Arial"/>
        <family val="2"/>
        <charset val="1"/>
      </rPr>
      <t xml:space="preserve">DDR3 MR1: ODS bit1</t>
    </r>
  </si>
  <si>
    <r>
      <rPr>
        <b val="true"/>
        <sz val="10"/>
        <rFont val="Arial"/>
        <family val="2"/>
        <charset val="1"/>
      </rPr>
      <t xml:space="preserve">DDR3 MR1:
</t>
    </r>
    <r>
      <rPr>
        <sz val="10"/>
        <rFont val="Arial"/>
        <family val="2"/>
        <charset val="1"/>
      </rPr>
      <t xml:space="preserve">Output Drive Strength
0 0 - RZQ/6 (40Ω [NOM])
0 1 - RZQ/7 (34Ω [NOM])
1 0 - Reserved
1 1 - Reserved</t>
    </r>
  </si>
  <si>
    <r>
      <rPr>
        <b val="true"/>
        <sz val="10"/>
        <rFont val="Arial"/>
        <family val="2"/>
        <charset val="1"/>
      </rPr>
      <t xml:space="preserve">EMR
</t>
    </r>
    <r>
      <rPr>
        <sz val="10"/>
        <rFont val="Arial"/>
        <family val="2"/>
        <charset val="1"/>
      </rPr>
      <t xml:space="preserve">DDR3 MR1: ODS bit0</t>
    </r>
  </si>
  <si>
    <r>
      <rPr>
        <b val="true"/>
        <sz val="10"/>
        <rFont val="Arial"/>
        <family val="2"/>
        <charset val="1"/>
      </rPr>
      <t xml:space="preserve">EMR
</t>
    </r>
    <r>
      <rPr>
        <sz val="10"/>
        <rFont val="Arial"/>
        <family val="2"/>
        <charset val="1"/>
      </rPr>
      <t xml:space="preserve">DDR3 MR1: AL</t>
    </r>
  </si>
  <si>
    <r>
      <rPr>
        <b val="true"/>
        <sz val="10"/>
        <rFont val="Arial"/>
        <family val="2"/>
        <charset val="1"/>
      </rPr>
      <t xml:space="preserve">DDR3 MR1:
</t>
    </r>
    <r>
      <rPr>
        <sz val="10"/>
        <rFont val="Arial"/>
        <family val="2"/>
        <charset val="1"/>
      </rPr>
      <t xml:space="preserve">Additive Latency (AL)
0 0 - Disabled (AL = 0)
0 1 - AL = CL - 1
1 0 - AL = CL - 2
1 1 - Reserved</t>
    </r>
  </si>
  <si>
    <r>
      <rPr>
        <b val="true"/>
        <sz val="10"/>
        <rFont val="Arial"/>
        <family val="2"/>
        <charset val="1"/>
      </rPr>
      <t xml:space="preserve">EMR
</t>
    </r>
    <r>
      <rPr>
        <sz val="10"/>
        <rFont val="Arial"/>
        <family val="2"/>
        <charset val="1"/>
      </rPr>
      <t xml:space="preserve">DDR3 MR1: DLL</t>
    </r>
  </si>
  <si>
    <r>
      <rPr>
        <b val="true"/>
        <sz val="10"/>
        <rFont val="Arial"/>
        <family val="2"/>
        <charset val="1"/>
      </rPr>
      <t xml:space="preserve">DDR3 MR1:
</t>
    </r>
    <r>
      <rPr>
        <sz val="10"/>
        <rFont val="Arial"/>
        <family val="2"/>
        <charset val="1"/>
      </rPr>
      <t xml:space="preserve">DLL Enable
0 - Enable (normal)
1 - Disable</t>
    </r>
  </si>
  <si>
    <t xml:space="preserve">The following registers are not recommended to be changed by the user</t>
  </si>
  <si>
    <t xml:space="preserve">Number of DDRC Clock Cycles</t>
  </si>
  <si>
    <t xml:space="preserve">DFI_T_CTRL_DELAY</t>
  </si>
  <si>
    <t xml:space="preserve">Description: Specifies the number of DFI clock cycles after an assertion or de-assertion of the DFI control signals that the control signals at the PHY-DRAM interface reflect the assertion or de-assertion.
If the DFI clock and the memory clock are not phase-aligned, this timing parameter should be rounded up to the next integer value.
INote that if using RDIMM, depending on the PHY, it may be necessary to increment this parameter by 1. This is to compensate for the extra cycle of latency through the RDIMM
Value After Reset: 0x7</t>
  </si>
  <si>
    <t xml:space="preserve">DDRC_DFITMG0</t>
  </si>
  <si>
    <t xml:space="preserve">DFI_RDDATA_USE_SDR</t>
  </si>
  <si>
    <t xml:space="preserve">Description: Defines whether dfi_rddata_en/dfi_rddata/dfi_rddata_valid is generated using HDR or SDR values Selects whether value in DFITMG0.dfi_t_rddata_en is in terms of SDR or HDR clock cycles:
■ 0 in terms of HDR clock cycles
■ 1 in terms of SDR clock cycles
Refer to PHY specification for correct value.
Value After Reset: 0x0</t>
  </si>
  <si>
    <t xml:space="preserve">DFI_T_RDDDATA_EN</t>
  </si>
  <si>
    <t xml:space="preserve">Description: Time from the assertion of a read command on the DFI interface to the assertion of the dfi_rddata_en signal.
Refer to PHY specification for correct value.
This corresponds to the DFI parameter trddata_en. Note that, depending on the PHY, if using RDIMM, it may be necessary to use the value (CL + 1) in the calculation of trddata_en. This is to compensate for the extra cycle of latency through the RDIMM.
Unit: Clocks
Value After Reset: 0x2</t>
  </si>
  <si>
    <t xml:space="preserve">DFI_WRDATA_USE_SDR</t>
  </si>
  <si>
    <t xml:space="preserve">Description: Defines whether dfi_wrdata_en/dfi_wrdata/dfi_wrdata_mask is generated using HDR or SDR values Selects whether value in DFITMG0.dfi_tphy_wrlat is in terms of SDR or HDR clock cycles Selects whether value in DFITMG0.dfi_tphy_wrdata is in terms of SDR or HDR clock cycles
■ 0 in terms of HDR clock cycles
■ 1 in terms of SDR clock cycles
Refer to PHY specification for correct value.
Value After Reset: 0x0</t>
  </si>
  <si>
    <t xml:space="preserve">DFI_TPHY_WRDATA</t>
  </si>
  <si>
    <t xml:space="preserve">Description: Specifies the number of clock cycles between when dfi_wrdata_en is asserted to when the associated write data is driven on the dfi_wrdata signal.
This corresponds to the DFI timing parameter tphy_wrdata.
Refer to PHY specification for correct value.
Note, max supported value is 8.
Unit: Clocks
Value After Reset: 0x0</t>
  </si>
  <si>
    <t xml:space="preserve">DFI_TPHY_WRLAT</t>
  </si>
  <si>
    <t xml:space="preserve">Description: Write latency
Number of clocks from the write command to write data enable (dfi_wrdata_en). This corresponds to the DFI timing parameter tphy_wrlat.
Refer to PHY specification for correct value.
This field is automatically updated.
Value After Reset: 0x2</t>
  </si>
  <si>
    <t xml:space="preserve">reserved</t>
  </si>
  <si>
    <t xml:space="preserve">Reserved for future use.</t>
  </si>
  <si>
    <t xml:space="preserve">DDRC_DFITMG1</t>
  </si>
  <si>
    <t xml:space="preserve">DFI_T_WRDATA_DELAY</t>
  </si>
  <si>
    <t xml:space="preserve">Description: Specifies the number of DFI clocks between when the dfi_wrdata_en signal is asserted and when the corresponding write data transfer is completed on the DRAM bus.
This corresponds to the DFI timing parameter twrdata_delay. Refer to PHY specification for correct value.
For DFI 3.0 PHY, set to twrdata_delay, a new timing parameter introduced in DFI 3.0.
For DFI 2.1 PHY, set to tphy_wrdata + (delay of DFI write data to the DRAM).
Value to be programmed is in terms of DFI clocks, not PHY clocks.
In FREQ_RATIO=2, divide PHY's value by 2 and round up to next integer.
If using DFITMG0.dfi_wrdata_use_sdr=1, add 1 to the value.
Unit: Clocks
Value After Reset: 0x0</t>
  </si>
  <si>
    <t xml:space="preserve">DFI_T_DRAM_CLK_DISABLE</t>
  </si>
  <si>
    <t xml:space="preserve">Description: Specifies the number of DFI clock cycles from the assertion of the dfi_dram_clk_disable signal on the DFI until the clock to the DRAM memory devices, at the PHY-DRAM boundary, maintains a low value.
If the DFI clock and the memory clock are not phase aligned, this timing parameter should be rounded up to the next integer value.
Value After Reset: 0x4</t>
  </si>
  <si>
    <t xml:space="preserve">DFI_T_DRAM_CLK_ENABLE</t>
  </si>
  <si>
    <t xml:space="preserve">Description: Specifies the number of DFI clock cycles from the de-assertion of the dfi_dram_clk_disable signal on the DFI until the first valid rising edge of the clock to the DRAM memory devices, at the PHY-DRAM boundary.
If the DFI clock and the memory clock are not phase aligned, this timing parameter should be rounded up to the next integer value.
Value After Reset: 0x4</t>
  </si>
  <si>
    <t xml:space="preserve">DIS_AUTO_CTRLUPD</t>
  </si>
  <si>
    <t xml:space="preserve">Description: Disable the automatic dfi_ctrlupd_req generation by the uMCTL2.
■ 1 - Disable the automatic dfi_ctrlupd_req generation by the uMCTL2. This is the recommended setting by design as a PHY-Initiated update is enabled in the DDR PHY .
■ 0 - uMCTL2 issues dfi_ctrlupd_req periodically.
Value After Reset: 0x0</t>
  </si>
  <si>
    <t xml:space="preserve">DDRC_DFIUPD0</t>
  </si>
  <si>
    <t xml:space="preserve">DIS_AUTO_CTRLUPD_SRX</t>
  </si>
  <si>
    <t xml:space="preserve">Description: Disable the automatic dfi_ctrlupd_req generation by the uMCTL2 following a self-refresh exit.
■ 1 - Disable the automatic dfi_ctrlupd_req generation by the uMCTL2 following a self-refresh exit.
■ 0 - uMCTL2 issues a dfi_ctrlupd_req after exiting self-refresh.
This is the recommended setting by design.
Value After Reset: 0x0</t>
  </si>
  <si>
    <t xml:space="preserve">DFI_T_CTRLUP_MAX</t>
  </si>
  <si>
    <t xml:space="preserve">Description: Specifies the maximum number of clock cycles that the dfi_ctrlupd_req signal can assert.
Lowest value to assign to this variable is 0x40.
Unit: Clocks
Value After Reset: 0x40</t>
  </si>
  <si>
    <t xml:space="preserve">DFI_T_CTRLUP_MIN</t>
  </si>
  <si>
    <t xml:space="preserve">Description: Specifies the minimum number of clock cycles that the dfi_ctrlupd_req signal must be asserted.
The uMCTL2 expects the PHY to respond within this time. If the PHY does not respond, the uMCTL2 de-asserts dfi_ctrlupd_req after dfi_t_ctrlup_min + 2 cycles.
Lowest value to assign to this variable is 0x3.
Unit: Clocks
Value After Reset: 0x3</t>
  </si>
  <si>
    <t xml:space="preserve">DFI_T_CTRLUPD_INTERVAL_MIN_X1024</t>
  </si>
  <si>
    <t xml:space="preserve">Description: This is the minimum amount of time between uMCTL2 initiated DFI update requests (which is executed whenever the uMCTL2 is idle).
Set this number higher to reduce the frequency of update requests, which can have a small impact on the latency of the first read request when the uMCTL2 is idle.
Unit: 1024 clocks
Value After Reset: 0x0</t>
  </si>
  <si>
    <t xml:space="preserve">DDRC_DFIUPD1</t>
  </si>
  <si>
    <t xml:space="preserve">DFI_T_CTRLUPD_INTERVAL_MAX_X1024</t>
  </si>
  <si>
    <t xml:space="preserve">Description: This is the maximum amount of time between uMCTL2 initiated DFI update requests.
This timer resets with each update request; when the timer expires dfi_ctrlupd_req is sent and traffic is blocked until the dfi_ctrlupd_ackx is received. PHY can use this idle time to recalibrate the delay lines to the DLLs. The DFI controller update is also used to reset PHY FIFO pointers in case of data capture errors. Updates are required to maintain calibration over PVT, but frequent updates may impact performance.
Note: Value programmed for DFIUPD1.dfi_t_ctrlupd_interval_max_x1024 must be greater than DFIUPD1.dfi_t_ctrlupd_interval_min_x1024.
Unit: 1024 clocks
Value After Reset: 0x0</t>
  </si>
  <si>
    <t xml:space="preserve">DFI_PHYUPD_EN</t>
  </si>
  <si>
    <t xml:space="preserve">Description: Enables the support for acknowledging PHY-initiated updates:
■ 0 - Disabled
■ 1 - Enabled
Value After Reset: 0x1</t>
  </si>
  <si>
    <t xml:space="preserve">DDRC_DFIUPD2</t>
  </si>
  <si>
    <t xml:space="preserve">DFI_PHYUPD_TYPE1</t>
  </si>
  <si>
    <t xml:space="preserve">Description: Specifies the maximum number of DFI clock cycles that the dfi_phyupd_req signal may remain asserted after the assertion of the dfi_phyupd_ack signal for dfi_phyupd_type = 2'b01. Is used in conjunction with value defined via DFIUPD4.dfi_phyupd_type1_mult. The dfi_phyupd_req signal may de-assert at any cycle after the assertion of the dfi_phyupd_ack signal. The minimum allowed value is 1.
Value After Reset: 0x10</t>
  </si>
  <si>
    <t xml:space="preserve">DFI_PHYUPD_TYPE2</t>
  </si>
  <si>
    <t xml:space="preserve">Description: Specifies the maximum number of DFI clock cycles that the dfi_phyupd_req signal may remain asserted after the assertion of the dfi_phyupd_ack signal for dfi_phyupd_type = 2'b00. Is used in conjunction with value defined via DFIUPD4.dfi_phyupd_type0_mult. The dfi_phyupd_req signal may de-assert at any cycle after the assertion of the dfi_phyupd_ack signal. The minimum allowed value is 1.
Value After Reset: 0x10</t>
  </si>
  <si>
    <t xml:space="preserve">DDR PHY Control Parameter</t>
  </si>
  <si>
    <t xml:space="preserve">DDR_PHY_PHY_CON0</t>
  </si>
  <si>
    <t xml:space="preserve">CTRL_UPD_MODE</t>
  </si>
  <si>
    <t xml:space="preserve">Description: This field controls when DLL is updated.
■ 'b00 Update DLL always"
■ 'b01 To update depending on "ctrl_flock"
■ 'b10 To update depending on "ctrl_flock"
■ 'b11 Do not update DLL fly.
Value After Reset: 'b01</t>
  </si>
  <si>
    <t xml:space="preserve">CTRL_UPD_RANGE</t>
  </si>
  <si>
    <t xml:space="preserve">Description: Field specifies the difference used between the new lock value and the current lock value which is required to determine when
Slave-DLL requires an updated lock value.
■ 'b00 Update when difference is greater than 0
■ 'b01 Update when difference is greater than 1
■ 'b10 Update when difference is greater than 7
■ 'b11 Update when difference is greater than 15
Value After Reset: 'b00</t>
  </si>
  <si>
    <t xml:space="preserve">WRLVL_MODE</t>
  </si>
  <si>
    <t xml:space="preserve">Description: Write Leveling Mode Enable.
■ 'b0 Write Level Mode is Disabled.
■ 'b1 Write Level Mode is Enabled
Initial Value = 'b0</t>
  </si>
  <si>
    <t xml:space="preserve">CTRL_DDR_MODE</t>
  </si>
  <si>
    <t xml:space="preserve">Descrpition: DDR Mode Select.
■ ’b00 Reserved
■ ’b01 DDR3
■ ’b10 LPDDR2
■ ’b11 LPDDR3
Value After Reset: 'b11</t>
  </si>
  <si>
    <t xml:space="preserve">CTRL_DFDQS</t>
  </si>
  <si>
    <t xml:space="preserve">Description: DQS Strobe Signal Mode.
■ ’b0 Single-ended DQS
■ ’b1 Differential DQS
Value After Reset: 'b1</t>
  </si>
  <si>
    <t xml:space="preserve">CTRL_SHGATE</t>
  </si>
  <si>
    <t xml:space="preserve">Description: This field controls the gate control signal..
BL = Burst Length (Value set in field ctrl_bstlen[12:8] is used)
N = Number of DQS pads set to Pull-down mode (Value set in field ctrl_pulld_dqs[3:0])
This field sets the Gate Signal Length according to the following formulas.
■ 0 Gate signal length = (BL / 2) + N.
■ 1 Gate signal length = (BL / 2) − 1.
Value After Reset: 'b0</t>
  </si>
  <si>
    <t xml:space="preserve">CTRL_ATGATE</t>
  </si>
  <si>
    <t xml:space="preserve">Description: Field is Reserved.
Leave as default
Value after reset: 'b1</t>
  </si>
  <si>
    <t xml:space="preserve">CTRL_CMOSRCV</t>
  </si>
  <si>
    <t xml:space="preserve">Description: This field controls the input mode DQS and DQ I/O pads.
■ 0 - CMOS Mode - High Signal triggered at 80% logic level, Low signal triggered at 20% logic level
■ 1 - Differential Mode - High signal triggered above VREF, Low signal triggered below VREF.
Value After Reset:  'b0</t>
  </si>
  <si>
    <t xml:space="preserve">CTRL_TWPPE</t>
  </si>
  <si>
    <t xml:space="preserve">Description: Write preamble setting
Sets the DQS strobe preamble setting to one of two approved JEDED modes.
■ 0 - DDR2 mode - Preamble is 1-1/2 clock cycle starting with the falling edge of the clock. First rising edge is part of preamble.
■ 1 - DDR3 mode - Preamble is a minimum of one clock cycle with clock set to low. First rising edge clocks data.
Value After Reset:  'b0</t>
  </si>
  <si>
    <t xml:space="preserve">CTRL_FNC_FB</t>
  </si>
  <si>
    <t xml:space="preserve">Description: Control Function Feedback.
This field is valid only when the following modes are turned off (ie, fields at set to 0x0):
■ mode_phy
■ mode_nand
■ mode_scan
■ mode_mux
For normal operation:
■ 'b000: Normal operation mode.
For ATE test purpose:
■ 'b010: External FNC read feedback test mode.
■ 'b011: Internal FNC read feedback test mode.
For Board test purpose:
■ ’b100: External PHY read feedback test mode. When memory is not attached on the board
■ ’b101: Internal PHY read feedback test mode. mode_highz should be set.
■ ’b110: Internal PHY write feedback test mode. mode_highz should be set.
All other settings are Reserved.
Value After Reset: 0x0</t>
  </si>
  <si>
    <t xml:space="preserve">CTRL_GATEADJ</t>
  </si>
  <si>
    <t xml:space="preserve">Description: DQS Read Gate start time adjustment.
It adjusts the enable time of "ctrl_gate" on a clock cycle base..
The MSB of this field determines whether the adjustment is added or subtracted from the base delay.
ctrl_gateadj[31]:
■ 0 - Offset value is added to base delay
■ 1 - Offset value is substracted from base delay
The remainder of the field is the amount the delay is shifted:
■ ctrl_gateadj[30:28]: Offset delay value
Units: Clocks
Value After Reset: 0x2</t>
  </si>
  <si>
    <t xml:space="preserve">DDR_PHY_PHY_CON1</t>
  </si>
  <si>
    <t xml:space="preserve">CTRL_GATEURADJ</t>
  </si>
  <si>
    <t xml:space="preserve">Description: DQS Read Gate duration time adjustment.
It adjusts the duration time of "ctrl_gate" on a clock cycle base..
The MSB of this field determines whether the adjustment is added or subtracted from the base duration time.
ctrl_gateduradj[23]:
■ 0 - Offset value is added to base delay
■ 1 - Offset value is substracted from base delay
The remainder of the field is the amount the delay is shifted:
■ ctrl_gateduradj[22:20]: Offset delay value
Units: Clocks
Value After Reset: 0x2</t>
  </si>
  <si>
    <t xml:space="preserve">DDR_PHY_PHY_CON2 is used only for LPDDR3/LPDDR2 configurations and can be left as is for DDR3. In either case, it is not recommended to change these settings as this is commented out for DDR3.</t>
  </si>
  <si>
    <t xml:space="preserve">DDR_PHY_PHY_CON2</t>
  </si>
  <si>
    <t xml:space="preserve">GATE_CAL_MODE</t>
  </si>
  <si>
    <t xml:space="preserve">Description: Uses fine adjustment Read Gate DQS strobe values from the OFFSETC_CONx registers instead of the fixed coarse values from the SHIFTC_CONx registers. This allows for fine control of Gate Read DQS Strobe adjustment if calibration data is available..
■ 'b0 Coarse SHIFTC_CONx register values used for Gate Read DQS strobe adjustment.
■ 'b1 OFFSETC_CONx values used for Gate Read DQS strobe adjustment.
Initial Value = 'b0</t>
  </si>
  <si>
    <t xml:space="preserve">CA_CAL_MODE</t>
  </si>
  <si>
    <t xml:space="preserve">Description: This field Enables the Command/Address calibration mode. Software should return this field to '1b0 once the Command/Address calibration process is stopped. This bit is not self-clearing. This field enables the use of Command/Address Offset Values for calibration purposes.
Field Settings:
■ 'b0 Normal operations.
■ 'b1 Enable Command/Address Calibration mode.
Initial Value = 'b0</t>
  </si>
  <si>
    <t xml:space="preserve">WRDESKEW_CLEAR</t>
  </si>
  <si>
    <t xml:space="preserve">Description: Writes the values of the ctrl_offsetw() fields to the WrDeSkewCode registers to be used as Write DQS strobe delay values during normal operations. This bit is not self-clearing and must be returned to 1'b0 when the operation is complete.
■ 'b0 Normal Operating Mode.
■ 'b1 ctrl_offsetw() values written to WrDeSkewCode.
Initial Value = 'b0</t>
  </si>
  <si>
    <t xml:space="preserve">RDDESKEW_CLEAR</t>
  </si>
  <si>
    <t xml:space="preserve">Description: Writes the values of the ctrl_offsetr() fields to the RdDeSkewCode registers to be used as Read DQS strobe delay values during normal operations. This bit is not self-clearing and must be returned to 1'b0 when the operation is complete.
■ 'b0 Normal Operating Mode.
■ 'b1 ctrl_offsetr() values written to RdDeSkewCode.
Initial Value = 'b0</t>
  </si>
  <si>
    <t xml:space="preserve">CTRL_PULLD_DQ</t>
  </si>
  <si>
    <t xml:space="preserve">Description: Active Pull-down signal placed on DQ pads..
When the PHY is idle, the data traces can be pulled-down, and not left in a high-z state
For normal operation this field should be zero.
Bit Fields [19:16] correspond to data pads in Bytes [3:0].
Setting values are as follows:
■ 0 - DQ pads left in high-z state (normal)
■ 1 - DQ pads are pulled low.
Value After Reset: 0x0</t>
  </si>
  <si>
    <t xml:space="preserve">DDR_PHY_LP_CON0</t>
  </si>
  <si>
    <t xml:space="preserve">CTRL_PULLD_DQS</t>
  </si>
  <si>
    <t xml:space="preserve">Description: Active Pull-down signal placed on DQS pads.
For LPDDR2 / LPDDR3 mode, this field should be always set for normal operation.
When using Gate Leveling in DDR3, this field can be zero.
When the PHY is idle, the DQS strobe traces can be pulled-down, and not left in a high-z state
For normal operation this field should be zero.
Bit Fields [3:0] correspond to data pads in Bytes [3:0].
Setting values are as follows:
■ 0 - DQS pads left in high-z state (normal)
■ 1 - DQS pads are pulled low.
Value After Reset: 0x0</t>
  </si>
  <si>
    <t xml:space="preserve">DDR_PHY_RODT_CON0 is used only for LPDDR3/LPDDR2 configurations and can be left as is for DDR3. In either case, it is not recommended to change these settings as this is commented out for DDR3.</t>
  </si>
  <si>
    <t xml:space="preserve">DDR_PHY_RODT_CON0</t>
  </si>
  <si>
    <t xml:space="preserve">CTRL_READ_DIS</t>
  </si>
  <si>
    <r>
      <rPr>
        <b val="true"/>
        <sz val="10"/>
        <rFont val="Arial"/>
        <family val="2"/>
        <charset val="1"/>
      </rPr>
      <t xml:space="preserve">READ On Die Termination Disable.
</t>
    </r>
    <r>
      <rPr>
        <sz val="10"/>
        <rFont val="Arial"/>
        <family val="2"/>
        <charset val="1"/>
      </rPr>
      <t xml:space="preserve">Description: This field disables the ODT feature of the processor for Read Operations. This field should be set to 1'b1 for LPDDR2 and LPDDR3 memories.
Setting values are as follows:
■ 0 - Read ODT termination is turned on normally
■ 1 - Read ODT termination is disabled
Value After Reset: 0x0</t>
    </r>
  </si>
  <si>
    <t xml:space="preserve">CTRL_OFFSETR3</t>
  </si>
  <si>
    <t xml:space="preserve">Offset Direction</t>
  </si>
  <si>
    <t xml:space="preserve">Description: This field can be used to fine adjust the delay value to the Byte 3 DQS strobe during a Read operation.
The value of this field is set during PHY initialization and must not be changed during PHY operations.
The base delay for Read operations is one-quarter clock cyle.
The MSB of this field determines whether the adjustment is added or subtracted from the base delay.
ctrl_offsetr3[31]:
■ 0 - Offset value is added to base delay
■ 1 - Offset value is substracted from base delay
The remainder of the field is the amount the delay is shifted in increments of tFS (Fine Step Delay)
■ ctrl_offsetr3[30:24]: Offset delay value
This value is valid only after dfi_ctrlupd_req becomes HIGH and LOW.
The right-shifted value is limited by the quarter of the maximum delay in Master Delay Line.
Units: tFS
Value After Reset:  0x8</t>
  </si>
  <si>
    <t xml:space="preserve">DDR_PHY_OFFSET_RD_CON0</t>
  </si>
  <si>
    <t xml:space="preserve">Offset Value</t>
  </si>
  <si>
    <t xml:space="preserve">CTRL_OFFSETR2</t>
  </si>
  <si>
    <t xml:space="preserve">Description: This field can be used to fine adjust the delay value to the Byte 2 DQS strobe during a Read operation
The value of this field is set during PHY initialization and must not be changed during PHY operations.
The base delay for Read operations is one-quarter clock cyle.
The MSB of this field determines whether the adjustment is added or subtracted from the base delay.
ctrl_offsetr2[23]:
■ 0 - Offset value is added to base delay
■ 1 - Offset value is substracted from base delay
The remainder of the field is the amount the delay is shifted in increments of tFS (Fine Step Delay)
■ ctrl_offsetr2[22:16]: Offset delay value
This value is valid only after dfi_ctrlupd_req becomes HIGH and LOW.
The right-shifted value is limited by the quarter of the maximum delay in Master Delay Line.
Units: tFS
Value After Reset:  0x8</t>
  </si>
  <si>
    <t xml:space="preserve">CTRL_OFFSETR1</t>
  </si>
  <si>
    <t xml:space="preserve">Description: This field can be used to fine adjust the delay value to the Byte 1 DQS strobe during a Read operation
The value of this field is set during PHY initialization and must not be changed during PHY operations.
The base delay for Read operations is one-quarter clock cyle.
The MSB of this field determines whether the adjustment is added or subtracted from the base delay.
ctrl_offsetr1[15]:
■ 0 - Offset value is added to base delay
■ 1 - Offset value is substracted from base delay
The remainder of the field is the amount the delay is shifted in increments of tFS (Fine Step Delay)
■ ctrl_offsetr1[14:8]: Offset delay value
This value is valid only after dfi_ctrlupd_req becomes HIGH and LOW.
The right-shifted value is limited by the quarter of the maximum delay in Master Delay Line.
Units: tFS
Value After Reset:  0x8</t>
  </si>
  <si>
    <t xml:space="preserve"> </t>
  </si>
  <si>
    <t xml:space="preserve">CTRL_OFFSETR0</t>
  </si>
  <si>
    <t xml:space="preserve">Description: This field can be used to fine adjust the delay value to the Byte 0 DQS strobe during a Read operation
The value of this field is set during PHY initialization and must not be changed during PHY operations.
The base delay for Read operations is one-quarter clock cyle.
The MSB of this field determines whether the adjustment is added or subtracted from the base delay.
ctrl_offsetr0[7]:
■ 0 - Offset value is added to base delay
■ 1 - Offset value is substracted from base delay
The remainder of the field is the amount the delay is shifted in increments of tFS (Fine Step Delay)
■ ctrl_offsetr0[6:0]: Offset delay value
This value is valid only after dfi_ctrlupd_req becomes HIGH and LOW.
The right-shifted value is limited by the quarter of the maximum delay in Master Delay Line.
Units: tFS
Value After Reset:  0x8</t>
  </si>
  <si>
    <t xml:space="preserve">CTRL_OFFSETW3</t>
  </si>
  <si>
    <t xml:space="preserve">Description: This field can be used to fine adjust the delay value to the Byte 3 DQS strobe during a Write operation.
The value of this field is set during PHY initialization and must not be changed during PHY operations.
The base delay for Write operations is one-quarter clock cyle.
The MSB of this field determines whether the adjustment is added or subtracted from the base delay.
ctrl_offsetw3[31]:
■ 0 - Offset value is added to base delay
■ 1 - Offset value is substracted from base delay
The remainder of the field is the amount the delay is shifted in increments of tFS (Fine Step Delay)
■ ctrl_offsetw3[30:24]: Offset delay value
This value is valid only after dfi_ctrlupd_req becomes HIGH and LOW.
The right-shifted value is limited by the quarter of the maximum delay in Master Delay Line.
Units: tFS
Value After Reset:  0x8</t>
  </si>
  <si>
    <t xml:space="preserve">DDR_PHY_OFFSET_WR_CON0</t>
  </si>
  <si>
    <t xml:space="preserve">CTRL_OFFSETW2</t>
  </si>
  <si>
    <t xml:space="preserve">Description: This field can be used to fine adjust the delay value to the Byte 2 DQS strobe during a Write operation
The value of this field is set during PHY initialization and must not be changed during PHY operations.
The base delay for Write operations is one-quarter clock cyle.
The MSB of this field determines whether the adjustment is added or subtracted from the base delay.
ctrl_offsetw2[23]:
■ 0 - Offset value is added to base delay
■ 1 - Offset value is substracted from base delay
The remainder of the field is the amount the delay is shifted in increments of tFS (Fine Step Delay)
■ ctrl_offsetw2[22:16]: Offset delay value
This value is valid only after dfi_ctrlupd_req becomes HIGH and LOW.
The right-shifted value is limited by the quarter of the maximum delay in Master Delay Line.
Units: tFS
Value After Reset:  0x8</t>
  </si>
  <si>
    <t xml:space="preserve">CTRL_OFFSETW1</t>
  </si>
  <si>
    <t xml:space="preserve">Description: This field can be used to fine adjust the delay value to the Byte 1 DQS strobe during a Write operation
The value of this field is set during PHY initialization and must not be changed during PHY operations.
The base delay for Write operations is one-quarter clock cyle.
The MSB of this field determines whether the adjustment is added or subtracted from the base delay.
ctrl_offsetw1[15]:
■ 0 - Offset value is added to base delay
■ 1 - Offset value is substracted from base delay
The remainder of the field is the amount the delay is shifted in increments of tFS (Fine Step Delay)
■ ctrl_offsetw1[14:8]: Offset delay value
This value is valid only after dfi_ctrlupd_req becomes HIGH and LOW.
The right-shifted value is limited by the quarter of the maximum delay in Master Delay Line.
Units: tFS
Value After Reset:  0x8</t>
  </si>
  <si>
    <t xml:space="preserve">CTRL_OFFSETW0</t>
  </si>
  <si>
    <t xml:space="preserve">Description: This field can be used to fine adjust the delay value to the Byte 0 DQS strobe during a Write operation
The value of this field is set during PHY initialization and must not be changed during PHY operations.
The base delay for Write operations is one-quarter clock cyle.
The MSB of this field determines whether the adjustment is added or subtracted from the base delay.
ctrl_offsetw0[7]:
■ 0 - Offset value is added to base delay
■ 1 - Offset value is substracted from base delay
The remainder of the field is the amount the delay is shifted in increments of tFS (Fine Step Delay)
■ ctrl_offsetw0[6:0]: Offset delay value
This value is valid only after dfi_ctrlupd_req becomes HIGH and LOW.
The right-shifted value is limited by the quarter of the maximum delay in Master Delay Line.
Units: tFS
Value After Reset:  0x8</t>
  </si>
  <si>
    <t xml:space="preserve">UPD_MODE</t>
  </si>
  <si>
    <t xml:space="preserve">Description: This field controls the "PHY Update" mode. It specifies whether the Memory Controller (MC) initiates a PHY Update.
■ 0 - PHY - Initiates Update Mode
■ 1 - MC -Initiates Update Mode
Value After Reset: 0x1</t>
  </si>
  <si>
    <t xml:space="preserve">DDR_PHY_OFFSETD_CON0</t>
  </si>
  <si>
    <t xml:space="preserve">CTRL_RESYNC</t>
  </si>
  <si>
    <t xml:space="preserve">Description: When this bit is set to1'b1, all DLL information is updated and FIFO pointers are reset. This bit is self clearing. This bit should only be set during intialization and refresh cycles.
■ 0 - Normal Operations
■ 1 - Pointers of FIFOs and DLL Information updated.
Value After Reset: 0x0</t>
  </si>
  <si>
    <t xml:space="preserve">CTRL_OFFSETD</t>
  </si>
  <si>
    <r>
      <rPr>
        <sz val="10"/>
        <rFont val="Arial"/>
        <family val="2"/>
        <charset val="1"/>
      </rPr>
      <t xml:space="preserve">Description: This field can be used to fine adjust the delay value to the clock. It is necessary for LPDDR2 and LPDDR3 opertions.
The value of this field is set during PHY initialization and must not be changed during PHY operations.
The base delay for the clock is three-quarter clock cyle (270 </t>
    </r>
    <r>
      <rPr>
        <sz val="10"/>
        <rFont val="Calibri"/>
        <family val="2"/>
        <charset val="1"/>
      </rPr>
      <t xml:space="preserve">°</t>
    </r>
    <r>
      <rPr>
        <sz val="8.5"/>
        <rFont val="Arial"/>
        <family val="2"/>
        <charset val="1"/>
      </rPr>
      <t xml:space="preserve">)</t>
    </r>
    <r>
      <rPr>
        <sz val="10"/>
        <rFont val="Arial"/>
        <family val="2"/>
        <charset val="1"/>
      </rPr>
      <t xml:space="preserve">.
The MSB of this field determines whether the adjustment is added or subtracted from the base delay.
ctrl_offsetd[7]:
■ 0 - Offset value is added to the base delay
■ 1 - Offset value is substracted from base delay
The remainder of the field is the amount the delay is shifted in increments of tFS (Fine Step Delay)
■ ctrl_offsetd[6:0]: Offset delay value
This value is valid only after dfi_ctrlupd_req becomes HIGH and LOW.
The right-shifted value is limited by the quarter of the maximum delay in Master Delay Line.
Units: tFS
Value After Reset:  0x8</t>
    </r>
  </si>
  <si>
    <t xml:space="preserve">The following two registers are for manually configuring write leveling.  If the skew between the clock and particular byte lane is known, these values can be programmed into each byte lane (resolution = DDR clock period / 127). Remember to uncomment the write leveling register writes in the "DStream .ds file" work sheet. Refer to the reference manual for more details.</t>
  </si>
  <si>
    <t xml:space="preserve">CTRL_WRLVL3_CODE</t>
  </si>
  <si>
    <t xml:space="preserve">Description: This field holds the delay value for Byte Lane 3 data during Write operations. This value is in units of FS. </t>
  </si>
  <si>
    <t xml:space="preserve">DDR_PHY_WR_LVL_CON0</t>
  </si>
  <si>
    <t xml:space="preserve">CTRL_WRLVL2_CODE</t>
  </si>
  <si>
    <t xml:space="preserve">Description: This field holds the delay value for Byte Lane 2 data during Write operations. This value is in units of FS. </t>
  </si>
  <si>
    <t xml:space="preserve">CTRL_WRLVL1_CODE</t>
  </si>
  <si>
    <t xml:space="preserve">Description: This field holds the delay value for Byte Lane 1 data during Write operations. This value is in units of FS. </t>
  </si>
  <si>
    <t xml:space="preserve">CTRL_WRLVL0_CODE</t>
  </si>
  <si>
    <t xml:space="preserve">Description: This field holds the delay value for Byte Lane 0 data during Write operations. This value is in units of FS. </t>
  </si>
  <si>
    <t xml:space="preserve">CTRL_WRLVL_RESYNC</t>
  </si>
  <si>
    <t xml:space="preserve">Description: This field sends the ctrl_wrlvlx_code values to the DLL for use in normal operations. Software should return this field to '1b0 once the calibration routine is complete. This bit is not self-clearing.
Field Settings:
■ 'b0 Normal operations.
■ 'b1 Synchronize the DLL with the ctrl_wrlvlx_code values.
Initial Value = 'b0</t>
  </si>
  <si>
    <t xml:space="preserve">DDR_PHY_WR_LVL_CON3</t>
  </si>
  <si>
    <t xml:space="preserve">CTRL_WRLAT</t>
  </si>
  <si>
    <t xml:space="preserve">Description: Clock cycles between write command and the first edge of DQS after the pre-amble.
For example, if WL is 6, It should be set as 7(= WL + 1) in LPDDR3/LPDDR2, 6(= WL) in DDR3.
Value in this field should use the value for Write Latency.
Units: Clocks
Value After Reset:  0x8</t>
  </si>
  <si>
    <t xml:space="preserve">DDR_PHY_CON4</t>
  </si>
  <si>
    <t xml:space="preserve">CTRL_BSTLEN</t>
  </si>
  <si>
    <t xml:space="preserve">Description: Burst Length (BL)
Value in this field should use the value for Burst Length from field D42.
Units: Clocks
Value After Reset:  0x0</t>
  </si>
  <si>
    <t xml:space="preserve">CTRL_RDLAT</t>
  </si>
  <si>
    <t xml:space="preserve">Description: Read Latency (RL)
Value in this field should use the value for Right Latency.
Units: Clocks
Value After Reset:  0x0</t>
  </si>
  <si>
    <t xml:space="preserve">DDR_PHY_DRVDS_CON0</t>
  </si>
  <si>
    <t xml:space="preserve">CACKDRVRDS</t>
  </si>
  <si>
    <t xml:space="preserve">Description: Sets driver strenght for CK.
■ 'b100 : High-Z
■ 'b001 - 'b011 :Reserved
■ 'b100 : 48Ω Impedance output driver
■ 'b101 : 40Ω Impedance output driver
■ 'b110 : 34Ω Impedance output driver
■ 'b111 : 30Ω Impedance output driver
Initial value = 0x0</t>
  </si>
  <si>
    <t xml:space="preserve">CACKEDRVRDS</t>
  </si>
  <si>
    <t xml:space="preserve">Description: Sets driver strength for CKE[1:0].
■ 'b100 : High-Z
■ 'b001 - 'b011 :Reserved
■ 'b100 : 48Ω Impedance output driver
■ 'b101 : 40Ω Impedance output driver
■ 'b110 : 34Ω Impedance output driver
■ 'b111 : 30Ω Impedance output driver
Initial value = 0x0</t>
  </si>
  <si>
    <t xml:space="preserve">CACSDRVRDS</t>
  </si>
  <si>
    <t xml:space="preserve">Description: Sets driver strength for CS[1:0].
■ 'b100 : High-Z
■ 'b001 - 'b011 :Reserved
■ 'b100 : 48Ω Impedance output driver
■ 'b101 : 40Ω Impedance output driver
■ 'b110 : 34Ω Impedance output driver
■ 'b111 : 30Ω Impedance output driver
Initial value = 0x0</t>
  </si>
  <si>
    <t xml:space="preserve">CAADRDRVRDS</t>
  </si>
  <si>
    <t xml:space="preserve">Description: Sets driver strength for CA[9:0], RAS, CAS,WEN, ODT[1:0], RESET, BANK[2:0].
■ 'b100 : High-Z
■ 'b001 - 'b011 :Reserved
■ 'b100 : 48Ω Impedance output driver
■ 'b101 : 40Ω Impedance output driver
■ 'b110 : 34Ω Impedance output driver
■ 'b111 : 30Ω Impedance output driver
Initial value = 0x0</t>
  </si>
  <si>
    <t xml:space="preserve">ZQ_CLK_EN</t>
  </si>
  <si>
    <t xml:space="preserve">Description: ZQ I/O Clock enable.
Enables the clock to the ZQ pad for calibration operations. 
■ 0 - Disabled
■ 1 - Enabled
Value After Reset:  'b1</t>
  </si>
  <si>
    <t xml:space="preserve">DDR_PHY_ZQ_CON0</t>
  </si>
  <si>
    <t xml:space="preserve">ZQ_MODE_DDS</t>
  </si>
  <si>
    <t xml:space="preserve">Description: Driver strength selection for data bus and DQS signals.
This field determines the driver strength used in the ZQ pad during a ZQ calibration determination.
■ 'b100 : High-Z
■ 'b001 - 'b011 :Reserved
■ 'b100 : 48Ω Impedance output driver
■ 'b101 : 40Ω Impedance output driver
■ 'b110 : 34Ω Impedance output driver
■ 'b111 : 30Ω Impedance output driver
Initial value = 0x7</t>
  </si>
  <si>
    <t xml:space="preserve">ZQ_MODE_TERM</t>
  </si>
  <si>
    <t xml:space="preserve">Description: On-die-termination (ODT) resistor value selection.
This field determines the pad termination used in the ZQ pad during a ZQ calibration measurement.
■ 'b100 : High-Z
■ 'b001 120 Ω Receiver termination
■ 'b010 60 Ω Receiver termination
■ 'b011 40 Ω Receiver termination
■ 'b100 30 Ω Receiver termination.
■ 'b101 - 'b111 : Reserved
Initial value = 0x0</t>
  </si>
  <si>
    <t xml:space="preserve">zq_rgddr3 (unused/reserved)</t>
  </si>
  <si>
    <t xml:space="preserve">Description: Field is Reserved.
Leave as default
Value after reset: 'b0</t>
  </si>
  <si>
    <t xml:space="preserve">ZQ_MODE_NOTERM</t>
  </si>
  <si>
    <t xml:space="preserve">Discription: Termination disable selection
This field determines whether pad termination is used during ZQ calibration. If enabled, the value set in DDR_PHY_ZQ_CON0.zq_mode_term is used.
■ 1 - Termination Disabled (recommended for LPDDR3/2)
■ 0 - Termination Enabled (recommended for DDR3)
Value After Reset:  'b0</t>
  </si>
  <si>
    <t xml:space="preserve">ZQ_CLK_DIV_EN</t>
  </si>
  <si>
    <t xml:space="preserve">Description: Clock dividing enable.
This field is not recommended to be changed by the user, but instead is used as part of the DRAM initialization sequence.
■ 0 - Disabled
■ 1 - Enabled
Value After Reset:  'b0</t>
  </si>
  <si>
    <t xml:space="preserve">ZQ_FORCE_IMPN</t>
  </si>
  <si>
    <t xml:space="preserve">Description: Immediate control code for pull-down.
This is the value applied to the pull-down resistor in the ZQ pad when conduction ZQ calibration operations.
■This value is configured by design
Value After Reset: 0x7</t>
  </si>
  <si>
    <t xml:space="preserve">ZQ_FORCE_IMPP</t>
  </si>
  <si>
    <t xml:space="preserve">Description: Immediate control code for pull-up.
This is the value applied to the pull-up resistor in the ZQ pad when conduction ZQ calibration operations.
■This value is configured by design
Value After Reset: 0x7</t>
  </si>
  <si>
    <t xml:space="preserve">ZQ_UDT_DLY</t>
  </si>
  <si>
    <t xml:space="preserve">Description: ZQ I/O clock enable duration for auto calibration mode.
Value in this field is the duration of the auto calibration mode period.
This value is configured by design and is not recommended to be changed.
Units: Clocks
Value after reset:  0x30</t>
  </si>
  <si>
    <t xml:space="preserve">ZQ_MANUAL_MODE</t>
  </si>
  <si>
    <t xml:space="preserve">Description: Manual calibration mode selection.
■ 'b00 Force calibration
■ 'b01 Long calibration
■ 'b10 Short calibration
■ 'b11 Reserved
Value After Reset:  'b01</t>
  </si>
  <si>
    <t xml:space="preserve">ZQ_MANUAL_STR</t>
  </si>
  <si>
    <t xml:space="preserve">Description: Manual calibration start.
If this bit is asserted, then the PHY starts a forced ZQ calibration
This bit is self cleared after the ZQ calibration is done.
■ 0 - Normal Operation
■ 1 - Start ZQ calibration
Value After Reset:  'b0</t>
  </si>
  <si>
    <t xml:space="preserve">ZQ_AUTO_EN</t>
  </si>
  <si>
    <t xml:space="preserve">Description: Auto calibration mode enable.
This value is configured by design and is not recommended to be changed.
■ 0 - Disabled
■ 1 - Enabled
Value After Reset:  'b0</t>
  </si>
  <si>
    <t xml:space="preserve">#=============================================================================</t>
  </si>
  <si>
    <t xml:space="preserve"># init script for i.MX7D </t>
  </si>
  <si>
    <t xml:space="preserve"># Revision History</t>
  </si>
  <si>
    <t xml:space="preserve">stop</t>
  </si>
  <si>
    <t xml:space="preserve"># needed when using DS5 debugger, remove if not using a debugger</t>
  </si>
  <si>
    <t xml:space="preserve">set semihosting enabled true</t>
  </si>
  <si>
    <t xml:space="preserve">memory 0x30000000 0x33FFFFFF noverify</t>
  </si>
  <si>
    <t xml:space="preserve"># Processor Initialization (Clocks and IOMUX)</t>
  </si>
  <si>
    <t xml:space="preserve">memory set 0x30389800 32 0x10000000</t>
  </si>
  <si>
    <t xml:space="preserve">memory set 0x30389880 32 0x10000001</t>
  </si>
  <si>
    <t xml:space="preserve">memory set 0x30388000 32 0x11000000</t>
  </si>
  <si>
    <t xml:space="preserve">memory set 0x30388080 32 0x11000000</t>
  </si>
  <si>
    <t xml:space="preserve">memory set 0x30388100 32 0x11000000</t>
  </si>
  <si>
    <t xml:space="preserve">memory set 0x30388800 32 0x11000000</t>
  </si>
  <si>
    <t xml:space="preserve">memory set 0x30388880 32 0x11000000</t>
  </si>
  <si>
    <t xml:space="preserve">memory set 0x30388900 32 0x11000000</t>
  </si>
  <si>
    <t xml:space="preserve">memory set 0x30388980 32 0x11000000</t>
  </si>
  <si>
    <t xml:space="preserve">memory set 0x30389000 32 0x11000001</t>
  </si>
  <si>
    <t xml:space="preserve">memory set 0x3038a000 32 0x11000000</t>
  </si>
  <si>
    <t xml:space="preserve">memory set 0x3038a080 32 0x11000000</t>
  </si>
  <si>
    <t xml:space="preserve">memory set 0x3038a100 32 0x11000000</t>
  </si>
  <si>
    <t xml:space="preserve">memory set 0x3038a180 32 0x11000000</t>
  </si>
  <si>
    <t xml:space="preserve">memory set 0x3038a200 32 0x11000000</t>
  </si>
  <si>
    <t xml:space="preserve">memory set 0x3038a280 32 0x11000000</t>
  </si>
  <si>
    <t xml:space="preserve">memory set 0x3038a300 32 0x11000003</t>
  </si>
  <si>
    <t xml:space="preserve">memory set 0x3038a380 32 0x11000001</t>
  </si>
  <si>
    <t xml:space="preserve">memory set 0x3038a400 32 0x11000001</t>
  </si>
  <si>
    <t xml:space="preserve">memory set 0x3038a480 32 0x10000000</t>
  </si>
  <si>
    <t xml:space="preserve">memory set 0x3038a500 32 0x11000001</t>
  </si>
  <si>
    <t xml:space="preserve">memory set 0x3038a580 32 0x11000001</t>
  </si>
  <si>
    <t xml:space="preserve">memory set 0x3038a600 32 0x11000001</t>
  </si>
  <si>
    <t xml:space="preserve">memory set 0x3038a680 32 0x11000001</t>
  </si>
  <si>
    <t xml:space="preserve">memory set 0x3038a700 32 0x11000000</t>
  </si>
  <si>
    <t xml:space="preserve">memory set 0x3038a780 32 0x11000000</t>
  </si>
  <si>
    <t xml:space="preserve">memory set 0x3038a800 32 0x11000000</t>
  </si>
  <si>
    <t xml:space="preserve">memory set 0x3038a880 32 0x11000000</t>
  </si>
  <si>
    <t xml:space="preserve">memory set 0x3038a900 32 0x11000000</t>
  </si>
  <si>
    <t xml:space="preserve">memory set 0x3038a980 32 0x11000000</t>
  </si>
  <si>
    <t xml:space="preserve">memory set 0x3038aa00 32 0x11000000</t>
  </si>
  <si>
    <t xml:space="preserve">memory set 0x3038aa80 32 0x11000000</t>
  </si>
  <si>
    <t xml:space="preserve">memory set 0x3038ab00 32 0x11000001</t>
  </si>
  <si>
    <t xml:space="preserve">memory set 0x3038ab80 32 0x11000001</t>
  </si>
  <si>
    <t xml:space="preserve">memory set 0x3038ac00 32 0x11000001</t>
  </si>
  <si>
    <t xml:space="preserve">memory set 0x3038ac80 32 0x11000001</t>
  </si>
  <si>
    <t xml:space="preserve">memory set 0x3038ad00 32 0x11000001</t>
  </si>
  <si>
    <t xml:space="preserve">memory set 0x3038ad80 32 0x11000001</t>
  </si>
  <si>
    <t xml:space="preserve">memory set 0x3038ae00 32 0x11000001</t>
  </si>
  <si>
    <t xml:space="preserve">memory set 0x3038ae80 32 0x11000001</t>
  </si>
  <si>
    <t xml:space="preserve">memory set 0x3038af00 32 0x11000001</t>
  </si>
  <si>
    <t xml:space="preserve">memory set 0x3038af80 32 0x11000002</t>
  </si>
  <si>
    <t xml:space="preserve">memory set 0x3038b000 32 0x11000002</t>
  </si>
  <si>
    <t xml:space="preserve">memory set 0x3038b080 32 0x11000002</t>
  </si>
  <si>
    <t xml:space="preserve">memory set 0x3038b100 32 0x11000002</t>
  </si>
  <si>
    <t xml:space="preserve">memory set 0x3038b180 32 0x11000002</t>
  </si>
  <si>
    <t xml:space="preserve">memory set 0x3038b200 32 0x11000002</t>
  </si>
  <si>
    <t xml:space="preserve">memory set 0x3038b280 32 0x11000002</t>
  </si>
  <si>
    <t xml:space="preserve">memory set 0x3038b300 32 0x11000002</t>
  </si>
  <si>
    <t xml:space="preserve">memory set 0x3038b380 32 0x11000002</t>
  </si>
  <si>
    <t xml:space="preserve">memory set 0x3038b400 32 0x11000002</t>
  </si>
  <si>
    <t xml:space="preserve">memory set 0x3038b480 32 0x11000002</t>
  </si>
  <si>
    <t xml:space="preserve">memory set 0x3038b500 32 0x11000001</t>
  </si>
  <si>
    <t xml:space="preserve">memory set 0x3038b580 32 0x11000001</t>
  </si>
  <si>
    <t xml:space="preserve">memory set 0x3038b600 32 0x11000001</t>
  </si>
  <si>
    <t xml:space="preserve">memory set 0x3038b680 32 0x11000001</t>
  </si>
  <si>
    <t xml:space="preserve">memory set 0x3038b700 32 0x11000001</t>
  </si>
  <si>
    <t xml:space="preserve">memory set 0x3038b780 32 0x11000001</t>
  </si>
  <si>
    <t xml:space="preserve">memory set 0x3038b800 32 0x11000001</t>
  </si>
  <si>
    <t xml:space="preserve">memory set 0x3038b880 32 0x11000001</t>
  </si>
  <si>
    <t xml:space="preserve">memory set 0x3038b900 32 0x11000000</t>
  </si>
  <si>
    <t xml:space="preserve">memory set 0x3038b980 32 0x11000000</t>
  </si>
  <si>
    <t xml:space="preserve">memory set 0x3038ba00 32 0x11000000</t>
  </si>
  <si>
    <t xml:space="preserve">memory set 0x3038ba80 32 0x11000000</t>
  </si>
  <si>
    <t xml:space="preserve">memory set 0x3038bb00 32 0x11000000</t>
  </si>
  <si>
    <t xml:space="preserve">memory set 0x3038bb80 32 0x11000001</t>
  </si>
  <si>
    <t xml:space="preserve">memory set 0x3038bc00 32 0x11000000</t>
  </si>
  <si>
    <t xml:space="preserve">memory set 0x3038bc80 32 0x11000000</t>
  </si>
  <si>
    <t xml:space="preserve">memory set 0x3038bd00 32 0x11000000</t>
  </si>
  <si>
    <t xml:space="preserve">memory set 0x3038bd80 32 0x11000000</t>
  </si>
  <si>
    <t xml:space="preserve">memory set 0x3038be00 32 0x11000000</t>
  </si>
  <si>
    <t xml:space="preserve">memory set 0x30360070 32 0x0060302c</t>
  </si>
  <si>
    <t xml:space="preserve">memory set 0x30384000 32 0x00000002</t>
  </si>
  <si>
    <t xml:space="preserve">memory set 0x30384010 32 0x00000002</t>
  </si>
  <si>
    <t xml:space="preserve">memory set 0x30384020 32 0x00000002</t>
  </si>
  <si>
    <t xml:space="preserve">memory set 0x30384030 32 0x00000002</t>
  </si>
  <si>
    <t xml:space="preserve">memory set 0x30384040 32 0x00000002</t>
  </si>
  <si>
    <t xml:space="preserve">memory set 0x30384050 32 0x00000002</t>
  </si>
  <si>
    <t xml:space="preserve">memory set 0x30384060 32 0x00000002</t>
  </si>
  <si>
    <t xml:space="preserve">memory set 0x30384070 32 0x00000002</t>
  </si>
  <si>
    <t xml:space="preserve">memory set 0x30384080 32 0x00000002</t>
  </si>
  <si>
    <t xml:space="preserve">memory set 0x30384090 32 0x00000002</t>
  </si>
  <si>
    <t xml:space="preserve">memory set 0x303840A0 32 0x00000002</t>
  </si>
  <si>
    <t xml:space="preserve">memory set 0x303840B0 32 0x00000002</t>
  </si>
  <si>
    <t xml:space="preserve">memory set 0x303840C0 32 0x00000002</t>
  </si>
  <si>
    <t xml:space="preserve">memory set 0x303840D0 32 0x00000002</t>
  </si>
  <si>
    <t xml:space="preserve">memory set 0x303840E0 32 0x00000002</t>
  </si>
  <si>
    <t xml:space="preserve">memory set 0x303840F0 32 0x00000002</t>
  </si>
  <si>
    <t xml:space="preserve">memory set 0x30384100 32 0x00000002</t>
  </si>
  <si>
    <t xml:space="preserve">memory set 0x30384110 32 0x00000002</t>
  </si>
  <si>
    <t xml:space="preserve">memory set 0x30384120 32 0x00000002</t>
  </si>
  <si>
    <t xml:space="preserve">memory set 0x30384130 32 0x00000002</t>
  </si>
  <si>
    <t xml:space="preserve">memory set 0x30384140 32 0x00000002</t>
  </si>
  <si>
    <t xml:space="preserve">memory set 0x30384150 32 0x00000002</t>
  </si>
  <si>
    <t xml:space="preserve">memory set 0x30384160 32 0x00000002</t>
  </si>
  <si>
    <t xml:space="preserve">memory set 0x30384170 32 0x00000002</t>
  </si>
  <si>
    <t xml:space="preserve">memory set 0x30384180 32 0x00000002</t>
  </si>
  <si>
    <t xml:space="preserve">memory set 0x30384190 32 0x00000002</t>
  </si>
  <si>
    <t xml:space="preserve">memory set 0x303841A0 32 0x00000002</t>
  </si>
  <si>
    <t xml:space="preserve">memory set 0x303841B0 32 0x00000002</t>
  </si>
  <si>
    <t xml:space="preserve">memory set 0x303841C0 32 0x00000002</t>
  </si>
  <si>
    <t xml:space="preserve">memory set 0x303841D0 32 0x00000002</t>
  </si>
  <si>
    <t xml:space="preserve">memory set 0x303841E0 32 0x00000002</t>
  </si>
  <si>
    <t xml:space="preserve">memory set 0x303841F0 32 0x00000002</t>
  </si>
  <si>
    <t xml:space="preserve">memory set 0x30384200 32 0x00000002</t>
  </si>
  <si>
    <t xml:space="preserve">memory set 0x30384210 32 0x00000002</t>
  </si>
  <si>
    <t xml:space="preserve">memory set 0x30384220 32 0x00000002</t>
  </si>
  <si>
    <t xml:space="preserve">memory set 0x30384230 32 0x00000002</t>
  </si>
  <si>
    <t xml:space="preserve">memory set 0x30384240 32 0x00000002</t>
  </si>
  <si>
    <t xml:space="preserve">memory set 0x30384250 32 0x00000002</t>
  </si>
  <si>
    <t xml:space="preserve">memory set 0x30384260 32 0x00000002</t>
  </si>
  <si>
    <t xml:space="preserve">memory set 0x30384270 32 0x00000002</t>
  </si>
  <si>
    <t xml:space="preserve">memory set 0x30384280 32 0x00000002</t>
  </si>
  <si>
    <t xml:space="preserve">memory set 0x30384290 32 0x00000002</t>
  </si>
  <si>
    <t xml:space="preserve">memory set 0x303842A0 32 0x00000002</t>
  </si>
  <si>
    <t xml:space="preserve">memory set 0x303842B0 32 0x00000002</t>
  </si>
  <si>
    <t xml:space="preserve">memory set 0x303842C0 32 0x00000002</t>
  </si>
  <si>
    <t xml:space="preserve">memory set 0x303842D0 32 0x00000002</t>
  </si>
  <si>
    <t xml:space="preserve">memory set 0x303842E0 32 0x00000002</t>
  </si>
  <si>
    <t xml:space="preserve">memory set 0x303842F0 32 0x00000002</t>
  </si>
  <si>
    <t xml:space="preserve">memory set 0x30384300 32 0x00000002</t>
  </si>
  <si>
    <t xml:space="preserve">memory set 0x30384310 32 0x00000002</t>
  </si>
  <si>
    <t xml:space="preserve">memory set 0x30384320 32 0x00000002</t>
  </si>
  <si>
    <t xml:space="preserve">memory set 0x30384330 32 0x00000002</t>
  </si>
  <si>
    <t xml:space="preserve">memory set 0x30384340 32 0x00000002</t>
  </si>
  <si>
    <t xml:space="preserve">memory set 0x30384350 32 0x00000002</t>
  </si>
  <si>
    <t xml:space="preserve">memory set 0x30384360 32 0x00000002</t>
  </si>
  <si>
    <t xml:space="preserve">memory set 0x30384370 32 0x00000002</t>
  </si>
  <si>
    <t xml:space="preserve">memory set 0x30384380 32 0x00000002</t>
  </si>
  <si>
    <t xml:space="preserve">memory set 0x30384390 32 0x00000002</t>
  </si>
  <si>
    <t xml:space="preserve">memory set 0x303843A0 32 0x00000002</t>
  </si>
  <si>
    <t xml:space="preserve">memory set 0x303843B0 32 0x00000002</t>
  </si>
  <si>
    <t xml:space="preserve">memory set 0x303843C0 32 0x00000002</t>
  </si>
  <si>
    <t xml:space="preserve">memory set 0x303843D0 32 0x00000002</t>
  </si>
  <si>
    <t xml:space="preserve">memory set 0x303843E0 32 0x00000002</t>
  </si>
  <si>
    <t xml:space="preserve">memory set 0x303843F0 32 0x00000002</t>
  </si>
  <si>
    <t xml:space="preserve">memory set 0x30384400 32 0x00000002</t>
  </si>
  <si>
    <t xml:space="preserve">memory set 0x30384410 32 0x00000002</t>
  </si>
  <si>
    <t xml:space="preserve">memory set 0x30384420 32 0x00000002</t>
  </si>
  <si>
    <t xml:space="preserve">memory set 0x30384430 32 0x00000002</t>
  </si>
  <si>
    <t xml:space="preserve">memory set 0x30384440 32 0x00000002</t>
  </si>
  <si>
    <t xml:space="preserve">memory set 0x30384450 32 0x00000002</t>
  </si>
  <si>
    <t xml:space="preserve">memory set 0x30384460 32 0x00000002</t>
  </si>
  <si>
    <t xml:space="preserve">memory set 0x30384470 32 0x00000002</t>
  </si>
  <si>
    <t xml:space="preserve">memory set 0x30384480 32 0x00000002</t>
  </si>
  <si>
    <t xml:space="preserve">memory set 0x30384490 32 0x00000002</t>
  </si>
  <si>
    <t xml:space="preserve">memory set 0x303844A0 32 0x00000002</t>
  </si>
  <si>
    <t xml:space="preserve">memory set 0x303844B0 32 0x00000002</t>
  </si>
  <si>
    <t xml:space="preserve">memory set 0x303844C0 32 0x00000002</t>
  </si>
  <si>
    <t xml:space="preserve">memory set 0x303844D0 32 0x00000002</t>
  </si>
  <si>
    <t xml:space="preserve">memory set 0x303844E0 32 0x00000002</t>
  </si>
  <si>
    <t xml:space="preserve">memory set 0x303844F0 32 0x00000002</t>
  </si>
  <si>
    <t xml:space="preserve">memory set 0x30384500 32 0x00000002</t>
  </si>
  <si>
    <t xml:space="preserve">memory set 0x30384510 32 0x00000002</t>
  </si>
  <si>
    <t xml:space="preserve">memory set 0x30384520 32 0x00000002</t>
  </si>
  <si>
    <t xml:space="preserve">memory set 0x30384530 32 0x00000002</t>
  </si>
  <si>
    <t xml:space="preserve">memory set 0x30384540 32 0x00000002</t>
  </si>
  <si>
    <t xml:space="preserve">memory set 0x30384550 32 0x00000002</t>
  </si>
  <si>
    <t xml:space="preserve">memory set 0x30384560 32 0x00000002</t>
  </si>
  <si>
    <t xml:space="preserve">memory set 0x30384570 32 0x00000002</t>
  </si>
  <si>
    <t xml:space="preserve">memory set 0x30384580 32 0x00000002</t>
  </si>
  <si>
    <t xml:space="preserve">memory set 0x30384590 32 0x00000002</t>
  </si>
  <si>
    <t xml:space="preserve">memory set 0x303845A0 32 0x00000002</t>
  </si>
  <si>
    <t xml:space="preserve">memory set 0x303845B0 32 0x00000002</t>
  </si>
  <si>
    <t xml:space="preserve">memory set 0x303845C0 32 0x00000002</t>
  </si>
  <si>
    <t xml:space="preserve">memory set 0x303845D0 32 0x00000002</t>
  </si>
  <si>
    <t xml:space="preserve">memory set 0x303845E0 32 0x00000002</t>
  </si>
  <si>
    <t xml:space="preserve">memory set 0x303845F0 32 0x00000002</t>
  </si>
  <si>
    <t xml:space="preserve">memory set 0x30384600 32 0x00000002</t>
  </si>
  <si>
    <t xml:space="preserve">memory set 0x30384610 32 0x00000002</t>
  </si>
  <si>
    <t xml:space="preserve">memory set 0x30384620 32 0x00000002</t>
  </si>
  <si>
    <t xml:space="preserve">memory set 0x30384630 32 0x00000002</t>
  </si>
  <si>
    <t xml:space="preserve">memory set 0x30384640 32 0x00000002</t>
  </si>
  <si>
    <t xml:space="preserve">memory set 0x30384650 32 0x00000002</t>
  </si>
  <si>
    <t xml:space="preserve">memory set 0x30384660 32 0x00000002</t>
  </si>
  <si>
    <t xml:space="preserve">memory set 0x30384670 32 0x00000002</t>
  </si>
  <si>
    <t xml:space="preserve">memory set 0x30384680 32 0x00000002</t>
  </si>
  <si>
    <t xml:space="preserve">memory set 0x30384690 32 0x00000002</t>
  </si>
  <si>
    <t xml:space="preserve">memory set 0x303846A0 32 0x00000002</t>
  </si>
  <si>
    <t xml:space="preserve">memory set 0x303846B0 32 0x00000002</t>
  </si>
  <si>
    <t xml:space="preserve">memory set 0x303846C0 32 0x00000002</t>
  </si>
  <si>
    <t xml:space="preserve">memory set 0x303846D0 32 0x00000002</t>
  </si>
  <si>
    <t xml:space="preserve">memory set 0x303846E0 32 0x00000002</t>
  </si>
  <si>
    <t xml:space="preserve">memory set 0x303846F0 32 0x00000002</t>
  </si>
  <si>
    <t xml:space="preserve">memory set 0x30384700 32 0x00000002</t>
  </si>
  <si>
    <t xml:space="preserve">memory set 0x30384710 32 0x00000002</t>
  </si>
  <si>
    <t xml:space="preserve">memory set 0x30384720 32 0x00000002</t>
  </si>
  <si>
    <t xml:space="preserve">memory set 0x30384730 32 0x00000002</t>
  </si>
  <si>
    <t xml:space="preserve">memory set 0x30384740 32 0x00000002</t>
  </si>
  <si>
    <t xml:space="preserve">memory set 0x30384750 32 0x00000002</t>
  </si>
  <si>
    <t xml:space="preserve">memory set 0x30384760 32 0x00000002</t>
  </si>
  <si>
    <t xml:space="preserve">memory set 0x30384770 32 0x00000002</t>
  </si>
  <si>
    <t xml:space="preserve">memory set 0x30384780 32 0x00000002</t>
  </si>
  <si>
    <t xml:space="preserve">memory set 0x30384790 32 0x00000002</t>
  </si>
  <si>
    <t xml:space="preserve">memory set 0x303847A0 32 0x00000002</t>
  </si>
  <si>
    <t xml:space="preserve">memory set 0x303847B0 32 0x00000002</t>
  </si>
  <si>
    <t xml:space="preserve">memory set 0x303847C0 32 0x00000002</t>
  </si>
  <si>
    <t xml:space="preserve">memory set 0x303847D0 32 0x00000002</t>
  </si>
  <si>
    <t xml:space="preserve">memory set 0x303847E0 32 0x00000002</t>
  </si>
  <si>
    <t xml:space="preserve">memory set 0x303847F0 32 0x00000002</t>
  </si>
  <si>
    <t xml:space="preserve">memory set 0x30384800 32 0x00000002</t>
  </si>
  <si>
    <t xml:space="preserve">memory set 0x30384810 32 0x00000002</t>
  </si>
  <si>
    <t xml:space="preserve">memory set 0x30384820 32 0x00000002</t>
  </si>
  <si>
    <t xml:space="preserve">memory set 0x30384830 32 0x00000002</t>
  </si>
  <si>
    <t xml:space="preserve">memory set 0x30384840 32 0x00000002</t>
  </si>
  <si>
    <t xml:space="preserve">memory set 0x30384850 32 0x00000002</t>
  </si>
  <si>
    <t xml:space="preserve">memory set 0x30384860 32 0x00000002</t>
  </si>
  <si>
    <t xml:space="preserve">memory set 0x30384870 32 0x00000002</t>
  </si>
  <si>
    <t xml:space="preserve">memory set 0x30384880 32 0x00000002</t>
  </si>
  <si>
    <t xml:space="preserve">memory set 0x30384890 32 0x00000002</t>
  </si>
  <si>
    <t xml:space="preserve">memory set 0x303848A0 32 0x00000002</t>
  </si>
  <si>
    <t xml:space="preserve">memory set 0x303848B0 32 0x00000002</t>
  </si>
  <si>
    <t xml:space="preserve">memory set 0x303848C0 32 0x00000002</t>
  </si>
  <si>
    <t xml:space="preserve">memory set 0x303848D0 32 0x00000002</t>
  </si>
  <si>
    <t xml:space="preserve">memory set 0x303848E0 32 0x00000002</t>
  </si>
  <si>
    <t xml:space="preserve">memory set 0x303848F0 32 0x00000002</t>
  </si>
  <si>
    <t xml:space="preserve">memory set 0x30384900 32 0x00000002</t>
  </si>
  <si>
    <t xml:space="preserve">memory set 0x30384910 32 0x00000002</t>
  </si>
  <si>
    <t xml:space="preserve">memory set 0x30384920 32 0x00000002</t>
  </si>
  <si>
    <t xml:space="preserve">memory set 0x30384930 32 0x00000002</t>
  </si>
  <si>
    <t xml:space="preserve">memory set 0x30384940 32 0x00000002</t>
  </si>
  <si>
    <t xml:space="preserve">memory set 0x30384950 32 0x00000002</t>
  </si>
  <si>
    <t xml:space="preserve">memory set 0x30384960 32 0x00000002</t>
  </si>
  <si>
    <t xml:space="preserve">memory set 0x30384970 32 0x00000002</t>
  </si>
  <si>
    <t xml:space="preserve">memory set 0x30384980 32 0x00000002</t>
  </si>
  <si>
    <t xml:space="preserve">memory set 0x30384990 32 0x00000002</t>
  </si>
  <si>
    <t xml:space="preserve">memory set 0x303849A0 32 0x00000002</t>
  </si>
  <si>
    <t xml:space="preserve">memory set 0x303849B0 32 0x00000002</t>
  </si>
  <si>
    <t xml:space="preserve">memory set 0x303849C0 32 0x00000002</t>
  </si>
  <si>
    <t xml:space="preserve">memory set 0x303849D0 32 0x00000002</t>
  </si>
  <si>
    <t xml:space="preserve">memory set 0x303849E0 32 0x00000002</t>
  </si>
  <si>
    <t xml:space="preserve">memory set 0x303849F0 32 0x00000002</t>
  </si>
  <si>
    <t xml:space="preserve">memory set 0x30384A00 32 0x00000002</t>
  </si>
  <si>
    <t xml:space="preserve">memory set 0x30384A10 32 0x00000002</t>
  </si>
  <si>
    <t xml:space="preserve">memory set 0x30384A20 32 0x00000002</t>
  </si>
  <si>
    <t xml:space="preserve">memory set 0x30384A30 32 0x00000002</t>
  </si>
  <si>
    <t xml:space="preserve">memory set 0x30384A40 32 0x00000002</t>
  </si>
  <si>
    <t xml:space="preserve">memory set 0x30384A50 32 0x00000002</t>
  </si>
  <si>
    <t xml:space="preserve">memory set 0x30384A60 32 0x00000002</t>
  </si>
  <si>
    <t xml:space="preserve">memory set 0x30384A70 32 0x00000002</t>
  </si>
  <si>
    <t xml:space="preserve">memory set 0x30384A80 32 0x00000002</t>
  </si>
  <si>
    <t xml:space="preserve">memory set 0x30384A90 32 0x00000002</t>
  </si>
  <si>
    <t xml:space="preserve">memory set 0x30384AA0 32 0x00000002</t>
  </si>
  <si>
    <t xml:space="preserve">memory set 0x30384AB0 32 0x00000002</t>
  </si>
  <si>
    <t xml:space="preserve">memory set 0x30384AC0 32 0x00000002</t>
  </si>
  <si>
    <t xml:space="preserve">memory set 0x30384AD0 32 0x00000002</t>
  </si>
  <si>
    <t xml:space="preserve">memory set 0x30384AE0 32 0x00000002</t>
  </si>
  <si>
    <t xml:space="preserve">memory set 0x30384AF0 32 0x00000002</t>
  </si>
  <si>
    <t xml:space="preserve">memory set 0x30384B00 32 0x00000002</t>
  </si>
  <si>
    <t xml:space="preserve">memory set 0x30384B10 32 0x00000002</t>
  </si>
  <si>
    <t xml:space="preserve">memory set 0x30384B20 32 0x00000002</t>
  </si>
  <si>
    <t xml:space="preserve">memory set 0x30384B30 32 0x00000002</t>
  </si>
  <si>
    <t xml:space="preserve">memory set 0x30384B40 32 0x00000002</t>
  </si>
  <si>
    <t xml:space="preserve">memory set 0x30384B50 32 0x00000002</t>
  </si>
  <si>
    <t xml:space="preserve">memory set 0x30384B60 32 0x00000002</t>
  </si>
  <si>
    <t xml:space="preserve">memory set 0x30384B70 32 0x00000002</t>
  </si>
  <si>
    <t xml:space="preserve">memory set 0x30384B80 32 0x00000002</t>
  </si>
  <si>
    <t xml:space="preserve">memory set 0x30384B90 32 0x00000002</t>
  </si>
  <si>
    <t xml:space="preserve">memory set 0x30384BA0 32 0x00000002</t>
  </si>
  <si>
    <t xml:space="preserve">memory set 0x30384BB0 32 0x00000002</t>
  </si>
  <si>
    <t xml:space="preserve">memory set 0x30384BC0 32 0x00000002</t>
  </si>
  <si>
    <t xml:space="preserve">memory set 0x30384BD0 32 0x00000002</t>
  </si>
  <si>
    <t xml:space="preserve">memory set 0x30384BE0 32 0x00000002</t>
  </si>
  <si>
    <t xml:space="preserve">memory set 0x30384BF0 32 0x00000002</t>
  </si>
  <si>
    <t xml:space="preserve">memory set 0x30380800 32 0x00000002</t>
  </si>
  <si>
    <t xml:space="preserve">memory set 0x30380810 32 0x00000002</t>
  </si>
  <si>
    <t xml:space="preserve">memory set 0x30380820 32 0x00000002</t>
  </si>
  <si>
    <t xml:space="preserve">memory set 0x30380830 32 0x00000002</t>
  </si>
  <si>
    <t xml:space="preserve">memory set 0x30380840 32 0x00000002</t>
  </si>
  <si>
    <t xml:space="preserve">memory set 0x30380850 32 0x00000002</t>
  </si>
  <si>
    <t xml:space="preserve">memory set 0x30380860 32 0x00000002</t>
  </si>
  <si>
    <t xml:space="preserve">memory set 0x30380870 32 0x00000002</t>
  </si>
  <si>
    <t xml:space="preserve">memory set 0x30380880 32 0x00000002</t>
  </si>
  <si>
    <t xml:space="preserve">memory set 0x30380890 32 0x00000002</t>
  </si>
  <si>
    <t xml:space="preserve">memory set 0x303808A0 32 0x00000002</t>
  </si>
  <si>
    <t xml:space="preserve">memory set 0x303808B0 32 0x00000002</t>
  </si>
  <si>
    <t xml:space="preserve">memory set 0x303808C0 32 0x00000002</t>
  </si>
  <si>
    <t xml:space="preserve">memory set 0x303808D0 32 0x00000002</t>
  </si>
  <si>
    <t xml:space="preserve">memory set 0x303808E0 32 0x00000002</t>
  </si>
  <si>
    <t xml:space="preserve">memory set 0x303808F0 32 0x00000002</t>
  </si>
  <si>
    <t xml:space="preserve">memory set 0x30380900 32 0x00000002</t>
  </si>
  <si>
    <t xml:space="preserve">memory set 0x30380910 32 0x00000002</t>
  </si>
  <si>
    <t xml:space="preserve">memory set 0x30380920 32 0x00000002</t>
  </si>
  <si>
    <t xml:space="preserve">memory set 0x30380930 32 0x00000002</t>
  </si>
  <si>
    <t xml:space="preserve">memory set 0x30380940 32 0x00000002</t>
  </si>
  <si>
    <t xml:space="preserve">memory set 0x30380950 32 0x00000002</t>
  </si>
  <si>
    <t xml:space="preserve">memory set 0x30380960 32 0x00000002</t>
  </si>
  <si>
    <t xml:space="preserve">memory set 0x30380970 32 0x00000002</t>
  </si>
  <si>
    <t xml:space="preserve">memory set 0x30380980 32 0x00000002</t>
  </si>
  <si>
    <t xml:space="preserve">memory set 0x30380990 32 0x00000002</t>
  </si>
  <si>
    <t xml:space="preserve">memory set 0x303809A0 32 0x00000002</t>
  </si>
  <si>
    <t xml:space="preserve">memory set 0x303809B0 32 0x00000002</t>
  </si>
  <si>
    <t xml:space="preserve">memory set 0x303809C0 32 0x00000002</t>
  </si>
  <si>
    <t xml:space="preserve">memory set 0x303809D0 32 0x00000002</t>
  </si>
  <si>
    <t xml:space="preserve">memory set 0x303809E0 32 0x00000002</t>
  </si>
  <si>
    <t xml:space="preserve">memory set 0x303809F0 32 0x00000002</t>
  </si>
  <si>
    <t xml:space="preserve">memory set 0x30380A00 32 0x00000002</t>
  </si>
  <si>
    <t xml:space="preserve">                   </t>
  </si>
  <si>
    <t xml:space="preserve"># Enable OCRAM EPDC</t>
  </si>
  <si>
    <t xml:space="preserve">memory set 0x30340004 32 0x4F400005</t>
  </si>
  <si>
    <t xml:space="preserve"># DDR Controller Registers</t>
  </si>
  <si>
    <t xml:space="preserve"># Memory type:</t>
  </si>
  <si>
    <t xml:space="preserve"># Manufacturer:</t>
  </si>
  <si>
    <t xml:space="preserve"># Device Part Number:</t>
  </si>
  <si>
    <t xml:space="preserve"># Clock Freq.: </t>
  </si>
  <si>
    <t xml:space="preserve"># Density per CS in Gb: </t>
  </si>
  <si>
    <t xml:space="preserve"># Chip Selects used:</t>
  </si>
  <si>
    <t xml:space="preserve"># Number of Banks:</t>
  </si>
  <si>
    <t xml:space="preserve"># Row address:    </t>
  </si>
  <si>
    <t xml:space="preserve"># Column address: </t>
  </si>
  <si>
    <t xml:space="preserve"># Data bus width:</t>
  </si>
  <si>
    <t xml:space="preserve"># ROW-BANK interleave:</t>
  </si>
  <si>
    <t xml:space="preserve">memory set 0x30391000 32 0x00000002</t>
  </si>
  <si>
    <t xml:space="preserve"># deassert presetn</t>
  </si>
  <si>
    <t xml:space="preserve"># DDRC_MSTR</t>
  </si>
  <si>
    <t xml:space="preserve"># DDRC_RFSHTMG</t>
  </si>
  <si>
    <t xml:space="preserve">memory set 0x307a0490 32 0x00000001</t>
  </si>
  <si>
    <t xml:space="preserve"># DDRC_PCTRL_0</t>
  </si>
  <si>
    <t xml:space="preserve"># DDRC_INIT1 (if using LPDDR3/LPDDR2, this line is automatically commented out)</t>
  </si>
  <si>
    <t xml:space="preserve"># DDRC_INIT0</t>
  </si>
  <si>
    <t xml:space="preserve"># DDRC_INIT2  (if using DDR3 this line is automatically commented out) </t>
  </si>
  <si>
    <t xml:space="preserve"># DDRC_INIT3</t>
  </si>
  <si>
    <t xml:space="preserve"># DDRC_INIT4</t>
  </si>
  <si>
    <t xml:space="preserve"># DDRC_INIT5</t>
  </si>
  <si>
    <t xml:space="preserve"># DDRC_RANKCTL</t>
  </si>
  <si>
    <t xml:space="preserve"># DDRC_DRAMTMG0</t>
  </si>
  <si>
    <t xml:space="preserve"># DDRC_DRAMTMG1</t>
  </si>
  <si>
    <t xml:space="preserve"># DDRC_DRAMTMG2</t>
  </si>
  <si>
    <t xml:space="preserve"># DDRC_DRAMTMG3</t>
  </si>
  <si>
    <t xml:space="preserve"># DDRC_DRAMTMG4</t>
  </si>
  <si>
    <t xml:space="preserve"># DDRC_DRAMTMG5</t>
  </si>
  <si>
    <t xml:space="preserve"># DDRC_DRAMTMG6</t>
  </si>
  <si>
    <t xml:space="preserve"># DDRC_DRAMTMG7</t>
  </si>
  <si>
    <t xml:space="preserve"># DDRC_DRAMTMG8</t>
  </si>
  <si>
    <t xml:space="preserve"># DDRC_ZQCTL0</t>
  </si>
  <si>
    <t xml:space="preserve"># DDRC_ZQCTL1</t>
  </si>
  <si>
    <t xml:space="preserve"># DDRC_DFITMG0</t>
  </si>
  <si>
    <t xml:space="preserve"># DDRC_DFITMG1</t>
  </si>
  <si>
    <t xml:space="preserve"># DDRC_DFIUPD0</t>
  </si>
  <si>
    <t xml:space="preserve"># DDRC_DFIUPD1</t>
  </si>
  <si>
    <t xml:space="preserve"># DDRC_DFIUPD2</t>
  </si>
  <si>
    <t xml:space="preserve"># DDRC_ADDRMAP0</t>
  </si>
  <si>
    <t xml:space="preserve"># DDRC_ADDRMAP1</t>
  </si>
  <si>
    <t xml:space="preserve"># DDRC_ADDRMAP3</t>
  </si>
  <si>
    <t xml:space="preserve"># DDRC_ADDRMAP4</t>
  </si>
  <si>
    <t xml:space="preserve"># DDRC_ADDRMAP5</t>
  </si>
  <si>
    <t xml:space="preserve"># DDRC_ADDRMAP6</t>
  </si>
  <si>
    <t xml:space="preserve"># DDRC_ODTCFG</t>
  </si>
  <si>
    <t xml:space="preserve"># DDRC_ODTMAP</t>
  </si>
  <si>
    <t xml:space="preserve"># PHY Control Registers</t>
  </si>
  <si>
    <t xml:space="preserve">memory set 0x30391000 32 0x00000000</t>
  </si>
  <si>
    <t xml:space="preserve"># DDR_PHY_PHY_CON0</t>
  </si>
  <si>
    <t xml:space="preserve"># DDR_PHY_PHY_CON1</t>
  </si>
  <si>
    <t xml:space="preserve"># DDR_PHY_PHY_CON2 (if using DDR3 this line is automatically commented out) </t>
  </si>
  <si>
    <t xml:space="preserve"># DDR_PHY_PHY_CON4</t>
  </si>
  <si>
    <t xml:space="preserve">memory set 0x307900B0 32 0x1010007E</t>
  </si>
  <si>
    <t xml:space="preserve"># DDR_PHY_MDLL_CON0 </t>
  </si>
  <si>
    <t xml:space="preserve"># DDR_PHY_PHY_RODT_CON0 (if using DDR3 this line is automatically commented out) </t>
  </si>
  <si>
    <t xml:space="preserve"># DDR_PHY_DRVDS_CON0</t>
  </si>
  <si>
    <t xml:space="preserve"># DDR_PHY_WR_LVL_CON3 - Optional write leveling resync enable, uncomment to invoke</t>
  </si>
  <si>
    <t xml:space="preserve"># DDR_PHY_WR_LVL_CON0 - Optional write leveling values for each byte lane, uncomment to invoke</t>
  </si>
  <si>
    <t xml:space="preserve"># DDR_PHY_WR_LVL_CON3 - Optional write leveling resync disable, uncomment to invoke </t>
  </si>
  <si>
    <t xml:space="preserve"># DDR_PHY_OFFSET_WR_CON0</t>
  </si>
  <si>
    <t xml:space="preserve"># DDR_PHY_OFFSET_RD_CON0</t>
  </si>
  <si>
    <t xml:space="preserve"># DDR_PHY_OFFSETD_CON0</t>
  </si>
  <si>
    <t xml:space="preserve"># DDR_PHY_LP_CON0</t>
  </si>
  <si>
    <t xml:space="preserve"># DDR_PHY_ZQ_CON0 - Start Manual ZQ</t>
  </si>
  <si>
    <t xml:space="preserve"># </t>
  </si>
  <si>
    <t xml:space="preserve">&lt;= NOTE: Depending on JTAG device used, may need ~ 7 us pause at this point.</t>
  </si>
  <si>
    <t xml:space="preserve"># DDR_PHY_ZQ_CON0 - End Manual ZQ</t>
  </si>
  <si>
    <t xml:space="preserve"># Final Initialization start sequence</t>
  </si>
  <si>
    <t xml:space="preserve">memory set 0x30384130 32 0x00000000</t>
  </si>
  <si>
    <t xml:space="preserve">#Disable Clock</t>
  </si>
  <si>
    <t xml:space="preserve">memory set 0x30340020 32 0x00000178</t>
  </si>
  <si>
    <t xml:space="preserve"># IOMUX_GRP_GRP8 - Start input to PHY</t>
  </si>
  <si>
    <t xml:space="preserve">#Enable Clock</t>
  </si>
  <si>
    <t xml:space="preserve">#</t>
  </si>
  <si>
    <t xml:space="preserve">&lt;= NOTE: Depending on JTAG device used, may need ~ 250 us pause at this point.</t>
  </si>
</sst>
</file>

<file path=xl/styles.xml><?xml version="1.0" encoding="utf-8"?>
<styleSheet xmlns="http://schemas.openxmlformats.org/spreadsheetml/2006/main">
  <numFmts count="2">
    <numFmt numFmtId="164" formatCode="General"/>
    <numFmt numFmtId="165" formatCode="@"/>
  </numFmts>
  <fonts count="34">
    <font>
      <sz val="10"/>
      <name val="Noto Sans CJK SC"/>
      <family val="2"/>
    </font>
    <font>
      <sz val="10"/>
      <name val="Arial"/>
      <family val="0"/>
    </font>
    <font>
      <sz val="10"/>
      <name val="Arial"/>
      <family val="0"/>
    </font>
    <font>
      <sz val="10"/>
      <name val="Arial"/>
      <family val="0"/>
    </font>
    <font>
      <sz val="10"/>
      <name val="Arial"/>
      <family val="2"/>
      <charset val="1"/>
    </font>
    <font>
      <sz val="12"/>
      <color rgb="FFFF0000"/>
      <name val="Noto Sans CJK SC"/>
      <family val="2"/>
    </font>
    <font>
      <sz val="11"/>
      <name val="Calibri"/>
      <family val="2"/>
      <charset val="1"/>
    </font>
    <font>
      <i val="true"/>
      <sz val="11"/>
      <name val="Calibri"/>
      <family val="2"/>
      <charset val="1"/>
    </font>
    <font>
      <sz val="11"/>
      <color rgb="FF000000"/>
      <name val="Calibri"/>
      <family val="0"/>
    </font>
    <font>
      <b val="true"/>
      <sz val="10"/>
      <name val="Arial"/>
      <family val="2"/>
      <charset val="1"/>
    </font>
    <font>
      <b val="true"/>
      <sz val="12"/>
      <name val="Arial"/>
      <family val="2"/>
      <charset val="1"/>
    </font>
    <font>
      <sz val="10"/>
      <name val="Arial"/>
      <family val="0"/>
      <charset val="1"/>
    </font>
    <font>
      <b val="true"/>
      <sz val="24"/>
      <name val="Noto Sans CJK SC"/>
      <family val="2"/>
    </font>
    <font>
      <b val="true"/>
      <sz val="28"/>
      <name val="Arial"/>
      <family val="2"/>
      <charset val="1"/>
    </font>
    <font>
      <b val="true"/>
      <sz val="18"/>
      <name val="Noto Sans CJK SC"/>
      <family val="2"/>
    </font>
    <font>
      <b val="true"/>
      <sz val="18"/>
      <name val="Arial"/>
      <family val="2"/>
      <charset val="1"/>
    </font>
    <font>
      <b val="true"/>
      <sz val="11"/>
      <color rgb="FFFA7D00"/>
      <name val="Calibri"/>
      <family val="2"/>
      <charset val="1"/>
    </font>
    <font>
      <b val="true"/>
      <sz val="11"/>
      <name val="Calibri"/>
      <family val="2"/>
      <charset val="1"/>
    </font>
    <font>
      <b val="true"/>
      <sz val="12"/>
      <name val="Noto Sans CJK SC"/>
      <family val="2"/>
    </font>
    <font>
      <sz val="11"/>
      <color rgb="FF3F3F76"/>
      <name val="Calibri"/>
      <family val="2"/>
      <charset val="1"/>
    </font>
    <font>
      <vertAlign val="superscript"/>
      <sz val="10"/>
      <name val="Arial"/>
      <family val="2"/>
      <charset val="1"/>
    </font>
    <font>
      <sz val="8"/>
      <name val="Arial"/>
      <family val="2"/>
      <charset val="1"/>
    </font>
    <font>
      <sz val="10"/>
      <color rgb="FF000000"/>
      <name val="Noto Sans CJK SC"/>
      <family val="2"/>
    </font>
    <font>
      <b val="true"/>
      <sz val="10"/>
      <name val="Noto Sans CJK SC"/>
      <family val="2"/>
    </font>
    <font>
      <sz val="10"/>
      <color rgb="FF000000"/>
      <name val="Arial"/>
      <family val="2"/>
      <charset val="1"/>
    </font>
    <font>
      <b val="true"/>
      <sz val="10"/>
      <color rgb="FF000000"/>
      <name val="Arial"/>
      <family val="2"/>
      <charset val="1"/>
    </font>
    <font>
      <sz val="10"/>
      <color rgb="FF000000"/>
      <name val="Calibri"/>
      <family val="2"/>
      <charset val="1"/>
    </font>
    <font>
      <sz val="8"/>
      <color rgb="FF000000"/>
      <name val="Arial"/>
      <family val="2"/>
      <charset val="1"/>
    </font>
    <font>
      <b val="true"/>
      <sz val="10"/>
      <color rgb="FFE46C0A"/>
      <name val="Arial"/>
      <family val="2"/>
      <charset val="1"/>
    </font>
    <font>
      <b val="true"/>
      <i val="true"/>
      <sz val="10"/>
      <color rgb="FF000000"/>
      <name val="Noto Sans CJK SC"/>
      <family val="2"/>
    </font>
    <font>
      <b val="true"/>
      <sz val="10"/>
      <color rgb="FFE46C0A"/>
      <name val="Noto Sans CJK SC"/>
      <family val="2"/>
    </font>
    <font>
      <sz val="10"/>
      <name val="Calibri"/>
      <family val="2"/>
      <charset val="1"/>
    </font>
    <font>
      <sz val="8.5"/>
      <name val="Arial"/>
      <family val="2"/>
      <charset val="1"/>
    </font>
    <font>
      <sz val="10"/>
      <name val="Courier New"/>
      <family val="3"/>
      <charset val="1"/>
    </font>
  </fonts>
  <fills count="10">
    <fill>
      <patternFill patternType="none"/>
    </fill>
    <fill>
      <patternFill patternType="gray125"/>
    </fill>
    <fill>
      <patternFill patternType="solid">
        <fgColor rgb="FFF2F2F2"/>
        <bgColor rgb="FFFFFFFF"/>
      </patternFill>
    </fill>
    <fill>
      <patternFill patternType="solid">
        <fgColor rgb="FFFFCC99"/>
        <bgColor rgb="FFFAC090"/>
      </patternFill>
    </fill>
    <fill>
      <patternFill patternType="solid">
        <fgColor rgb="FFFFFFFF"/>
        <bgColor rgb="FFF2F2F2"/>
      </patternFill>
    </fill>
    <fill>
      <patternFill patternType="solid">
        <fgColor rgb="FFFAC090"/>
        <bgColor rgb="FFFFCC99"/>
      </patternFill>
    </fill>
    <fill>
      <patternFill patternType="solid">
        <fgColor rgb="FFD7E4BD"/>
        <bgColor rgb="FFD9D9D9"/>
      </patternFill>
    </fill>
    <fill>
      <patternFill patternType="solid">
        <fgColor rgb="FFFFFF00"/>
        <bgColor rgb="FFFFFF00"/>
      </patternFill>
    </fill>
    <fill>
      <patternFill patternType="solid">
        <fgColor rgb="FFA6A6A6"/>
        <bgColor rgb="FF9999FF"/>
      </patternFill>
    </fill>
    <fill>
      <patternFill patternType="solid">
        <fgColor rgb="FFD9D9D9"/>
        <bgColor rgb="FFD7E4BD"/>
      </patternFill>
    </fill>
  </fills>
  <borders count="48">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bottom style="mediu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color rgb="FF7F7F7F"/>
      </left>
      <right style="medium"/>
      <top style="thin">
        <color rgb="FF7F7F7F"/>
      </top>
      <bottom style="thin">
        <color rgb="FF7F7F7F"/>
      </botto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color rgb="FF7F7F7F"/>
      </left>
      <right style="medium"/>
      <top style="thin">
        <color rgb="FF7F7F7F"/>
      </top>
      <bottom style="mediu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thin"/>
      <bottom style="medium"/>
      <diagonal/>
    </border>
    <border diagonalUp="false" diagonalDown="false">
      <left style="thin">
        <color rgb="FF7F7F7F"/>
      </left>
      <right style="thin">
        <color rgb="FF7F7F7F"/>
      </right>
      <top/>
      <bottom style="medium"/>
      <diagonal/>
    </border>
    <border diagonalUp="false" diagonalDown="false">
      <left style="thin">
        <color rgb="FF7F7F7F"/>
      </left>
      <right style="thin">
        <color rgb="FF7F7F7F"/>
      </right>
      <top style="thin">
        <color rgb="FF7F7F7F"/>
      </top>
      <bottom style="medium"/>
      <diagonal/>
    </border>
    <border diagonalUp="false" diagonalDown="false">
      <left style="thin">
        <color rgb="FF7F7F7F"/>
      </left>
      <right style="thin">
        <color rgb="FF7F7F7F"/>
      </right>
      <top style="medium"/>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color rgb="FF7F7F7F"/>
      </left>
      <right style="thin">
        <color rgb="FF7F7F7F"/>
      </right>
      <top style="medium"/>
      <bottom style="thin">
        <color rgb="FF7F7F7F"/>
      </bottom>
      <diagonal/>
    </border>
    <border diagonalUp="false" diagonalDown="false">
      <left style="thin"/>
      <right style="thin"/>
      <top/>
      <bottom style="thin"/>
      <diagonal/>
    </border>
    <border diagonalUp="false" diagonalDown="false">
      <left style="thin">
        <color rgb="FF7F7F7F"/>
      </left>
      <right style="thin">
        <color rgb="FF7F7F7F"/>
      </right>
      <top/>
      <bottom style="thin">
        <color rgb="FF7F7F7F"/>
      </bottom>
      <diagonal/>
    </border>
    <border diagonalUp="false" diagonalDown="false">
      <left style="medium"/>
      <right style="thin"/>
      <top/>
      <bottom style="thin"/>
      <diagonal/>
    </border>
    <border diagonalUp="false" diagonalDown="false">
      <left/>
      <right style="thin"/>
      <top style="medium"/>
      <bottom style="medium"/>
      <diagonal/>
    </border>
    <border diagonalUp="false" diagonalDown="false">
      <left style="thin"/>
      <right style="thin"/>
      <top style="thin">
        <color rgb="FF7F7F7F"/>
      </top>
      <bottom style="thin"/>
      <diagonal/>
    </border>
    <border diagonalUp="false" diagonalDown="false">
      <left style="thin">
        <color rgb="FF7F7F7F"/>
      </left>
      <right style="thin">
        <color rgb="FF7F7F7F"/>
      </right>
      <top style="thin">
        <color rgb="FF7F7F7F"/>
      </top>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thin"/>
      <top/>
      <bottom style="medium"/>
      <diagonal/>
    </border>
    <border diagonalUp="false" diagonalDown="false">
      <left/>
      <right style="thin">
        <color rgb="FF7F7F7F"/>
      </right>
      <top/>
      <bottom style="medium"/>
      <diagonal/>
    </border>
    <border diagonalUp="false" diagonalDown="false">
      <left style="thin"/>
      <right/>
      <top style="thin"/>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thick"/>
      <bottom style="thin"/>
      <diagonal/>
    </border>
    <border diagonalUp="false" diagonalDown="false">
      <left style="thin"/>
      <right style="thin"/>
      <top style="thick"/>
      <bottom style="thin"/>
      <diagonal/>
    </border>
    <border diagonalUp="false" diagonalDown="false">
      <left style="thin"/>
      <right style="medium"/>
      <top style="thick"/>
      <bottom style="thin"/>
      <diagonal/>
    </border>
    <border diagonalUp="false" diagonalDown="false">
      <left style="medium"/>
      <right style="thin"/>
      <top/>
      <bottom style="medium"/>
      <diagonal/>
    </border>
    <border diagonalUp="false" diagonalDown="false">
      <left style="thin"/>
      <right style="medium"/>
      <top/>
      <bottom style="medium"/>
      <diagonal/>
    </border>
    <border diagonalUp="false" diagonalDown="false">
      <left style="thin"/>
      <right style="medium"/>
      <top style="medium"/>
      <bottom style="thin"/>
      <diagonal/>
    </border>
    <border diagonalUp="false" diagonalDown="false">
      <left style="thin"/>
      <right style="medium"/>
      <top/>
      <bottom style="thin"/>
      <diagonal/>
    </border>
    <border diagonalUp="false" diagonalDown="false">
      <left style="medium"/>
      <right style="thin"/>
      <top style="medium"/>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16" fillId="2" borderId="1" applyFont="true" applyBorder="true" applyAlignment="true" applyProtection="false">
      <alignment horizontal="general" vertical="bottom" textRotation="0" wrapText="false" indent="0" shrinkToFit="false"/>
    </xf>
    <xf numFmtId="164" fontId="19" fillId="3" borderId="1" applyFont="true" applyBorder="true" applyAlignment="true" applyProtection="false">
      <alignment horizontal="general" vertical="bottom" textRotation="0" wrapText="false" indent="0" shrinkToFit="false"/>
    </xf>
  </cellStyleXfs>
  <cellXfs count="29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left" vertical="top" textRotation="0" wrapText="true" indent="0" shrinkToFit="false"/>
      <protection locked="true" hidden="false"/>
    </xf>
    <xf numFmtId="164" fontId="10" fillId="4" borderId="2" xfId="0" applyFont="true" applyBorder="true" applyAlignment="true" applyProtection="false">
      <alignment horizontal="center" vertical="bottom" textRotation="0" wrapText="false" indent="0" shrinkToFit="false"/>
      <protection locked="true" hidden="false"/>
    </xf>
    <xf numFmtId="164" fontId="4" fillId="4" borderId="2" xfId="0" applyFont="true" applyBorder="true" applyAlignment="true" applyProtection="false">
      <alignment horizontal="center" vertical="top" textRotation="0" wrapText="true" indent="0" shrinkToFit="false"/>
      <protection locked="true" hidden="false"/>
    </xf>
    <xf numFmtId="164" fontId="11" fillId="0" borderId="2" xfId="0" applyFont="false" applyBorder="true" applyAlignment="true" applyProtection="false">
      <alignment horizontal="center" vertical="bottom" textRotation="0" wrapText="false" indent="0" shrinkToFit="false"/>
      <protection locked="true" hidden="false"/>
    </xf>
    <xf numFmtId="164" fontId="11" fillId="0" borderId="2"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true" applyAlignment="true" applyProtection="false">
      <alignment horizontal="center" vertical="bottom" textRotation="0" wrapText="fals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4" borderId="0" xfId="0" applyFont="true" applyBorder="true" applyAlignment="true" applyProtection="false">
      <alignment horizontal="right" vertical="bottom" textRotation="0" wrapText="false" indent="0" shrinkToFit="false"/>
      <protection locked="true" hidden="false"/>
    </xf>
    <xf numFmtId="164" fontId="15" fillId="4" borderId="2"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true" applyAlignment="true" applyProtection="false">
      <alignment horizontal="center" vertical="bottom" textRotation="0" wrapText="true" indent="0" shrinkToFit="false"/>
      <protection locked="true" hidden="false"/>
    </xf>
    <xf numFmtId="164" fontId="10" fillId="4" borderId="3" xfId="0" applyFont="true" applyBorder="true" applyAlignment="false" applyProtection="false">
      <alignment horizontal="general" vertical="bottom" textRotation="0" wrapText="false" indent="0" shrinkToFit="false"/>
      <protection locked="true" hidden="false"/>
    </xf>
    <xf numFmtId="164" fontId="0" fillId="4" borderId="4" xfId="0" applyFont="false" applyBorder="true" applyAlignment="false" applyProtection="false">
      <alignment horizontal="general" vertical="bottom" textRotation="0" wrapText="false" indent="0" shrinkToFit="false"/>
      <protection locked="true" hidden="false"/>
    </xf>
    <xf numFmtId="164" fontId="0" fillId="4" borderId="5" xfId="0" applyFont="false" applyBorder="true" applyAlignment="true" applyProtection="false">
      <alignment horizontal="center" vertical="bottom" textRotation="0" wrapText="false" indent="0" shrinkToFit="false"/>
      <protection locked="true" hidden="false"/>
    </xf>
    <xf numFmtId="164" fontId="4" fillId="0" borderId="6" xfId="0" applyFont="true" applyBorder="true" applyAlignment="true" applyProtection="false">
      <alignment horizontal="left" vertical="center" textRotation="0" wrapText="true" indent="0" shrinkToFit="false"/>
      <protection locked="true" hidden="false"/>
    </xf>
    <xf numFmtId="164" fontId="4" fillId="4" borderId="7" xfId="0" applyFont="true" applyBorder="true" applyAlignment="true" applyProtection="false">
      <alignment horizontal="left" vertical="center" textRotation="0" wrapText="true" indent="0" shrinkToFit="false"/>
      <protection locked="true" hidden="false"/>
    </xf>
    <xf numFmtId="164" fontId="0" fillId="5" borderId="8" xfId="0" applyFont="false" applyBorder="true" applyAlignment="true" applyProtection="false">
      <alignment horizontal="center" vertical="bottom" textRotation="0" wrapText="false" indent="0" shrinkToFit="false"/>
      <protection locked="true" hidden="false"/>
    </xf>
    <xf numFmtId="164" fontId="0" fillId="6" borderId="8" xfId="0" applyFont="false" applyBorder="true" applyAlignment="true" applyProtection="false">
      <alignment horizontal="center" vertical="bottom" textRotation="0" wrapText="false" indent="0" shrinkToFit="false"/>
      <protection locked="true" hidden="false"/>
    </xf>
    <xf numFmtId="164" fontId="16" fillId="2" borderId="9" xfId="21" applyFont="true" applyBorder="true" applyAlignment="true" applyProtection="true">
      <alignment horizontal="center" vertical="bottom" textRotation="0" wrapText="true" indent="0" shrinkToFit="false"/>
      <protection locked="true" hidden="false"/>
    </xf>
    <xf numFmtId="164" fontId="16" fillId="4" borderId="9" xfId="21" applyFont="false" applyBorder="true" applyAlignment="true" applyProtection="true">
      <alignment horizontal="center" vertical="bottom" textRotation="0" wrapText="true" indent="0" shrinkToFit="false"/>
      <protection locked="true" hidden="false"/>
    </xf>
    <xf numFmtId="164" fontId="4" fillId="4" borderId="10" xfId="0" applyFont="true" applyBorder="true" applyAlignment="true" applyProtection="false">
      <alignment horizontal="left" vertical="center" textRotation="0" wrapText="true" indent="0" shrinkToFit="false"/>
      <protection locked="true" hidden="false"/>
    </xf>
    <xf numFmtId="164" fontId="0" fillId="7" borderId="11"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4" borderId="5" xfId="0" applyFont="fals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true" applyProtection="false">
      <alignment horizontal="left" vertical="center" textRotation="0" wrapText="true" indent="0" shrinkToFit="false"/>
      <protection locked="true" hidden="false"/>
    </xf>
    <xf numFmtId="164" fontId="18" fillId="4" borderId="0" xfId="0" applyFont="true" applyBorder="true" applyAlignment="true" applyProtection="false">
      <alignment horizontal="left"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9" fillId="0" borderId="8"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true" applyAlignment="true" applyProtection="false">
      <alignment horizontal="left" vertical="top" textRotation="0" wrapText="true" indent="0" shrinkToFit="false"/>
      <protection locked="true" hidden="false"/>
    </xf>
    <xf numFmtId="165" fontId="4" fillId="5" borderId="8" xfId="22" applyFont="true" applyBorder="true" applyAlignment="true" applyProtection="true">
      <alignment horizontal="center" vertical="bottom" textRotation="0" wrapText="fals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4" fillId="5" borderId="8" xfId="22" applyFont="true" applyBorder="true" applyAlignment="true" applyProtection="true">
      <alignment horizontal="center" vertical="bottom" textRotation="0" wrapText="false" indent="0" shrinkToFit="false"/>
      <protection locked="true" hidden="false"/>
    </xf>
    <xf numFmtId="164" fontId="16" fillId="2" borderId="9" xfId="21" applyFont="false" applyBorder="true" applyAlignment="true" applyProtection="true">
      <alignment horizontal="center" vertical="bottom" textRotation="0" wrapText="false" indent="0" shrinkToFit="false"/>
      <protection locked="true" hidden="false"/>
    </xf>
    <xf numFmtId="164" fontId="9" fillId="4" borderId="2" xfId="0" applyFont="true" applyBorder="true" applyAlignment="true" applyProtection="false">
      <alignment horizontal="left" vertical="top" textRotation="0" wrapText="tru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5" borderId="8"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16" fillId="2" borderId="12" xfId="21" applyFont="fals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7" fillId="0" borderId="0" xfId="21"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21" fillId="0" borderId="0" xfId="0" applyFont="true" applyBorder="true" applyAlignment="true" applyProtection="false">
      <alignment horizontal="general" vertical="bottom" textRotation="0" wrapText="true" indent="0" shrinkToFit="false"/>
      <protection locked="true" hidden="false"/>
    </xf>
    <xf numFmtId="164" fontId="0" fillId="4" borderId="0"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13" xfId="0" applyFont="true" applyBorder="true" applyAlignment="true" applyProtection="false">
      <alignment horizontal="center" vertical="bottom" textRotation="0" wrapText="true" indent="0" shrinkToFit="false"/>
      <protection locked="true" hidden="false"/>
    </xf>
    <xf numFmtId="164" fontId="9" fillId="0" borderId="14" xfId="0" applyFont="true" applyBorder="true" applyAlignment="true" applyProtection="false">
      <alignment horizontal="center" vertical="bottom" textRotation="0" wrapText="false" indent="0" shrinkToFit="false"/>
      <protection locked="true" hidden="false"/>
    </xf>
    <xf numFmtId="164" fontId="9" fillId="0" borderId="14" xfId="0" applyFont="true" applyBorder="true" applyAlignment="true" applyProtection="false">
      <alignment horizontal="center" vertical="bottom" textRotation="0" wrapText="true" indent="0" shrinkToFit="false"/>
      <protection locked="true" hidden="false"/>
    </xf>
    <xf numFmtId="164" fontId="9" fillId="0" borderId="13" xfId="0" applyFont="true" applyBorder="true" applyAlignment="true" applyProtection="false">
      <alignment horizontal="center" vertical="bottom" textRotation="0" wrapText="true" indent="0" shrinkToFit="false"/>
      <protection locked="true" hidden="false"/>
    </xf>
    <xf numFmtId="164" fontId="22" fillId="4"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center" vertical="bottom" textRotation="0" wrapText="true" indent="0" shrinkToFit="false"/>
      <protection locked="true" hidden="false"/>
    </xf>
    <xf numFmtId="164" fontId="23" fillId="0" borderId="0" xfId="0" applyFont="true" applyBorder="true" applyAlignment="true" applyProtection="false">
      <alignment horizontal="center" vertical="bottom" textRotation="0" wrapText="false" indent="0" shrinkToFit="false"/>
      <protection locked="true" hidden="false"/>
    </xf>
    <xf numFmtId="164" fontId="23" fillId="0" borderId="0" xfId="0" applyFont="true" applyBorder="true" applyAlignment="true" applyProtection="false">
      <alignment horizontal="center" vertical="bottom" textRotation="0" wrapText="true" indent="0" shrinkToFit="false"/>
      <protection locked="true" hidden="false"/>
    </xf>
    <xf numFmtId="164" fontId="24" fillId="0" borderId="15" xfId="0" applyFont="true" applyBorder="true" applyAlignment="true" applyProtection="false">
      <alignment horizontal="center" vertical="center" textRotation="0" wrapText="true" indent="0" shrinkToFit="false"/>
      <protection locked="true" hidden="false"/>
    </xf>
    <xf numFmtId="164" fontId="0" fillId="0" borderId="16" xfId="20" applyFont="false" applyBorder="true" applyAlignment="false" applyProtection="false">
      <alignment horizontal="general" vertical="bottom" textRotation="0" wrapText="false" indent="0" shrinkToFit="false"/>
      <protection locked="true" hidden="false"/>
    </xf>
    <xf numFmtId="164" fontId="16" fillId="2" borderId="16" xfId="21" applyFont="false" applyBorder="true" applyAlignment="true" applyProtection="true">
      <alignment horizontal="center" vertical="center" textRotation="0" wrapText="true" indent="0" shrinkToFit="false"/>
      <protection locked="true" hidden="false"/>
    </xf>
    <xf numFmtId="164" fontId="24" fillId="0" borderId="16" xfId="0" applyFont="true" applyBorder="true" applyAlignment="true" applyProtection="false">
      <alignment horizontal="center" vertical="center" textRotation="0" wrapText="false" indent="0" shrinkToFit="false"/>
      <protection locked="true" hidden="false"/>
    </xf>
    <xf numFmtId="164" fontId="25" fillId="0" borderId="16" xfId="0" applyFont="true" applyBorder="true" applyAlignment="true" applyProtection="false">
      <alignment horizontal="general" vertical="center" textRotation="0" wrapText="true" indent="0" shrinkToFit="false"/>
      <protection locked="true" hidden="false"/>
    </xf>
    <xf numFmtId="164" fontId="24" fillId="0" borderId="17" xfId="0" applyFont="true" applyBorder="true" applyAlignment="true" applyProtection="false">
      <alignment horizontal="center" vertical="center" textRotation="0" wrapText="true" indent="0" shrinkToFit="false"/>
      <protection locked="true" hidden="false"/>
    </xf>
    <xf numFmtId="164" fontId="24" fillId="0" borderId="18" xfId="0" applyFont="true" applyBorder="true" applyAlignment="true" applyProtection="false">
      <alignment horizontal="center" vertical="center" textRotation="0" wrapText="true" indent="0" shrinkToFit="false"/>
      <protection locked="true" hidden="false"/>
    </xf>
    <xf numFmtId="164" fontId="24" fillId="0" borderId="7" xfId="0" applyFont="true" applyBorder="true" applyAlignment="true" applyProtection="false">
      <alignment horizontal="center" vertical="center" textRotation="0" wrapText="true" indent="0" shrinkToFit="false"/>
      <protection locked="true" hidden="false"/>
    </xf>
    <xf numFmtId="164" fontId="24" fillId="0" borderId="2" xfId="0" applyFont="true" applyBorder="true" applyAlignment="true" applyProtection="false">
      <alignment horizontal="center" vertical="center" textRotation="0" wrapText="true" indent="0" shrinkToFit="false"/>
      <protection locked="true" hidden="false"/>
    </xf>
    <xf numFmtId="164" fontId="16" fillId="2" borderId="1" xfId="21" applyFont="false" applyBorder="false" applyAlignment="true" applyProtection="true">
      <alignment horizontal="center" vertical="center" textRotation="0" wrapText="true" indent="0" shrinkToFit="false"/>
      <protection locked="true" hidden="false"/>
    </xf>
    <xf numFmtId="164" fontId="24" fillId="0" borderId="2" xfId="0" applyFont="true" applyBorder="true" applyAlignment="true" applyProtection="false">
      <alignment horizontal="center" vertical="center" textRotation="0" wrapText="false" indent="0" shrinkToFit="false"/>
      <protection locked="true" hidden="false"/>
    </xf>
    <xf numFmtId="164" fontId="24" fillId="0" borderId="2" xfId="0" applyFont="true" applyBorder="true" applyAlignment="true" applyProtection="false">
      <alignment horizontal="general" vertical="center" textRotation="0" wrapText="true" indent="0" shrinkToFit="false"/>
      <protection locked="true" hidden="false"/>
    </xf>
    <xf numFmtId="164" fontId="22" fillId="4" borderId="0" xfId="0" applyFont="true" applyBorder="false" applyAlignment="true" applyProtection="false">
      <alignment horizontal="center" vertical="center" textRotation="0" wrapText="false" indent="0" shrinkToFit="false"/>
      <protection locked="true" hidden="false"/>
    </xf>
    <xf numFmtId="164" fontId="24" fillId="0" borderId="2" xfId="22" applyFont="true" applyBorder="true" applyAlignment="true" applyProtection="true">
      <alignment horizontal="center" vertical="center" textRotation="0" wrapText="true" indent="0" shrinkToFit="false"/>
      <protection locked="true" hidden="false"/>
    </xf>
    <xf numFmtId="164" fontId="16" fillId="2" borderId="2" xfId="21" applyFont="false" applyBorder="true" applyAlignment="true" applyProtection="true">
      <alignment horizontal="center" vertical="center" textRotation="0" wrapText="true" indent="0" shrinkToFit="false"/>
      <protection locked="true" hidden="false"/>
    </xf>
    <xf numFmtId="164" fontId="25" fillId="0" borderId="2" xfId="0" applyFont="true" applyBorder="true" applyAlignment="true" applyProtection="false">
      <alignment horizontal="general" vertical="center" textRotation="0" wrapText="true" indent="0" shrinkToFit="false"/>
      <protection locked="true" hidden="false"/>
    </xf>
    <xf numFmtId="164" fontId="24" fillId="0" borderId="10" xfId="0" applyFont="true" applyBorder="true" applyAlignment="true" applyProtection="false">
      <alignment horizontal="center" vertical="center" textRotation="0" wrapText="true" indent="0" shrinkToFit="false"/>
      <protection locked="true" hidden="false"/>
    </xf>
    <xf numFmtId="164" fontId="24" fillId="0" borderId="19" xfId="0" applyFont="true" applyBorder="true" applyAlignment="true" applyProtection="false">
      <alignment horizontal="center" vertical="center" textRotation="0" wrapText="true" indent="0" shrinkToFit="false"/>
      <protection locked="true" hidden="false"/>
    </xf>
    <xf numFmtId="164" fontId="16" fillId="2" borderId="20" xfId="21" applyFont="false" applyBorder="true" applyAlignment="true" applyProtection="true">
      <alignment horizontal="center" vertical="center" textRotation="0" wrapText="true" indent="0" shrinkToFit="false"/>
      <protection locked="true" hidden="false"/>
    </xf>
    <xf numFmtId="164" fontId="24" fillId="0" borderId="19" xfId="0" applyFont="true" applyBorder="true" applyAlignment="true" applyProtection="false">
      <alignment horizontal="center" vertical="center" textRotation="0" wrapText="false" indent="0" shrinkToFit="false"/>
      <protection locked="true" hidden="false"/>
    </xf>
    <xf numFmtId="164" fontId="25" fillId="0" borderId="19" xfId="0" applyFont="true" applyBorder="true" applyAlignment="true" applyProtection="false">
      <alignment horizontal="general" vertical="center" textRotation="0" wrapText="true" indent="0" shrinkToFit="false"/>
      <protection locked="true" hidden="false"/>
    </xf>
    <xf numFmtId="164" fontId="22" fillId="0" borderId="0" xfId="0" applyFont="true" applyBorder="true" applyAlignment="true" applyProtection="false">
      <alignment horizontal="center" vertical="center" textRotation="0" wrapText="true" indent="0" shrinkToFit="false"/>
      <protection locked="true" hidden="false"/>
    </xf>
    <xf numFmtId="164" fontId="22" fillId="0" borderId="0" xfId="0" applyFont="true" applyBorder="true" applyAlignment="true" applyProtection="false">
      <alignment horizontal="center" vertical="center" textRotation="0" wrapText="true" indent="0" shrinkToFit="false"/>
      <protection locked="true" hidden="false"/>
    </xf>
    <xf numFmtId="164" fontId="16" fillId="0" borderId="0" xfId="21" applyFont="false" applyBorder="true" applyAlignment="true" applyProtection="true">
      <alignment horizontal="center" vertical="center" textRotation="0" wrapText="true" indent="0" shrinkToFit="false"/>
      <protection locked="true" hidden="false"/>
    </xf>
    <xf numFmtId="164" fontId="22" fillId="0" borderId="0" xfId="0" applyFont="true" applyBorder="true" applyAlignment="true" applyProtection="false">
      <alignment horizontal="center" vertical="center" textRotation="0" wrapText="false" indent="0" shrinkToFit="false"/>
      <protection locked="true" hidden="false"/>
    </xf>
    <xf numFmtId="164" fontId="22" fillId="0" borderId="0" xfId="0" applyFont="true" applyBorder="true" applyAlignment="true" applyProtection="false">
      <alignment horizontal="general" vertical="bottom" textRotation="0" wrapText="true" indent="0" shrinkToFit="false"/>
      <protection locked="true" hidden="false"/>
    </xf>
    <xf numFmtId="164" fontId="25" fillId="0" borderId="13" xfId="0" applyFont="true" applyBorder="true" applyAlignment="true" applyProtection="false">
      <alignment horizontal="center" vertical="center" textRotation="0" wrapText="true" indent="0" shrinkToFit="false"/>
      <protection locked="true" hidden="false"/>
    </xf>
    <xf numFmtId="164" fontId="24" fillId="0" borderId="16" xfId="0" applyFont="true" applyBorder="true" applyAlignment="true" applyProtection="false">
      <alignment horizontal="center" vertical="center" textRotation="0" wrapText="true" indent="0" shrinkToFit="false"/>
      <protection locked="true" hidden="false"/>
    </xf>
    <xf numFmtId="164" fontId="24" fillId="0" borderId="16" xfId="22" applyFont="true" applyBorder="true" applyAlignment="true" applyProtection="true">
      <alignment horizontal="center" vertical="center" textRotation="0" wrapText="true" indent="0" shrinkToFit="false"/>
      <protection locked="true" hidden="false"/>
    </xf>
    <xf numFmtId="164" fontId="24" fillId="0" borderId="16" xfId="0" applyFont="true" applyBorder="true" applyAlignment="true" applyProtection="false">
      <alignment horizontal="general" vertical="center" textRotation="0" wrapText="true" indent="0" shrinkToFit="false"/>
      <protection locked="true" hidden="false"/>
    </xf>
    <xf numFmtId="164" fontId="24" fillId="0" borderId="17" xfId="0" applyFont="true" applyBorder="true" applyAlignment="true" applyProtection="false">
      <alignment horizontal="center" vertical="center" textRotation="0" wrapText="false" indent="0" shrinkToFit="false"/>
      <protection locked="true" hidden="false"/>
    </xf>
    <xf numFmtId="164" fontId="24" fillId="0" borderId="18" xfId="0" applyFont="true" applyBorder="true" applyAlignment="true" applyProtection="false">
      <alignment horizontal="center" vertical="center" textRotation="0" wrapText="false" indent="0" shrinkToFit="false"/>
      <protection locked="true" hidden="false"/>
    </xf>
    <xf numFmtId="164" fontId="16" fillId="2" borderId="21" xfId="21" applyFont="false" applyBorder="true" applyAlignment="true" applyProtection="true">
      <alignment horizontal="center" vertical="center" textRotation="0" wrapText="true" indent="0" shrinkToFit="false"/>
      <protection locked="true" hidden="false"/>
    </xf>
    <xf numFmtId="164" fontId="24" fillId="0" borderId="19" xfId="0" applyFont="true" applyBorder="true" applyAlignment="true" applyProtection="false">
      <alignment horizontal="general" vertical="center" textRotation="0" wrapText="true" indent="0" shrinkToFit="false"/>
      <protection locked="true" hidden="false"/>
    </xf>
    <xf numFmtId="164" fontId="22" fillId="0" borderId="0" xfId="0" applyFont="true" applyBorder="true" applyAlignment="true" applyProtection="false">
      <alignment horizontal="center" vertical="bottom" textRotation="0" wrapText="true" indent="0" shrinkToFit="false"/>
      <protection locked="true" hidden="false"/>
    </xf>
    <xf numFmtId="164" fontId="22" fillId="0" borderId="0" xfId="0" applyFont="true" applyBorder="true" applyAlignment="true" applyProtection="false">
      <alignment horizontal="center" vertical="bottom" textRotation="0" wrapText="true" indent="0" shrinkToFit="false"/>
      <protection locked="true" hidden="false"/>
    </xf>
    <xf numFmtId="164" fontId="26" fillId="0" borderId="0" xfId="22" applyFont="true" applyBorder="true" applyAlignment="true" applyProtection="true">
      <alignment horizontal="center" vertical="bottom" textRotation="0" wrapText="true" indent="0" shrinkToFit="false"/>
      <protection locked="true" hidden="false"/>
    </xf>
    <xf numFmtId="164" fontId="22" fillId="0" borderId="0" xfId="0" applyFont="true" applyBorder="true" applyAlignment="true" applyProtection="false">
      <alignment horizontal="center" vertical="bottom" textRotation="0" wrapText="fals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22" fillId="0" borderId="0" xfId="0" applyFont="true" applyBorder="true" applyAlignment="true" applyProtection="false">
      <alignment horizontal="center" vertical="center" textRotation="0" wrapText="false" indent="0" shrinkToFit="false"/>
      <protection locked="true" hidden="false"/>
    </xf>
    <xf numFmtId="164" fontId="16" fillId="2" borderId="22" xfId="21" applyFont="false" applyBorder="true" applyAlignment="true" applyProtection="true">
      <alignment horizontal="center" vertical="center" textRotation="0" wrapText="true" indent="0" shrinkToFit="false"/>
      <protection locked="true" hidden="false"/>
    </xf>
    <xf numFmtId="164" fontId="24" fillId="0" borderId="23" xfId="0" applyFont="true" applyBorder="true" applyAlignment="true" applyProtection="false">
      <alignment horizontal="center" vertical="center" textRotation="0" wrapText="true" indent="0" shrinkToFit="false"/>
      <protection locked="true" hidden="false"/>
    </xf>
    <xf numFmtId="164" fontId="24" fillId="0" borderId="24" xfId="0" applyFont="true" applyBorder="true" applyAlignment="true" applyProtection="false">
      <alignment horizontal="general" vertical="center" textRotation="0" wrapText="true" indent="0" shrinkToFit="false"/>
      <protection locked="true" hidden="false"/>
    </xf>
    <xf numFmtId="164" fontId="26" fillId="0" borderId="0" xfId="22"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16" fillId="2" borderId="25" xfId="21" applyFont="false" applyBorder="true" applyAlignment="true" applyProtection="true">
      <alignment horizontal="center" vertical="center" textRotation="0" wrapText="true" indent="0" shrinkToFit="false"/>
      <protection locked="true" hidden="false"/>
    </xf>
    <xf numFmtId="164" fontId="27" fillId="0" borderId="16" xfId="0" applyFont="true" applyBorder="true" applyAlignment="true" applyProtection="false">
      <alignment horizontal="general" vertical="center" textRotation="0" wrapText="true" indent="0" shrinkToFit="false"/>
      <protection locked="true" hidden="false"/>
    </xf>
    <xf numFmtId="164" fontId="4" fillId="0" borderId="17" xfId="0" applyFont="true" applyBorder="true" applyAlignment="true" applyProtection="false">
      <alignment horizontal="center" vertical="center" textRotation="0" wrapText="false" indent="0" shrinkToFit="false"/>
      <protection locked="true" hidden="false"/>
    </xf>
    <xf numFmtId="164" fontId="11" fillId="0" borderId="17" xfId="0" applyFont="false" applyBorder="true" applyAlignment="true" applyProtection="false">
      <alignment horizontal="center" vertical="center" textRotation="0" wrapText="false" indent="0" shrinkToFit="false"/>
      <protection locked="true" hidden="false"/>
    </xf>
    <xf numFmtId="164" fontId="16" fillId="2" borderId="1" xfId="21" applyFont="false" applyBorder="true" applyAlignment="true" applyProtection="true">
      <alignment horizontal="center" vertical="center" textRotation="0" wrapText="true" indent="0" shrinkToFit="false"/>
      <protection locked="true" hidden="false"/>
    </xf>
    <xf numFmtId="164" fontId="27" fillId="0" borderId="2" xfId="0" applyFont="true" applyBorder="true" applyAlignment="true" applyProtection="false">
      <alignment horizontal="general" vertical="center" textRotation="0" wrapText="true" indent="0" shrinkToFit="false"/>
      <protection locked="true" hidden="false"/>
    </xf>
    <xf numFmtId="164" fontId="27" fillId="0" borderId="19" xfId="0" applyFont="true" applyBorder="true" applyAlignment="true" applyProtection="false">
      <alignment horizontal="general" vertical="center" textRotation="0" wrapText="true" indent="0" shrinkToFit="false"/>
      <protection locked="true" hidden="false"/>
    </xf>
    <xf numFmtId="164" fontId="11" fillId="0" borderId="18" xfId="0" applyFont="false" applyBorder="true" applyAlignment="true" applyProtection="false">
      <alignment horizontal="center" vertical="center" textRotation="0" wrapText="false" indent="0" shrinkToFit="false"/>
      <protection locked="true" hidden="false"/>
    </xf>
    <xf numFmtId="164" fontId="16" fillId="2" borderId="26" xfId="21" applyFont="false" applyBorder="true" applyAlignment="true" applyProtection="true">
      <alignment horizontal="center" vertical="center" textRotation="0" wrapText="true" indent="0" shrinkToFit="false"/>
      <protection locked="true" hidden="false"/>
    </xf>
    <xf numFmtId="164" fontId="25" fillId="0" borderId="13" xfId="0" applyFont="true" applyBorder="true" applyAlignment="true" applyProtection="false">
      <alignment horizontal="center" vertical="bottom" textRotation="0" wrapText="true" indent="0" shrinkToFit="false"/>
      <protection locked="true" hidden="false"/>
    </xf>
    <xf numFmtId="164" fontId="25" fillId="0" borderId="14" xfId="0" applyFont="true" applyBorder="true" applyAlignment="true" applyProtection="false">
      <alignment horizontal="center" vertical="bottom" textRotation="0" wrapText="false" indent="0" shrinkToFit="false"/>
      <protection locked="true" hidden="false"/>
    </xf>
    <xf numFmtId="164" fontId="25" fillId="0" borderId="14" xfId="0" applyFont="true" applyBorder="true" applyAlignment="true" applyProtection="false">
      <alignment horizontal="center" vertical="bottom" textRotation="0" wrapText="true" indent="0" shrinkToFit="false"/>
      <protection locked="true" hidden="false"/>
    </xf>
    <xf numFmtId="164" fontId="25" fillId="0" borderId="13" xfId="0" applyFont="true" applyBorder="true" applyAlignment="true" applyProtection="false">
      <alignment horizontal="center" vertical="bottom" textRotation="0" wrapText="true" indent="0" shrinkToFit="false"/>
      <protection locked="true" hidden="false"/>
    </xf>
    <xf numFmtId="164" fontId="24" fillId="5" borderId="16" xfId="0" applyFont="true" applyBorder="true" applyAlignment="true" applyProtection="false">
      <alignment horizontal="center" vertical="center" textRotation="0" wrapText="true" indent="0" shrinkToFit="false"/>
      <protection locked="true" hidden="false"/>
    </xf>
    <xf numFmtId="164" fontId="25" fillId="0" borderId="16" xfId="0" applyFont="true" applyBorder="true" applyAlignment="true" applyProtection="false">
      <alignment horizontal="left" vertical="center" textRotation="0" wrapText="true" indent="0" shrinkToFit="false"/>
      <protection locked="true" hidden="false"/>
    </xf>
    <xf numFmtId="164" fontId="24" fillId="5" borderId="19" xfId="0" applyFont="true" applyBorder="true" applyAlignment="true" applyProtection="false">
      <alignment horizontal="center" vertical="center" textRotation="0" wrapText="true" indent="0" shrinkToFit="false"/>
      <protection locked="true" hidden="false"/>
    </xf>
    <xf numFmtId="164" fontId="25" fillId="0" borderId="19" xfId="0" applyFont="true" applyBorder="true" applyAlignment="true" applyProtection="false">
      <alignment horizontal="left" vertical="center" textRotation="0" wrapText="true" indent="0" shrinkToFit="false"/>
      <protection locked="true" hidden="false"/>
    </xf>
    <xf numFmtId="164" fontId="22" fillId="4"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4" fillId="0" borderId="19" xfId="22" applyFont="true" applyBorder="true" applyAlignment="true" applyProtection="true">
      <alignment horizontal="center" vertical="center" textRotation="0" wrapText="true" indent="0" shrinkToFit="false"/>
      <protection locked="true" hidden="false"/>
    </xf>
    <xf numFmtId="164" fontId="9" fillId="8" borderId="13" xfId="0" applyFont="true" applyBorder="true" applyAlignment="true" applyProtection="false">
      <alignment horizontal="center" vertical="bottom" textRotation="0" wrapText="false" indent="0" shrinkToFit="false"/>
      <protection locked="true" hidden="false"/>
    </xf>
    <xf numFmtId="164" fontId="24" fillId="0" borderId="16" xfId="0" applyFont="true" applyBorder="true" applyAlignment="true" applyProtection="false">
      <alignment horizontal="left" vertical="center" textRotation="0" wrapText="true" indent="0" shrinkToFit="false"/>
      <protection locked="true" hidden="false"/>
    </xf>
    <xf numFmtId="164" fontId="16" fillId="2" borderId="27" xfId="21" applyFont="false" applyBorder="true" applyAlignment="true" applyProtection="true">
      <alignment horizontal="center" vertical="center" textRotation="0" wrapText="true" indent="0" shrinkToFit="false"/>
      <protection locked="true" hidden="false"/>
    </xf>
    <xf numFmtId="164" fontId="24" fillId="0" borderId="2" xfId="0" applyFont="true" applyBorder="true" applyAlignment="true" applyProtection="false">
      <alignment horizontal="left" vertical="center" textRotation="0" wrapText="true" indent="0" shrinkToFit="false"/>
      <protection locked="true" hidden="false"/>
    </xf>
    <xf numFmtId="164" fontId="24" fillId="0" borderId="19" xfId="0" applyFont="true" applyBorder="true" applyAlignment="true" applyProtection="false">
      <alignment horizontal="left" vertical="center" textRotation="0" wrapText="true" indent="0" shrinkToFit="false"/>
      <protection locked="true" hidden="false"/>
    </xf>
    <xf numFmtId="164" fontId="28" fillId="2" borderId="16" xfId="0" applyFont="true" applyBorder="true" applyAlignment="true" applyProtection="false">
      <alignment horizontal="center" vertical="center" textRotation="0" wrapText="true" indent="0" shrinkToFit="false"/>
      <protection locked="true" hidden="false"/>
    </xf>
    <xf numFmtId="164" fontId="24" fillId="0" borderId="28" xfId="0" applyFont="true" applyBorder="true" applyAlignment="true" applyProtection="false">
      <alignment horizontal="center" vertical="center" textRotation="0" wrapText="true" indent="0" shrinkToFit="false"/>
      <protection locked="true" hidden="false"/>
    </xf>
    <xf numFmtId="164" fontId="24" fillId="5" borderId="26" xfId="0" applyFont="true" applyBorder="true" applyAlignment="true" applyProtection="false">
      <alignment horizontal="center" vertical="center" textRotation="0" wrapText="true" indent="0" shrinkToFit="false"/>
      <protection locked="true" hidden="false"/>
    </xf>
    <xf numFmtId="164" fontId="24" fillId="0" borderId="26" xfId="0" applyFont="true" applyBorder="true" applyAlignment="true" applyProtection="false">
      <alignment horizontal="center" vertical="center" textRotation="0" wrapText="false" indent="0" shrinkToFit="false"/>
      <protection locked="true" hidden="false"/>
    </xf>
    <xf numFmtId="164" fontId="25" fillId="0" borderId="26" xfId="0" applyFont="true" applyBorder="true" applyAlignment="true" applyProtection="false">
      <alignment horizontal="general" vertical="center" textRotation="0" wrapText="true" indent="0" shrinkToFit="false"/>
      <protection locked="true" hidden="false"/>
    </xf>
    <xf numFmtId="164" fontId="6" fillId="5" borderId="1" xfId="21" applyFont="true" applyBorder="false" applyAlignment="true" applyProtection="true">
      <alignment horizontal="center" vertical="center" textRotation="0" wrapText="true" indent="0" shrinkToFit="false"/>
      <protection locked="true" hidden="false"/>
    </xf>
    <xf numFmtId="164" fontId="24" fillId="5" borderId="2" xfId="0" applyFont="true" applyBorder="true" applyAlignment="true" applyProtection="false">
      <alignment horizontal="center" vertical="center" textRotation="0" wrapText="true" indent="0" shrinkToFit="false"/>
      <protection locked="true" hidden="false"/>
    </xf>
    <xf numFmtId="164" fontId="25" fillId="0" borderId="2" xfId="0" applyFont="true" applyBorder="true" applyAlignment="true" applyProtection="false">
      <alignment horizontal="left" vertical="center" textRotation="0" wrapText="true" indent="0" shrinkToFit="false"/>
      <protection locked="true" hidden="false"/>
    </xf>
    <xf numFmtId="164" fontId="29" fillId="4" borderId="0" xfId="0" applyFont="true" applyBorder="false" applyAlignment="false" applyProtection="false">
      <alignment horizontal="general" vertical="bottom" textRotation="0" wrapText="false" indent="0" shrinkToFit="false"/>
      <protection locked="true" hidden="false"/>
    </xf>
    <xf numFmtId="164" fontId="28" fillId="2" borderId="2" xfId="0" applyFont="true" applyBorder="true" applyAlignment="true" applyProtection="false">
      <alignment horizontal="center" vertical="center" textRotation="0" wrapText="true" indent="0" shrinkToFit="false"/>
      <protection locked="true" hidden="false"/>
    </xf>
    <xf numFmtId="164" fontId="4" fillId="5" borderId="19" xfId="0" applyFont="true" applyBorder="true" applyAlignment="true" applyProtection="false">
      <alignment horizontal="center" vertical="center" textRotation="0" wrapText="true" indent="0" shrinkToFit="false"/>
      <protection locked="true" hidden="false"/>
    </xf>
    <xf numFmtId="164" fontId="30" fillId="0" borderId="0" xfId="0" applyFont="true" applyBorder="true" applyAlignment="true" applyProtection="false">
      <alignment horizontal="center" vertical="center" textRotation="0" wrapText="true" indent="0" shrinkToFit="false"/>
      <protection locked="true" hidden="false"/>
    </xf>
    <xf numFmtId="164" fontId="25" fillId="0" borderId="29" xfId="22" applyFont="true" applyBorder="true" applyAlignment="true" applyProtection="true">
      <alignment horizontal="center" vertical="bottom" textRotation="0" wrapText="true" indent="0" shrinkToFit="false"/>
      <protection locked="true" hidden="false"/>
    </xf>
    <xf numFmtId="164" fontId="4" fillId="0" borderId="16" xfId="20" applyFont="fals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5" borderId="2" xfId="0" applyFont="true" applyBorder="true" applyAlignment="true" applyProtection="false">
      <alignment horizontal="center" vertical="center" textRotation="0" wrapText="true" indent="0" shrinkToFit="false"/>
      <protection locked="true" hidden="false"/>
    </xf>
    <xf numFmtId="164" fontId="28" fillId="2" borderId="2" xfId="22" applyFont="true" applyBorder="true" applyAlignment="true" applyProtection="true">
      <alignment horizontal="center" vertical="center" textRotation="0" wrapText="true" indent="0" shrinkToFit="false"/>
      <protection locked="true" hidden="false"/>
    </xf>
    <xf numFmtId="164" fontId="4" fillId="0" borderId="10" xfId="0" applyFont="true" applyBorder="true" applyAlignment="true" applyProtection="false">
      <alignment horizontal="center" vertical="center" textRotation="0" wrapText="true" indent="0" shrinkToFit="false"/>
      <protection locked="true" hidden="false"/>
    </xf>
    <xf numFmtId="164" fontId="4" fillId="0" borderId="19" xfId="0" applyFont="true" applyBorder="true" applyAlignment="true" applyProtection="false">
      <alignment horizontal="center" vertical="center" textRotation="0" wrapText="false" indent="0" shrinkToFit="false"/>
      <protection locked="true" hidden="false"/>
    </xf>
    <xf numFmtId="164" fontId="9" fillId="0" borderId="19" xfId="0" applyFont="true" applyBorder="true" applyAlignment="true" applyProtection="false">
      <alignment horizontal="general" vertical="center" textRotation="0" wrapText="true" indent="0" shrinkToFit="false"/>
      <protection locked="true" hidden="false"/>
    </xf>
    <xf numFmtId="164" fontId="25" fillId="0" borderId="16" xfId="0" applyFont="true" applyBorder="true" applyAlignment="true" applyProtection="false">
      <alignment horizontal="general" vertical="bottom" textRotation="0" wrapText="true" indent="0" shrinkToFit="false"/>
      <protection locked="true" hidden="false"/>
    </xf>
    <xf numFmtId="164" fontId="24" fillId="0" borderId="7" xfId="0" applyFont="true" applyBorder="true" applyAlignment="true" applyProtection="false">
      <alignment horizontal="center" vertical="center" textRotation="0" wrapText="true" indent="0" shrinkToFit="false"/>
      <protection locked="true" hidden="false"/>
    </xf>
    <xf numFmtId="164" fontId="16" fillId="2" borderId="30" xfId="21" applyFont="false" applyBorder="true" applyAlignment="true" applyProtection="true">
      <alignment horizontal="center" vertical="center" textRotation="0" wrapText="true" indent="0" shrinkToFit="false"/>
      <protection locked="true" hidden="false"/>
    </xf>
    <xf numFmtId="164" fontId="25" fillId="0" borderId="2" xfId="0" applyFont="true" applyBorder="true" applyAlignment="true" applyProtection="false">
      <alignment horizontal="general" vertical="bottom" textRotation="0" wrapText="true" indent="0" shrinkToFit="false"/>
      <protection locked="true" hidden="false"/>
    </xf>
    <xf numFmtId="164" fontId="24" fillId="0" borderId="10" xfId="0" applyFont="true" applyBorder="true" applyAlignment="true" applyProtection="false">
      <alignment horizontal="center" vertical="center" textRotation="0" wrapText="true" indent="0" shrinkToFit="false"/>
      <protection locked="true" hidden="false"/>
    </xf>
    <xf numFmtId="164" fontId="25" fillId="0" borderId="19" xfId="0" applyFont="true" applyBorder="true" applyAlignment="true" applyProtection="false">
      <alignment horizontal="general" vertical="bottom" textRotation="0" wrapText="true" indent="0" shrinkToFit="false"/>
      <protection locked="true" hidden="false"/>
    </xf>
    <xf numFmtId="164" fontId="25" fillId="0" borderId="24" xfId="0" applyFont="true" applyBorder="true" applyAlignment="true" applyProtection="false">
      <alignment horizontal="general" vertical="center" textRotation="0" wrapText="true" indent="0" shrinkToFit="false"/>
      <protection locked="true" hidden="false"/>
    </xf>
    <xf numFmtId="164" fontId="16" fillId="2" borderId="31" xfId="21" applyFont="false" applyBorder="true" applyAlignment="true" applyProtection="true">
      <alignment horizontal="center" vertical="center" textRotation="0" wrapText="true" indent="0" shrinkToFit="false"/>
      <protection locked="true" hidden="false"/>
    </xf>
    <xf numFmtId="164" fontId="4" fillId="5" borderId="2" xfId="21" applyFont="true" applyBorder="true" applyAlignment="true" applyProtection="true">
      <alignment horizontal="center" vertical="center" textRotation="0" wrapText="true" indent="0" shrinkToFit="false"/>
      <protection locked="true" hidden="false"/>
    </xf>
    <xf numFmtId="164" fontId="16" fillId="2" borderId="19" xfId="21" applyFont="false" applyBorder="true" applyAlignment="true" applyProtection="true">
      <alignment horizontal="center" vertical="center" textRotation="0" wrapText="true" indent="0" shrinkToFit="false"/>
      <protection locked="true" hidden="false"/>
    </xf>
    <xf numFmtId="164" fontId="24" fillId="0" borderId="32" xfId="0" applyFont="true" applyBorder="true" applyAlignment="true" applyProtection="false">
      <alignment horizontal="center" vertical="center" textRotation="0" wrapText="true" indent="0" shrinkToFit="false"/>
      <protection locked="true" hidden="false"/>
    </xf>
    <xf numFmtId="164" fontId="4" fillId="0" borderId="2" xfId="20" applyFont="true" applyBorder="true" applyAlignment="true" applyProtection="false">
      <alignment horizontal="center" vertical="center" textRotation="0" wrapText="false" indent="0" shrinkToFit="false"/>
      <protection locked="true" hidden="false"/>
    </xf>
    <xf numFmtId="164" fontId="24" fillId="0" borderId="33" xfId="0" applyFont="true" applyBorder="true" applyAlignment="true" applyProtection="false">
      <alignment horizontal="center" vertical="center" textRotation="0" wrapText="false" indent="0" shrinkToFit="false"/>
      <protection locked="true" hidden="false"/>
    </xf>
    <xf numFmtId="164" fontId="25" fillId="0" borderId="33" xfId="0" applyFont="true" applyBorder="true" applyAlignment="true" applyProtection="false">
      <alignment horizontal="general" vertical="center" textRotation="0" wrapText="true" indent="0" shrinkToFit="false"/>
      <protection locked="true" hidden="false"/>
    </xf>
    <xf numFmtId="164" fontId="4" fillId="0" borderId="19" xfId="20" applyFont="true" applyBorder="true" applyAlignment="true" applyProtection="false">
      <alignment horizontal="center" vertical="center" textRotation="0" wrapText="false" indent="0" shrinkToFit="false"/>
      <protection locked="true" hidden="false"/>
    </xf>
    <xf numFmtId="164" fontId="24" fillId="0" borderId="15" xfId="0" applyFont="true" applyBorder="true" applyAlignment="true" applyProtection="false">
      <alignment horizontal="center" vertical="center" textRotation="0" wrapText="true" indent="0" shrinkToFit="false"/>
      <protection locked="true" hidden="false"/>
    </xf>
    <xf numFmtId="164" fontId="11" fillId="5" borderId="2" xfId="0" applyFont="false" applyBorder="true" applyAlignment="true" applyProtection="false">
      <alignment horizontal="center" vertical="center" textRotation="0" wrapText="false" indent="0" shrinkToFit="false"/>
      <protection locked="true" hidden="false"/>
    </xf>
    <xf numFmtId="164" fontId="16" fillId="2" borderId="34" xfId="21" applyFont="false" applyBorder="true" applyAlignment="true" applyProtection="true">
      <alignment horizontal="center" vertical="center" textRotation="0" wrapText="true" indent="0" shrinkToFit="false"/>
      <protection locked="true" hidden="false"/>
    </xf>
    <xf numFmtId="164" fontId="16" fillId="2" borderId="35" xfId="21" applyFont="false" applyBorder="true" applyAlignment="true" applyProtection="true">
      <alignment horizontal="center" vertical="center" textRotation="0" wrapText="true" indent="0" shrinkToFit="false"/>
      <protection locked="true" hidden="false"/>
    </xf>
    <xf numFmtId="164" fontId="25" fillId="0" borderId="36" xfId="0" applyFont="true" applyBorder="true" applyAlignment="true" applyProtection="false">
      <alignment horizontal="general" vertical="center" textRotation="0" wrapText="true" indent="0" shrinkToFit="false"/>
      <protection locked="true" hidden="false"/>
    </xf>
    <xf numFmtId="164" fontId="24" fillId="5" borderId="2" xfId="22" applyFont="true" applyBorder="true" applyAlignment="true" applyProtection="true">
      <alignment horizontal="center" vertical="center" textRotation="0" wrapText="true" indent="0" shrinkToFit="false"/>
      <protection locked="true" hidden="false"/>
    </xf>
    <xf numFmtId="164" fontId="24" fillId="5" borderId="34" xfId="0" applyFont="true" applyBorder="true" applyAlignment="true" applyProtection="false">
      <alignment horizontal="center" vertical="center" textRotation="0" wrapText="true" indent="0" shrinkToFit="false"/>
      <protection locked="true" hidden="false"/>
    </xf>
    <xf numFmtId="164" fontId="16" fillId="2" borderId="19" xfId="21" applyFont="false" applyBorder="true" applyAlignment="true" applyProtection="true">
      <alignment horizontal="center" vertical="center" textRotation="0" wrapText="false" indent="0" shrinkToFit="false"/>
      <protection locked="true" hidden="false"/>
    </xf>
    <xf numFmtId="164" fontId="16" fillId="0" borderId="0" xfId="21" applyFont="false" applyBorder="true" applyAlignment="true" applyProtection="true">
      <alignment horizontal="center" vertical="center" textRotation="0" wrapText="false" indent="0" shrinkToFit="false"/>
      <protection locked="true" hidden="false"/>
    </xf>
    <xf numFmtId="164" fontId="9" fillId="0" borderId="13" xfId="0" applyFont="true" applyBorder="true" applyAlignment="true" applyProtection="false">
      <alignment horizontal="general" vertical="bottom" textRotation="0" wrapText="true" indent="0" shrinkToFit="false"/>
      <protection locked="true" hidden="false"/>
    </xf>
    <xf numFmtId="164" fontId="9" fillId="0" borderId="37" xfId="0" applyFont="true" applyBorder="true" applyAlignment="true" applyProtection="false">
      <alignment horizontal="left" vertical="center" textRotation="0" wrapText="true" indent="0" shrinkToFit="false"/>
      <protection locked="true" hidden="false"/>
    </xf>
    <xf numFmtId="164" fontId="4" fillId="0" borderId="38" xfId="0" applyFont="true" applyBorder="true" applyAlignment="true" applyProtection="false">
      <alignment horizontal="center" vertical="center" textRotation="0" wrapText="true" indent="0" shrinkToFit="false"/>
      <protection locked="true" hidden="false"/>
    </xf>
    <xf numFmtId="164" fontId="4" fillId="6" borderId="38" xfId="20" applyFont="true" applyBorder="true" applyAlignment="true" applyProtection="false">
      <alignment horizontal="center" vertical="center" textRotation="0" wrapText="false" indent="0" shrinkToFit="false"/>
      <protection locked="true" hidden="false"/>
    </xf>
    <xf numFmtId="164" fontId="9" fillId="0" borderId="39" xfId="20" applyFont="true" applyBorder="true" applyAlignment="true" applyProtection="false">
      <alignment horizontal="left" vertical="bottom" textRotation="0" wrapText="true" indent="0" shrinkToFit="false"/>
      <protection locked="true" hidden="false"/>
    </xf>
    <xf numFmtId="164" fontId="4" fillId="0" borderId="29" xfId="0" applyFont="true" applyBorder="true" applyAlignment="true" applyProtection="false">
      <alignment horizontal="center" vertical="center" textRotation="0" wrapText="false" indent="0" shrinkToFit="false"/>
      <protection locked="true" hidden="false"/>
    </xf>
    <xf numFmtId="164" fontId="9" fillId="0" borderId="40" xfId="0" applyFont="true" applyBorder="true" applyAlignment="true" applyProtection="false">
      <alignment horizontal="left" vertical="center" textRotation="0" wrapText="true" indent="0" shrinkToFit="false"/>
      <protection locked="true" hidden="false"/>
    </xf>
    <xf numFmtId="164" fontId="4" fillId="0" borderId="41" xfId="0" applyFont="true" applyBorder="true" applyAlignment="true" applyProtection="false">
      <alignment horizontal="center" vertical="center" textRotation="0" wrapText="true" indent="0" shrinkToFit="false"/>
      <protection locked="true" hidden="false"/>
    </xf>
    <xf numFmtId="164" fontId="4" fillId="6" borderId="41" xfId="20" applyFont="true" applyBorder="true" applyAlignment="true" applyProtection="false">
      <alignment horizontal="center" vertical="center" textRotation="0" wrapText="false" indent="0" shrinkToFit="false"/>
      <protection locked="true" hidden="false"/>
    </xf>
    <xf numFmtId="164" fontId="9" fillId="0" borderId="42" xfId="20" applyFont="true" applyBorder="true" applyAlignment="true" applyProtection="false">
      <alignment horizontal="left" vertical="bottom" textRotation="0" wrapText="true" indent="0" shrinkToFit="false"/>
      <protection locked="true" hidden="false"/>
    </xf>
    <xf numFmtId="164" fontId="9" fillId="0" borderId="7" xfId="0" applyFont="true" applyBorder="tru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6" borderId="2" xfId="20" applyFont="true" applyBorder="true" applyAlignment="true" applyProtection="false">
      <alignment horizontal="center" vertical="center" textRotation="0" wrapText="false" indent="0" shrinkToFit="false"/>
      <protection locked="true" hidden="false"/>
    </xf>
    <xf numFmtId="164" fontId="9" fillId="0" borderId="8" xfId="20" applyFont="true" applyBorder="true" applyAlignment="true" applyProtection="false">
      <alignment horizontal="left" vertical="bottom" textRotation="0" wrapText="true" indent="0" shrinkToFit="false"/>
      <protection locked="true" hidden="false"/>
    </xf>
    <xf numFmtId="164" fontId="9" fillId="0" borderId="43" xfId="0" applyFont="true" applyBorder="true" applyAlignment="true" applyProtection="false">
      <alignment horizontal="left" vertical="center" textRotation="0" wrapText="true" indent="0" shrinkToFit="false"/>
      <protection locked="true" hidden="false"/>
    </xf>
    <xf numFmtId="164" fontId="0" fillId="0" borderId="34" xfId="0" applyFont="true" applyBorder="true" applyAlignment="true" applyProtection="false">
      <alignment horizontal="center" vertical="center" textRotation="0" wrapText="true" indent="0" shrinkToFit="false"/>
      <protection locked="true" hidden="false"/>
    </xf>
    <xf numFmtId="164" fontId="4" fillId="6" borderId="34" xfId="20" applyFont="true" applyBorder="true" applyAlignment="true" applyProtection="false">
      <alignment horizontal="center" vertical="center" textRotation="0" wrapText="false" indent="0" shrinkToFit="false"/>
      <protection locked="true" hidden="false"/>
    </xf>
    <xf numFmtId="164" fontId="9" fillId="0" borderId="44" xfId="20" applyFont="true" applyBorder="true" applyAlignment="true" applyProtection="false">
      <alignment horizontal="left" vertical="bottom" textRotation="0" wrapText="true" indent="0" shrinkToFit="false"/>
      <protection locked="true" hidden="false"/>
    </xf>
    <xf numFmtId="164" fontId="9" fillId="0" borderId="15" xfId="20" applyFont="true" applyBorder="true" applyAlignment="true" applyProtection="false">
      <alignment horizontal="left" vertical="center" textRotation="0" wrapText="true" indent="0" shrinkToFit="false"/>
      <protection locked="true" hidden="false"/>
    </xf>
    <xf numFmtId="164" fontId="16" fillId="2" borderId="16" xfId="21" applyFont="false" applyBorder="true" applyAlignment="true" applyProtection="true">
      <alignment horizontal="center" vertical="center" textRotation="0" wrapText="false" indent="0" shrinkToFit="false"/>
      <protection locked="true" hidden="false"/>
    </xf>
    <xf numFmtId="164" fontId="4" fillId="0" borderId="16" xfId="20" applyFont="true" applyBorder="true" applyAlignment="true" applyProtection="false">
      <alignment horizontal="center" vertical="center" textRotation="0" wrapText="true" indent="0" shrinkToFit="false"/>
      <protection locked="true" hidden="false"/>
    </xf>
    <xf numFmtId="164" fontId="9" fillId="0" borderId="45" xfId="20" applyFont="true" applyBorder="true" applyAlignment="true" applyProtection="false">
      <alignment horizontal="left" vertical="bottom" textRotation="0" wrapText="true" indent="0" shrinkToFit="false"/>
      <protection locked="true" hidden="false"/>
    </xf>
    <xf numFmtId="164" fontId="4" fillId="0" borderId="29" xfId="0" applyFont="true" applyBorder="true" applyAlignment="true" applyProtection="false">
      <alignment horizontal="center" vertical="center" textRotation="0" wrapText="false" indent="0" shrinkToFit="false"/>
      <protection locked="true" hidden="false"/>
    </xf>
    <xf numFmtId="164" fontId="4" fillId="0" borderId="17" xfId="0" applyFont="true" applyBorder="true" applyAlignment="true" applyProtection="false">
      <alignment horizontal="center" vertical="center" textRotation="0" wrapText="false" indent="0" shrinkToFit="false"/>
      <protection locked="true" hidden="false"/>
    </xf>
    <xf numFmtId="164" fontId="4" fillId="0" borderId="18" xfId="0" applyFont="true" applyBorder="true" applyAlignment="true" applyProtection="false">
      <alignment horizontal="center" vertical="center" textRotation="0" wrapText="false" indent="0" shrinkToFit="false"/>
      <protection locked="true" hidden="false"/>
    </xf>
    <xf numFmtId="164" fontId="9" fillId="0" borderId="7" xfId="20" applyFont="true" applyBorder="true" applyAlignment="true" applyProtection="false">
      <alignment horizontal="left" vertical="bottom" textRotation="0" wrapText="true" indent="0" shrinkToFit="false"/>
      <protection locked="true" hidden="false"/>
    </xf>
    <xf numFmtId="164" fontId="4" fillId="0" borderId="2" xfId="20" applyFont="true" applyBorder="true" applyAlignment="true" applyProtection="false">
      <alignment horizontal="center" vertical="bottom" textRotation="0" wrapText="true" indent="0" shrinkToFit="false"/>
      <protection locked="true" hidden="false"/>
    </xf>
    <xf numFmtId="164" fontId="16" fillId="2" borderId="1" xfId="21" applyFont="false" applyBorder="true" applyAlignment="true" applyProtection="true">
      <alignment horizontal="center" vertical="center" textRotation="0" wrapText="false" indent="0" shrinkToFit="false"/>
      <protection locked="true" hidden="false"/>
    </xf>
    <xf numFmtId="164" fontId="4" fillId="0" borderId="2" xfId="20" applyFont="true" applyBorder="true" applyAlignment="true" applyProtection="false">
      <alignment horizontal="center" vertical="center" textRotation="0" wrapText="true" indent="0" shrinkToFit="false"/>
      <protection locked="true" hidden="false"/>
    </xf>
    <xf numFmtId="164" fontId="4" fillId="4" borderId="2" xfId="21" applyFont="true" applyBorder="true" applyAlignment="true" applyProtection="true">
      <alignment horizontal="center" vertical="bottom" textRotation="0" wrapText="false" indent="0" shrinkToFit="false"/>
      <protection locked="true" hidden="false"/>
    </xf>
    <xf numFmtId="164" fontId="9" fillId="0" borderId="10" xfId="0" applyFont="true" applyBorder="true" applyAlignment="true" applyProtection="false">
      <alignment horizontal="left" vertical="center" textRotation="0" wrapText="true" indent="0" shrinkToFit="false"/>
      <protection locked="true" hidden="false"/>
    </xf>
    <xf numFmtId="164" fontId="4" fillId="0" borderId="19" xfId="0" applyFont="true" applyBorder="true" applyAlignment="true" applyProtection="false">
      <alignment horizontal="center" vertical="center" textRotation="0" wrapText="true" indent="0" shrinkToFit="false"/>
      <protection locked="true" hidden="false"/>
    </xf>
    <xf numFmtId="164" fontId="16" fillId="2" borderId="21" xfId="21" applyFont="false" applyBorder="true" applyAlignment="true" applyProtection="true">
      <alignment horizontal="center" vertical="center" textRotation="0" wrapText="false" indent="0" shrinkToFit="false"/>
      <protection locked="true" hidden="false"/>
    </xf>
    <xf numFmtId="164" fontId="9" fillId="0" borderId="11" xfId="20" applyFont="true" applyBorder="true" applyAlignment="true" applyProtection="false">
      <alignment horizontal="left" vertical="bottom" textRotation="0" wrapText="true" indent="0" shrinkToFit="false"/>
      <protection locked="true" hidden="false"/>
    </xf>
    <xf numFmtId="164" fontId="9" fillId="0" borderId="28" xfId="0" applyFont="true" applyBorder="true" applyAlignment="true" applyProtection="false">
      <alignment horizontal="left" vertical="center" textRotation="0" wrapText="true" indent="0" shrinkToFit="false"/>
      <protection locked="true" hidden="false"/>
    </xf>
    <xf numFmtId="164" fontId="4" fillId="0" borderId="26" xfId="0" applyFont="true" applyBorder="true" applyAlignment="true" applyProtection="false">
      <alignment horizontal="center" vertical="center" textRotation="0" wrapText="true" indent="0" shrinkToFit="false"/>
      <protection locked="true" hidden="false"/>
    </xf>
    <xf numFmtId="164" fontId="6" fillId="0" borderId="26" xfId="21" applyFont="true" applyBorder="true" applyAlignment="true" applyProtection="true">
      <alignment horizontal="center" vertical="center" textRotation="0" wrapText="false" indent="0" shrinkToFit="false"/>
      <protection locked="true" hidden="false"/>
    </xf>
    <xf numFmtId="164" fontId="9" fillId="0" borderId="46" xfId="20" applyFont="true" applyBorder="true" applyAlignment="true" applyProtection="false">
      <alignment horizontal="left" vertical="bottom" textRotation="0" wrapText="true" indent="0" shrinkToFit="false"/>
      <protection locked="true" hidden="false"/>
    </xf>
    <xf numFmtId="164" fontId="6" fillId="5" borderId="2" xfId="21" applyFont="true" applyBorder="true" applyAlignment="true" applyProtection="tru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9" fillId="0" borderId="8" xfId="20" applyFont="true" applyBorder="true" applyAlignment="true" applyProtection="false">
      <alignment horizontal="left" vertical="top" textRotation="0" wrapText="true" indent="0" shrinkToFit="false"/>
      <protection locked="true" hidden="false"/>
    </xf>
    <xf numFmtId="164" fontId="4" fillId="5" borderId="2" xfId="0" applyFont="true" applyBorder="true" applyAlignment="true" applyProtection="false">
      <alignment horizontal="center" vertical="center" textRotation="0" wrapText="false" indent="0" shrinkToFit="false"/>
      <protection locked="true" hidden="false"/>
    </xf>
    <xf numFmtId="164" fontId="9" fillId="0" borderId="8" xfId="20" applyFont="true" applyBorder="true" applyAlignment="true" applyProtection="false">
      <alignment horizontal="general" vertical="top" textRotation="0" wrapText="true" indent="0" shrinkToFit="false"/>
      <protection locked="true" hidden="false"/>
    </xf>
    <xf numFmtId="164" fontId="6" fillId="0" borderId="2" xfId="21" applyFont="true" applyBorder="true" applyAlignment="true" applyProtection="true">
      <alignment horizontal="center" vertical="center" textRotation="0" wrapText="false" indent="0" shrinkToFit="false"/>
      <protection locked="true" hidden="false"/>
    </xf>
    <xf numFmtId="164" fontId="9" fillId="0" borderId="8" xfId="20" applyFont="true" applyBorder="true" applyAlignment="true" applyProtection="false">
      <alignment horizontal="left" vertical="center" textRotation="0" wrapText="true" indent="0" shrinkToFit="false"/>
      <protection locked="true" hidden="false"/>
    </xf>
    <xf numFmtId="164" fontId="6" fillId="0" borderId="19" xfId="21"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center" vertical="bottom" textRotation="0" wrapText="false" indent="0" shrinkToFit="false"/>
      <protection locked="true" hidden="false"/>
    </xf>
    <xf numFmtId="164" fontId="22" fillId="0" borderId="0" xfId="0" applyFont="true" applyBorder="true" applyAlignment="true" applyProtection="false">
      <alignment horizontal="center" vertical="center" textRotation="0" wrapText="false" indent="0" shrinkToFit="false"/>
      <protection locked="true" hidden="false"/>
    </xf>
    <xf numFmtId="164" fontId="24" fillId="0" borderId="16" xfId="0" applyFont="true" applyBorder="true" applyAlignment="true" applyProtection="false">
      <alignment horizontal="general" vertical="bottom" textRotation="0" wrapText="true" indent="0" shrinkToFit="false"/>
      <protection locked="true" hidden="false"/>
    </xf>
    <xf numFmtId="164" fontId="24" fillId="0" borderId="2" xfId="0" applyFont="true" applyBorder="true" applyAlignment="true" applyProtection="false">
      <alignment horizontal="general" vertical="bottom" textRotation="0" wrapText="true" indent="0" shrinkToFit="false"/>
      <protection locked="true" hidden="false"/>
    </xf>
    <xf numFmtId="164" fontId="24" fillId="0" borderId="24" xfId="0" applyFont="true" applyBorder="true" applyAlignment="true" applyProtection="false">
      <alignment horizontal="general" vertical="bottom" textRotation="0" wrapText="true" indent="0" shrinkToFit="false"/>
      <protection locked="true" hidden="false"/>
    </xf>
    <xf numFmtId="164" fontId="24" fillId="0" borderId="19" xfId="0" applyFont="true" applyBorder="true" applyAlignment="true" applyProtection="false">
      <alignment horizontal="general" vertical="bottom" textRotation="0" wrapText="tru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4" fillId="0" borderId="16" xfId="0" applyFont="true" applyBorder="true" applyAlignment="true" applyProtection="false">
      <alignment horizontal="center" vertical="center" textRotation="0" wrapText="false" indent="0" shrinkToFit="false"/>
      <protection locked="true" hidden="false"/>
    </xf>
    <xf numFmtId="164" fontId="11" fillId="0" borderId="16" xfId="0" applyFont="false" applyBorder="true" applyAlignment="true" applyProtection="false">
      <alignment horizontal="center" vertical="center" textRotation="0" wrapText="false" indent="0" shrinkToFit="false"/>
      <protection locked="true" hidden="false"/>
    </xf>
    <xf numFmtId="164" fontId="4" fillId="0" borderId="16"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11" fillId="0" borderId="2" xfId="0" applyFont="fals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28" fillId="9" borderId="2" xfId="22" applyFont="true" applyBorder="true" applyAlignment="true" applyProtection="true">
      <alignment horizontal="center" vertical="center" textRotation="0" wrapText="true" indent="0" shrinkToFit="false"/>
      <protection locked="true" hidden="false"/>
    </xf>
    <xf numFmtId="164" fontId="4" fillId="0" borderId="2" xfId="22"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4" fontId="11" fillId="0" borderId="19" xfId="0" applyFont="false" applyBorder="true" applyAlignment="true" applyProtection="false">
      <alignment horizontal="center" vertical="center" textRotation="0" wrapText="false" indent="0" shrinkToFit="false"/>
      <protection locked="true" hidden="false"/>
    </xf>
    <xf numFmtId="164" fontId="4" fillId="0" borderId="19"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4" fillId="0" borderId="16" xfId="0" applyFont="true" applyBorder="true" applyAlignment="true" applyProtection="false">
      <alignment horizontal="left" vertical="top" textRotation="0" wrapText="true" indent="0" shrinkToFit="false"/>
      <protection locked="true" hidden="false"/>
    </xf>
    <xf numFmtId="164" fontId="4" fillId="0" borderId="17" xfId="0" applyFont="true" applyBorder="true" applyAlignment="true" applyProtection="false">
      <alignment horizontal="center" vertical="center" textRotation="0" wrapText="true" indent="0" shrinkToFit="false"/>
      <protection locked="true" hidden="false"/>
    </xf>
    <xf numFmtId="164" fontId="11" fillId="0" borderId="17" xfId="0" applyFont="false" applyBorder="true" applyAlignment="true" applyProtection="false">
      <alignment horizontal="center" vertical="center" textRotation="0" wrapText="true" indent="0" shrinkToFit="false"/>
      <protection locked="true" hidden="false"/>
    </xf>
    <xf numFmtId="164" fontId="11" fillId="0" borderId="18" xfId="0" applyFont="fals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4" fillId="0" borderId="19"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4" fillId="0" borderId="16" xfId="0" applyFont="true" applyBorder="true" applyAlignment="true" applyProtection="false">
      <alignment horizontal="center" vertical="center" textRotation="0" wrapText="true" indent="0" shrinkToFit="false"/>
      <protection locked="true" hidden="false"/>
    </xf>
    <xf numFmtId="164" fontId="11" fillId="0" borderId="26" xfId="0" applyFont="fals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4" fontId="4" fillId="0" borderId="26" xfId="0" applyFont="true" applyBorder="true" applyAlignment="true" applyProtection="false">
      <alignment horizontal="center" vertical="center" textRotation="0" wrapText="false" indent="0" shrinkToFit="false"/>
      <protection locked="true" hidden="false"/>
    </xf>
    <xf numFmtId="164" fontId="6" fillId="6" borderId="1" xfId="21" applyFont="true" applyBorder="true" applyAlignment="true" applyProtection="true">
      <alignment horizontal="center" vertical="center" textRotation="0" wrapText="false" indent="0" shrinkToFit="false"/>
      <protection locked="true" hidden="false"/>
    </xf>
    <xf numFmtId="164" fontId="11" fillId="0" borderId="24" xfId="0" applyFont="false" applyBorder="true" applyAlignment="true" applyProtection="false">
      <alignment horizontal="center" vertical="center" textRotation="0" wrapText="false" indent="0" shrinkToFit="false"/>
      <protection locked="true" hidden="false"/>
    </xf>
    <xf numFmtId="164" fontId="6" fillId="6" borderId="21" xfId="21" applyFont="true" applyBorder="true" applyAlignment="true" applyProtection="true">
      <alignment horizontal="center" vertical="center" textRotation="0" wrapText="false" indent="0" shrinkToFit="false"/>
      <protection locked="true" hidden="false"/>
    </xf>
    <xf numFmtId="164" fontId="4" fillId="0" borderId="13" xfId="0" applyFont="true" applyBorder="true" applyAlignment="true" applyProtection="false">
      <alignment horizontal="left" vertical="center" textRotation="0" wrapText="true" indent="0" shrinkToFit="false"/>
      <protection locked="true" hidden="false"/>
    </xf>
    <xf numFmtId="164" fontId="4" fillId="0" borderId="47" xfId="0" applyFont="true" applyBorder="true" applyAlignment="true" applyProtection="false">
      <alignment horizontal="center" vertical="center" textRotation="0" wrapText="false" indent="0" shrinkToFit="false"/>
      <protection locked="true" hidden="false"/>
    </xf>
    <xf numFmtId="164" fontId="4" fillId="0" borderId="17" xfId="0" applyFont="true" applyBorder="true" applyAlignment="true" applyProtection="false">
      <alignment horizontal="left" vertical="center" textRotation="0" wrapText="true" indent="0" shrinkToFit="false"/>
      <protection locked="true" hidden="false"/>
    </xf>
    <xf numFmtId="164" fontId="28" fillId="2" borderId="16" xfId="0" applyFont="true" applyBorder="true" applyAlignment="true" applyProtection="false">
      <alignment horizontal="center" vertical="center" textRotation="0" wrapText="false" indent="0" shrinkToFit="false"/>
      <protection locked="true" hidden="false"/>
    </xf>
    <xf numFmtId="164" fontId="28" fillId="2" borderId="2" xfId="0" applyFont="true" applyBorder="true" applyAlignment="true" applyProtection="false">
      <alignment horizontal="center" vertical="center" textRotation="0" wrapText="false" indent="0" shrinkToFit="false"/>
      <protection locked="true" hidden="false"/>
    </xf>
    <xf numFmtId="164" fontId="28" fillId="2" borderId="19" xfId="0" applyFont="true" applyBorder="true" applyAlignment="true" applyProtection="false">
      <alignment horizontal="center" vertical="center" textRotation="0" wrapText="false" indent="0" shrinkToFit="false"/>
      <protection locked="true" hidden="false"/>
    </xf>
    <xf numFmtId="164" fontId="4" fillId="0" borderId="28" xfId="0" applyFont="true" applyBorder="true" applyAlignment="true" applyProtection="false">
      <alignment horizontal="center" vertical="center" textRotation="0" wrapText="false" indent="0" shrinkToFit="false"/>
      <protection locked="true" hidden="false"/>
    </xf>
    <xf numFmtId="164" fontId="4" fillId="0" borderId="26" xfId="0" applyFont="true" applyBorder="true" applyAlignment="true" applyProtection="false">
      <alignment horizontal="left" vertical="center" textRotation="0" wrapText="true" indent="0" shrinkToFit="false"/>
      <protection locked="true" hidden="false"/>
    </xf>
    <xf numFmtId="164" fontId="11" fillId="0" borderId="0" xfId="0" applyFont="false" applyBorder="false" applyAlignment="true" applyProtection="false">
      <alignment horizontal="center" vertical="center" textRotation="0" wrapText="false" indent="0" shrinkToFit="false"/>
      <protection locked="true" hidden="false"/>
    </xf>
    <xf numFmtId="164" fontId="11" fillId="0" borderId="26" xfId="0" applyFont="true" applyBorder="true" applyAlignment="true" applyProtection="false">
      <alignment horizontal="left" vertical="center" textRotation="0" wrapText="true" indent="0" shrinkToFit="false"/>
      <protection locked="true" hidden="false"/>
    </xf>
    <xf numFmtId="164" fontId="11" fillId="0" borderId="19" xfId="0" applyFont="true" applyBorder="true" applyAlignment="true" applyProtection="false">
      <alignment horizontal="left" vertical="center" textRotation="0" wrapText="true" indent="0" shrinkToFit="false"/>
      <protection locked="true" hidden="false"/>
    </xf>
    <xf numFmtId="164" fontId="11" fillId="0" borderId="16" xfId="0" applyFont="true" applyBorder="true" applyAlignment="true" applyProtection="false">
      <alignment horizontal="left" vertical="center" textRotation="0" wrapText="true" indent="0"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4" fontId="11" fillId="0" borderId="1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3" fillId="7" borderId="0" xfId="0" applyFont="true" applyBorder="false" applyAlignment="true" applyProtection="false">
      <alignment horizontal="center" vertical="bottom" textRotation="0" wrapText="false" indent="0" shrinkToFit="false"/>
      <protection locked="true" hidden="false"/>
    </xf>
    <xf numFmtId="164" fontId="33" fillId="7"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33"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3" fillId="7" borderId="0"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true" applyAlignment="false" applyProtection="false">
      <alignment horizontal="general"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Excel Built-in Calculation" xfId="21" builtinId="53" customBuiltin="true"/>
    <cellStyle name="Excel Built-in Input" xfId="22"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FAC090"/>
      <rgbColor rgb="FF7F7F7F"/>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A7D00"/>
      <rgbColor rgb="FFE46C0A"/>
      <rgbColor rgb="FF666699"/>
      <rgbColor rgb="FFA6A6A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590400</xdr:colOff>
      <xdr:row>35</xdr:row>
      <xdr:rowOff>185400</xdr:rowOff>
    </xdr:from>
    <xdr:to>
      <xdr:col>1</xdr:col>
      <xdr:colOff>6705000</xdr:colOff>
      <xdr:row>48</xdr:row>
      <xdr:rowOff>66240</xdr:rowOff>
    </xdr:to>
    <xdr:pic>
      <xdr:nvPicPr>
        <xdr:cNvPr id="0" name="Picture 4" descr=""/>
        <xdr:cNvPicPr/>
      </xdr:nvPicPr>
      <xdr:blipFill>
        <a:blip r:embed="rId1"/>
        <a:stretch/>
      </xdr:blipFill>
      <xdr:spPr>
        <a:xfrm>
          <a:off x="590400" y="6633720"/>
          <a:ext cx="6726600" cy="2014200"/>
        </a:xfrm>
        <a:prstGeom prst="rect">
          <a:avLst/>
        </a:prstGeom>
        <a:ln>
          <a:noFill/>
        </a:ln>
      </xdr:spPr>
    </xdr:pic>
    <xdr:clientData/>
  </xdr:twoCellAnchor>
  <xdr:twoCellAnchor editAs="oneCell">
    <xdr:from>
      <xdr:col>1</xdr:col>
      <xdr:colOff>28440</xdr:colOff>
      <xdr:row>6</xdr:row>
      <xdr:rowOff>47520</xdr:rowOff>
    </xdr:from>
    <xdr:to>
      <xdr:col>1</xdr:col>
      <xdr:colOff>3685320</xdr:colOff>
      <xdr:row>7</xdr:row>
      <xdr:rowOff>123480</xdr:rowOff>
    </xdr:to>
    <xdr:pic>
      <xdr:nvPicPr>
        <xdr:cNvPr id="1" name="Picture 1" descr=""/>
        <xdr:cNvPicPr/>
      </xdr:nvPicPr>
      <xdr:blipFill>
        <a:blip r:embed="rId2"/>
        <a:stretch/>
      </xdr:blipFill>
      <xdr:spPr>
        <a:xfrm>
          <a:off x="640440" y="1190520"/>
          <a:ext cx="3656880" cy="266400"/>
        </a:xfrm>
        <a:prstGeom prst="rect">
          <a:avLst/>
        </a:prstGeom>
        <a:ln>
          <a:solidFill>
            <a:schemeClr val="tx1"/>
          </a:solidFill>
        </a:ln>
      </xdr:spPr>
    </xdr:pic>
    <xdr:clientData/>
  </xdr:twoCellAnchor>
  <xdr:twoCellAnchor editAs="oneCell">
    <xdr:from>
      <xdr:col>1</xdr:col>
      <xdr:colOff>28440</xdr:colOff>
      <xdr:row>10</xdr:row>
      <xdr:rowOff>23040</xdr:rowOff>
    </xdr:from>
    <xdr:to>
      <xdr:col>1</xdr:col>
      <xdr:colOff>3047760</xdr:colOff>
      <xdr:row>21</xdr:row>
      <xdr:rowOff>18720</xdr:rowOff>
    </xdr:to>
    <xdr:pic>
      <xdr:nvPicPr>
        <xdr:cNvPr id="2" name="Picture 3" descr=""/>
        <xdr:cNvPicPr/>
      </xdr:nvPicPr>
      <xdr:blipFill>
        <a:blip r:embed="rId3"/>
        <a:stretch/>
      </xdr:blipFill>
      <xdr:spPr>
        <a:xfrm>
          <a:off x="640440" y="1927800"/>
          <a:ext cx="3019320" cy="1834200"/>
        </a:xfrm>
        <a:prstGeom prst="rect">
          <a:avLst/>
        </a:prstGeom>
        <a:ln>
          <a:noFill/>
        </a:ln>
      </xdr:spPr>
    </xdr:pic>
    <xdr:clientData/>
  </xdr:twoCellAnchor>
  <xdr:twoCellAnchor editAs="oneCell">
    <xdr:from>
      <xdr:col>1</xdr:col>
      <xdr:colOff>19080</xdr:colOff>
      <xdr:row>50</xdr:row>
      <xdr:rowOff>181080</xdr:rowOff>
    </xdr:from>
    <xdr:to>
      <xdr:col>1</xdr:col>
      <xdr:colOff>3761640</xdr:colOff>
      <xdr:row>52</xdr:row>
      <xdr:rowOff>95040</xdr:rowOff>
    </xdr:to>
    <xdr:pic>
      <xdr:nvPicPr>
        <xdr:cNvPr id="3" name="Picture 6" descr=""/>
        <xdr:cNvPicPr/>
      </xdr:nvPicPr>
      <xdr:blipFill>
        <a:blip r:embed="rId4"/>
        <a:stretch/>
      </xdr:blipFill>
      <xdr:spPr>
        <a:xfrm>
          <a:off x="631080" y="9496440"/>
          <a:ext cx="3742560" cy="294840"/>
        </a:xfrm>
        <a:prstGeom prst="rect">
          <a:avLst/>
        </a:prstGeom>
        <a:ln>
          <a:solidFill>
            <a:schemeClr val="tx1"/>
          </a:solidFill>
        </a:ln>
      </xdr:spPr>
    </xdr:pic>
    <xdr:clientData/>
  </xdr:twoCellAnchor>
  <xdr:twoCellAnchor editAs="oneCell">
    <xdr:from>
      <xdr:col>1</xdr:col>
      <xdr:colOff>3029040</xdr:colOff>
      <xdr:row>11</xdr:row>
      <xdr:rowOff>47520</xdr:rowOff>
    </xdr:from>
    <xdr:to>
      <xdr:col>1</xdr:col>
      <xdr:colOff>4171680</xdr:colOff>
      <xdr:row>11</xdr:row>
      <xdr:rowOff>55440</xdr:rowOff>
    </xdr:to>
    <xdr:sp>
      <xdr:nvSpPr>
        <xdr:cNvPr id="4" name="CustomShape 1"/>
        <xdr:cNvSpPr/>
      </xdr:nvSpPr>
      <xdr:spPr>
        <a:xfrm flipH="1" flipV="1">
          <a:off x="3641040" y="2142720"/>
          <a:ext cx="1142640" cy="7920"/>
        </a:xfrm>
        <a:custGeom>
          <a:avLst/>
          <a:gdLst/>
          <a:ahLst/>
          <a:rect l="l" t="t" r="r" b="b"/>
          <a:pathLst>
            <a:path w="21600" h="21600">
              <a:moveTo>
                <a:pt x="0" y="0"/>
              </a:moveTo>
              <a:lnTo>
                <a:pt x="21600" y="21600"/>
              </a:lnTo>
            </a:path>
          </a:pathLst>
        </a:custGeom>
        <a:noFill/>
        <a:ln>
          <a:solidFill>
            <a:schemeClr val="tx1"/>
          </a:solidFill>
          <a:round/>
          <a:tailEnd len="med" type="triangle" w="med"/>
        </a:ln>
      </xdr:spPr>
      <xdr:style>
        <a:lnRef idx="1">
          <a:schemeClr val="accent1"/>
        </a:lnRef>
        <a:fillRef idx="0">
          <a:schemeClr val="accent1"/>
        </a:fillRef>
        <a:effectRef idx="0">
          <a:schemeClr val="accent1"/>
        </a:effectRef>
        <a:fontRef idx="minor"/>
      </xdr:style>
    </xdr:sp>
    <xdr:clientData/>
  </xdr:twoCellAnchor>
  <xdr:twoCellAnchor editAs="oneCell">
    <xdr:from>
      <xdr:col>1</xdr:col>
      <xdr:colOff>3963240</xdr:colOff>
      <xdr:row>10</xdr:row>
      <xdr:rowOff>114480</xdr:rowOff>
    </xdr:from>
    <xdr:to>
      <xdr:col>2</xdr:col>
      <xdr:colOff>464760</xdr:colOff>
      <xdr:row>12</xdr:row>
      <xdr:rowOff>25200</xdr:rowOff>
    </xdr:to>
    <xdr:sp>
      <xdr:nvSpPr>
        <xdr:cNvPr id="5" name="CustomShape 1"/>
        <xdr:cNvSpPr/>
      </xdr:nvSpPr>
      <xdr:spPr>
        <a:xfrm>
          <a:off x="4575240" y="2019240"/>
          <a:ext cx="3829320" cy="291960"/>
        </a:xfrm>
        <a:prstGeom prst="rect">
          <a:avLst/>
        </a:prstGeom>
        <a:noFill/>
        <a:ln>
          <a:noFill/>
        </a:ln>
      </xdr:spPr>
      <xdr:style>
        <a:lnRef idx="0"/>
        <a:fillRef idx="0"/>
        <a:effectRef idx="0"/>
        <a:fontRef idx="minor"/>
      </xdr:style>
      <xdr:txBody>
        <a:bodyPr wrap="none" lIns="90000" rIns="90000" tIns="45000" bIns="45000"/>
        <a:p>
          <a:pPr>
            <a:lnSpc>
              <a:spcPct val="100000"/>
            </a:lnSpc>
          </a:pPr>
          <a:r>
            <a:rPr b="0" lang="en-US" sz="1100" spc="-1" strike="noStrike">
              <a:solidFill>
                <a:srgbClr val="000000"/>
              </a:solidFill>
              <a:latin typeface="Calibri"/>
            </a:rPr>
            <a:t>Select the desired memory type via this pull down menu</a:t>
          </a:r>
          <a:endParaRPr b="0" lang="en-US" sz="1100" spc="-1" strike="noStrike">
            <a:latin typeface="Times New Roman"/>
          </a:endParaRPr>
        </a:p>
      </xdr:txBody>
    </xdr:sp>
    <xdr:clientData/>
  </xdr:twoCellAnchor>
  <xdr:twoCellAnchor editAs="oneCell">
    <xdr:from>
      <xdr:col>0</xdr:col>
      <xdr:colOff>590400</xdr:colOff>
      <xdr:row>25</xdr:row>
      <xdr:rowOff>9360</xdr:rowOff>
    </xdr:from>
    <xdr:to>
      <xdr:col>1</xdr:col>
      <xdr:colOff>3799440</xdr:colOff>
      <xdr:row>32</xdr:row>
      <xdr:rowOff>65880</xdr:rowOff>
    </xdr:to>
    <xdr:pic>
      <xdr:nvPicPr>
        <xdr:cNvPr id="6" name="Picture 7" descr=""/>
        <xdr:cNvPicPr/>
      </xdr:nvPicPr>
      <xdr:blipFill>
        <a:blip r:embed="rId5"/>
        <a:stretch/>
      </xdr:blipFill>
      <xdr:spPr>
        <a:xfrm>
          <a:off x="590400" y="4428720"/>
          <a:ext cx="3821040" cy="11901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6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1" activeCellId="0" sqref="A1:C409"/>
    </sheetView>
  </sheetViews>
  <sheetFormatPr defaultRowHeight="12.75" zeroHeight="false" outlineLevelRow="0" outlineLevelCol="0"/>
  <cols>
    <col collapsed="false" customWidth="true" hidden="false" outlineLevel="0" max="1" min="1" style="0" width="8.67"/>
    <col collapsed="false" customWidth="true" hidden="false" outlineLevel="0" max="2" min="2" style="0" width="103.85"/>
    <col collapsed="false" customWidth="true" hidden="false" outlineLevel="0" max="1025" min="3" style="0" width="8.67"/>
  </cols>
  <sheetData>
    <row r="1" customFormat="false" ht="15" hidden="false" customHeight="false" outlineLevel="0" collapsed="false">
      <c r="A1" s="1"/>
      <c r="B1" s="2"/>
      <c r="C1" s="1"/>
      <c r="D1" s="1"/>
      <c r="E1" s="1"/>
      <c r="F1" s="1"/>
      <c r="G1" s="1"/>
    </row>
    <row r="2" customFormat="false" ht="15" hidden="false" customHeight="false" outlineLevel="0" collapsed="false">
      <c r="A2" s="1"/>
      <c r="B2" s="3" t="s">
        <v>0</v>
      </c>
      <c r="C2" s="4"/>
      <c r="D2" s="4"/>
      <c r="E2" s="1"/>
      <c r="F2" s="1"/>
      <c r="G2" s="1"/>
    </row>
    <row r="3" customFormat="false" ht="15" hidden="false" customHeight="false" outlineLevel="0" collapsed="false">
      <c r="A3" s="1"/>
      <c r="B3" s="3"/>
      <c r="C3" s="4"/>
      <c r="D3" s="4"/>
      <c r="E3" s="1"/>
      <c r="F3" s="1"/>
      <c r="G3" s="1"/>
    </row>
    <row r="4" customFormat="false" ht="15" hidden="false" customHeight="false" outlineLevel="0" collapsed="false">
      <c r="A4" s="1"/>
      <c r="B4" s="3" t="s">
        <v>1</v>
      </c>
      <c r="C4" s="4"/>
      <c r="D4" s="4"/>
      <c r="E4" s="1"/>
      <c r="F4" s="1"/>
      <c r="G4" s="1"/>
    </row>
    <row r="5" customFormat="false" ht="15" hidden="false" customHeight="false" outlineLevel="0" collapsed="false">
      <c r="A5" s="1"/>
      <c r="B5" s="3"/>
      <c r="C5" s="4"/>
      <c r="D5" s="4"/>
      <c r="E5" s="1"/>
      <c r="F5" s="1"/>
      <c r="G5" s="1"/>
    </row>
    <row r="6" customFormat="false" ht="15" hidden="false" customHeight="false" outlineLevel="0" collapsed="false">
      <c r="A6" s="1"/>
      <c r="B6" s="3" t="s">
        <v>2</v>
      </c>
      <c r="C6" s="4"/>
      <c r="D6" s="4"/>
      <c r="E6" s="1"/>
      <c r="F6" s="1"/>
      <c r="G6" s="1"/>
    </row>
    <row r="7" customFormat="false" ht="15" hidden="false" customHeight="false" outlineLevel="0" collapsed="false">
      <c r="A7" s="1"/>
      <c r="B7" s="3"/>
      <c r="C7" s="4"/>
      <c r="D7" s="4"/>
      <c r="E7" s="1"/>
      <c r="F7" s="1"/>
      <c r="G7" s="1"/>
    </row>
    <row r="8" customFormat="false" ht="15" hidden="false" customHeight="false" outlineLevel="0" collapsed="false">
      <c r="A8" s="1"/>
      <c r="B8" s="3"/>
      <c r="C8" s="4"/>
      <c r="D8" s="4"/>
      <c r="E8" s="1"/>
      <c r="F8" s="1"/>
      <c r="G8" s="1"/>
    </row>
    <row r="9" customFormat="false" ht="15" hidden="false" customHeight="false" outlineLevel="0" collapsed="false">
      <c r="A9" s="1"/>
      <c r="B9" s="3"/>
      <c r="C9" s="4"/>
      <c r="D9" s="4"/>
      <c r="E9" s="1"/>
      <c r="F9" s="1"/>
      <c r="G9" s="1"/>
    </row>
    <row r="10" customFormat="false" ht="15" hidden="false" customHeight="false" outlineLevel="0" collapsed="false">
      <c r="A10" s="1"/>
      <c r="B10" s="3" t="s">
        <v>3</v>
      </c>
      <c r="C10" s="4"/>
      <c r="D10" s="4"/>
      <c r="E10" s="1"/>
      <c r="F10" s="1"/>
      <c r="G10" s="1"/>
    </row>
    <row r="11" customFormat="false" ht="15" hidden="false" customHeight="false" outlineLevel="0" collapsed="false">
      <c r="A11" s="1"/>
      <c r="B11" s="3"/>
      <c r="C11" s="4"/>
      <c r="D11" s="4"/>
      <c r="E11" s="1"/>
      <c r="F11" s="1"/>
      <c r="G11" s="1"/>
    </row>
    <row r="12" customFormat="false" ht="15" hidden="false" customHeight="false" outlineLevel="0" collapsed="false">
      <c r="A12" s="1"/>
      <c r="B12" s="3"/>
      <c r="C12" s="4"/>
      <c r="D12" s="4"/>
      <c r="E12" s="1"/>
      <c r="F12" s="1"/>
      <c r="G12" s="1"/>
    </row>
    <row r="13" customFormat="false" ht="12.75" hidden="false" customHeight="false" outlineLevel="0" collapsed="false">
      <c r="A13" s="1"/>
      <c r="B13" s="1"/>
      <c r="C13" s="4"/>
      <c r="D13" s="4"/>
      <c r="E13" s="1"/>
      <c r="F13" s="1"/>
      <c r="G13" s="1"/>
    </row>
    <row r="14" customFormat="false" ht="12.75" hidden="false" customHeight="false" outlineLevel="0" collapsed="false">
      <c r="A14" s="1"/>
      <c r="B14" s="1"/>
      <c r="C14" s="4"/>
      <c r="D14" s="4"/>
      <c r="E14" s="1"/>
      <c r="F14" s="1"/>
      <c r="G14" s="1"/>
    </row>
    <row r="15" customFormat="false" ht="12.75" hidden="false" customHeight="false" outlineLevel="0" collapsed="false">
      <c r="A15" s="1"/>
      <c r="B15" s="1"/>
      <c r="C15" s="4"/>
      <c r="D15" s="4"/>
      <c r="E15" s="1"/>
      <c r="F15" s="1"/>
      <c r="G15" s="1"/>
    </row>
    <row r="16" customFormat="false" ht="12.75" hidden="false" customHeight="false" outlineLevel="0" collapsed="false">
      <c r="A16" s="1"/>
      <c r="B16" s="1"/>
      <c r="C16" s="4"/>
      <c r="D16" s="4"/>
      <c r="E16" s="1"/>
      <c r="F16" s="1"/>
      <c r="G16" s="1"/>
    </row>
    <row r="17" customFormat="false" ht="12.75" hidden="false" customHeight="false" outlineLevel="0" collapsed="false">
      <c r="A17" s="1"/>
      <c r="B17" s="1"/>
      <c r="C17" s="4"/>
      <c r="D17" s="4"/>
      <c r="E17" s="1"/>
      <c r="F17" s="1"/>
      <c r="G17" s="1"/>
    </row>
    <row r="18" customFormat="false" ht="12.75" hidden="false" customHeight="false" outlineLevel="0" collapsed="false">
      <c r="A18" s="1"/>
      <c r="B18" s="1"/>
      <c r="C18" s="4"/>
      <c r="D18" s="4"/>
      <c r="E18" s="1"/>
      <c r="F18" s="1"/>
      <c r="G18" s="1"/>
    </row>
    <row r="19" customFormat="false" ht="12.75" hidden="false" customHeight="false" outlineLevel="0" collapsed="false">
      <c r="A19" s="1"/>
      <c r="B19" s="1"/>
      <c r="C19" s="4"/>
      <c r="D19" s="4"/>
      <c r="E19" s="1"/>
      <c r="F19" s="1"/>
      <c r="G19" s="1"/>
    </row>
    <row r="20" customFormat="false" ht="12.75" hidden="false" customHeight="false" outlineLevel="0" collapsed="false">
      <c r="A20" s="1"/>
      <c r="B20" s="1"/>
      <c r="C20" s="4"/>
      <c r="D20" s="4"/>
      <c r="E20" s="1"/>
      <c r="F20" s="1"/>
      <c r="G20" s="1"/>
    </row>
    <row r="21" customFormat="false" ht="12.75" hidden="false" customHeight="false" outlineLevel="0" collapsed="false">
      <c r="A21" s="1"/>
      <c r="B21" s="1"/>
      <c r="C21" s="4"/>
      <c r="D21" s="4"/>
      <c r="E21" s="1"/>
      <c r="F21" s="1"/>
      <c r="G21" s="1"/>
    </row>
    <row r="22" customFormat="false" ht="12.75" hidden="false" customHeight="false" outlineLevel="0" collapsed="false">
      <c r="A22" s="1"/>
      <c r="B22" s="1"/>
      <c r="C22" s="4"/>
      <c r="D22" s="4"/>
      <c r="E22" s="1"/>
      <c r="F22" s="1"/>
      <c r="G22" s="1"/>
    </row>
    <row r="23" customFormat="false" ht="15" hidden="false" customHeight="false" outlineLevel="0" collapsed="false">
      <c r="A23" s="1"/>
      <c r="B23" s="3" t="s">
        <v>4</v>
      </c>
      <c r="C23" s="4"/>
      <c r="D23" s="4"/>
      <c r="E23" s="1"/>
      <c r="F23" s="1"/>
      <c r="G23" s="1"/>
    </row>
    <row r="24" customFormat="false" ht="12.75" hidden="false" customHeight="false" outlineLevel="0" collapsed="false">
      <c r="A24" s="1"/>
      <c r="B24" s="1"/>
      <c r="C24" s="4"/>
      <c r="D24" s="4"/>
      <c r="E24" s="1"/>
      <c r="F24" s="1"/>
      <c r="G24" s="1"/>
    </row>
    <row r="25" customFormat="false" ht="12.75" hidden="false" customHeight="false" outlineLevel="0" collapsed="false">
      <c r="A25" s="1"/>
      <c r="B25" s="1"/>
      <c r="C25" s="4"/>
      <c r="D25" s="4"/>
      <c r="E25" s="1"/>
      <c r="F25" s="1"/>
      <c r="G25" s="1"/>
    </row>
    <row r="26" customFormat="false" ht="12.75" hidden="false" customHeight="false" outlineLevel="0" collapsed="false">
      <c r="A26" s="1"/>
      <c r="B26" s="1"/>
      <c r="C26" s="4"/>
      <c r="D26" s="4"/>
      <c r="E26" s="1"/>
      <c r="F26" s="1"/>
      <c r="G26" s="1"/>
    </row>
    <row r="27" customFormat="false" ht="12.75" hidden="false" customHeight="false" outlineLevel="0" collapsed="false">
      <c r="A27" s="1"/>
      <c r="B27" s="1"/>
      <c r="C27" s="4"/>
      <c r="D27" s="4"/>
      <c r="E27" s="1"/>
      <c r="F27" s="1"/>
      <c r="G27" s="1"/>
    </row>
    <row r="28" customFormat="false" ht="12.75" hidden="false" customHeight="false" outlineLevel="0" collapsed="false">
      <c r="A28" s="1"/>
      <c r="B28" s="1"/>
      <c r="C28" s="4"/>
      <c r="D28" s="4"/>
      <c r="E28" s="1"/>
      <c r="F28" s="1"/>
      <c r="G28" s="1"/>
    </row>
    <row r="29" customFormat="false" ht="12.75" hidden="false" customHeight="false" outlineLevel="0" collapsed="false">
      <c r="A29" s="1"/>
      <c r="B29" s="1"/>
      <c r="C29" s="4"/>
      <c r="D29" s="4"/>
      <c r="E29" s="1"/>
      <c r="F29" s="1"/>
      <c r="G29" s="1"/>
    </row>
    <row r="30" customFormat="false" ht="12.75" hidden="false" customHeight="false" outlineLevel="0" collapsed="false">
      <c r="A30" s="1"/>
      <c r="B30" s="1"/>
      <c r="C30" s="4"/>
      <c r="D30" s="4"/>
      <c r="E30" s="1"/>
      <c r="F30" s="1"/>
      <c r="G30" s="1"/>
    </row>
    <row r="31" customFormat="false" ht="12.75" hidden="false" customHeight="false" outlineLevel="0" collapsed="false">
      <c r="A31" s="1"/>
      <c r="B31" s="1"/>
      <c r="C31" s="4"/>
      <c r="D31" s="4"/>
      <c r="E31" s="1"/>
      <c r="F31" s="1"/>
      <c r="G31" s="1"/>
    </row>
    <row r="32" customFormat="false" ht="12.75" hidden="false" customHeight="false" outlineLevel="0" collapsed="false">
      <c r="A32" s="1"/>
      <c r="B32" s="1"/>
      <c r="C32" s="4"/>
      <c r="D32" s="4"/>
      <c r="E32" s="1"/>
      <c r="F32" s="1"/>
      <c r="G32" s="1"/>
    </row>
    <row r="33" customFormat="false" ht="12.75" hidden="false" customHeight="false" outlineLevel="0" collapsed="false">
      <c r="A33" s="1"/>
      <c r="B33" s="1"/>
      <c r="C33" s="4"/>
      <c r="D33" s="4"/>
      <c r="E33" s="1"/>
      <c r="F33" s="1"/>
      <c r="G33" s="1"/>
    </row>
    <row r="34" customFormat="false" ht="12.75" hidden="false" customHeight="false" outlineLevel="0" collapsed="false">
      <c r="A34" s="1"/>
      <c r="B34" s="1"/>
      <c r="C34" s="4"/>
      <c r="D34" s="4"/>
      <c r="E34" s="1"/>
      <c r="F34" s="1"/>
      <c r="G34" s="1"/>
    </row>
    <row r="35" customFormat="false" ht="45" hidden="false" customHeight="false" outlineLevel="0" collapsed="false">
      <c r="A35" s="1"/>
      <c r="B35" s="3" t="s">
        <v>5</v>
      </c>
      <c r="C35" s="1"/>
      <c r="D35" s="1"/>
      <c r="E35" s="1"/>
      <c r="F35" s="1"/>
      <c r="G35" s="1"/>
    </row>
    <row r="36" customFormat="false" ht="15" hidden="false" customHeight="false" outlineLevel="0" collapsed="false">
      <c r="A36" s="1"/>
      <c r="B36" s="3"/>
      <c r="C36" s="1"/>
      <c r="D36" s="1"/>
      <c r="E36" s="1"/>
      <c r="F36" s="1"/>
      <c r="G36" s="1"/>
    </row>
    <row r="37" customFormat="false" ht="12.75" hidden="false" customHeight="false" outlineLevel="0" collapsed="false">
      <c r="A37" s="1"/>
      <c r="B37" s="1"/>
      <c r="C37" s="1"/>
      <c r="D37" s="1"/>
      <c r="E37" s="1"/>
      <c r="F37" s="1"/>
      <c r="G37" s="1"/>
    </row>
    <row r="38" customFormat="false" ht="12.75" hidden="false" customHeight="false" outlineLevel="0" collapsed="false">
      <c r="A38" s="1"/>
      <c r="B38" s="1"/>
      <c r="C38" s="1"/>
      <c r="D38" s="1"/>
      <c r="E38" s="1"/>
      <c r="F38" s="1"/>
      <c r="G38" s="1"/>
    </row>
    <row r="39" customFormat="false" ht="12.75" hidden="false" customHeight="false" outlineLevel="0" collapsed="false">
      <c r="A39" s="1"/>
      <c r="B39" s="1"/>
      <c r="C39" s="1"/>
      <c r="D39" s="1"/>
      <c r="E39" s="1"/>
      <c r="F39" s="1"/>
      <c r="G39" s="1"/>
    </row>
    <row r="40" customFormat="false" ht="12.75" hidden="false" customHeight="false" outlineLevel="0" collapsed="false">
      <c r="A40" s="1"/>
      <c r="B40" s="1"/>
      <c r="C40" s="1"/>
      <c r="D40" s="1"/>
      <c r="E40" s="1"/>
      <c r="F40" s="1"/>
      <c r="G40" s="1"/>
    </row>
    <row r="41" customFormat="false" ht="12.75" hidden="false" customHeight="false" outlineLevel="0" collapsed="false">
      <c r="A41" s="1"/>
      <c r="B41" s="1"/>
      <c r="C41" s="1"/>
      <c r="D41" s="1"/>
      <c r="E41" s="1"/>
      <c r="F41" s="1"/>
      <c r="G41" s="1"/>
    </row>
    <row r="42" customFormat="false" ht="12.75" hidden="false" customHeight="false" outlineLevel="0" collapsed="false">
      <c r="A42" s="1"/>
      <c r="B42" s="1"/>
      <c r="C42" s="1"/>
      <c r="D42" s="1"/>
      <c r="E42" s="1"/>
      <c r="F42" s="1"/>
      <c r="G42" s="1"/>
    </row>
    <row r="43" customFormat="false" ht="12.75" hidden="false" customHeight="false" outlineLevel="0" collapsed="false">
      <c r="A43" s="1"/>
      <c r="B43" s="1"/>
      <c r="C43" s="1"/>
      <c r="D43" s="1"/>
      <c r="E43" s="1"/>
      <c r="F43" s="1"/>
      <c r="G43" s="1"/>
    </row>
    <row r="44" customFormat="false" ht="12.75" hidden="false" customHeight="false" outlineLevel="0" collapsed="false">
      <c r="A44" s="1"/>
      <c r="B44" s="1"/>
      <c r="C44" s="1"/>
      <c r="D44" s="1"/>
      <c r="E44" s="1"/>
      <c r="F44" s="1"/>
      <c r="G44" s="1"/>
    </row>
    <row r="45" customFormat="false" ht="12.75" hidden="false" customHeight="false" outlineLevel="0" collapsed="false">
      <c r="A45" s="1"/>
      <c r="B45" s="1"/>
      <c r="C45" s="1"/>
      <c r="D45" s="1"/>
      <c r="E45" s="1"/>
      <c r="F45" s="1"/>
      <c r="G45" s="1"/>
    </row>
    <row r="46" customFormat="false" ht="12.75" hidden="false" customHeight="false" outlineLevel="0" collapsed="false">
      <c r="A46" s="1"/>
      <c r="B46" s="1"/>
      <c r="C46" s="1"/>
      <c r="D46" s="1"/>
      <c r="E46" s="1"/>
      <c r="F46" s="1"/>
      <c r="G46" s="1"/>
    </row>
    <row r="47" customFormat="false" ht="12.75" hidden="false" customHeight="false" outlineLevel="0" collapsed="false">
      <c r="A47" s="1"/>
      <c r="B47" s="1"/>
      <c r="C47" s="1"/>
      <c r="D47" s="1"/>
      <c r="E47" s="1"/>
      <c r="F47" s="1"/>
      <c r="G47" s="1"/>
    </row>
    <row r="48" customFormat="false" ht="12.75" hidden="false" customHeight="false" outlineLevel="0" collapsed="false">
      <c r="A48" s="1"/>
      <c r="B48" s="1"/>
      <c r="C48" s="1"/>
      <c r="D48" s="1"/>
      <c r="E48" s="1"/>
      <c r="F48" s="1"/>
      <c r="G48" s="1"/>
    </row>
    <row r="49" customFormat="false" ht="12.75" hidden="false" customHeight="false" outlineLevel="0" collapsed="false">
      <c r="A49" s="1"/>
      <c r="B49" s="1"/>
      <c r="C49" s="1"/>
      <c r="D49" s="1"/>
      <c r="E49" s="1"/>
      <c r="F49" s="1"/>
      <c r="G49" s="1"/>
    </row>
    <row r="50" customFormat="false" ht="45" hidden="false" customHeight="false" outlineLevel="0" collapsed="false">
      <c r="A50" s="1"/>
      <c r="B50" s="3" t="s">
        <v>6</v>
      </c>
      <c r="C50" s="1"/>
      <c r="D50" s="1"/>
      <c r="E50" s="1"/>
      <c r="F50" s="1"/>
      <c r="G50" s="1"/>
    </row>
    <row r="51" customFormat="false" ht="15" hidden="false" customHeight="false" outlineLevel="0" collapsed="false">
      <c r="A51" s="1"/>
      <c r="B51" s="3"/>
      <c r="C51" s="1"/>
      <c r="D51" s="1"/>
      <c r="E51" s="1"/>
      <c r="F51" s="1"/>
      <c r="G51" s="1"/>
    </row>
    <row r="52" customFormat="false" ht="15" hidden="false" customHeight="false" outlineLevel="0" collapsed="false">
      <c r="A52" s="1"/>
      <c r="B52" s="3"/>
      <c r="C52" s="1"/>
      <c r="D52" s="1"/>
      <c r="E52" s="1"/>
      <c r="F52" s="1"/>
      <c r="G52" s="1"/>
    </row>
    <row r="53" customFormat="false" ht="45" hidden="false" customHeight="false" outlineLevel="0" collapsed="false">
      <c r="A53" s="1"/>
      <c r="B53" s="3" t="s">
        <v>7</v>
      </c>
      <c r="C53" s="1"/>
      <c r="D53" s="1"/>
      <c r="E53" s="1"/>
      <c r="F53" s="1"/>
      <c r="G53" s="1"/>
    </row>
    <row r="54" customFormat="false" ht="15" hidden="false" customHeight="false" outlineLevel="0" collapsed="false">
      <c r="A54" s="1"/>
      <c r="B54" s="3"/>
      <c r="C54" s="1"/>
      <c r="D54" s="1"/>
      <c r="E54" s="1"/>
      <c r="F54" s="1"/>
      <c r="G54" s="1"/>
    </row>
    <row r="55" customFormat="false" ht="15" hidden="false" customHeight="false" outlineLevel="0" collapsed="false">
      <c r="A55" s="1"/>
      <c r="B55" s="3" t="s">
        <v>8</v>
      </c>
      <c r="C55" s="1"/>
      <c r="D55" s="1"/>
      <c r="E55" s="1"/>
      <c r="F55" s="1"/>
      <c r="G55" s="1"/>
    </row>
    <row r="56" customFormat="false" ht="45" hidden="false" customHeight="false" outlineLevel="0" collapsed="false">
      <c r="A56" s="1"/>
      <c r="B56" s="3" t="s">
        <v>9</v>
      </c>
      <c r="C56" s="1"/>
      <c r="D56" s="1"/>
      <c r="E56" s="1"/>
      <c r="F56" s="1"/>
      <c r="G56" s="1"/>
    </row>
    <row r="57" customFormat="false" ht="12.75" hidden="false" customHeight="false" outlineLevel="0" collapsed="false">
      <c r="A57" s="1"/>
      <c r="B57" s="5"/>
      <c r="C57" s="1"/>
      <c r="D57" s="1"/>
      <c r="E57" s="1"/>
      <c r="F57" s="1"/>
      <c r="G57" s="1"/>
    </row>
    <row r="58" customFormat="false" ht="12.75" hidden="false" customHeight="false" outlineLevel="0" collapsed="false">
      <c r="A58" s="1"/>
      <c r="B58" s="1"/>
      <c r="C58" s="1"/>
      <c r="D58" s="1"/>
      <c r="E58" s="1"/>
      <c r="F58" s="1"/>
      <c r="G58" s="1"/>
    </row>
    <row r="59" customFormat="false" ht="12.75" hidden="false" customHeight="false" outlineLevel="0" collapsed="false">
      <c r="A59" s="1"/>
      <c r="B59" s="1"/>
      <c r="C59" s="1"/>
      <c r="D59" s="1"/>
      <c r="E59" s="1"/>
      <c r="F59" s="1"/>
      <c r="G59" s="1"/>
    </row>
    <row r="60" customFormat="false" ht="12.75" hidden="false" customHeight="false" outlineLevel="0" collapsed="false">
      <c r="A60" s="1"/>
      <c r="B60" s="1"/>
      <c r="C60" s="1"/>
      <c r="D60" s="1"/>
      <c r="E60" s="1"/>
      <c r="F60" s="1"/>
      <c r="G60" s="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2:C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9" activeCellId="1" sqref="A1:C409 G9"/>
    </sheetView>
  </sheetViews>
  <sheetFormatPr defaultRowHeight="12.75" zeroHeight="false" outlineLevelRow="0" outlineLevelCol="0"/>
  <cols>
    <col collapsed="false" customWidth="true" hidden="false" outlineLevel="0" max="1" min="1" style="0" width="8.67"/>
    <col collapsed="false" customWidth="true" hidden="false" outlineLevel="0" max="2" min="2" style="0" width="21.57"/>
    <col collapsed="false" customWidth="true" hidden="false" outlineLevel="0" max="3" min="3" style="0" width="45.86"/>
    <col collapsed="false" customWidth="true" hidden="false" outlineLevel="0" max="1025" min="4" style="0" width="8.67"/>
  </cols>
  <sheetData>
    <row r="2" customFormat="false" ht="12.75" hidden="false" customHeight="false" outlineLevel="0" collapsed="false">
      <c r="B2" s="6" t="s">
        <v>10</v>
      </c>
    </row>
    <row r="3" customFormat="false" ht="114.75" hidden="false" customHeight="false" outlineLevel="0" collapsed="false">
      <c r="B3" s="7" t="n">
        <v>1.2</v>
      </c>
      <c r="C3" s="8" t="s">
        <v>11</v>
      </c>
    </row>
    <row r="6" customFormat="false" ht="15.75" hidden="false" customHeight="false" outlineLevel="0" collapsed="false">
      <c r="B6" s="9" t="s">
        <v>12</v>
      </c>
      <c r="C6" s="9"/>
    </row>
    <row r="7" customFormat="false" ht="25.5" hidden="false" customHeight="true" outlineLevel="0" collapsed="false">
      <c r="B7" s="10" t="s">
        <v>13</v>
      </c>
      <c r="C7" s="10" t="s">
        <v>14</v>
      </c>
    </row>
    <row r="8" customFormat="false" ht="114.75" hidden="false" customHeight="false" outlineLevel="0" collapsed="false">
      <c r="B8" s="7" t="n">
        <v>1.2</v>
      </c>
      <c r="C8" s="8" t="s">
        <v>11</v>
      </c>
    </row>
    <row r="9" customFormat="false" ht="229.5" hidden="false" customHeight="false" outlineLevel="0" collapsed="false">
      <c r="B9" s="7" t="n">
        <v>1.1</v>
      </c>
      <c r="C9" s="8" t="s">
        <v>15</v>
      </c>
    </row>
    <row r="10" customFormat="false" ht="25.5" hidden="false" customHeight="true" outlineLevel="0" collapsed="false">
      <c r="B10" s="7" t="s">
        <v>16</v>
      </c>
      <c r="C10" s="8" t="s">
        <v>17</v>
      </c>
    </row>
    <row r="11" customFormat="false" ht="89.25" hidden="false" customHeight="false" outlineLevel="0" collapsed="false">
      <c r="B11" s="7" t="n">
        <v>0.9</v>
      </c>
      <c r="C11" s="8" t="s">
        <v>18</v>
      </c>
    </row>
    <row r="12" customFormat="false" ht="25.5" hidden="false" customHeight="false" outlineLevel="0" collapsed="false">
      <c r="B12" s="7" t="n">
        <v>0.8</v>
      </c>
      <c r="C12" s="8" t="s">
        <v>19</v>
      </c>
    </row>
    <row r="13" customFormat="false" ht="38.25" hidden="false" customHeight="false" outlineLevel="0" collapsed="false">
      <c r="B13" s="7" t="n">
        <v>0.7</v>
      </c>
      <c r="C13" s="8" t="s">
        <v>20</v>
      </c>
    </row>
    <row r="14" customFormat="false" ht="38.25" hidden="false" customHeight="false" outlineLevel="0" collapsed="false">
      <c r="B14" s="11" t="n">
        <v>0.6</v>
      </c>
      <c r="C14" s="12" t="s">
        <v>21</v>
      </c>
    </row>
    <row r="15" customFormat="false" ht="12.75" hidden="false" customHeight="false" outlineLevel="0" collapsed="false">
      <c r="B15" s="10" t="n">
        <v>0.5</v>
      </c>
      <c r="C15" s="8" t="s">
        <v>22</v>
      </c>
    </row>
    <row r="16" customFormat="false" ht="38.25" hidden="false" customHeight="false" outlineLevel="0" collapsed="false">
      <c r="B16" s="10" t="n">
        <v>0.4</v>
      </c>
      <c r="C16" s="8" t="s">
        <v>23</v>
      </c>
    </row>
    <row r="17" customFormat="false" ht="38.25" hidden="false" customHeight="false" outlineLevel="0" collapsed="false">
      <c r="B17" s="10" t="n">
        <v>0.3</v>
      </c>
      <c r="C17" s="8" t="s">
        <v>24</v>
      </c>
    </row>
    <row r="18" customFormat="false" ht="12.75" hidden="false" customHeight="false" outlineLevel="0" collapsed="false">
      <c r="B18" s="10" t="n">
        <v>0.2</v>
      </c>
      <c r="C18" s="13" t="s">
        <v>25</v>
      </c>
    </row>
    <row r="19" customFormat="false" ht="12.75" hidden="false" customHeight="false" outlineLevel="0" collapsed="false">
      <c r="B19" s="10" t="n">
        <v>0.1</v>
      </c>
      <c r="C19" s="13" t="s">
        <v>26</v>
      </c>
    </row>
    <row r="20" customFormat="false" ht="12.75" hidden="false" customHeight="false" outlineLevel="0" collapsed="false">
      <c r="B20" s="10"/>
      <c r="C20" s="14"/>
    </row>
    <row r="21" customFormat="false" ht="12.75" hidden="false" customHeight="false" outlineLevel="0" collapsed="false">
      <c r="B21" s="10"/>
      <c r="C21" s="14"/>
    </row>
    <row r="22" customFormat="false" ht="12.75" hidden="false" customHeight="false" outlineLevel="0" collapsed="false">
      <c r="B22" s="10"/>
      <c r="C22" s="14"/>
    </row>
    <row r="23" customFormat="false" ht="12.75" hidden="false" customHeight="false" outlineLevel="0" collapsed="false">
      <c r="B23" s="10"/>
      <c r="C23" s="14"/>
    </row>
    <row r="24" customFormat="false" ht="12.75" hidden="false" customHeight="false" outlineLevel="0" collapsed="false">
      <c r="B24" s="10"/>
      <c r="C24" s="14"/>
    </row>
    <row r="25" customFormat="false" ht="12.75" hidden="false" customHeight="false" outlineLevel="0" collapsed="false">
      <c r="B25" s="10"/>
      <c r="C25" s="14"/>
    </row>
    <row r="26" customFormat="false" ht="12.75" hidden="false" customHeight="false" outlineLevel="0" collapsed="false">
      <c r="B26" s="10"/>
      <c r="C26" s="14"/>
    </row>
    <row r="27" customFormat="false" ht="12.75" hidden="false" customHeight="false" outlineLevel="0" collapsed="false">
      <c r="B27" s="10"/>
      <c r="C27" s="14"/>
    </row>
    <row r="28" customFormat="false" ht="12.75" hidden="false" customHeight="false" outlineLevel="0" collapsed="false">
      <c r="B28" s="10"/>
      <c r="C28" s="14"/>
    </row>
    <row r="29" customFormat="false" ht="12.75" hidden="false" customHeight="false" outlineLevel="0" collapsed="false">
      <c r="B29" s="10"/>
      <c r="C29" s="14"/>
    </row>
    <row r="30" customFormat="false" ht="12.75" hidden="false" customHeight="false" outlineLevel="0" collapsed="false">
      <c r="B30" s="10"/>
      <c r="C30" s="14"/>
    </row>
  </sheetData>
  <mergeCells count="1">
    <mergeCell ref="B6:C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P349"/>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F34" activeCellId="1" sqref="A1:C409 F34"/>
    </sheetView>
  </sheetViews>
  <sheetFormatPr defaultRowHeight="12.75" zeroHeight="false" outlineLevelRow="0" outlineLevelCol="0"/>
  <cols>
    <col collapsed="false" customWidth="true" hidden="false" outlineLevel="0" max="1" min="1" style="1" width="3.42"/>
    <col collapsed="false" customWidth="true" hidden="false" outlineLevel="0" max="2" min="2" style="0" width="36.14"/>
    <col collapsed="false" customWidth="true" hidden="false" outlineLevel="0" max="3" min="3" style="0" width="15.57"/>
    <col collapsed="false" customWidth="true" hidden="false" outlineLevel="0" max="4" min="4" style="0" width="19"/>
    <col collapsed="false" customWidth="true" hidden="false" outlineLevel="0" max="5" min="5" style="15" width="13.86"/>
    <col collapsed="false" customWidth="true" hidden="false" outlineLevel="0" max="6" min="6" style="0" width="57.71"/>
    <col collapsed="false" customWidth="true" hidden="false" outlineLevel="0" max="7" min="7" style="15" width="27.29"/>
    <col collapsed="false" customWidth="true" hidden="false" outlineLevel="0" max="8" min="8" style="15" width="15"/>
    <col collapsed="false" customWidth="true" hidden="false" outlineLevel="0" max="9" min="9" style="15" width="14.01"/>
    <col collapsed="false" customWidth="true" hidden="false" outlineLevel="0" max="10" min="10" style="0" width="16.42"/>
    <col collapsed="false" customWidth="true" hidden="false" outlineLevel="0" max="11" min="11" style="1" width="47.57"/>
    <col collapsed="false" customWidth="true" hidden="false" outlineLevel="0" max="12" min="12" style="1" width="16.57"/>
    <col collapsed="false" customWidth="true" hidden="false" outlineLevel="0" max="13" min="13" style="1" width="10"/>
    <col collapsed="false" customWidth="true" hidden="false" outlineLevel="0" max="14" min="14" style="1" width="11.71"/>
    <col collapsed="false" customWidth="true" hidden="false" outlineLevel="0" max="16" min="15" style="1" width="4.71"/>
    <col collapsed="false" customWidth="true" hidden="false" outlineLevel="0" max="17" min="17" style="1" width="8.42"/>
    <col collapsed="false" customWidth="true" hidden="false" outlineLevel="0" max="21" min="18" style="1" width="4.71"/>
    <col collapsed="false" customWidth="true" hidden="false" outlineLevel="0" max="22" min="22" style="1" width="9.14"/>
    <col collapsed="false" customWidth="true" hidden="false" outlineLevel="0" max="1025" min="23" style="0" width="8.67"/>
  </cols>
  <sheetData>
    <row r="1" customFormat="false" ht="15" hidden="false" customHeight="false" outlineLevel="0" collapsed="false">
      <c r="B1" s="2"/>
      <c r="C1" s="1"/>
      <c r="D1" s="1"/>
      <c r="E1" s="1"/>
      <c r="F1" s="1"/>
      <c r="G1" s="16"/>
      <c r="H1" s="1"/>
      <c r="I1" s="1"/>
      <c r="J1" s="1"/>
      <c r="W1" s="1"/>
      <c r="X1" s="1"/>
      <c r="Y1" s="1"/>
      <c r="Z1" s="1"/>
      <c r="AA1" s="1"/>
      <c r="AB1" s="1"/>
      <c r="AC1" s="1"/>
      <c r="AD1" s="1"/>
      <c r="AE1" s="1"/>
      <c r="AF1" s="1"/>
      <c r="AG1" s="1"/>
      <c r="AH1" s="1"/>
      <c r="AI1" s="1"/>
      <c r="AJ1" s="1"/>
      <c r="AK1" s="1"/>
      <c r="AL1" s="1"/>
      <c r="AM1" s="1"/>
      <c r="AN1" s="1"/>
      <c r="AO1" s="1"/>
      <c r="AP1" s="1"/>
    </row>
    <row r="2" customFormat="false" ht="12.75" hidden="false" customHeight="false" outlineLevel="0" collapsed="false">
      <c r="B2" s="1"/>
      <c r="C2" s="1"/>
      <c r="D2" s="1"/>
      <c r="E2" s="1"/>
      <c r="F2" s="1"/>
      <c r="G2" s="16"/>
      <c r="H2" s="1"/>
      <c r="I2" s="1"/>
      <c r="J2" s="1"/>
      <c r="W2" s="1"/>
      <c r="X2" s="1"/>
      <c r="Y2" s="1"/>
      <c r="Z2" s="1"/>
      <c r="AA2" s="1"/>
      <c r="AB2" s="1"/>
      <c r="AC2" s="1"/>
      <c r="AD2" s="1"/>
      <c r="AE2" s="1"/>
      <c r="AF2" s="1"/>
      <c r="AG2" s="1"/>
      <c r="AH2" s="1"/>
      <c r="AI2" s="1"/>
      <c r="AJ2" s="1"/>
      <c r="AK2" s="1"/>
      <c r="AL2" s="1"/>
      <c r="AM2" s="1"/>
      <c r="AN2" s="1"/>
      <c r="AO2" s="1"/>
    </row>
    <row r="3" s="18" customFormat="true" ht="35.25" hidden="false" customHeight="false" outlineLevel="0" collapsed="false">
      <c r="A3" s="17"/>
      <c r="C3" s="19" t="s">
        <v>27</v>
      </c>
      <c r="D3" s="19"/>
      <c r="E3" s="19"/>
      <c r="F3" s="19"/>
      <c r="G3" s="19"/>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row>
    <row r="4" s="21" customFormat="true" ht="23.25" hidden="false" customHeight="false" outlineLevel="0" collapsed="false">
      <c r="A4" s="20"/>
      <c r="C4" s="22" t="s">
        <v>28</v>
      </c>
      <c r="D4" s="22"/>
      <c r="E4" s="22"/>
      <c r="F4" s="22"/>
      <c r="G4" s="23" t="s">
        <v>29</v>
      </c>
      <c r="H4" s="23"/>
      <c r="I4" s="23"/>
      <c r="J4" s="23"/>
      <c r="K4" s="20"/>
      <c r="L4" s="20"/>
      <c r="M4" s="20"/>
      <c r="N4" s="20"/>
      <c r="O4" s="20"/>
      <c r="P4" s="20"/>
      <c r="Q4" s="20"/>
      <c r="R4" s="20"/>
      <c r="S4" s="20"/>
      <c r="T4" s="20"/>
      <c r="U4" s="20"/>
      <c r="V4" s="20"/>
      <c r="W4" s="20"/>
      <c r="X4" s="20"/>
      <c r="Y4" s="20"/>
      <c r="Z4" s="20"/>
      <c r="AA4" s="24" t="s">
        <v>30</v>
      </c>
      <c r="AB4" s="20"/>
      <c r="AC4" s="1" t="n">
        <v>32</v>
      </c>
      <c r="AD4" s="20"/>
      <c r="AE4" s="20"/>
      <c r="AF4" s="20"/>
      <c r="AG4" s="20"/>
      <c r="AH4" s="20"/>
      <c r="AI4" s="20"/>
      <c r="AJ4" s="20"/>
      <c r="AK4" s="20"/>
      <c r="AL4" s="20"/>
      <c r="AM4" s="20"/>
      <c r="AN4" s="20"/>
    </row>
    <row r="5" s="1" customFormat="true" ht="24" hidden="false" customHeight="false" outlineLevel="0" collapsed="false">
      <c r="B5" s="25"/>
      <c r="C5" s="25"/>
      <c r="D5" s="25"/>
      <c r="E5" s="25"/>
      <c r="F5" s="25"/>
      <c r="G5" s="25"/>
      <c r="H5" s="25"/>
      <c r="I5" s="25"/>
      <c r="J5" s="25"/>
      <c r="AA5" s="24"/>
      <c r="AC5" s="1" t="n">
        <v>16</v>
      </c>
      <c r="AJ5" s="5"/>
      <c r="AN5" s="5"/>
    </row>
    <row r="6" customFormat="false" ht="15.75" hidden="false" customHeight="false" outlineLevel="0" collapsed="false">
      <c r="B6" s="26" t="s">
        <v>31</v>
      </c>
      <c r="C6" s="27"/>
      <c r="D6" s="27"/>
      <c r="E6" s="28"/>
      <c r="F6" s="26" t="s">
        <v>32</v>
      </c>
      <c r="G6" s="28"/>
      <c r="H6" s="16"/>
      <c r="I6" s="16"/>
      <c r="AA6" s="24"/>
      <c r="AK6" s="24"/>
      <c r="AO6" s="24"/>
    </row>
    <row r="7" customFormat="false" ht="12.75" hidden="false" customHeight="true" outlineLevel="0" collapsed="false">
      <c r="B7" s="29" t="s">
        <v>33</v>
      </c>
      <c r="C7" s="29"/>
      <c r="D7" s="29"/>
      <c r="E7" s="29"/>
      <c r="F7" s="30" t="s">
        <v>34</v>
      </c>
      <c r="G7" s="31"/>
      <c r="H7" s="16"/>
      <c r="I7" s="16"/>
      <c r="AK7" s="24"/>
      <c r="AO7" s="24"/>
    </row>
    <row r="8" customFormat="false" ht="12.75" hidden="false" customHeight="false" outlineLevel="0" collapsed="false">
      <c r="B8" s="29"/>
      <c r="C8" s="29"/>
      <c r="D8" s="29"/>
      <c r="E8" s="29"/>
      <c r="F8" s="30"/>
      <c r="G8" s="31"/>
      <c r="H8" s="16"/>
      <c r="I8" s="16"/>
      <c r="AK8" s="24"/>
      <c r="AO8" s="24"/>
    </row>
    <row r="9" customFormat="false" ht="12.75" hidden="false" customHeight="true" outlineLevel="0" collapsed="false">
      <c r="B9" s="29"/>
      <c r="C9" s="29"/>
      <c r="D9" s="29"/>
      <c r="E9" s="29"/>
      <c r="F9" s="30" t="s">
        <v>35</v>
      </c>
      <c r="G9" s="32"/>
      <c r="H9" s="16"/>
      <c r="I9" s="16"/>
      <c r="AA9" s="24" t="s">
        <v>36</v>
      </c>
      <c r="AK9" s="24"/>
      <c r="AL9" s="24"/>
      <c r="AO9" s="24"/>
    </row>
    <row r="10" customFormat="false" ht="12.75" hidden="false" customHeight="false" outlineLevel="0" collapsed="false">
      <c r="B10" s="29"/>
      <c r="C10" s="29"/>
      <c r="D10" s="29"/>
      <c r="E10" s="29"/>
      <c r="F10" s="30"/>
      <c r="G10" s="32"/>
      <c r="H10" s="16"/>
      <c r="I10" s="16"/>
      <c r="AA10" s="24" t="s">
        <v>37</v>
      </c>
      <c r="AK10" s="24"/>
      <c r="AL10" s="24"/>
    </row>
    <row r="11" customFormat="false" ht="51" hidden="false" customHeight="false" outlineLevel="0" collapsed="false">
      <c r="B11" s="29"/>
      <c r="C11" s="29"/>
      <c r="D11" s="29"/>
      <c r="E11" s="29"/>
      <c r="F11" s="30" t="s">
        <v>38</v>
      </c>
      <c r="G11" s="33" t="s">
        <v>39</v>
      </c>
      <c r="H11" s="16"/>
      <c r="I11" s="16"/>
      <c r="AK11" s="24"/>
      <c r="AL11" s="24"/>
    </row>
    <row r="12" customFormat="false" ht="38.25" hidden="false" customHeight="false" outlineLevel="0" collapsed="false">
      <c r="B12" s="29"/>
      <c r="C12" s="29"/>
      <c r="D12" s="29"/>
      <c r="E12" s="29"/>
      <c r="F12" s="30" t="s">
        <v>40</v>
      </c>
      <c r="G12" s="34"/>
      <c r="H12" s="16"/>
      <c r="I12" s="16"/>
      <c r="AK12" s="24"/>
      <c r="AL12" s="24"/>
    </row>
    <row r="13" customFormat="false" ht="12.75" hidden="false" customHeight="true" outlineLevel="0" collapsed="false">
      <c r="B13" s="29"/>
      <c r="C13" s="29"/>
      <c r="D13" s="29"/>
      <c r="E13" s="29"/>
      <c r="F13" s="35" t="s">
        <v>41</v>
      </c>
      <c r="G13" s="36"/>
      <c r="H13" s="16"/>
      <c r="I13" s="16"/>
      <c r="AJ13" s="37"/>
    </row>
    <row r="14" customFormat="false" ht="13.5" hidden="false" customHeight="false" outlineLevel="0" collapsed="false">
      <c r="B14" s="29"/>
      <c r="C14" s="29"/>
      <c r="D14" s="29"/>
      <c r="E14" s="29"/>
      <c r="F14" s="35"/>
      <c r="G14" s="36"/>
      <c r="H14" s="16"/>
      <c r="I14" s="16"/>
      <c r="AJ14" s="1"/>
      <c r="AN14" s="37"/>
      <c r="AO14" s="37"/>
    </row>
    <row r="15" s="1" customFormat="true" ht="13.5" hidden="false" customHeight="false" outlineLevel="0" collapsed="false">
      <c r="B15" s="5"/>
      <c r="E15" s="16"/>
      <c r="G15" s="16"/>
      <c r="H15" s="16"/>
      <c r="I15" s="16"/>
    </row>
    <row r="16" customFormat="false" ht="15.75" hidden="false" customHeight="true" outlineLevel="0" collapsed="false">
      <c r="B16" s="26" t="s">
        <v>42</v>
      </c>
      <c r="C16" s="27"/>
      <c r="D16" s="38"/>
      <c r="E16" s="16"/>
      <c r="F16" s="39" t="s">
        <v>43</v>
      </c>
      <c r="G16" s="40"/>
      <c r="H16" s="16"/>
      <c r="I16" s="16"/>
    </row>
    <row r="17" customFormat="false" ht="12.75" hidden="false" customHeight="true" outlineLevel="0" collapsed="false">
      <c r="B17" s="41" t="s">
        <v>44</v>
      </c>
      <c r="C17" s="42" t="s">
        <v>30</v>
      </c>
      <c r="D17" s="42"/>
      <c r="E17" s="16"/>
      <c r="F17" s="39"/>
      <c r="G17" s="43"/>
      <c r="H17" s="16"/>
      <c r="I17" s="16"/>
    </row>
    <row r="18" customFormat="false" ht="12.75" hidden="false" customHeight="true" outlineLevel="0" collapsed="false">
      <c r="B18" s="41" t="s">
        <v>45</v>
      </c>
      <c r="C18" s="44" t="s">
        <v>46</v>
      </c>
      <c r="D18" s="44"/>
      <c r="E18" s="16"/>
      <c r="F18" s="39"/>
      <c r="I18" s="16"/>
    </row>
    <row r="19" customFormat="false" ht="12.75" hidden="false" customHeight="true" outlineLevel="0" collapsed="false">
      <c r="B19" s="41" t="s">
        <v>47</v>
      </c>
      <c r="C19" s="44" t="s">
        <v>48</v>
      </c>
      <c r="D19" s="44"/>
      <c r="E19" s="16"/>
      <c r="F19" s="39"/>
      <c r="G19" s="43"/>
      <c r="H19" s="16"/>
      <c r="I19" s="16"/>
    </row>
    <row r="20" customFormat="false" ht="12.75" hidden="false" customHeight="true" outlineLevel="0" collapsed="false">
      <c r="B20" s="45" t="s">
        <v>49</v>
      </c>
      <c r="C20" s="46" t="n">
        <v>2</v>
      </c>
      <c r="D20" s="46"/>
      <c r="E20" s="16"/>
      <c r="F20" s="39"/>
      <c r="G20" s="43"/>
      <c r="H20" s="16"/>
      <c r="I20" s="16"/>
    </row>
    <row r="21" customFormat="false" ht="12.75" hidden="false" customHeight="true" outlineLevel="0" collapsed="false">
      <c r="B21" s="45" t="s">
        <v>50</v>
      </c>
      <c r="C21" s="46" t="n">
        <v>1</v>
      </c>
      <c r="D21" s="46"/>
      <c r="E21" s="16"/>
      <c r="F21" s="39"/>
      <c r="G21" s="43"/>
      <c r="H21" s="16"/>
      <c r="I21" s="16"/>
    </row>
    <row r="22" customFormat="false" ht="15" hidden="false" customHeight="false" outlineLevel="0" collapsed="false">
      <c r="B22" s="45" t="s">
        <v>51</v>
      </c>
      <c r="C22" s="47" t="n">
        <f aca="false">(C20*C21)</f>
        <v>2</v>
      </c>
      <c r="D22" s="47"/>
      <c r="E22" s="16"/>
      <c r="F22" s="39"/>
      <c r="G22" s="43"/>
      <c r="H22" s="16"/>
      <c r="I22" s="16"/>
      <c r="J22" s="1"/>
    </row>
    <row r="23" customFormat="false" ht="14.25" hidden="false" customHeight="true" outlineLevel="0" collapsed="false">
      <c r="B23" s="41" t="s">
        <v>52</v>
      </c>
      <c r="C23" s="46" t="n">
        <v>1</v>
      </c>
      <c r="D23" s="46"/>
      <c r="E23" s="16"/>
      <c r="F23" s="39"/>
      <c r="G23" s="43"/>
      <c r="H23" s="16"/>
      <c r="I23" s="16"/>
      <c r="J23" s="1"/>
    </row>
    <row r="24" customFormat="false" ht="15" hidden="false" customHeight="false" outlineLevel="0" collapsed="false">
      <c r="B24" s="41" t="s">
        <v>53</v>
      </c>
      <c r="C24" s="47" t="n">
        <f aca="false">(C22*C23)</f>
        <v>2</v>
      </c>
      <c r="D24" s="47"/>
      <c r="E24" s="16"/>
      <c r="F24" s="39"/>
      <c r="H24" s="16"/>
      <c r="I24" s="16"/>
      <c r="J24" s="1"/>
    </row>
    <row r="25" customFormat="false" ht="14.25" hidden="false" customHeight="true" outlineLevel="0" collapsed="false">
      <c r="B25" s="41" t="s">
        <v>54</v>
      </c>
      <c r="C25" s="46" t="n">
        <v>14</v>
      </c>
      <c r="D25" s="46"/>
      <c r="E25" s="16"/>
      <c r="F25" s="39"/>
      <c r="G25" s="43"/>
      <c r="H25" s="16"/>
      <c r="I25" s="16"/>
      <c r="J25" s="1"/>
    </row>
    <row r="26" customFormat="false" ht="14.25" hidden="false" customHeight="true" outlineLevel="0" collapsed="false">
      <c r="B26" s="41" t="s">
        <v>55</v>
      </c>
      <c r="C26" s="46" t="n">
        <v>10</v>
      </c>
      <c r="D26" s="46"/>
      <c r="E26" s="16"/>
      <c r="F26" s="39"/>
      <c r="G26" s="43"/>
      <c r="H26" s="16"/>
      <c r="I26" s="16"/>
      <c r="J26" s="1"/>
    </row>
    <row r="27" customFormat="false" ht="14.25" hidden="false" customHeight="true" outlineLevel="0" collapsed="false">
      <c r="B27" s="41" t="s">
        <v>56</v>
      </c>
      <c r="C27" s="46" t="n">
        <v>3</v>
      </c>
      <c r="D27" s="46"/>
      <c r="E27" s="16"/>
      <c r="F27" s="39"/>
      <c r="G27" s="43"/>
      <c r="H27" s="16"/>
      <c r="I27" s="16"/>
      <c r="J27" s="1"/>
    </row>
    <row r="28" customFormat="false" ht="15" hidden="false" customHeight="false" outlineLevel="0" collapsed="false">
      <c r="B28" s="41" t="s">
        <v>57</v>
      </c>
      <c r="C28" s="47" t="n">
        <f aca="false">(2^C27)</f>
        <v>8</v>
      </c>
      <c r="D28" s="47"/>
      <c r="E28" s="16"/>
      <c r="F28" s="48" t="s">
        <v>36</v>
      </c>
      <c r="G28" s="43"/>
      <c r="H28" s="16"/>
      <c r="I28" s="16"/>
      <c r="J28" s="1"/>
    </row>
    <row r="29" customFormat="false" ht="14.25" hidden="false" customHeight="true" outlineLevel="0" collapsed="false">
      <c r="B29" s="49" t="s">
        <v>58</v>
      </c>
      <c r="C29" s="50" t="n">
        <v>16</v>
      </c>
      <c r="D29" s="50"/>
      <c r="E29" s="16"/>
      <c r="F29" s="43"/>
      <c r="G29" s="43"/>
      <c r="H29" s="16"/>
      <c r="I29" s="16"/>
      <c r="J29" s="1"/>
    </row>
    <row r="30" customFormat="false" ht="14.25" hidden="false" customHeight="false" outlineLevel="0" collapsed="false">
      <c r="B30" s="49" t="s">
        <v>59</v>
      </c>
      <c r="C30" s="46" t="n">
        <v>533</v>
      </c>
      <c r="D30" s="46"/>
      <c r="E30" s="16"/>
      <c r="F30" s="43"/>
      <c r="G30" s="43"/>
      <c r="H30" s="16"/>
      <c r="I30" s="16"/>
      <c r="J30" s="1"/>
    </row>
    <row r="31" customFormat="false" ht="15.75" hidden="false" customHeight="false" outlineLevel="0" collapsed="false">
      <c r="B31" s="51" t="s">
        <v>60</v>
      </c>
      <c r="C31" s="52" t="n">
        <f aca="false">ROUNDDOWN((1/C30)*1000, 3)</f>
        <v>1.876</v>
      </c>
      <c r="D31" s="52"/>
      <c r="E31" s="16"/>
      <c r="F31" s="43"/>
      <c r="G31" s="43"/>
      <c r="H31" s="16"/>
      <c r="I31" s="16"/>
      <c r="J31" s="1"/>
      <c r="AJ31" s="1"/>
    </row>
    <row r="32" customFormat="false" ht="15" hidden="false" customHeight="false" outlineLevel="0" collapsed="false">
      <c r="B32" s="53" t="s">
        <v>61</v>
      </c>
      <c r="C32" s="54" t="s">
        <v>62</v>
      </c>
      <c r="D32" s="54"/>
      <c r="E32" s="16"/>
      <c r="F32" s="55"/>
      <c r="G32" s="55"/>
      <c r="H32" s="16"/>
      <c r="I32" s="16"/>
      <c r="J32" s="1"/>
      <c r="AJ32" s="1"/>
    </row>
    <row r="33" customFormat="false" ht="12.75" hidden="false" customHeight="false" outlineLevel="0" collapsed="false">
      <c r="B33" s="53" t="s">
        <v>63</v>
      </c>
      <c r="C33" s="56" t="n">
        <v>30790000</v>
      </c>
      <c r="D33" s="56"/>
      <c r="E33" s="16"/>
      <c r="F33" s="55"/>
      <c r="G33" s="55"/>
      <c r="H33" s="16"/>
      <c r="I33" s="16"/>
      <c r="J33" s="1"/>
      <c r="AJ33" s="1"/>
    </row>
    <row r="34" customFormat="false" ht="32.25" hidden="false" customHeight="true" outlineLevel="0" collapsed="false">
      <c r="B34" s="57" t="s">
        <v>64</v>
      </c>
      <c r="C34" s="57"/>
      <c r="D34" s="57"/>
      <c r="E34" s="16"/>
      <c r="F34" s="58"/>
      <c r="G34" s="59"/>
      <c r="H34" s="16"/>
      <c r="I34" s="16"/>
      <c r="J34" s="1"/>
      <c r="AJ34" s="1"/>
    </row>
    <row r="35" customFormat="false" ht="22.5" hidden="false" customHeight="true" outlineLevel="0" collapsed="false">
      <c r="B35" s="57" t="s">
        <v>65</v>
      </c>
      <c r="C35" s="57"/>
      <c r="D35" s="57"/>
      <c r="E35" s="16"/>
      <c r="F35" s="58"/>
      <c r="G35" s="59"/>
      <c r="H35" s="16"/>
      <c r="I35" s="16"/>
      <c r="J35" s="1"/>
      <c r="AJ35" s="1"/>
    </row>
    <row r="36" customFormat="false" ht="23.25" hidden="false" customHeight="true" outlineLevel="0" collapsed="false">
      <c r="B36" s="57" t="s">
        <v>66</v>
      </c>
      <c r="C36" s="57"/>
      <c r="D36" s="57"/>
      <c r="E36" s="16"/>
      <c r="F36" s="58"/>
      <c r="G36" s="59"/>
      <c r="H36" s="16"/>
      <c r="I36" s="16"/>
      <c r="J36" s="1"/>
      <c r="L36" s="60"/>
      <c r="M36" s="60"/>
      <c r="AJ36" s="1"/>
    </row>
    <row r="37" s="60" customFormat="true" ht="13.5" hidden="false" customHeight="false" outlineLevel="0" collapsed="false">
      <c r="B37" s="61"/>
      <c r="C37" s="61"/>
      <c r="D37" s="61"/>
      <c r="E37" s="62"/>
      <c r="F37" s="61"/>
      <c r="G37" s="63"/>
      <c r="H37" s="61"/>
      <c r="I37" s="61"/>
      <c r="L37" s="1"/>
      <c r="M37" s="1"/>
      <c r="AI37" s="64"/>
    </row>
    <row r="38" customFormat="false" ht="39" hidden="false" customHeight="false" outlineLevel="0" collapsed="false">
      <c r="B38" s="65" t="s">
        <v>67</v>
      </c>
      <c r="C38" s="65" t="s">
        <v>68</v>
      </c>
      <c r="D38" s="65" t="s">
        <v>69</v>
      </c>
      <c r="E38" s="65" t="s">
        <v>70</v>
      </c>
      <c r="F38" s="66" t="s">
        <v>71</v>
      </c>
      <c r="G38" s="67" t="s">
        <v>72</v>
      </c>
      <c r="H38" s="68" t="s">
        <v>73</v>
      </c>
      <c r="I38" s="68" t="s">
        <v>74</v>
      </c>
      <c r="J38" s="69"/>
      <c r="AJ38" s="1"/>
    </row>
    <row r="39" customFormat="false" ht="3" hidden="false" customHeight="true" outlineLevel="0" collapsed="false">
      <c r="B39" s="70"/>
      <c r="C39" s="70"/>
      <c r="D39" s="70"/>
      <c r="E39" s="70"/>
      <c r="F39" s="71"/>
      <c r="G39" s="72"/>
      <c r="H39" s="72"/>
      <c r="I39" s="72"/>
      <c r="J39" s="69"/>
      <c r="AJ39" s="1"/>
    </row>
    <row r="40" customFormat="false" ht="89.25" hidden="false" customHeight="true" outlineLevel="0" collapsed="false">
      <c r="B40" s="73" t="s">
        <v>75</v>
      </c>
      <c r="C40" s="74"/>
      <c r="D40" s="75" t="n">
        <f aca="false">IF(C23=1, 1, 3)</f>
        <v>1</v>
      </c>
      <c r="E40" s="76" t="str">
        <f aca="false">DEC2HEX(((D40)*2^24),8)</f>
        <v>01000000</v>
      </c>
      <c r="F40" s="77" t="s">
        <v>76</v>
      </c>
      <c r="G40" s="78" t="s">
        <v>77</v>
      </c>
      <c r="H40" s="78" t="str">
        <f aca="false">"0x"&amp;DEC2HEX((HEX2DEC(C32)), 8)</f>
        <v>0x307A0000</v>
      </c>
      <c r="I40" s="79" t="str">
        <f aca="false">"0x"&amp;DEC2HEX((HEX2DEC(E40)+HEX2DEC(E41)+HEX2DEC(E42)+HEX2DEC(E43)+HEX2DEC(E44)+HEX2DEC(E45)+HEX2DEC(E46)+HEX2DEC(E47)+HEX2DEC(E48)), 8)</f>
        <v>0x01021004</v>
      </c>
      <c r="J40" s="69"/>
    </row>
    <row r="41" customFormat="false" ht="111" hidden="false" customHeight="true" outlineLevel="0" collapsed="false">
      <c r="B41" s="80" t="s">
        <v>78</v>
      </c>
      <c r="C41" s="81" t="s">
        <v>79</v>
      </c>
      <c r="D41" s="82" t="n">
        <f aca="false">IF(C17="LPDDR2",2,4)</f>
        <v>2</v>
      </c>
      <c r="E41" s="83" t="str">
        <f aca="false">DEC2HEX(((D41)*2^16),8)</f>
        <v>00020000</v>
      </c>
      <c r="F41" s="84" t="s">
        <v>80</v>
      </c>
      <c r="G41" s="78"/>
      <c r="H41" s="78"/>
      <c r="I41" s="79"/>
      <c r="J41" s="85"/>
    </row>
    <row r="42" customFormat="false" ht="61.5" hidden="false" customHeight="true" outlineLevel="0" collapsed="false">
      <c r="B42" s="80" t="s">
        <v>81</v>
      </c>
      <c r="C42" s="81" t="s">
        <v>79</v>
      </c>
      <c r="D42" s="86" t="n">
        <v>0</v>
      </c>
      <c r="E42" s="83" t="str">
        <f aca="false">DEC2HEX(((D42)*2^15),8)</f>
        <v>00000000</v>
      </c>
      <c r="F42" s="84" t="s">
        <v>82</v>
      </c>
      <c r="G42" s="78"/>
      <c r="H42" s="78"/>
      <c r="I42" s="79"/>
      <c r="J42" s="69"/>
    </row>
    <row r="43" customFormat="false" ht="102" hidden="false" customHeight="false" outlineLevel="0" collapsed="false">
      <c r="B43" s="80" t="s">
        <v>83</v>
      </c>
      <c r="C43" s="81" t="s">
        <v>79</v>
      </c>
      <c r="D43" s="82" t="n">
        <f aca="false">IF(C29= 32, 0, 1)</f>
        <v>1</v>
      </c>
      <c r="E43" s="83" t="str">
        <f aca="false">DEC2HEX(((D43)*2^12),8)</f>
        <v>00001000</v>
      </c>
      <c r="F43" s="84" t="s">
        <v>84</v>
      </c>
      <c r="G43" s="78"/>
      <c r="H43" s="78"/>
      <c r="I43" s="79"/>
      <c r="J43" s="69"/>
    </row>
    <row r="44" customFormat="false" ht="76.5" hidden="false" customHeight="false" outlineLevel="0" collapsed="false">
      <c r="B44" s="80" t="s">
        <v>85</v>
      </c>
      <c r="C44" s="81" t="s">
        <v>79</v>
      </c>
      <c r="D44" s="86" t="n">
        <v>0</v>
      </c>
      <c r="E44" s="83" t="str">
        <f aca="false">DEC2HEX(((D44)*2^9),8)</f>
        <v>00000000</v>
      </c>
      <c r="F44" s="84" t="s">
        <v>86</v>
      </c>
      <c r="G44" s="78"/>
      <c r="H44" s="78"/>
      <c r="I44" s="79"/>
      <c r="J44" s="69"/>
    </row>
    <row r="45" customFormat="false" ht="51" hidden="false" customHeight="false" outlineLevel="0" collapsed="false">
      <c r="B45" s="80" t="s">
        <v>87</v>
      </c>
      <c r="C45" s="81" t="s">
        <v>79</v>
      </c>
      <c r="D45" s="86" t="n">
        <v>0</v>
      </c>
      <c r="E45" s="83" t="str">
        <f aca="false">DEC2HEX(((D45)*2^8),8)</f>
        <v>00000000</v>
      </c>
      <c r="F45" s="84" t="s">
        <v>88</v>
      </c>
      <c r="G45" s="78"/>
      <c r="H45" s="78"/>
      <c r="I45" s="79"/>
      <c r="J45" s="69"/>
    </row>
    <row r="46" customFormat="false" ht="89.25" hidden="false" customHeight="false" outlineLevel="0" collapsed="false">
      <c r="B46" s="80" t="s">
        <v>89</v>
      </c>
      <c r="C46" s="81" t="s">
        <v>79</v>
      </c>
      <c r="D46" s="87" t="n">
        <f aca="false">IF(C17 = "lpddr3",1,0)</f>
        <v>0</v>
      </c>
      <c r="E46" s="83" t="str">
        <f aca="false">DEC2HEX(((D46)*2^3),8)</f>
        <v>00000000</v>
      </c>
      <c r="F46" s="88" t="s">
        <v>90</v>
      </c>
      <c r="G46" s="78"/>
      <c r="H46" s="78"/>
      <c r="I46" s="79"/>
      <c r="J46" s="69"/>
    </row>
    <row r="47" customFormat="false" ht="89.25" hidden="false" customHeight="false" outlineLevel="0" collapsed="false">
      <c r="B47" s="80" t="s">
        <v>30</v>
      </c>
      <c r="C47" s="81" t="s">
        <v>79</v>
      </c>
      <c r="D47" s="87" t="n">
        <f aca="false">IF(C17 = "lpddr2",1,0)</f>
        <v>1</v>
      </c>
      <c r="E47" s="83" t="str">
        <f aca="false">DEC2HEX(((D47)*2^2),8)</f>
        <v>00000004</v>
      </c>
      <c r="F47" s="88" t="s">
        <v>91</v>
      </c>
      <c r="G47" s="78"/>
      <c r="H47" s="78"/>
      <c r="I47" s="79"/>
      <c r="J47" s="69"/>
    </row>
    <row r="48" customFormat="false" ht="90" hidden="false" customHeight="false" outlineLevel="0" collapsed="false">
      <c r="B48" s="89" t="s">
        <v>92</v>
      </c>
      <c r="C48" s="90" t="s">
        <v>79</v>
      </c>
      <c r="D48" s="91" t="n">
        <f aca="false">IF(C17 = "ddr3",1,0)</f>
        <v>0</v>
      </c>
      <c r="E48" s="92" t="str">
        <f aca="false">DEC2HEX(((D48)*2^0),8)</f>
        <v>00000000</v>
      </c>
      <c r="F48" s="93" t="s">
        <v>93</v>
      </c>
      <c r="G48" s="78"/>
      <c r="H48" s="78"/>
      <c r="I48" s="79"/>
      <c r="J48" s="69"/>
    </row>
    <row r="49" customFormat="false" ht="15.75" hidden="false" customHeight="false" outlineLevel="0" collapsed="false">
      <c r="B49" s="94"/>
      <c r="C49" s="95"/>
      <c r="D49" s="96"/>
      <c r="E49" s="97"/>
      <c r="F49" s="98"/>
      <c r="G49" s="94"/>
      <c r="H49" s="94"/>
      <c r="I49" s="94"/>
      <c r="J49" s="69"/>
    </row>
    <row r="50" customFormat="false" ht="13.5" hidden="false" customHeight="true" outlineLevel="0" collapsed="false">
      <c r="B50" s="99" t="s">
        <v>94</v>
      </c>
      <c r="C50" s="99"/>
      <c r="D50" s="99"/>
      <c r="E50" s="99"/>
      <c r="F50" s="99"/>
      <c r="G50" s="99"/>
      <c r="H50" s="99"/>
      <c r="I50" s="99"/>
      <c r="J50" s="69"/>
      <c r="K50" s="5"/>
    </row>
    <row r="51" customFormat="false" ht="51" hidden="false" customHeight="false" outlineLevel="0" collapsed="false">
      <c r="B51" s="73" t="s">
        <v>95</v>
      </c>
      <c r="C51" s="100" t="s">
        <v>79</v>
      </c>
      <c r="D51" s="101" t="n">
        <v>0</v>
      </c>
      <c r="E51" s="76" t="str">
        <f aca="false">DEC2HEX(((D51)*2^8),8)</f>
        <v>00000000</v>
      </c>
      <c r="F51" s="102" t="s">
        <v>96</v>
      </c>
      <c r="G51" s="103" t="s">
        <v>97</v>
      </c>
      <c r="H51" s="103" t="str">
        <f aca="false">"0x"&amp;DEC2HEX((HEX2DEC(C32)+512), 8)</f>
        <v>0x307A0200</v>
      </c>
      <c r="I51" s="104" t="str">
        <f aca="false">"0x"&amp;DEC2HEX((HEX2DEC(E51)+HEX2DEC(E52)), 8)</f>
        <v>0x0000001F</v>
      </c>
      <c r="J51" s="69"/>
      <c r="K51" s="5"/>
    </row>
    <row r="52" customFormat="false" ht="91.5" hidden="false" customHeight="true" outlineLevel="0" collapsed="false">
      <c r="B52" s="89" t="s">
        <v>98</v>
      </c>
      <c r="C52" s="90" t="s">
        <v>79</v>
      </c>
      <c r="D52" s="105" t="n">
        <f aca="false">IF(C23=1, 31, IF(C29=32, (C25+C26+C27-6), (C25+C26+C27-6 - 1)))</f>
        <v>31</v>
      </c>
      <c r="E52" s="92" t="str">
        <f aca="false">DEC2HEX(((D52)*2^0),8)</f>
        <v>0000001F</v>
      </c>
      <c r="F52" s="106" t="s">
        <v>99</v>
      </c>
      <c r="G52" s="103"/>
      <c r="H52" s="103"/>
      <c r="I52" s="104"/>
      <c r="J52" s="69"/>
      <c r="K52" s="5"/>
    </row>
    <row r="53" customFormat="false" ht="3" hidden="false" customHeight="true" outlineLevel="0" collapsed="false">
      <c r="B53" s="107"/>
      <c r="C53" s="108"/>
      <c r="D53" s="109"/>
      <c r="E53" s="110"/>
      <c r="F53" s="111"/>
      <c r="G53" s="97"/>
      <c r="H53" s="97"/>
      <c r="I53" s="112"/>
      <c r="J53" s="69"/>
      <c r="K53" s="5"/>
    </row>
    <row r="54" customFormat="false" ht="86.25" hidden="false" customHeight="true" outlineLevel="0" collapsed="false">
      <c r="B54" s="73" t="s">
        <v>100</v>
      </c>
      <c r="C54" s="100" t="s">
        <v>79</v>
      </c>
      <c r="D54" s="113" t="n">
        <f aca="false">IF(C27=3, D56, 31)</f>
        <v>7</v>
      </c>
      <c r="E54" s="76" t="str">
        <f aca="false">DEC2HEX(((D54)*2^16),8)</f>
        <v>00070000</v>
      </c>
      <c r="F54" s="102" t="s">
        <v>101</v>
      </c>
      <c r="G54" s="103" t="s">
        <v>102</v>
      </c>
      <c r="H54" s="103" t="str">
        <f aca="false">"0x"&amp;DEC2HEX((HEX2DEC(C32)+516), 8)</f>
        <v>0x307A0204</v>
      </c>
      <c r="I54" s="104" t="str">
        <f aca="false">"0x"&amp;DEC2HEX((HEX2DEC(E54)+HEX2DEC(E55)+HEX2DEC(E56)), 8)</f>
        <v>0x00070707</v>
      </c>
      <c r="J54" s="69"/>
      <c r="K54" s="5"/>
    </row>
    <row r="55" customFormat="false" ht="74.25" hidden="false" customHeight="true" outlineLevel="0" collapsed="false">
      <c r="B55" s="114" t="s">
        <v>103</v>
      </c>
      <c r="C55" s="81" t="s">
        <v>79</v>
      </c>
      <c r="D55" s="87" t="n">
        <f aca="false">D56</f>
        <v>7</v>
      </c>
      <c r="E55" s="83" t="str">
        <f aca="false">DEC2HEX(((D55)*2^8),8)</f>
        <v>00000700</v>
      </c>
      <c r="F55" s="115" t="s">
        <v>104</v>
      </c>
      <c r="G55" s="103"/>
      <c r="H55" s="103"/>
      <c r="I55" s="104"/>
      <c r="J55" s="69"/>
      <c r="K55" s="5"/>
    </row>
    <row r="56" customFormat="false" ht="76.5" hidden="false" customHeight="true" outlineLevel="0" collapsed="false">
      <c r="B56" s="89" t="s">
        <v>105</v>
      </c>
      <c r="C56" s="90" t="s">
        <v>79</v>
      </c>
      <c r="D56" s="91" t="n">
        <f aca="false">IF(C29=32, IF(F28="DISABLED", (C25+C26-2), (C26-2)), IF(F28="DISABLED", (C25+C26-2-1), (C26-2-1)))</f>
        <v>7</v>
      </c>
      <c r="E56" s="92" t="str">
        <f aca="false">DEC2HEX(((D56)*2^0),8)</f>
        <v>00000007</v>
      </c>
      <c r="F56" s="106" t="s">
        <v>106</v>
      </c>
      <c r="G56" s="103"/>
      <c r="H56" s="103"/>
      <c r="I56" s="104"/>
      <c r="J56" s="69"/>
      <c r="K56" s="5"/>
    </row>
    <row r="57" customFormat="false" ht="5.25" hidden="false" customHeight="true" outlineLevel="0" collapsed="false">
      <c r="B57" s="94"/>
      <c r="C57" s="95"/>
      <c r="D57" s="116"/>
      <c r="E57" s="97"/>
      <c r="F57" s="111"/>
      <c r="G57" s="117"/>
      <c r="H57" s="117"/>
      <c r="I57" s="117"/>
      <c r="J57" s="69"/>
      <c r="K57" s="5"/>
    </row>
    <row r="58" customFormat="false" ht="247.5" hidden="false" customHeight="false" outlineLevel="0" collapsed="false">
      <c r="B58" s="73" t="s">
        <v>107</v>
      </c>
      <c r="C58" s="100" t="s">
        <v>79</v>
      </c>
      <c r="D58" s="118" t="n">
        <f aca="false">IF(C29=32, IF(C26&gt;9, 0, 15), IF(C26&gt;10, 0, 15))</f>
        <v>15</v>
      </c>
      <c r="E58" s="76" t="str">
        <f aca="false">DEC2HEX(((D58)*2^24),8)</f>
        <v>0F000000</v>
      </c>
      <c r="F58" s="119" t="s">
        <v>108</v>
      </c>
      <c r="G58" s="120" t="s">
        <v>109</v>
      </c>
      <c r="H58" s="121" t="str">
        <f aca="false">"0x"&amp;DEC2HEX((HEX2DEC(C32)+524), 8)</f>
        <v>0x307A020C</v>
      </c>
      <c r="I58" s="104" t="str">
        <f aca="false">"0x"&amp;DEC2HEX((HEX2DEC(E58)+HEX2DEC(E59)+HEX2DEC(E60)+HEX2DEC(E61)), 8)</f>
        <v>0x0F000000</v>
      </c>
      <c r="J58" s="69"/>
      <c r="K58" s="5"/>
    </row>
    <row r="59" customFormat="false" ht="236.25" hidden="false" customHeight="false" outlineLevel="0" collapsed="false">
      <c r="B59" s="80" t="s">
        <v>110</v>
      </c>
      <c r="C59" s="81" t="s">
        <v>79</v>
      </c>
      <c r="D59" s="122" t="n">
        <f aca="false">IF(C29=32, IF(C26&gt;8, 0, 15), IF(C26&gt;9, 0, 15))</f>
        <v>0</v>
      </c>
      <c r="E59" s="83" t="str">
        <f aca="false">DEC2HEX(((D59)*2^16),8)</f>
        <v>00000000</v>
      </c>
      <c r="F59" s="123" t="s">
        <v>111</v>
      </c>
      <c r="G59" s="120"/>
      <c r="H59" s="120"/>
      <c r="I59" s="104"/>
      <c r="J59" s="69"/>
      <c r="K59" s="5"/>
    </row>
    <row r="60" customFormat="false" ht="146.25" hidden="false" customHeight="false" outlineLevel="0" collapsed="false">
      <c r="B60" s="80" t="s">
        <v>112</v>
      </c>
      <c r="C60" s="81" t="s">
        <v>79</v>
      </c>
      <c r="D60" s="122" t="n">
        <f aca="false">IF(C29=32, IF(C26&gt;7, 0, 15), IF(C26&gt;8, 0, 15))</f>
        <v>0</v>
      </c>
      <c r="E60" s="83" t="str">
        <f aca="false">DEC2HEX(((D60)*2^8),8)</f>
        <v>00000000</v>
      </c>
      <c r="F60" s="123" t="s">
        <v>113</v>
      </c>
      <c r="G60" s="120"/>
      <c r="H60" s="120"/>
      <c r="I60" s="104"/>
      <c r="J60" s="69"/>
      <c r="K60" s="5"/>
    </row>
    <row r="61" customFormat="false" ht="147" hidden="false" customHeight="false" outlineLevel="0" collapsed="false">
      <c r="B61" s="89" t="s">
        <v>114</v>
      </c>
      <c r="C61" s="90" t="s">
        <v>79</v>
      </c>
      <c r="D61" s="105" t="n">
        <f aca="false">IF(C29=32, IF(C26&gt;6, 0, 15), IF(C26&gt;7, 0, 15))</f>
        <v>0</v>
      </c>
      <c r="E61" s="92" t="str">
        <f aca="false">DEC2HEX(((D61)*2^0),8)</f>
        <v>00000000</v>
      </c>
      <c r="F61" s="124" t="s">
        <v>115</v>
      </c>
      <c r="G61" s="120"/>
      <c r="H61" s="120"/>
      <c r="I61" s="104"/>
      <c r="J61" s="69"/>
      <c r="K61" s="5"/>
    </row>
    <row r="62" customFormat="false" ht="6" hidden="false" customHeight="true" outlineLevel="0" collapsed="false">
      <c r="B62" s="94"/>
      <c r="C62" s="95"/>
      <c r="D62" s="116"/>
      <c r="E62" s="97"/>
      <c r="F62" s="111"/>
      <c r="G62" s="117"/>
      <c r="H62" s="117"/>
      <c r="I62" s="117"/>
      <c r="J62" s="69"/>
      <c r="K62" s="5"/>
    </row>
    <row r="63" customFormat="false" ht="100.5" hidden="false" customHeight="true" outlineLevel="0" collapsed="false">
      <c r="B63" s="73" t="s">
        <v>116</v>
      </c>
      <c r="C63" s="100" t="s">
        <v>79</v>
      </c>
      <c r="D63" s="75" t="n">
        <f aca="false">IF(C17="DDR3", IF(10&lt;C26,0,15), IF(11&lt;C26,0,15))</f>
        <v>15</v>
      </c>
      <c r="E63" s="76" t="str">
        <f aca="false">DEC2HEX(((D63)*2^8),8)</f>
        <v>00000F00</v>
      </c>
      <c r="F63" s="102" t="s">
        <v>117</v>
      </c>
      <c r="G63" s="120" t="s">
        <v>118</v>
      </c>
      <c r="H63" s="121" t="str">
        <f aca="false">"0x"&amp;DEC2HEX((HEX2DEC(C32)+528), 8)</f>
        <v>0x307A0210</v>
      </c>
      <c r="I63" s="125" t="str">
        <f aca="false">"0x"&amp;DEC2HEX((HEX2DEC(E63)+HEX2DEC(E64)), 8)</f>
        <v>0x00000F0F</v>
      </c>
      <c r="J63" s="69"/>
      <c r="K63" s="5"/>
    </row>
    <row r="64" customFormat="false" ht="99.75" hidden="false" customHeight="true" outlineLevel="0" collapsed="false">
      <c r="B64" s="89" t="s">
        <v>119</v>
      </c>
      <c r="C64" s="90" t="s">
        <v>79</v>
      </c>
      <c r="D64" s="91" t="n">
        <f aca="false">IF(C29=32, IF(C26&gt;10, 0, 15), IF(C26&gt;11, 0, 15))</f>
        <v>15</v>
      </c>
      <c r="E64" s="92" t="str">
        <f aca="false">DEC2HEX(((D64)*2^0),8)</f>
        <v>0000000F</v>
      </c>
      <c r="F64" s="106" t="s">
        <v>120</v>
      </c>
      <c r="G64" s="120"/>
      <c r="H64" s="120"/>
      <c r="I64" s="125"/>
      <c r="J64" s="69"/>
      <c r="K64" s="5"/>
    </row>
    <row r="65" customFormat="false" ht="3" hidden="false" customHeight="true" outlineLevel="0" collapsed="false">
      <c r="B65" s="107"/>
      <c r="C65" s="108"/>
      <c r="D65" s="109" t="n">
        <v>8</v>
      </c>
      <c r="E65" s="110"/>
      <c r="F65" s="98"/>
      <c r="G65" s="97"/>
      <c r="H65" s="97"/>
      <c r="I65" s="112"/>
      <c r="J65" s="69"/>
      <c r="K65" s="5"/>
    </row>
    <row r="66" customFormat="false" ht="93" hidden="false" customHeight="true" outlineLevel="0" collapsed="false">
      <c r="B66" s="73" t="s">
        <v>121</v>
      </c>
      <c r="C66" s="100" t="s">
        <v>79</v>
      </c>
      <c r="D66" s="75" t="n">
        <f aca="false">D69</f>
        <v>6</v>
      </c>
      <c r="E66" s="76" t="str">
        <f aca="false">DEC2HEX(((D66)*2^24),8)</f>
        <v>06000000</v>
      </c>
      <c r="F66" s="102" t="s">
        <v>122</v>
      </c>
      <c r="G66" s="103" t="s">
        <v>123</v>
      </c>
      <c r="H66" s="103" t="str">
        <f aca="false">"0x"&amp;DEC2HEX((HEX2DEC(C32)+532), 8)</f>
        <v>0x307A0214</v>
      </c>
      <c r="I66" s="104" t="str">
        <f aca="false">"0x"&amp;DEC2HEX((HEX2DEC(E66)+HEX2DEC(E67)+HEX2DEC(E68)+HEX2DEC(E69)), 8)</f>
        <v>0x06060606</v>
      </c>
      <c r="J66" s="69"/>
      <c r="K66" s="5"/>
    </row>
    <row r="67" customFormat="false" ht="114" hidden="false" customHeight="true" outlineLevel="0" collapsed="false">
      <c r="B67" s="80" t="s">
        <v>124</v>
      </c>
      <c r="C67" s="81" t="s">
        <v>79</v>
      </c>
      <c r="D67" s="87" t="n">
        <f aca="false">D69</f>
        <v>6</v>
      </c>
      <c r="E67" s="83" t="str">
        <f aca="false">DEC2HEX(((D67)*2^16),8)</f>
        <v>00060000</v>
      </c>
      <c r="F67" s="84" t="s">
        <v>125</v>
      </c>
      <c r="G67" s="103"/>
      <c r="H67" s="103"/>
      <c r="I67" s="104"/>
      <c r="J67" s="69"/>
      <c r="K67" s="5"/>
    </row>
    <row r="68" customFormat="false" ht="79.5" hidden="false" customHeight="true" outlineLevel="0" collapsed="false">
      <c r="B68" s="114" t="s">
        <v>126</v>
      </c>
      <c r="C68" s="81" t="s">
        <v>79</v>
      </c>
      <c r="D68" s="87" t="n">
        <f aca="false">D69</f>
        <v>6</v>
      </c>
      <c r="E68" s="83" t="str">
        <f aca="false">DEC2HEX(((D68)*2^8),8)</f>
        <v>00000600</v>
      </c>
      <c r="F68" s="115" t="s">
        <v>127</v>
      </c>
      <c r="G68" s="103"/>
      <c r="H68" s="103"/>
      <c r="I68" s="104"/>
      <c r="J68" s="69"/>
      <c r="K68" s="5"/>
    </row>
    <row r="69" customFormat="false" ht="92.25" hidden="false" customHeight="true" outlineLevel="0" collapsed="false">
      <c r="B69" s="89" t="s">
        <v>128</v>
      </c>
      <c r="C69" s="90" t="s">
        <v>79</v>
      </c>
      <c r="D69" s="91" t="n">
        <f aca="false">IF(C29=32, IF(F28="DISABLED", (C26-6), (C26+C27-6)), IF(F28="DISABLED", (C26-6-1), (C26+C27-6-1)))</f>
        <v>6</v>
      </c>
      <c r="E69" s="92" t="str">
        <f aca="false">DEC2HEX(((D69)*2^0),8)</f>
        <v>00000006</v>
      </c>
      <c r="F69" s="106" t="s">
        <v>129</v>
      </c>
      <c r="G69" s="103"/>
      <c r="H69" s="103"/>
      <c r="I69" s="104"/>
      <c r="J69" s="69"/>
      <c r="K69" s="5"/>
    </row>
    <row r="70" customFormat="false" ht="3" hidden="false" customHeight="true" outlineLevel="0" collapsed="false">
      <c r="B70" s="107"/>
      <c r="C70" s="108"/>
      <c r="D70" s="109"/>
      <c r="E70" s="110"/>
      <c r="F70" s="98"/>
      <c r="G70" s="97"/>
      <c r="H70" s="97"/>
      <c r="I70" s="112"/>
      <c r="J70" s="69"/>
      <c r="K70" s="5"/>
    </row>
    <row r="71" customFormat="false" ht="78.75" hidden="false" customHeight="true" outlineLevel="0" collapsed="false">
      <c r="B71" s="73" t="s">
        <v>130</v>
      </c>
      <c r="C71" s="100" t="s">
        <v>79</v>
      </c>
      <c r="D71" s="75" t="n">
        <f aca="false">IF((C22=6), 1, IF(C22=12,1,0))</f>
        <v>0</v>
      </c>
      <c r="E71" s="76" t="str">
        <f aca="false">DEC2HEX(((D71)*2^31),8)</f>
        <v>00000000</v>
      </c>
      <c r="F71" s="102" t="s">
        <v>131</v>
      </c>
      <c r="G71" s="103" t="s">
        <v>132</v>
      </c>
      <c r="H71" s="103" t="str">
        <f aca="false">"0x"&amp;DEC2HEX((HEX2DEC(C32)+536), 8)</f>
        <v>0x307A0218</v>
      </c>
      <c r="I71" s="104" t="str">
        <f aca="false">"0x"&amp;DEC2HEX((HEX2DEC(E71)+HEX2DEC(E72)+HEX2DEC(E73)+HEX2DEC(E74)+HEX2DEC(E75)), 8)</f>
        <v>0x0F0F0606</v>
      </c>
      <c r="J71" s="69"/>
      <c r="K71" s="5"/>
    </row>
    <row r="72" customFormat="false" ht="90" hidden="false" customHeight="true" outlineLevel="0" collapsed="false">
      <c r="B72" s="80" t="s">
        <v>133</v>
      </c>
      <c r="C72" s="81" t="s">
        <v>79</v>
      </c>
      <c r="D72" s="87" t="n">
        <f aca="false">IF(15&lt;C25,D69,15)</f>
        <v>15</v>
      </c>
      <c r="E72" s="83" t="str">
        <f aca="false">DEC2HEX(((D72)*2^24),8)</f>
        <v>0F000000</v>
      </c>
      <c r="F72" s="84" t="s">
        <v>134</v>
      </c>
      <c r="G72" s="103"/>
      <c r="H72" s="103"/>
      <c r="I72" s="104"/>
      <c r="J72" s="69"/>
      <c r="K72" s="5"/>
    </row>
    <row r="73" customFormat="false" ht="86.25" hidden="false" customHeight="true" outlineLevel="0" collapsed="false">
      <c r="B73" s="80" t="s">
        <v>135</v>
      </c>
      <c r="C73" s="81" t="s">
        <v>79</v>
      </c>
      <c r="D73" s="87" t="n">
        <f aca="false">IF(14&lt;C25,D69,15)</f>
        <v>15</v>
      </c>
      <c r="E73" s="83" t="str">
        <f aca="false">DEC2HEX(((D73)*2^16),8)</f>
        <v>000F0000</v>
      </c>
      <c r="F73" s="115" t="s">
        <v>136</v>
      </c>
      <c r="G73" s="103"/>
      <c r="H73" s="103"/>
      <c r="I73" s="104"/>
      <c r="J73" s="69"/>
      <c r="K73" s="5"/>
    </row>
    <row r="74" customFormat="false" ht="87" hidden="false" customHeight="true" outlineLevel="0" collapsed="false">
      <c r="B74" s="80" t="s">
        <v>137</v>
      </c>
      <c r="C74" s="81" t="s">
        <v>79</v>
      </c>
      <c r="D74" s="126" t="n">
        <f aca="false">IF(13&lt;C25,D69,15)</f>
        <v>6</v>
      </c>
      <c r="E74" s="83" t="str">
        <f aca="false">DEC2HEX(((D74)*2^8),8)</f>
        <v>00000600</v>
      </c>
      <c r="F74" s="115" t="s">
        <v>138</v>
      </c>
      <c r="G74" s="103"/>
      <c r="H74" s="103"/>
      <c r="I74" s="104"/>
      <c r="J74" s="69"/>
      <c r="K74" s="5"/>
    </row>
    <row r="75" customFormat="false" ht="89.25" hidden="false" customHeight="true" outlineLevel="0" collapsed="false">
      <c r="B75" s="89" t="s">
        <v>139</v>
      </c>
      <c r="C75" s="90" t="s">
        <v>79</v>
      </c>
      <c r="D75" s="91" t="n">
        <f aca="false">IF(12&lt;C25,D69,15)</f>
        <v>6</v>
      </c>
      <c r="E75" s="92" t="str">
        <f aca="false">DEC2HEX(((D75)*2^0),8)</f>
        <v>00000006</v>
      </c>
      <c r="F75" s="106" t="s">
        <v>140</v>
      </c>
      <c r="G75" s="103"/>
      <c r="H75" s="103"/>
      <c r="I75" s="104"/>
      <c r="J75" s="69"/>
      <c r="K75" s="5"/>
    </row>
    <row r="76" customFormat="false" ht="8.25" hidden="false" customHeight="true" outlineLevel="0" collapsed="false">
      <c r="B76" s="94"/>
      <c r="C76" s="95"/>
      <c r="D76" s="116"/>
      <c r="E76" s="97"/>
      <c r="F76" s="98"/>
      <c r="G76" s="97"/>
      <c r="H76" s="97"/>
      <c r="I76" s="112"/>
      <c r="J76" s="69"/>
      <c r="K76" s="5"/>
    </row>
    <row r="77" customFormat="false" ht="39" hidden="false" customHeight="false" outlineLevel="0" collapsed="false">
      <c r="B77" s="127" t="s">
        <v>141</v>
      </c>
      <c r="C77" s="127" t="s">
        <v>142</v>
      </c>
      <c r="D77" s="127" t="s">
        <v>143</v>
      </c>
      <c r="E77" s="127" t="s">
        <v>70</v>
      </c>
      <c r="F77" s="128" t="s">
        <v>71</v>
      </c>
      <c r="G77" s="129" t="s">
        <v>72</v>
      </c>
      <c r="H77" s="130" t="s">
        <v>144</v>
      </c>
      <c r="I77" s="130" t="s">
        <v>74</v>
      </c>
      <c r="J77" s="69"/>
      <c r="K77" s="5"/>
    </row>
    <row r="78" customFormat="false" ht="3" hidden="false" customHeight="true" outlineLevel="0" collapsed="false">
      <c r="B78" s="94"/>
      <c r="C78" s="95"/>
      <c r="D78" s="116"/>
      <c r="E78" s="97"/>
      <c r="F78" s="98"/>
      <c r="G78" s="97"/>
      <c r="H78" s="97"/>
      <c r="I78" s="112"/>
      <c r="J78" s="69"/>
      <c r="K78" s="5"/>
    </row>
    <row r="79" customFormat="false" ht="197.25" hidden="false" customHeight="true" outlineLevel="0" collapsed="false">
      <c r="B79" s="73" t="s">
        <v>145</v>
      </c>
      <c r="C79" s="131" t="n">
        <v>3900</v>
      </c>
      <c r="D79" s="75" t="n">
        <f aca="false">ROUNDDOWN(((C79/C31)/32/2), 0)</f>
        <v>32</v>
      </c>
      <c r="E79" s="76" t="str">
        <f aca="false">DEC2HEX(((D79)*2^16),8)</f>
        <v>00200000</v>
      </c>
      <c r="F79" s="132" t="s">
        <v>146</v>
      </c>
      <c r="G79" s="103" t="s">
        <v>147</v>
      </c>
      <c r="H79" s="103" t="str">
        <f aca="false">"0x"&amp;DEC2HEX((HEX2DEC(C32)+HEX2DEC(64)), 8)</f>
        <v>0x307A0064</v>
      </c>
      <c r="I79" s="104" t="str">
        <f aca="false">"0x"&amp;DEC2HEX((HEX2DEC(E79)+HEX2DEC(E80)), 8)</f>
        <v>0x00200023</v>
      </c>
      <c r="J79" s="69"/>
      <c r="K79" s="5"/>
    </row>
    <row r="80" customFormat="false" ht="186" hidden="false" customHeight="true" outlineLevel="0" collapsed="false">
      <c r="B80" s="89" t="s">
        <v>148</v>
      </c>
      <c r="C80" s="133" t="n">
        <v>130</v>
      </c>
      <c r="D80" s="91" t="n">
        <f aca="false">ROUNDUP((C80/C31/2),0)</f>
        <v>35</v>
      </c>
      <c r="E80" s="92" t="str">
        <f aca="false">DEC2HEX(((D80)*2^0),8)</f>
        <v>00000023</v>
      </c>
      <c r="F80" s="134" t="s">
        <v>149</v>
      </c>
      <c r="G80" s="103"/>
      <c r="H80" s="103"/>
      <c r="I80" s="104"/>
      <c r="J80" s="69"/>
      <c r="K80" s="5"/>
    </row>
    <row r="81" customFormat="false" ht="9" hidden="false" customHeight="true" outlineLevel="0" collapsed="false">
      <c r="B81" s="94"/>
      <c r="C81" s="95"/>
      <c r="D81" s="116"/>
      <c r="E81" s="97"/>
      <c r="F81" s="98"/>
      <c r="G81" s="97"/>
      <c r="H81" s="97"/>
      <c r="I81" s="112"/>
      <c r="J81" s="69"/>
      <c r="K81" s="5"/>
    </row>
    <row r="82" customFormat="false" ht="13.5" hidden="false" customHeight="true" outlineLevel="0" collapsed="false">
      <c r="B82" s="99" t="s">
        <v>150</v>
      </c>
      <c r="C82" s="99"/>
      <c r="D82" s="99"/>
      <c r="E82" s="99"/>
      <c r="F82" s="99"/>
      <c r="G82" s="99"/>
      <c r="H82" s="99"/>
      <c r="I82" s="99"/>
      <c r="J82" s="69"/>
      <c r="K82" s="5"/>
    </row>
    <row r="83" customFormat="false" ht="76.5" hidden="false" customHeight="false" outlineLevel="0" collapsed="false">
      <c r="B83" s="73" t="s">
        <v>151</v>
      </c>
      <c r="C83" s="100" t="str">
        <f aca="false">IF(C13="DDR3", 200000, "-")</f>
        <v>-</v>
      </c>
      <c r="D83" s="122" t="n">
        <f aca="false">IF(C17="LPDDR2", ROUNDUP((C30/32), 0), 0)</f>
        <v>17</v>
      </c>
      <c r="E83" s="76" t="str">
        <f aca="false">DEC2HEX(((D83)*2^8),8)</f>
        <v>00001100</v>
      </c>
      <c r="F83" s="77" t="s">
        <v>152</v>
      </c>
      <c r="G83" s="103" t="s">
        <v>153</v>
      </c>
      <c r="H83" s="103" t="str">
        <f aca="false">"0x"&amp;DEC2HEX((HEX2DEC(C32)+216), 8)</f>
        <v>0x307A00D8</v>
      </c>
      <c r="I83" s="104" t="str">
        <f aca="false">"0x"&amp;DEC2HEX((HEX2DEC(E83)+HEX2DEC(E84)), 8)</f>
        <v>0x00001105</v>
      </c>
      <c r="J83" s="69"/>
    </row>
    <row r="84" customFormat="false" ht="66" hidden="false" customHeight="true" outlineLevel="0" collapsed="false">
      <c r="B84" s="89" t="s">
        <v>154</v>
      </c>
      <c r="C84" s="90" t="s">
        <v>79</v>
      </c>
      <c r="D84" s="105" t="n">
        <f aca="false">IF(C17="LPDDR2", 5, 0)</f>
        <v>5</v>
      </c>
      <c r="E84" s="92" t="str">
        <f aca="false">DEC2HEX(((D84)*2^0),8)</f>
        <v>00000005</v>
      </c>
      <c r="F84" s="106" t="s">
        <v>155</v>
      </c>
      <c r="G84" s="103"/>
      <c r="H84" s="103"/>
      <c r="I84" s="104"/>
      <c r="J84" s="69"/>
    </row>
    <row r="85" s="136" customFormat="true" ht="19.5" hidden="false" customHeight="true" outlineLevel="0" collapsed="false">
      <c r="A85" s="58"/>
      <c r="B85" s="94"/>
      <c r="C85" s="95"/>
      <c r="D85" s="116"/>
      <c r="E85" s="97"/>
      <c r="F85" s="111"/>
      <c r="G85" s="117"/>
      <c r="H85" s="117"/>
      <c r="I85" s="117"/>
      <c r="J85" s="135"/>
      <c r="K85" s="58"/>
      <c r="L85" s="58"/>
      <c r="M85" s="58"/>
      <c r="N85" s="58"/>
      <c r="O85" s="58"/>
      <c r="P85" s="58"/>
      <c r="Q85" s="58"/>
      <c r="R85" s="58"/>
      <c r="S85" s="58"/>
      <c r="T85" s="58"/>
      <c r="U85" s="58"/>
      <c r="V85" s="58"/>
    </row>
    <row r="86" customFormat="false" ht="13.5" hidden="false" customHeight="true" outlineLevel="0" collapsed="false">
      <c r="B86" s="99" t="s">
        <v>156</v>
      </c>
      <c r="C86" s="99"/>
      <c r="D86" s="99"/>
      <c r="E86" s="99"/>
      <c r="F86" s="99"/>
      <c r="G86" s="99"/>
      <c r="H86" s="99"/>
      <c r="I86" s="99"/>
      <c r="J86" s="69"/>
      <c r="K86" s="5"/>
    </row>
    <row r="87" customFormat="false" ht="113.25" hidden="false" customHeight="true" outlineLevel="0" collapsed="false">
      <c r="B87" s="73" t="s">
        <v>157</v>
      </c>
      <c r="C87" s="100" t="str">
        <f aca="false">IF(C17="DDR3", 200000, "-")</f>
        <v>-</v>
      </c>
      <c r="D87" s="122" t="n">
        <f aca="false">IF(C17="DDR3", ROUNDUP((C87/C31/1024), 0), 1)</f>
        <v>1</v>
      </c>
      <c r="E87" s="76" t="str">
        <f aca="false">DEC2HEX(((D87)*2^16),8)</f>
        <v>00010000</v>
      </c>
      <c r="F87" s="77" t="s">
        <v>158</v>
      </c>
      <c r="G87" s="103" t="s">
        <v>159</v>
      </c>
      <c r="H87" s="103" t="str">
        <f aca="false">"0x"&amp;DEC2HEX((HEX2DEC(C32)+212), 8)</f>
        <v>0x307A00D4</v>
      </c>
      <c r="I87" s="104" t="str">
        <f aca="false">"0x"&amp;DEC2HEX((HEX2DEC(E87)+HEX2DEC(E88)+HEX2DEC(E89)), 8)</f>
        <v>0x00010000</v>
      </c>
      <c r="J87" s="69"/>
    </row>
    <row r="88" customFormat="false" ht="66" hidden="false" customHeight="true" outlineLevel="0" collapsed="false">
      <c r="B88" s="80" t="s">
        <v>160</v>
      </c>
      <c r="C88" s="81" t="s">
        <v>79</v>
      </c>
      <c r="D88" s="86" t="n">
        <v>0</v>
      </c>
      <c r="E88" s="83" t="str">
        <f aca="false">DEC2HEX(((D88)*2^8),8)</f>
        <v>00000000</v>
      </c>
      <c r="F88" s="84" t="s">
        <v>161</v>
      </c>
      <c r="G88" s="103"/>
      <c r="H88" s="103"/>
      <c r="I88" s="104"/>
      <c r="J88" s="69"/>
    </row>
    <row r="89" customFormat="false" ht="80.25" hidden="false" customHeight="true" outlineLevel="0" collapsed="false">
      <c r="B89" s="89" t="s">
        <v>162</v>
      </c>
      <c r="C89" s="90" t="s">
        <v>79</v>
      </c>
      <c r="D89" s="137" t="n">
        <v>0</v>
      </c>
      <c r="E89" s="92" t="str">
        <f aca="false">DEC2HEX(((D89)*2^0),8)</f>
        <v>00000000</v>
      </c>
      <c r="F89" s="106" t="s">
        <v>163</v>
      </c>
      <c r="G89" s="103"/>
      <c r="H89" s="103"/>
      <c r="I89" s="104"/>
      <c r="J89" s="69"/>
    </row>
    <row r="90" customFormat="false" ht="7.5" hidden="false" customHeight="true" outlineLevel="0" collapsed="false">
      <c r="B90" s="107"/>
      <c r="C90" s="108"/>
      <c r="D90" s="109"/>
      <c r="E90" s="110"/>
      <c r="F90" s="98"/>
      <c r="G90" s="97"/>
      <c r="H90" s="97"/>
      <c r="I90" s="112"/>
      <c r="J90" s="69"/>
    </row>
    <row r="91" customFormat="false" ht="127.5" hidden="false" customHeight="true" outlineLevel="0" collapsed="false">
      <c r="B91" s="73" t="s">
        <v>164</v>
      </c>
      <c r="C91" s="100" t="s">
        <v>79</v>
      </c>
      <c r="D91" s="101" t="n">
        <v>0</v>
      </c>
      <c r="E91" s="76" t="str">
        <f aca="false">DEC2HEX(((D91)*2^30),8)</f>
        <v>00000000</v>
      </c>
      <c r="F91" s="102" t="s">
        <v>165</v>
      </c>
      <c r="G91" s="103" t="s">
        <v>166</v>
      </c>
      <c r="H91" s="103" t="str">
        <f aca="false">"0x"&amp;DEC2HEX((HEX2DEC(C32)+208), 8)</f>
        <v>0x307A00D0</v>
      </c>
      <c r="I91" s="104" t="str">
        <f aca="false">"0x"&amp;DEC2HEX((HEX2DEC(E91)+HEX2DEC(E92)+HEX2DEC(E93)), 8)</f>
        <v>0x00350001</v>
      </c>
      <c r="J91" s="69"/>
    </row>
    <row r="92" customFormat="false" ht="153" hidden="false" customHeight="false" outlineLevel="0" collapsed="false">
      <c r="B92" s="80" t="s">
        <v>167</v>
      </c>
      <c r="C92" s="81" t="n">
        <f aca="false">IF(C17="DDR3", "-", 200000)</f>
        <v>200000</v>
      </c>
      <c r="D92" s="87" t="n">
        <f aca="false">IF(C17="DDR3", 2, ROUNDUP(((C92/C31)/2/1024),0))</f>
        <v>53</v>
      </c>
      <c r="E92" s="83" t="str">
        <f aca="false">DEC2HEX(((D92)*2^16),8)</f>
        <v>00350000</v>
      </c>
      <c r="F92" s="88" t="s">
        <v>168</v>
      </c>
      <c r="G92" s="103"/>
      <c r="H92" s="103"/>
      <c r="I92" s="104"/>
      <c r="J92" s="69"/>
    </row>
    <row r="93" customFormat="false" ht="141" hidden="false" customHeight="false" outlineLevel="0" collapsed="false">
      <c r="B93" s="89" t="s">
        <v>169</v>
      </c>
      <c r="C93" s="90" t="n">
        <f aca="false">IF(C17="DDR3", 500000, 100)</f>
        <v>100</v>
      </c>
      <c r="D93" s="91" t="n">
        <f aca="false">ROUNDUP(((C93/C31)/2/1024),0)</f>
        <v>1</v>
      </c>
      <c r="E93" s="92" t="str">
        <f aca="false">DEC2HEX(((D93)*2^0),8)</f>
        <v>00000001</v>
      </c>
      <c r="F93" s="93" t="s">
        <v>170</v>
      </c>
      <c r="G93" s="103"/>
      <c r="H93" s="103"/>
      <c r="I93" s="104"/>
      <c r="J93" s="69"/>
    </row>
    <row r="94" customFormat="false" ht="8.25" hidden="false" customHeight="true" outlineLevel="0" collapsed="false">
      <c r="B94" s="107"/>
      <c r="C94" s="108"/>
      <c r="D94" s="109"/>
      <c r="E94" s="110"/>
      <c r="F94" s="98"/>
      <c r="G94" s="97"/>
      <c r="H94" s="97"/>
      <c r="I94" s="112"/>
      <c r="J94" s="69"/>
    </row>
    <row r="95" customFormat="false" ht="102" hidden="false" customHeight="false" outlineLevel="0" collapsed="false">
      <c r="B95" s="73" t="s">
        <v>171</v>
      </c>
      <c r="C95" s="100" t="n">
        <f aca="false">IF(C17="DDR3", "-", 1000)</f>
        <v>1000</v>
      </c>
      <c r="D95" s="75" t="n">
        <f aca="false">IF(C17="DDR3", 16, ROUNDUP(((C95/C31)/32),0))</f>
        <v>17</v>
      </c>
      <c r="E95" s="76" t="str">
        <f aca="false">DEC2HEX(((D95)*2^16),8)</f>
        <v>00110000</v>
      </c>
      <c r="F95" s="77" t="s">
        <v>172</v>
      </c>
      <c r="G95" s="103" t="s">
        <v>173</v>
      </c>
      <c r="H95" s="103" t="str">
        <f aca="false">"0x"&amp;DEC2HEX((HEX2DEC(C32)+228), 8)</f>
        <v>0x307A00E4</v>
      </c>
      <c r="I95" s="104" t="str">
        <f aca="false">"0x"&amp;DEC2HEX((HEX2DEC(E95)+HEX2DEC(E96)), 8)</f>
        <v>0x00110006</v>
      </c>
      <c r="J95" s="69"/>
    </row>
    <row r="96" customFormat="false" ht="102.75" hidden="false" customHeight="false" outlineLevel="0" collapsed="false">
      <c r="B96" s="89" t="s">
        <v>174</v>
      </c>
      <c r="C96" s="90" t="n">
        <f aca="false">IF(C17="DDR3", "-", 10000)</f>
        <v>10000</v>
      </c>
      <c r="D96" s="91" t="n">
        <f aca="false">IF(C17="DDR3", 4, ROUNDUP(((C96/C31)/1024),0))</f>
        <v>6</v>
      </c>
      <c r="E96" s="92" t="str">
        <f aca="false">DEC2HEX(((D96)*2^0),8)</f>
        <v>00000006</v>
      </c>
      <c r="F96" s="93" t="s">
        <v>175</v>
      </c>
      <c r="G96" s="103"/>
      <c r="H96" s="103"/>
      <c r="I96" s="104"/>
      <c r="J96" s="69"/>
    </row>
    <row r="97" customFormat="false" ht="7.5" hidden="false" customHeight="true" outlineLevel="0" collapsed="false">
      <c r="B97" s="107"/>
      <c r="C97" s="108"/>
      <c r="D97" s="109"/>
      <c r="E97" s="110"/>
      <c r="F97" s="98"/>
      <c r="G97" s="97"/>
      <c r="H97" s="97"/>
      <c r="I97" s="112"/>
      <c r="J97" s="69"/>
    </row>
    <row r="98" customFormat="false" ht="13.5" hidden="false" customHeight="false" outlineLevel="0" collapsed="false">
      <c r="B98" s="138" t="s">
        <v>176</v>
      </c>
      <c r="C98" s="138"/>
      <c r="D98" s="138"/>
      <c r="E98" s="138"/>
      <c r="F98" s="138"/>
      <c r="G98" s="138"/>
      <c r="H98" s="138"/>
      <c r="I98" s="138"/>
      <c r="J98" s="69"/>
    </row>
    <row r="99" customFormat="false" ht="167.25" hidden="false" customHeight="true" outlineLevel="0" collapsed="false">
      <c r="B99" s="73" t="s">
        <v>177</v>
      </c>
      <c r="C99" s="100" t="s">
        <v>79</v>
      </c>
      <c r="D99" s="75" t="n">
        <f aca="false">(6/2)</f>
        <v>3</v>
      </c>
      <c r="E99" s="76" t="str">
        <f aca="false">DEC2HEX(((D99)*2^8),8)</f>
        <v>00000300</v>
      </c>
      <c r="F99" s="139" t="s">
        <v>178</v>
      </c>
      <c r="G99" s="103" t="s">
        <v>179</v>
      </c>
      <c r="H99" s="103" t="str">
        <f aca="false">"0x"&amp;DEC2HEX((HEX2DEC(C32)+244), 8)</f>
        <v>0x307A00F4</v>
      </c>
      <c r="I99" s="104" t="str">
        <f aca="false">"0x"&amp;DEC2HEX((HEX2DEC(E99)+HEX2DEC(E100)+HEX2DEC(E101)), 8)</f>
        <v>0x0000033F</v>
      </c>
      <c r="J99" s="69"/>
    </row>
    <row r="100" customFormat="false" ht="157.5" hidden="false" customHeight="true" outlineLevel="0" collapsed="false">
      <c r="B100" s="80" t="s">
        <v>180</v>
      </c>
      <c r="C100" s="81" t="s">
        <v>79</v>
      </c>
      <c r="D100" s="140" t="n">
        <f aca="false">(6/2)</f>
        <v>3</v>
      </c>
      <c r="E100" s="83" t="str">
        <f aca="false">DEC2HEX(((D100)*2^4),8)</f>
        <v>00000030</v>
      </c>
      <c r="F100" s="141" t="s">
        <v>181</v>
      </c>
      <c r="G100" s="103"/>
      <c r="H100" s="103"/>
      <c r="I100" s="104"/>
      <c r="J100" s="69"/>
    </row>
    <row r="101" customFormat="false" ht="304.5" hidden="false" customHeight="true" outlineLevel="0" collapsed="false">
      <c r="B101" s="89" t="s">
        <v>182</v>
      </c>
      <c r="C101" s="90" t="s">
        <v>79</v>
      </c>
      <c r="D101" s="137" t="n">
        <v>15</v>
      </c>
      <c r="E101" s="92" t="str">
        <f aca="false">DEC2HEX(((D101)*2^0),8)</f>
        <v>0000000F</v>
      </c>
      <c r="F101" s="142" t="s">
        <v>183</v>
      </c>
      <c r="G101" s="103"/>
      <c r="H101" s="103"/>
      <c r="I101" s="104"/>
      <c r="J101" s="69"/>
    </row>
    <row r="102" customFormat="false" ht="9" hidden="false" customHeight="true" outlineLevel="0" collapsed="false">
      <c r="B102" s="107"/>
      <c r="C102" s="108"/>
      <c r="D102" s="109"/>
      <c r="E102" s="110"/>
      <c r="F102" s="98"/>
      <c r="G102" s="97"/>
      <c r="H102" s="97"/>
      <c r="I102" s="112"/>
      <c r="J102" s="69"/>
    </row>
    <row r="103" customFormat="false" ht="210.75" hidden="false" customHeight="true" outlineLevel="0" collapsed="false">
      <c r="B103" s="73" t="s">
        <v>184</v>
      </c>
      <c r="C103" s="131" t="n">
        <v>15</v>
      </c>
      <c r="D103" s="143" t="n">
        <f aca="false">ROUNDDOWN((C114+D41+  IF((ROUNDUP((C103/C31), 0))&lt;4, 4, (ROUNDUP((C103/C31), 0))))/2, 0) + IF(C17="LPDDR3", 1, IF(C17="LPDDR2", 1, 0))</f>
        <v>8</v>
      </c>
      <c r="E103" s="76" t="str">
        <f aca="false">DEC2HEX(((D103)*2^24),8)</f>
        <v>08000000</v>
      </c>
      <c r="F103" s="77" t="s">
        <v>185</v>
      </c>
      <c r="G103" s="103" t="s">
        <v>186</v>
      </c>
      <c r="H103" s="103" t="str">
        <f aca="false">"0x"&amp;DEC2HEX((HEX2DEC(C32)+256), 8)</f>
        <v>0x307A0100</v>
      </c>
      <c r="I103" s="104" t="str">
        <f aca="false">"0x"&amp;DEC2HEX((HEX2DEC(E103)+HEX2DEC(E104)+HEX2DEC(E105)+HEX2DEC(E106)), 8)</f>
        <v>0x080E110B</v>
      </c>
      <c r="J103" s="85"/>
      <c r="K103" s="5"/>
    </row>
    <row r="104" customFormat="false" ht="153" hidden="false" customHeight="false" outlineLevel="0" collapsed="false">
      <c r="B104" s="144" t="s">
        <v>187</v>
      </c>
      <c r="C104" s="145" t="n">
        <v>50</v>
      </c>
      <c r="D104" s="87" t="n">
        <f aca="false">IF(ROUNDUP(((C104/C31)/2),0) &lt; 4, 4, ROUNDUP(((C104/C31)/2),0))</f>
        <v>14</v>
      </c>
      <c r="E104" s="146" t="str">
        <f aca="false">DEC2HEX(((D104)*2^16),8)</f>
        <v>000E0000</v>
      </c>
      <c r="F104" s="147" t="s">
        <v>188</v>
      </c>
      <c r="G104" s="103"/>
      <c r="H104" s="103"/>
      <c r="I104" s="104"/>
      <c r="J104" s="69"/>
      <c r="K104" s="5"/>
    </row>
    <row r="105" customFormat="false" ht="204" hidden="false" customHeight="false" outlineLevel="0" collapsed="false">
      <c r="B105" s="80" t="s">
        <v>189</v>
      </c>
      <c r="C105" s="148" t="n">
        <v>70000</v>
      </c>
      <c r="D105" s="126" t="n">
        <f aca="false">ROUNDDOWN(((C105/C31/1024 - 1)/2),0)</f>
        <v>17</v>
      </c>
      <c r="E105" s="83" t="str">
        <f aca="false">IF(D105=0, 1,DEC2HEX(((D105)*2^8),8))</f>
        <v>00001100</v>
      </c>
      <c r="F105" s="88" t="s">
        <v>190</v>
      </c>
      <c r="G105" s="103"/>
      <c r="H105" s="103"/>
      <c r="I105" s="104"/>
      <c r="J105" s="69"/>
      <c r="K105" s="5"/>
    </row>
    <row r="106" customFormat="false" ht="102.75" hidden="false" customHeight="false" outlineLevel="0" collapsed="false">
      <c r="B106" s="89" t="s">
        <v>191</v>
      </c>
      <c r="C106" s="133" t="n">
        <v>42</v>
      </c>
      <c r="D106" s="91" t="n">
        <f aca="false">IF(ROUNDDOWN((ROUNDUP(C106/C31,0)/2),0) &lt; 2, 2, ROUNDDOWN((ROUNDUP(C106/C31,0)/2),0))</f>
        <v>11</v>
      </c>
      <c r="E106" s="92" t="str">
        <f aca="false">DEC2HEX(((D106)*2^0),8)</f>
        <v>0000000B</v>
      </c>
      <c r="F106" s="93" t="s">
        <v>192</v>
      </c>
      <c r="G106" s="103"/>
      <c r="H106" s="103"/>
      <c r="I106" s="104"/>
      <c r="J106" s="69"/>
    </row>
    <row r="107" customFormat="false" ht="10.5" hidden="false" customHeight="true" outlineLevel="0" collapsed="false">
      <c r="B107" s="107"/>
      <c r="C107" s="108"/>
      <c r="D107" s="109"/>
      <c r="E107" s="110"/>
      <c r="F107" s="98"/>
      <c r="G107" s="97"/>
      <c r="H107" s="97"/>
      <c r="I107" s="112"/>
      <c r="J107" s="69"/>
    </row>
    <row r="108" customFormat="false" ht="178.5" hidden="false" customHeight="false" outlineLevel="0" collapsed="false">
      <c r="B108" s="73" t="s">
        <v>193</v>
      </c>
      <c r="C108" s="131" t="n">
        <v>7.5</v>
      </c>
      <c r="D108" s="75" t="n">
        <f aca="false">IF(ROUNDUP((C108/C31)/2, 0) &lt; 2, 2, ROUNDUP((C108/C31)/2, 0))</f>
        <v>2</v>
      </c>
      <c r="E108" s="76" t="str">
        <f aca="false">DEC2HEX(((D108)*2^16),8)</f>
        <v>00020000</v>
      </c>
      <c r="F108" s="132" t="s">
        <v>194</v>
      </c>
      <c r="G108" s="103" t="s">
        <v>195</v>
      </c>
      <c r="H108" s="103" t="str">
        <f aca="false">"0x"&amp;DEC2HEX((HEX2DEC(C32)+260), 8)</f>
        <v>0x307A0104</v>
      </c>
      <c r="I108" s="104" t="str">
        <f aca="false">"0x"&amp;DEC2HEX((HEX2DEC(E108)+HEX2DEC(E109)+HEX2DEC(E110)), 8)</f>
        <v>0x00020211</v>
      </c>
      <c r="J108" s="69"/>
    </row>
    <row r="109" customFormat="false" ht="141.75" hidden="false" customHeight="true" outlineLevel="0" collapsed="false">
      <c r="B109" s="80" t="s">
        <v>196</v>
      </c>
      <c r="C109" s="149" t="n">
        <v>7.5</v>
      </c>
      <c r="D109" s="87" t="n">
        <f aca="false">IF((ROUNDUP(((C109/C31)),0)/2)&lt;2,2,(ROUNDUP(((C109/C31)),0)/2))</f>
        <v>2</v>
      </c>
      <c r="E109" s="83" t="str">
        <f aca="false">DEC2HEX(((D109)*2^8),8)</f>
        <v>00000200</v>
      </c>
      <c r="F109" s="150" t="s">
        <v>197</v>
      </c>
      <c r="G109" s="103"/>
      <c r="H109" s="103"/>
      <c r="I109" s="104"/>
      <c r="J109" s="151"/>
    </row>
    <row r="110" customFormat="false" ht="115.5" hidden="false" customHeight="true" outlineLevel="0" collapsed="false">
      <c r="B110" s="80" t="s">
        <v>198</v>
      </c>
      <c r="C110" s="152" t="n">
        <f aca="false">C106+C126</f>
        <v>63</v>
      </c>
      <c r="D110" s="105" t="n">
        <f aca="false">IF(C17="DDR3",  ROUNDUP(((C111/C31)/2),0), IF(ROUNDUP(((C110/C31)/2),0)&lt;3, 3, ROUNDUP(((C110/C31)/2),0)) )</f>
        <v>17</v>
      </c>
      <c r="E110" s="92" t="str">
        <f aca="false">DEC2HEX(((D110)*2^0),8)</f>
        <v>00000011</v>
      </c>
      <c r="F110" s="134" t="s">
        <v>199</v>
      </c>
      <c r="G110" s="103"/>
      <c r="H110" s="103"/>
      <c r="I110" s="104"/>
      <c r="J110" s="69"/>
    </row>
    <row r="111" customFormat="false" ht="13.5" hidden="false" customHeight="false" outlineLevel="0" collapsed="false">
      <c r="B111" s="89" t="s">
        <v>200</v>
      </c>
      <c r="C111" s="153" t="n">
        <v>48.75</v>
      </c>
      <c r="D111" s="105"/>
      <c r="E111" s="92"/>
      <c r="F111" s="134"/>
      <c r="G111" s="103"/>
      <c r="H111" s="103"/>
      <c r="I111" s="104"/>
      <c r="J111" s="69"/>
    </row>
    <row r="112" customFormat="false" ht="13.5" hidden="false" customHeight="false" outlineLevel="0" collapsed="false">
      <c r="B112" s="94"/>
      <c r="C112" s="154"/>
      <c r="D112" s="116"/>
      <c r="E112" s="97"/>
      <c r="F112" s="98"/>
      <c r="G112" s="117"/>
      <c r="H112" s="117"/>
      <c r="I112" s="117"/>
      <c r="J112" s="69"/>
    </row>
    <row r="113" customFormat="false" ht="51.75" hidden="false" customHeight="false" outlineLevel="0" collapsed="false">
      <c r="B113" s="127" t="s">
        <v>141</v>
      </c>
      <c r="C113" s="130" t="s">
        <v>201</v>
      </c>
      <c r="D113" s="155" t="s">
        <v>202</v>
      </c>
      <c r="E113" s="127" t="s">
        <v>70</v>
      </c>
      <c r="F113" s="128" t="s">
        <v>71</v>
      </c>
      <c r="G113" s="129" t="s">
        <v>72</v>
      </c>
      <c r="H113" s="130" t="s">
        <v>144</v>
      </c>
      <c r="I113" s="130" t="s">
        <v>74</v>
      </c>
      <c r="J113" s="69"/>
    </row>
    <row r="114" customFormat="false" ht="199.5" hidden="false" customHeight="true" outlineLevel="0" collapsed="false">
      <c r="B114" s="73" t="s">
        <v>203</v>
      </c>
      <c r="C114" s="156" t="n">
        <f aca="false">IF(C17="LPDDR2", 4, 6)</f>
        <v>4</v>
      </c>
      <c r="D114" s="75" t="n">
        <f aca="false">ROUNDUP((C114/2), 0)</f>
        <v>2</v>
      </c>
      <c r="E114" s="76" t="str">
        <f aca="false">DEC2HEX(((D114)*2^24),8)</f>
        <v>02000000</v>
      </c>
      <c r="F114" s="77" t="s">
        <v>204</v>
      </c>
      <c r="G114" s="103" t="s">
        <v>205</v>
      </c>
      <c r="H114" s="103" t="str">
        <f aca="false">"0x"&amp;DEC2HEX((HEX2DEC(C32)+264), 8)</f>
        <v>0x307A0108</v>
      </c>
      <c r="I114" s="104" t="str">
        <f aca="false">"0x"&amp;DEC2HEX((HEX2DEC(E114)+HEX2DEC(E115)+HEX2DEC(E116)+HEX2DEC(E117)), 8)</f>
        <v>0x02040706</v>
      </c>
      <c r="J114" s="85"/>
    </row>
    <row r="115" customFormat="false" ht="192" hidden="false" customHeight="true" outlineLevel="0" collapsed="false">
      <c r="B115" s="144" t="s">
        <v>206</v>
      </c>
      <c r="C115" s="157" t="n">
        <f aca="false">IF(C17="DDR3", 7, IF(C17="LPDDR3", 12, 8))</f>
        <v>8</v>
      </c>
      <c r="D115" s="87" t="n">
        <f aca="false">ROUNDUP((C115/2), 0)</f>
        <v>4</v>
      </c>
      <c r="E115" s="146" t="str">
        <f aca="false">DEC2HEX(((D115)*2^16),8)</f>
        <v>00040000</v>
      </c>
      <c r="F115" s="147" t="s">
        <v>207</v>
      </c>
      <c r="G115" s="103"/>
      <c r="H115" s="103"/>
      <c r="I115" s="104"/>
      <c r="J115" s="85"/>
    </row>
    <row r="116" customFormat="false" ht="204.75" hidden="false" customHeight="true" outlineLevel="0" collapsed="false">
      <c r="B116" s="80" t="s">
        <v>208</v>
      </c>
      <c r="C116" s="158" t="n">
        <v>10</v>
      </c>
      <c r="D116" s="159" t="n">
        <f aca="false">IF(C17="DDR3", ROUNDUP((C115+D41+2-C114)/2,0), ROUNDUP((C115+D41+ROUNDUP(C116/C31, 0)+1-C114)/2, 0))</f>
        <v>7</v>
      </c>
      <c r="E116" s="83" t="str">
        <f aca="false">DEC2HEX(((D116)*2^8),8)</f>
        <v>00000700</v>
      </c>
      <c r="F116" s="88" t="s">
        <v>209</v>
      </c>
      <c r="G116" s="103"/>
      <c r="H116" s="103"/>
      <c r="I116" s="104"/>
      <c r="J116" s="85"/>
    </row>
    <row r="117" customFormat="false" ht="230.25" hidden="false" customHeight="false" outlineLevel="0" collapsed="false">
      <c r="B117" s="160" t="s">
        <v>210</v>
      </c>
      <c r="C117" s="153" t="n">
        <v>4</v>
      </c>
      <c r="D117" s="105" t="n">
        <f aca="false">ROUNDUP((C114+D41+C117 + IF(C17="DDR3", 0, 1))/2, 0)</f>
        <v>6</v>
      </c>
      <c r="E117" s="161" t="str">
        <f aca="false">DEC2HEX(((D117)*2^0),8)</f>
        <v>00000006</v>
      </c>
      <c r="F117" s="162" t="s">
        <v>211</v>
      </c>
      <c r="G117" s="103"/>
      <c r="H117" s="103"/>
      <c r="I117" s="104"/>
      <c r="J117" s="85"/>
      <c r="K117" s="5"/>
    </row>
    <row r="118" customFormat="false" ht="6" hidden="false" customHeight="true" outlineLevel="0" collapsed="false">
      <c r="B118" s="107"/>
      <c r="C118" s="108"/>
      <c r="D118" s="109"/>
      <c r="E118" s="110"/>
      <c r="F118" s="98"/>
      <c r="G118" s="97"/>
      <c r="H118" s="97"/>
      <c r="I118" s="112"/>
      <c r="J118" s="69"/>
    </row>
    <row r="119" customFormat="false" ht="105" hidden="false" customHeight="true" outlineLevel="0" collapsed="false">
      <c r="B119" s="73" t="s">
        <v>212</v>
      </c>
      <c r="C119" s="100" t="s">
        <v>79</v>
      </c>
      <c r="D119" s="118" t="n">
        <f aca="false">+IF(C17 = "lpddr3",10,0)+IF(C17 = "lpddr2",5,0)</f>
        <v>5</v>
      </c>
      <c r="E119" s="76" t="str">
        <f aca="false">DEC2HEX(((D119)*2^20),8)</f>
        <v>00500000</v>
      </c>
      <c r="F119" s="163" t="s">
        <v>213</v>
      </c>
      <c r="G119" s="103" t="s">
        <v>214</v>
      </c>
      <c r="H119" s="103" t="str">
        <f aca="false">"0x"&amp;DEC2HEX((HEX2DEC(C32)+268), 8)</f>
        <v>0x307A010C</v>
      </c>
      <c r="I119" s="104" t="str">
        <f aca="false">"0x"&amp;DEC2HEX((HEX2DEC(E119)+HEX2DEC(E120)+HEX2DEC(E121)), 8)</f>
        <v>0x00504000</v>
      </c>
      <c r="J119" s="69"/>
    </row>
    <row r="120" customFormat="false" ht="153" hidden="false" customHeight="false" outlineLevel="0" collapsed="false">
      <c r="B120" s="164" t="s">
        <v>215</v>
      </c>
      <c r="C120" s="149" t="n">
        <v>10</v>
      </c>
      <c r="D120" s="165" t="n">
        <f aca="false">IF(C17="LPDDR2",4,ROUNDUP(((C120/2)),0))</f>
        <v>4</v>
      </c>
      <c r="E120" s="83" t="str">
        <f aca="false">DEC2HEX(((D120)*2^12),8)</f>
        <v>00004000</v>
      </c>
      <c r="F120" s="166" t="s">
        <v>216</v>
      </c>
      <c r="G120" s="103"/>
      <c r="H120" s="103"/>
      <c r="I120" s="104"/>
      <c r="J120" s="69"/>
    </row>
    <row r="121" customFormat="false" ht="166.5" hidden="false" customHeight="false" outlineLevel="0" collapsed="false">
      <c r="B121" s="167" t="s">
        <v>217</v>
      </c>
      <c r="C121" s="133" t="n">
        <v>24</v>
      </c>
      <c r="D121" s="91" t="n">
        <f aca="false">IF(C17="DDR3",ROUNDUP(((C121/2)),0),IF(C17="LPDDR3",12,0))</f>
        <v>0</v>
      </c>
      <c r="E121" s="92" t="str">
        <f aca="false">DEC2HEX(((D121)*2^0),8)</f>
        <v>00000000</v>
      </c>
      <c r="F121" s="168" t="s">
        <v>218</v>
      </c>
      <c r="G121" s="103"/>
      <c r="H121" s="103"/>
      <c r="I121" s="104"/>
      <c r="J121" s="69"/>
    </row>
    <row r="122" customFormat="false" ht="13.5" hidden="false" customHeight="true" outlineLevel="0" collapsed="false">
      <c r="B122" s="107"/>
      <c r="C122" s="108"/>
      <c r="D122" s="109"/>
      <c r="E122" s="110"/>
      <c r="F122" s="98"/>
      <c r="G122" s="97"/>
      <c r="H122" s="97"/>
      <c r="I122" s="112"/>
      <c r="J122" s="69"/>
    </row>
    <row r="123" customFormat="false" ht="165.75" hidden="false" customHeight="false" outlineLevel="0" collapsed="false">
      <c r="B123" s="73" t="s">
        <v>219</v>
      </c>
      <c r="C123" s="131" t="n">
        <v>18</v>
      </c>
      <c r="D123" s="75" t="n">
        <f aca="false">IF(ROUNDUP(((C123/C31)/2),0)&lt;2, 2, ROUNDUP(((C123/C31)/2),0))</f>
        <v>5</v>
      </c>
      <c r="E123" s="76" t="str">
        <f aca="false">DEC2HEX(((D123)*2^24),8)</f>
        <v>05000000</v>
      </c>
      <c r="F123" s="77" t="s">
        <v>220</v>
      </c>
      <c r="G123" s="103" t="s">
        <v>221</v>
      </c>
      <c r="H123" s="103" t="str">
        <f aca="false">"0x"&amp;DEC2HEX((HEX2DEC(C32)+272), 8)</f>
        <v>0x307A0110</v>
      </c>
      <c r="I123" s="104" t="str">
        <f aca="false">"0x"&amp;DEC2HEX((HEX2DEC(E123)+HEX2DEC(E124)+HEX2DEC(E125)+HEX2DEC(E126)), 8)</f>
        <v>0x05010307</v>
      </c>
      <c r="J123" s="69"/>
    </row>
    <row r="124" customFormat="false" ht="114.75" hidden="false" customHeight="false" outlineLevel="0" collapsed="false">
      <c r="B124" s="80" t="s">
        <v>222</v>
      </c>
      <c r="C124" s="149" t="n">
        <v>2</v>
      </c>
      <c r="D124" s="87" t="n">
        <f aca="false">ROUNDUP((C124/2), 0)</f>
        <v>1</v>
      </c>
      <c r="E124" s="83" t="str">
        <f aca="false">DEC2HEX(((D124)*2^16),8)</f>
        <v>00010000</v>
      </c>
      <c r="F124" s="88" t="s">
        <v>223</v>
      </c>
      <c r="G124" s="103"/>
      <c r="H124" s="103"/>
      <c r="I124" s="104"/>
      <c r="J124" s="69"/>
    </row>
    <row r="125" customFormat="false" ht="114.75" hidden="false" customHeight="false" outlineLevel="0" collapsed="false">
      <c r="B125" s="114" t="s">
        <v>224</v>
      </c>
      <c r="C125" s="149" t="n">
        <v>10</v>
      </c>
      <c r="D125" s="126" t="n">
        <f aca="false">ROUNDUP(((C125/C31)/2),0)</f>
        <v>3</v>
      </c>
      <c r="E125" s="83" t="str">
        <f aca="false">DEC2HEX(((D125)*2^8),8)</f>
        <v>00000300</v>
      </c>
      <c r="F125" s="169" t="s">
        <v>225</v>
      </c>
      <c r="G125" s="103"/>
      <c r="H125" s="103"/>
      <c r="I125" s="104"/>
      <c r="J125" s="69"/>
    </row>
    <row r="126" customFormat="false" ht="115.5" hidden="false" customHeight="false" outlineLevel="0" collapsed="false">
      <c r="B126" s="89" t="s">
        <v>226</v>
      </c>
      <c r="C126" s="133" t="n">
        <v>21</v>
      </c>
      <c r="D126" s="91" t="n">
        <f aca="false">ROUNDDOWN(( IF(ROUNDUP((C126/C31)/2, 0) &lt; 2, 2, ROUNDUP((C126/C31)/2, 0)) +1), 0)</f>
        <v>7</v>
      </c>
      <c r="E126" s="92" t="str">
        <f aca="false">DEC2HEX(((D126)*2^0),8)</f>
        <v>00000007</v>
      </c>
      <c r="F126" s="93" t="s">
        <v>227</v>
      </c>
      <c r="G126" s="103"/>
      <c r="H126" s="103"/>
      <c r="I126" s="104"/>
      <c r="J126" s="69"/>
    </row>
    <row r="127" customFormat="false" ht="13.5" hidden="false" customHeight="true" outlineLevel="0" collapsed="false">
      <c r="B127" s="107"/>
      <c r="C127" s="108"/>
      <c r="D127" s="109"/>
      <c r="E127" s="110"/>
      <c r="F127" s="98"/>
      <c r="G127" s="97"/>
      <c r="H127" s="97"/>
      <c r="I127" s="112"/>
      <c r="J127" s="69"/>
    </row>
    <row r="128" customFormat="false" ht="191.25" hidden="false" customHeight="false" outlineLevel="0" collapsed="false">
      <c r="B128" s="73" t="s">
        <v>228</v>
      </c>
      <c r="C128" s="131" t="n">
        <v>4</v>
      </c>
      <c r="D128" s="75" t="n">
        <f aca="false">ROUNDUP(((C128/2)),0)</f>
        <v>2</v>
      </c>
      <c r="E128" s="76" t="str">
        <f aca="false">DEC2HEX(((D128)*2^24),8)</f>
        <v>02000000</v>
      </c>
      <c r="F128" s="77" t="s">
        <v>229</v>
      </c>
      <c r="G128" s="103" t="s">
        <v>230</v>
      </c>
      <c r="H128" s="103" t="str">
        <f aca="false">"0x"&amp;DEC2HEX((HEX2DEC(C32)+276), 8)</f>
        <v>0x307A0114</v>
      </c>
      <c r="I128" s="104" t="str">
        <f aca="false">"0x"&amp;DEC2HEX((HEX2DEC(E128)+HEX2DEC(E129)+HEX2DEC(E130)+HEX2DEC(E132)), 8)</f>
        <v>0x02020404</v>
      </c>
      <c r="J128" s="69"/>
    </row>
    <row r="129" customFormat="false" ht="191.25" hidden="false" customHeight="false" outlineLevel="0" collapsed="false">
      <c r="B129" s="80" t="s">
        <v>231</v>
      </c>
      <c r="C129" s="149" t="n">
        <v>4</v>
      </c>
      <c r="D129" s="87" t="n">
        <f aca="false">ROUNDUP(((C129/2)),0)</f>
        <v>2</v>
      </c>
      <c r="E129" s="83" t="str">
        <f aca="false">DEC2HEX(((D129)*2^16),8)</f>
        <v>00020000</v>
      </c>
      <c r="F129" s="88" t="s">
        <v>232</v>
      </c>
      <c r="G129" s="103"/>
      <c r="H129" s="103"/>
      <c r="I129" s="104"/>
      <c r="J129" s="69"/>
    </row>
    <row r="130" customFormat="false" ht="72.75" hidden="false" customHeight="true" outlineLevel="0" collapsed="false">
      <c r="B130" s="114" t="s">
        <v>233</v>
      </c>
      <c r="C130" s="149" t="n">
        <v>15</v>
      </c>
      <c r="D130" s="87" t="n">
        <f aca="false">IF(C17="DDR3",ROUNDUP((C131)/2,0),IF(ROUNDUP(((C130/C31)/2),0)&lt;2,2,ROUNDUP(((C130/C31)/2),0)))</f>
        <v>4</v>
      </c>
      <c r="E130" s="83" t="str">
        <f aca="false">DEC2HEX(((D130)*2^8),8)</f>
        <v>00000400</v>
      </c>
      <c r="F130" s="88" t="s">
        <v>234</v>
      </c>
      <c r="G130" s="103"/>
      <c r="H130" s="103"/>
      <c r="I130" s="104"/>
      <c r="J130" s="69"/>
    </row>
    <row r="131" customFormat="false" ht="81" hidden="false" customHeight="true" outlineLevel="0" collapsed="false">
      <c r="B131" s="114" t="s">
        <v>235</v>
      </c>
      <c r="C131" s="170" t="n">
        <f aca="false">(C133 + 1)</f>
        <v>4</v>
      </c>
      <c r="D131" s="87"/>
      <c r="E131" s="83"/>
      <c r="F131" s="88"/>
      <c r="G131" s="103"/>
      <c r="H131" s="103"/>
      <c r="I131" s="104"/>
      <c r="J131" s="69"/>
    </row>
    <row r="132" customFormat="false" ht="72.75" hidden="false" customHeight="true" outlineLevel="0" collapsed="false">
      <c r="B132" s="114" t="s">
        <v>236</v>
      </c>
      <c r="C132" s="171" t="n">
        <v>15</v>
      </c>
      <c r="D132" s="172" t="n">
        <f aca="false">IF(C17="DDR3",ROUNDUP((C133/2),0),IF(ROUNDUP(((C132/C31)/2),0)&lt;2,2,ROUNDUP(((C132/C31)/2),0)))</f>
        <v>4</v>
      </c>
      <c r="E132" s="92" t="str">
        <f aca="false">DEC2HEX(((D132)*2^0),8)</f>
        <v>00000004</v>
      </c>
      <c r="F132" s="93" t="s">
        <v>237</v>
      </c>
      <c r="G132" s="103"/>
      <c r="H132" s="103"/>
      <c r="I132" s="104"/>
      <c r="J132" s="69"/>
    </row>
    <row r="133" customFormat="false" ht="75" hidden="false" customHeight="true" outlineLevel="0" collapsed="false">
      <c r="B133" s="89" t="s">
        <v>238</v>
      </c>
      <c r="C133" s="133" t="n">
        <v>3</v>
      </c>
      <c r="D133" s="172"/>
      <c r="E133" s="92"/>
      <c r="F133" s="93"/>
      <c r="G133" s="103"/>
      <c r="H133" s="103"/>
      <c r="I133" s="104"/>
      <c r="J133" s="69"/>
    </row>
    <row r="134" customFormat="false" ht="13.5" hidden="false" customHeight="false" outlineLevel="0" collapsed="false">
      <c r="J134" s="69"/>
      <c r="K134" s="5"/>
    </row>
    <row r="135" customFormat="false" ht="18.75" hidden="false" customHeight="true" outlineLevel="0" collapsed="false">
      <c r="B135" s="99" t="s">
        <v>239</v>
      </c>
      <c r="C135" s="99"/>
      <c r="D135" s="99"/>
      <c r="E135" s="99"/>
      <c r="F135" s="99"/>
      <c r="G135" s="99"/>
      <c r="H135" s="99"/>
      <c r="I135" s="99"/>
      <c r="J135" s="69"/>
    </row>
    <row r="136" customFormat="false" ht="178.5" hidden="false" customHeight="false" outlineLevel="0" collapsed="false">
      <c r="B136" s="73" t="s">
        <v>240</v>
      </c>
      <c r="C136" s="156" t="s">
        <v>79</v>
      </c>
      <c r="D136" s="101" t="n">
        <v>2</v>
      </c>
      <c r="E136" s="76" t="str">
        <f aca="false">DEC2HEX(((D136)*2^24),8)</f>
        <v>02000000</v>
      </c>
      <c r="F136" s="77" t="s">
        <v>241</v>
      </c>
      <c r="G136" s="120" t="s">
        <v>242</v>
      </c>
      <c r="H136" s="121" t="str">
        <f aca="false">"0x"&amp;DEC2HEX((HEX2DEC(C32)+280), 8)</f>
        <v>0x307A0118</v>
      </c>
      <c r="I136" s="125" t="str">
        <f aca="false">"0x"&amp;DEC2HEX((HEX2DEC(E136)+HEX2DEC(E137)+HEX2DEC(E138)), 8)</f>
        <v>0x02020003</v>
      </c>
      <c r="J136" s="69"/>
    </row>
    <row r="137" customFormat="false" ht="165.75" hidden="false" customHeight="false" outlineLevel="0" collapsed="false">
      <c r="B137" s="173" t="s">
        <v>243</v>
      </c>
      <c r="C137" s="174" t="s">
        <v>79</v>
      </c>
      <c r="D137" s="86" t="n">
        <v>2</v>
      </c>
      <c r="E137" s="175" t="str">
        <f aca="false">DEC2HEX(((D137)*2^16),8)</f>
        <v>00020000</v>
      </c>
      <c r="F137" s="176" t="s">
        <v>244</v>
      </c>
      <c r="G137" s="120"/>
      <c r="H137" s="121"/>
      <c r="I137" s="125"/>
      <c r="J137" s="69"/>
    </row>
    <row r="138" customFormat="false" ht="201.75" hidden="false" customHeight="true" outlineLevel="0" collapsed="false">
      <c r="B138" s="89" t="s">
        <v>245</v>
      </c>
      <c r="C138" s="177" t="s">
        <v>79</v>
      </c>
      <c r="D138" s="91" t="n">
        <f aca="false">IF(C17="DDR3", 5,ROUNDUP(((C108/C31) +2)/2, 0))</f>
        <v>3</v>
      </c>
      <c r="E138" s="92" t="str">
        <f aca="false">DEC2HEX(((D138)*2^0),8)</f>
        <v>00000003</v>
      </c>
      <c r="F138" s="93" t="s">
        <v>246</v>
      </c>
      <c r="G138" s="120"/>
      <c r="H138" s="120"/>
      <c r="I138" s="125"/>
      <c r="J138" s="69"/>
    </row>
    <row r="139" customFormat="false" ht="9.75" hidden="false" customHeight="true" outlineLevel="0" collapsed="false">
      <c r="B139" s="94"/>
      <c r="C139" s="95"/>
      <c r="D139" s="116"/>
      <c r="E139" s="97"/>
      <c r="F139" s="111"/>
      <c r="G139" s="117"/>
      <c r="H139" s="117"/>
      <c r="I139" s="117"/>
      <c r="J139" s="69"/>
    </row>
    <row r="140" customFormat="false" ht="18.75" hidden="false" customHeight="true" outlineLevel="0" collapsed="false">
      <c r="B140" s="99" t="s">
        <v>247</v>
      </c>
      <c r="C140" s="99"/>
      <c r="D140" s="99"/>
      <c r="E140" s="99"/>
      <c r="F140" s="99"/>
      <c r="G140" s="99"/>
      <c r="H140" s="99"/>
      <c r="I140" s="99"/>
      <c r="J140" s="69"/>
    </row>
    <row r="141" customFormat="false" ht="178.5" hidden="false" customHeight="false" outlineLevel="0" collapsed="false">
      <c r="B141" s="73" t="s">
        <v>248</v>
      </c>
      <c r="C141" s="156" t="s">
        <v>79</v>
      </c>
      <c r="D141" s="101" t="n">
        <v>2</v>
      </c>
      <c r="E141" s="76" t="str">
        <f aca="false">DEC2HEX(((D141)*2^8),8)</f>
        <v>00000200</v>
      </c>
      <c r="F141" s="77" t="s">
        <v>249</v>
      </c>
      <c r="G141" s="120" t="s">
        <v>250</v>
      </c>
      <c r="H141" s="121" t="str">
        <f aca="false">"0x"&amp;DEC2HEX((HEX2DEC(C32)+284), 8)</f>
        <v>0x307A011C</v>
      </c>
      <c r="I141" s="125" t="str">
        <f aca="false">"0x"&amp;DEC2HEX((HEX2DEC(E141)+HEX2DEC(E142)), 8)</f>
        <v>0x00000202</v>
      </c>
      <c r="J141" s="69"/>
    </row>
    <row r="142" customFormat="false" ht="179.25" hidden="false" customHeight="false" outlineLevel="0" collapsed="false">
      <c r="B142" s="89" t="s">
        <v>251</v>
      </c>
      <c r="C142" s="177" t="s">
        <v>79</v>
      </c>
      <c r="D142" s="137" t="n">
        <v>2</v>
      </c>
      <c r="E142" s="92" t="str">
        <f aca="false">DEC2HEX(((D142)*2^0),8)</f>
        <v>00000002</v>
      </c>
      <c r="F142" s="93" t="s">
        <v>252</v>
      </c>
      <c r="G142" s="120"/>
      <c r="H142" s="120"/>
      <c r="I142" s="125"/>
      <c r="J142" s="69"/>
    </row>
    <row r="143" customFormat="false" ht="13.5" hidden="false" customHeight="false" outlineLevel="0" collapsed="false">
      <c r="B143" s="107"/>
      <c r="C143" s="108"/>
      <c r="D143" s="109"/>
      <c r="E143" s="110"/>
      <c r="F143" s="111"/>
      <c r="G143" s="97"/>
      <c r="H143" s="97"/>
      <c r="I143" s="112"/>
      <c r="J143" s="69"/>
    </row>
    <row r="144" customFormat="false" ht="85.5" hidden="false" customHeight="true" outlineLevel="0" collapsed="false">
      <c r="B144" s="178" t="s">
        <v>253</v>
      </c>
      <c r="C144" s="75" t="n">
        <f aca="false">C80+10</f>
        <v>140</v>
      </c>
      <c r="D144" s="75" t="n">
        <f aca="false">IF(C17="DDR3", ROUNDUP((C145/32/2), 0), ROUNDUP(((C144/C31)/32/2),0))</f>
        <v>2</v>
      </c>
      <c r="E144" s="76" t="str">
        <f aca="false">DEC2HEX(((D144)*2^8),8)</f>
        <v>00000200</v>
      </c>
      <c r="F144" s="132" t="s">
        <v>254</v>
      </c>
      <c r="G144" s="103" t="s">
        <v>255</v>
      </c>
      <c r="H144" s="103" t="str">
        <f aca="false">"0x"&amp;DEC2HEX((HEX2DEC(C32)+288), 8)</f>
        <v>0x307A0120</v>
      </c>
      <c r="I144" s="104" t="str">
        <f aca="false">"0x"&amp;DEC2HEX((HEX2DEC(E144)+HEX2DEC(E146)), 8)</f>
        <v>0x00000202</v>
      </c>
      <c r="J144" s="69"/>
    </row>
    <row r="145" customFormat="false" ht="87" hidden="false" customHeight="true" outlineLevel="0" collapsed="false">
      <c r="B145" s="164" t="s">
        <v>256</v>
      </c>
      <c r="C145" s="179" t="n">
        <v>512</v>
      </c>
      <c r="D145" s="75"/>
      <c r="E145" s="76"/>
      <c r="F145" s="132"/>
      <c r="G145" s="103"/>
      <c r="H145" s="103"/>
      <c r="I145" s="104"/>
      <c r="J145" s="69"/>
    </row>
    <row r="146" customFormat="false" ht="141" hidden="false" customHeight="false" outlineLevel="0" collapsed="false">
      <c r="B146" s="89" t="s">
        <v>257</v>
      </c>
      <c r="C146" s="180" t="n">
        <f aca="false">C80+10</f>
        <v>140</v>
      </c>
      <c r="D146" s="181" t="n">
        <f aca="false">ROUNDUP((((C146/C31)/32/2)),0)</f>
        <v>2</v>
      </c>
      <c r="E146" s="92" t="str">
        <f aca="false">DEC2HEX(((D146)*2^0),8)</f>
        <v>00000002</v>
      </c>
      <c r="F146" s="182" t="s">
        <v>258</v>
      </c>
      <c r="G146" s="103"/>
      <c r="H146" s="103"/>
      <c r="I146" s="104"/>
      <c r="J146" s="69"/>
    </row>
    <row r="147" customFormat="false" ht="9.75" hidden="false" customHeight="true" outlineLevel="0" collapsed="false">
      <c r="B147" s="107"/>
      <c r="C147" s="108"/>
      <c r="D147" s="109"/>
      <c r="E147" s="110"/>
      <c r="F147" s="111"/>
      <c r="G147" s="97"/>
      <c r="H147" s="97"/>
      <c r="I147" s="112"/>
      <c r="J147" s="69"/>
    </row>
    <row r="148" customFormat="false" ht="91.5" hidden="false" customHeight="true" outlineLevel="0" collapsed="false">
      <c r="B148" s="73" t="s">
        <v>259</v>
      </c>
      <c r="C148" s="100" t="s">
        <v>79</v>
      </c>
      <c r="D148" s="101" t="n">
        <v>0</v>
      </c>
      <c r="E148" s="76" t="str">
        <f aca="false">DEC2HEX(((D148)*2^31),8)</f>
        <v>00000000</v>
      </c>
      <c r="F148" s="102" t="s">
        <v>260</v>
      </c>
      <c r="G148" s="103" t="s">
        <v>261</v>
      </c>
      <c r="H148" s="103" t="str">
        <f aca="false">"0x"&amp;DEC2HEX((HEX2DEC(C32)+384), 8)</f>
        <v>0x307A0180</v>
      </c>
      <c r="I148" s="104" t="str">
        <f aca="false">"0x"&amp;DEC2HEX((HEX2DEC(E148)+HEX2DEC(E149)+HEX2DEC(E150)+HEX2DEC(E151)+HEX2DEC(E152)), 8)</f>
        <v>0x20600018</v>
      </c>
      <c r="J148" s="69"/>
    </row>
    <row r="149" customFormat="false" ht="54.75" hidden="false" customHeight="true" outlineLevel="0" collapsed="false">
      <c r="B149" s="80" t="s">
        <v>262</v>
      </c>
      <c r="C149" s="81" t="s">
        <v>79</v>
      </c>
      <c r="D149" s="86" t="n">
        <v>0</v>
      </c>
      <c r="E149" s="83" t="str">
        <f aca="false">DEC2HEX(((D149)*2^30),8)</f>
        <v>00000000</v>
      </c>
      <c r="F149" s="84" t="s">
        <v>263</v>
      </c>
      <c r="G149" s="103"/>
      <c r="H149" s="103"/>
      <c r="I149" s="104"/>
      <c r="J149" s="69"/>
    </row>
    <row r="150" customFormat="false" ht="93" hidden="false" customHeight="true" outlineLevel="0" collapsed="false">
      <c r="B150" s="80" t="s">
        <v>264</v>
      </c>
      <c r="C150" s="81" t="s">
        <v>79</v>
      </c>
      <c r="D150" s="183" t="n">
        <v>1</v>
      </c>
      <c r="E150" s="83" t="str">
        <f aca="false">DEC2HEX(((D150)*2^29),8)</f>
        <v>20000000</v>
      </c>
      <c r="F150" s="115" t="s">
        <v>265</v>
      </c>
      <c r="G150" s="103"/>
      <c r="H150" s="103"/>
      <c r="I150" s="104"/>
      <c r="J150" s="69"/>
    </row>
    <row r="151" customFormat="false" ht="216.75" hidden="false" customHeight="false" outlineLevel="0" collapsed="false">
      <c r="B151" s="114" t="s">
        <v>266</v>
      </c>
      <c r="C151" s="149" t="n">
        <v>360</v>
      </c>
      <c r="D151" s="87" t="n">
        <f aca="false">ROUNDUP(((C151/C31)/2),0)</f>
        <v>96</v>
      </c>
      <c r="E151" s="83" t="str">
        <f aca="false">DEC2HEX(((D151)*2^16),8)</f>
        <v>00600000</v>
      </c>
      <c r="F151" s="115" t="s">
        <v>267</v>
      </c>
      <c r="G151" s="103"/>
      <c r="H151" s="103"/>
      <c r="I151" s="104"/>
      <c r="J151" s="69"/>
    </row>
    <row r="152" customFormat="false" ht="166.5" hidden="false" customHeight="false" outlineLevel="0" collapsed="false">
      <c r="B152" s="89" t="s">
        <v>268</v>
      </c>
      <c r="C152" s="184" t="n">
        <v>90</v>
      </c>
      <c r="D152" s="172" t="n">
        <f aca="false">ROUNDUP(((C152/C31)/2),0)</f>
        <v>24</v>
      </c>
      <c r="E152" s="92" t="str">
        <f aca="false">DEC2HEX(((D152)*2^0),8)</f>
        <v>00000018</v>
      </c>
      <c r="F152" s="93" t="s">
        <v>269</v>
      </c>
      <c r="G152" s="103"/>
      <c r="H152" s="103"/>
      <c r="I152" s="104"/>
      <c r="J152" s="69"/>
    </row>
    <row r="153" customFormat="false" ht="7.5" hidden="false" customHeight="true" outlineLevel="0" collapsed="false">
      <c r="B153" s="107"/>
      <c r="C153" s="108"/>
      <c r="D153" s="109"/>
      <c r="E153" s="110"/>
      <c r="F153" s="111"/>
      <c r="G153" s="97"/>
      <c r="H153" s="97"/>
      <c r="I153" s="112"/>
      <c r="J153" s="69"/>
    </row>
    <row r="154" customFormat="false" ht="18.75" hidden="false" customHeight="true" outlineLevel="0" collapsed="false">
      <c r="B154" s="99" t="s">
        <v>270</v>
      </c>
      <c r="C154" s="99"/>
      <c r="D154" s="99"/>
      <c r="E154" s="99"/>
      <c r="F154" s="99"/>
      <c r="G154" s="99"/>
      <c r="H154" s="99"/>
      <c r="I154" s="99"/>
      <c r="J154" s="69"/>
    </row>
    <row r="155" customFormat="false" ht="153" hidden="false" customHeight="false" outlineLevel="0" collapsed="false">
      <c r="B155" s="73" t="s">
        <v>271</v>
      </c>
      <c r="C155" s="131" t="n">
        <v>50</v>
      </c>
      <c r="D155" s="118" t="n">
        <f aca="false">(IF(C17="DDR3",32, IF(ROUNDUP((C155/C31)/2,0) &lt;2, 2, ROUNDUP((C155/C31)/2,0)) ))</f>
        <v>14</v>
      </c>
      <c r="E155" s="76" t="str">
        <f aca="false">DEC2HEX(((D155)*2^20),8)</f>
        <v>00E00000</v>
      </c>
      <c r="F155" s="77" t="s">
        <v>272</v>
      </c>
      <c r="G155" s="103" t="s">
        <v>273</v>
      </c>
      <c r="H155" s="103" t="str">
        <f aca="false">"0x"&amp;DEC2HEX((HEX2DEC(C32)+388), 8)</f>
        <v>0x307A0184</v>
      </c>
      <c r="I155" s="104" t="str">
        <f aca="false">"0x"&amp;DEC2HEX((HEX2DEC(E155)+HEX2DEC(E156)), 8)</f>
        <v>0x00E00100</v>
      </c>
      <c r="J155" s="69"/>
    </row>
    <row r="156" customFormat="false" ht="107.25" hidden="false" customHeight="true" outlineLevel="0" collapsed="false">
      <c r="B156" s="89" t="s">
        <v>274</v>
      </c>
      <c r="C156" s="90" t="s">
        <v>79</v>
      </c>
      <c r="D156" s="137" t="n">
        <v>256</v>
      </c>
      <c r="E156" s="92" t="str">
        <f aca="false">DEC2HEX(((D156)*2^0),8)</f>
        <v>00000100</v>
      </c>
      <c r="F156" s="106" t="s">
        <v>275</v>
      </c>
      <c r="G156" s="103"/>
      <c r="H156" s="103"/>
      <c r="I156" s="104"/>
      <c r="J156" s="69"/>
    </row>
    <row r="157" customFormat="false" ht="14.25" hidden="false" customHeight="true" outlineLevel="0" collapsed="false">
      <c r="A157" s="58"/>
      <c r="B157" s="94"/>
      <c r="C157" s="95"/>
      <c r="D157" s="116"/>
      <c r="E157" s="97"/>
      <c r="F157" s="111"/>
      <c r="G157" s="117"/>
      <c r="H157" s="117"/>
      <c r="I157" s="117"/>
      <c r="J157" s="135"/>
    </row>
    <row r="158" customFormat="false" ht="140.25" hidden="false" customHeight="false" outlineLevel="0" collapsed="false">
      <c r="B158" s="73" t="s">
        <v>276</v>
      </c>
      <c r="C158" s="131" t="n">
        <v>1.25</v>
      </c>
      <c r="D158" s="118" t="n">
        <f aca="false">IF(C17="DDR3", 6, ROUNDUP((C158 + 4),0))</f>
        <v>6</v>
      </c>
      <c r="E158" s="76" t="str">
        <f aca="false">DEC2HEX(((D158)*2^24),8)</f>
        <v>06000000</v>
      </c>
      <c r="F158" s="77" t="s">
        <v>277</v>
      </c>
      <c r="G158" s="103" t="s">
        <v>278</v>
      </c>
      <c r="H158" s="103" t="str">
        <f aca="false">"0x"&amp;DEC2HEX((HEX2DEC(C32)+576), 8)</f>
        <v>0x307A0240</v>
      </c>
      <c r="I158" s="104" t="str">
        <f aca="false">"0x"&amp;DEC2HEX((HEX2DEC(E158)+HEX2DEC(E159)+HEX2DEC(E160)+HEX2DEC(E161)), 8)</f>
        <v>0x06000600</v>
      </c>
      <c r="J158" s="85"/>
    </row>
    <row r="159" customFormat="false" ht="164.25" hidden="false" customHeight="true" outlineLevel="0" collapsed="false">
      <c r="B159" s="80" t="s">
        <v>279</v>
      </c>
      <c r="C159" s="81" t="s">
        <v>79</v>
      </c>
      <c r="D159" s="86" t="n">
        <v>0</v>
      </c>
      <c r="E159" s="83" t="str">
        <f aca="false">DEC2HEX(((D159)*2^16),8)</f>
        <v>00000000</v>
      </c>
      <c r="F159" s="88" t="s">
        <v>280</v>
      </c>
      <c r="G159" s="103"/>
      <c r="H159" s="103"/>
      <c r="I159" s="104"/>
      <c r="J159" s="85"/>
    </row>
    <row r="160" customFormat="false" ht="140.25" hidden="false" customHeight="false" outlineLevel="0" collapsed="false">
      <c r="B160" s="114" t="s">
        <v>281</v>
      </c>
      <c r="C160" s="81" t="s">
        <v>79</v>
      </c>
      <c r="D160" s="86" t="n">
        <v>6</v>
      </c>
      <c r="E160" s="83" t="str">
        <f aca="false">DEC2HEX(((D160)*2^8),8)</f>
        <v>00000600</v>
      </c>
      <c r="F160" s="169" t="s">
        <v>282</v>
      </c>
      <c r="G160" s="103"/>
      <c r="H160" s="103"/>
      <c r="I160" s="104"/>
      <c r="J160" s="85"/>
    </row>
    <row r="161" customFormat="false" ht="156.75" hidden="false" customHeight="true" outlineLevel="0" collapsed="false">
      <c r="B161" s="89" t="s">
        <v>283</v>
      </c>
      <c r="C161" s="90" t="s">
        <v>79</v>
      </c>
      <c r="D161" s="105" t="n">
        <f aca="false">IF(C17="DDR3", C115-C114, 0)</f>
        <v>0</v>
      </c>
      <c r="E161" s="185" t="str">
        <f aca="false">DEC2HEX(((D161)*2^2),8)</f>
        <v>00000000</v>
      </c>
      <c r="F161" s="93" t="s">
        <v>284</v>
      </c>
      <c r="G161" s="103"/>
      <c r="H161" s="103"/>
      <c r="I161" s="104"/>
      <c r="J161" s="85"/>
    </row>
    <row r="162" customFormat="false" ht="11.25" hidden="false" customHeight="true" outlineLevel="0" collapsed="false">
      <c r="B162" s="94"/>
      <c r="C162" s="95"/>
      <c r="D162" s="116"/>
      <c r="E162" s="186"/>
      <c r="F162" s="98"/>
      <c r="G162" s="117"/>
      <c r="H162" s="117"/>
      <c r="I162" s="117"/>
      <c r="J162" s="85"/>
    </row>
    <row r="163" customFormat="false" ht="13.5" hidden="false" customHeight="true" outlineLevel="0" collapsed="false">
      <c r="B163" s="99" t="s">
        <v>285</v>
      </c>
      <c r="C163" s="99"/>
      <c r="D163" s="99"/>
      <c r="E163" s="99"/>
      <c r="F163" s="99"/>
      <c r="G163" s="99"/>
      <c r="H163" s="99"/>
      <c r="I163" s="99"/>
      <c r="J163" s="69"/>
      <c r="K163" s="5"/>
    </row>
    <row r="164" customFormat="false" ht="108.75" hidden="false" customHeight="true" outlineLevel="0" collapsed="false">
      <c r="B164" s="73" t="s">
        <v>286</v>
      </c>
      <c r="C164" s="100" t="s">
        <v>79</v>
      </c>
      <c r="D164" s="75" t="n">
        <f aca="false">IF(C17="DDR3", IF(C23=2, 1, 0), 0)</f>
        <v>0</v>
      </c>
      <c r="E164" s="76" t="str">
        <f aca="false">DEC2HEX(((D164)*2^12),8)</f>
        <v>00000000</v>
      </c>
      <c r="F164" s="102" t="s">
        <v>287</v>
      </c>
      <c r="G164" s="103" t="s">
        <v>288</v>
      </c>
      <c r="H164" s="103" t="str">
        <f aca="false">"0x"&amp;DEC2HEX((HEX2DEC(C32)+580), 8)</f>
        <v>0x307A0244</v>
      </c>
      <c r="I164" s="104" t="str">
        <f aca="false">"0x"&amp;DEC2HEX((HEX2DEC(E164)+HEX2DEC(E165)+HEX2DEC(E166)+HEX2DEC(E167)), 8)</f>
        <v>0x00000000</v>
      </c>
      <c r="J164" s="69"/>
      <c r="K164" s="5"/>
    </row>
    <row r="165" customFormat="false" ht="99.75" hidden="false" customHeight="true" outlineLevel="0" collapsed="false">
      <c r="B165" s="80" t="s">
        <v>289</v>
      </c>
      <c r="C165" s="81" t="s">
        <v>79</v>
      </c>
      <c r="D165" s="87" t="n">
        <f aca="false">IF(C17="DDR3", IF(C23=2, 3, 0), 0)</f>
        <v>0</v>
      </c>
      <c r="E165" s="83" t="str">
        <f aca="false">DEC2HEX(((D165)*2^8),8)</f>
        <v>00000000</v>
      </c>
      <c r="F165" s="84" t="s">
        <v>290</v>
      </c>
      <c r="G165" s="103"/>
      <c r="H165" s="103"/>
      <c r="I165" s="104"/>
      <c r="J165" s="69"/>
      <c r="K165" s="5"/>
    </row>
    <row r="166" customFormat="false" ht="102" hidden="false" customHeight="true" outlineLevel="0" collapsed="false">
      <c r="B166" s="80" t="s">
        <v>291</v>
      </c>
      <c r="C166" s="81" t="s">
        <v>79</v>
      </c>
      <c r="D166" s="87" t="n">
        <f aca="false">IF(C17="DDR3", IF(C23=2, 2, 0), 0)</f>
        <v>0</v>
      </c>
      <c r="E166" s="83" t="str">
        <f aca="false">DEC2HEX(((D166)*2^4),8)</f>
        <v>00000000</v>
      </c>
      <c r="F166" s="84" t="s">
        <v>292</v>
      </c>
      <c r="G166" s="103"/>
      <c r="H166" s="103"/>
      <c r="I166" s="104"/>
      <c r="J166" s="69"/>
      <c r="K166" s="5"/>
    </row>
    <row r="167" customFormat="false" ht="102.75" hidden="false" customHeight="true" outlineLevel="0" collapsed="false">
      <c r="B167" s="89" t="s">
        <v>293</v>
      </c>
      <c r="C167" s="90" t="s">
        <v>79</v>
      </c>
      <c r="D167" s="172" t="n">
        <f aca="false">IF(C17="DDR3", IF(C23=2, 3, 1), 0)</f>
        <v>0</v>
      </c>
      <c r="E167" s="92" t="str">
        <f aca="false">DEC2HEX(((D167)*2^0),8)</f>
        <v>00000000</v>
      </c>
      <c r="F167" s="106" t="s">
        <v>294</v>
      </c>
      <c r="G167" s="103"/>
      <c r="H167" s="103"/>
      <c r="I167" s="104"/>
      <c r="J167" s="69"/>
      <c r="K167" s="5"/>
    </row>
    <row r="168" customFormat="false" ht="12.75" hidden="false" customHeight="false" outlineLevel="0" collapsed="false">
      <c r="B168" s="94"/>
      <c r="C168" s="95"/>
      <c r="D168" s="116"/>
      <c r="E168" s="97"/>
      <c r="F168" s="98"/>
      <c r="G168" s="117"/>
      <c r="H168" s="117"/>
      <c r="I168" s="117"/>
      <c r="J168" s="85"/>
    </row>
    <row r="169" customFormat="false" ht="13.5" hidden="false" customHeight="false" outlineLevel="0" collapsed="false">
      <c r="B169" s="94"/>
      <c r="C169" s="95"/>
      <c r="D169" s="116"/>
      <c r="E169" s="97"/>
      <c r="F169" s="98"/>
      <c r="G169" s="117"/>
      <c r="H169" s="117"/>
      <c r="I169" s="117"/>
      <c r="J169" s="85"/>
    </row>
    <row r="170" s="1" customFormat="true" ht="13.5" hidden="false" customHeight="false" outlineLevel="0" collapsed="false">
      <c r="B170" s="138" t="s">
        <v>295</v>
      </c>
      <c r="C170" s="138"/>
      <c r="D170" s="138"/>
      <c r="E170" s="138"/>
      <c r="F170" s="138"/>
      <c r="G170" s="138"/>
      <c r="H170" s="138"/>
      <c r="I170" s="138"/>
    </row>
    <row r="171" s="1" customFormat="true" ht="13.5" hidden="false" customHeight="false" outlineLevel="0" collapsed="false">
      <c r="B171" s="5"/>
      <c r="E171" s="16"/>
      <c r="G171" s="16"/>
      <c r="H171" s="16"/>
      <c r="I171" s="16"/>
    </row>
    <row r="172" s="1" customFormat="true" ht="41.25" hidden="false" customHeight="true" outlineLevel="0" collapsed="false">
      <c r="B172" s="187" t="s">
        <v>296</v>
      </c>
      <c r="C172" s="187"/>
      <c r="D172" s="187"/>
      <c r="E172" s="16"/>
      <c r="G172" s="16"/>
      <c r="H172" s="16"/>
      <c r="I172" s="16"/>
    </row>
    <row r="173" s="1" customFormat="true" ht="64.5" hidden="false" customHeight="false" outlineLevel="0" collapsed="false">
      <c r="B173" s="65" t="s">
        <v>297</v>
      </c>
      <c r="C173" s="65" t="s">
        <v>68</v>
      </c>
      <c r="D173" s="65" t="s">
        <v>69</v>
      </c>
      <c r="E173" s="65" t="s">
        <v>70</v>
      </c>
      <c r="F173" s="66" t="s">
        <v>71</v>
      </c>
      <c r="G173" s="67" t="s">
        <v>72</v>
      </c>
      <c r="H173" s="68" t="s">
        <v>73</v>
      </c>
      <c r="I173" s="68" t="s">
        <v>74</v>
      </c>
    </row>
    <row r="174" s="1" customFormat="true" ht="3" hidden="false" customHeight="true" outlineLevel="0" collapsed="false">
      <c r="B174" s="70"/>
      <c r="C174" s="70"/>
      <c r="D174" s="70"/>
      <c r="E174" s="70"/>
      <c r="F174" s="71"/>
      <c r="G174" s="72"/>
      <c r="H174" s="72"/>
      <c r="I174" s="72"/>
    </row>
    <row r="175" s="1" customFormat="true" ht="141" hidden="false" customHeight="false" outlineLevel="0" collapsed="false">
      <c r="B175" s="188" t="s">
        <v>298</v>
      </c>
      <c r="C175" s="189" t="s">
        <v>79</v>
      </c>
      <c r="D175" s="190" t="n">
        <v>2</v>
      </c>
      <c r="E175" s="189" t="str">
        <f aca="false">DEC2HEX(((D175)*2^16),8)</f>
        <v>00020000</v>
      </c>
      <c r="F175" s="191" t="s">
        <v>299</v>
      </c>
      <c r="G175" s="192" t="s">
        <v>300</v>
      </c>
      <c r="H175" s="121" t="str">
        <f aca="false">"0x"&amp;DEC2HEX((HEX2DEC(C32)+224), 8)</f>
        <v>0x307A00E0</v>
      </c>
      <c r="I175" s="125" t="str">
        <f aca="false">IF(C17="DDR3", "0x"&amp;DEC2HEX((HEX2DEC(E176)+HEX2DEC(E177)+HEX2DEC(E178)+HEX2DEC(E179)+HEX2DEC(E180)+HEX2DEC(E181)), 8),"0x"&amp;DEC2HEX((HEX2DEC(E175)), 8))</f>
        <v>0x00020000</v>
      </c>
    </row>
    <row r="176" s="1" customFormat="true" ht="77.25" hidden="false" customHeight="false" outlineLevel="0" collapsed="false">
      <c r="B176" s="193" t="s">
        <v>301</v>
      </c>
      <c r="C176" s="194" t="s">
        <v>79</v>
      </c>
      <c r="D176" s="195" t="n">
        <v>2</v>
      </c>
      <c r="E176" s="194" t="str">
        <f aca="false">DEC2HEX(((D176)*2^25),8)</f>
        <v>04000000</v>
      </c>
      <c r="F176" s="196" t="s">
        <v>302</v>
      </c>
      <c r="G176" s="192"/>
      <c r="H176" s="121"/>
      <c r="I176" s="125"/>
    </row>
    <row r="177" s="1" customFormat="true" ht="51" hidden="false" customHeight="false" outlineLevel="0" collapsed="false">
      <c r="B177" s="197" t="s">
        <v>303</v>
      </c>
      <c r="C177" s="198" t="s">
        <v>79</v>
      </c>
      <c r="D177" s="199" t="n">
        <v>0</v>
      </c>
      <c r="E177" s="198" t="str">
        <f aca="false">DEC2HEX(((D177)*2^23),8)</f>
        <v>00000000</v>
      </c>
      <c r="F177" s="200" t="s">
        <v>304</v>
      </c>
      <c r="G177" s="192"/>
      <c r="H177" s="121"/>
      <c r="I177" s="125"/>
    </row>
    <row r="178" s="1" customFormat="true" ht="51" hidden="false" customHeight="false" outlineLevel="0" collapsed="false">
      <c r="B178" s="197" t="s">
        <v>305</v>
      </c>
      <c r="C178" s="198" t="s">
        <v>79</v>
      </c>
      <c r="D178" s="199" t="n">
        <v>0</v>
      </c>
      <c r="E178" s="198" t="str">
        <f aca="false">DEC2HEX(((D178)*2^22),8)</f>
        <v>00000000</v>
      </c>
      <c r="F178" s="200" t="s">
        <v>306</v>
      </c>
      <c r="G178" s="192"/>
      <c r="H178" s="121"/>
      <c r="I178" s="125"/>
    </row>
    <row r="179" s="1" customFormat="true" ht="127.5" hidden="false" customHeight="false" outlineLevel="0" collapsed="false">
      <c r="B179" s="197" t="s">
        <v>307</v>
      </c>
      <c r="C179" s="198" t="s">
        <v>79</v>
      </c>
      <c r="D179" s="199" t="n">
        <v>1</v>
      </c>
      <c r="E179" s="198" t="str">
        <f aca="false">DEC2HEX(((D179)*2^19),8)</f>
        <v>00080000</v>
      </c>
      <c r="F179" s="200" t="s">
        <v>308</v>
      </c>
      <c r="G179" s="192"/>
      <c r="H179" s="121"/>
      <c r="I179" s="125"/>
    </row>
    <row r="180" s="1" customFormat="true" ht="51" hidden="false" customHeight="false" outlineLevel="0" collapsed="false">
      <c r="B180" s="197" t="s">
        <v>309</v>
      </c>
      <c r="C180" s="198"/>
      <c r="D180" s="199" t="n">
        <v>0</v>
      </c>
      <c r="E180" s="198" t="str">
        <f aca="false">DEC2HEX(((D180)*2^2),8)</f>
        <v>00000000</v>
      </c>
      <c r="F180" s="200" t="s">
        <v>310</v>
      </c>
      <c r="G180" s="192"/>
      <c r="H180" s="121"/>
      <c r="I180" s="125"/>
    </row>
    <row r="181" s="1" customFormat="true" ht="51.75" hidden="false" customHeight="false" outlineLevel="0" collapsed="false">
      <c r="B181" s="201" t="s">
        <v>309</v>
      </c>
      <c r="C181" s="202"/>
      <c r="D181" s="203" t="n">
        <v>0</v>
      </c>
      <c r="E181" s="202" t="str">
        <f aca="false">DEC2HEX(((D181)*2^0),8)</f>
        <v>00000000</v>
      </c>
      <c r="F181" s="204" t="s">
        <v>311</v>
      </c>
      <c r="G181" s="192"/>
      <c r="H181" s="121"/>
      <c r="I181" s="125"/>
    </row>
    <row r="182" s="1" customFormat="true" ht="13.5" hidden="false" customHeight="false" outlineLevel="0" collapsed="false">
      <c r="E182" s="16"/>
      <c r="G182" s="16"/>
      <c r="H182" s="16"/>
      <c r="I182" s="16"/>
    </row>
    <row r="183" s="1" customFormat="true" ht="64.5" hidden="false" customHeight="false" outlineLevel="0" collapsed="false">
      <c r="B183" s="65" t="s">
        <v>312</v>
      </c>
      <c r="C183" s="65" t="s">
        <v>68</v>
      </c>
      <c r="D183" s="65" t="s">
        <v>69</v>
      </c>
      <c r="E183" s="65" t="s">
        <v>70</v>
      </c>
      <c r="F183" s="66" t="s">
        <v>71</v>
      </c>
      <c r="G183" s="67" t="s">
        <v>72</v>
      </c>
      <c r="H183" s="68" t="s">
        <v>73</v>
      </c>
      <c r="I183" s="68" t="s">
        <v>74</v>
      </c>
    </row>
    <row r="184" s="1" customFormat="true" ht="3" hidden="false" customHeight="true" outlineLevel="0" collapsed="false">
      <c r="B184" s="70"/>
      <c r="C184" s="70"/>
      <c r="D184" s="70"/>
      <c r="E184" s="70"/>
      <c r="F184" s="71"/>
      <c r="G184" s="72"/>
      <c r="H184" s="72"/>
      <c r="I184" s="72"/>
    </row>
    <row r="185" s="1" customFormat="true" ht="74.25" hidden="false" customHeight="true" outlineLevel="0" collapsed="false">
      <c r="B185" s="205" t="s">
        <v>313</v>
      </c>
      <c r="C185" s="118" t="n">
        <f aca="false">C103</f>
        <v>15</v>
      </c>
      <c r="D185" s="206" t="n">
        <f aca="false">ROUNDUP(((C185/C31)),0)-2</f>
        <v>6</v>
      </c>
      <c r="E185" s="207" t="str">
        <f aca="false">DEC2HEX(((D185)*2^21),8)</f>
        <v>00C00000</v>
      </c>
      <c r="F185" s="208" t="s">
        <v>314</v>
      </c>
      <c r="G185" s="209" t="s">
        <v>315</v>
      </c>
      <c r="H185" s="210" t="str">
        <f aca="false">"0x"&amp;DEC2HEX((HEX2DEC(C32)+220), 8)</f>
        <v>0x307A00DC</v>
      </c>
      <c r="I185" s="211" t="str">
        <f aca="false">IF(C17="DDR3", "0x"&amp;DEC2HEX((HEX2DEC(E191)+HEX2DEC(E192)+HEX2DEC(E193)+HEX2DEC(E194)+HEX2DEC(E195)+HEX2DEC(E196)+HEX2DEC(E197)+HEX2DEC(E198)+HEX2DEC(E199)+HEX2DEC(E200)+HEX2DEC(E202)+HEX2DEC(E203)+HEX2DEC(E204)+HEX2DEC(E205)+HEX2DEC(E206)+HEX2DEC(E207)+HEX2DEC(E208)+HEX2DEC(E209)), 8), "0x"&amp;DEC2HEX((HEX2DEC(E185)+HEX2DEC(E186)+HEX2DEC(E187)+HEX2DEC(E188)+HEX2DEC(E189)+HEX2DEC(E190)), 8))</f>
        <v>0x00C20006</v>
      </c>
      <c r="J185" s="5"/>
    </row>
    <row r="186" s="1" customFormat="true" ht="38.25" hidden="false" customHeight="false" outlineLevel="0" collapsed="false">
      <c r="B186" s="212" t="s">
        <v>316</v>
      </c>
      <c r="C186" s="213" t="s">
        <v>79</v>
      </c>
      <c r="D186" s="214" t="n">
        <f aca="false">IF(C17="LPDDR3", 3, 2)</f>
        <v>2</v>
      </c>
      <c r="E186" s="215" t="str">
        <f aca="false">DEC2HEX(((D186)*2^16),8)</f>
        <v>00020000</v>
      </c>
      <c r="F186" s="200" t="s">
        <v>317</v>
      </c>
      <c r="G186" s="209"/>
      <c r="H186" s="210"/>
      <c r="I186" s="211"/>
    </row>
    <row r="187" s="1" customFormat="true" ht="25.5" hidden="false" customHeight="false" outlineLevel="0" collapsed="false">
      <c r="B187" s="212" t="s">
        <v>318</v>
      </c>
      <c r="C187" s="213" t="s">
        <v>79</v>
      </c>
      <c r="D187" s="216" t="n">
        <v>0</v>
      </c>
      <c r="E187" s="215" t="str">
        <f aca="false">DEC2HEX(((D187)*2^7),8)</f>
        <v>00000000</v>
      </c>
      <c r="F187" s="200" t="s">
        <v>319</v>
      </c>
      <c r="G187" s="209"/>
      <c r="H187" s="210"/>
      <c r="I187" s="211"/>
    </row>
    <row r="188" s="1" customFormat="true" ht="25.5" hidden="false" customHeight="false" outlineLevel="0" collapsed="false">
      <c r="B188" s="212" t="s">
        <v>320</v>
      </c>
      <c r="C188" s="213" t="s">
        <v>79</v>
      </c>
      <c r="D188" s="216" t="n">
        <v>0</v>
      </c>
      <c r="E188" s="215" t="str">
        <f aca="false">DEC2HEX(((D188)*2^6),8)</f>
        <v>00000000</v>
      </c>
      <c r="F188" s="200" t="s">
        <v>321</v>
      </c>
      <c r="G188" s="209"/>
      <c r="H188" s="210"/>
      <c r="I188" s="211"/>
    </row>
    <row r="189" s="1" customFormat="true" ht="25.5" hidden="false" customHeight="false" outlineLevel="0" collapsed="false">
      <c r="B189" s="212" t="s">
        <v>322</v>
      </c>
      <c r="C189" s="213" t="s">
        <v>79</v>
      </c>
      <c r="D189" s="216" t="n">
        <v>0</v>
      </c>
      <c r="E189" s="215" t="str">
        <f aca="false">DEC2HEX(((D189)*2^4),8)</f>
        <v>00000000</v>
      </c>
      <c r="F189" s="200" t="s">
        <v>323</v>
      </c>
      <c r="G189" s="209"/>
      <c r="H189" s="210"/>
      <c r="I189" s="211"/>
    </row>
    <row r="190" s="1" customFormat="true" ht="141" hidden="false" customHeight="false" outlineLevel="0" collapsed="false">
      <c r="B190" s="217" t="s">
        <v>324</v>
      </c>
      <c r="C190" s="218" t="s">
        <v>79</v>
      </c>
      <c r="D190" s="219" t="n">
        <f aca="false">(C115-2)</f>
        <v>6</v>
      </c>
      <c r="E190" s="218" t="str">
        <f aca="false">DEC2HEX(((D190)*2^0),8)</f>
        <v>00000006</v>
      </c>
      <c r="F190" s="220" t="s">
        <v>325</v>
      </c>
      <c r="G190" s="209"/>
      <c r="H190" s="210"/>
      <c r="I190" s="211"/>
    </row>
    <row r="191" s="1" customFormat="true" ht="51" hidden="false" customHeight="false" outlineLevel="0" collapsed="false">
      <c r="B191" s="221" t="s">
        <v>326</v>
      </c>
      <c r="C191" s="222" t="s">
        <v>79</v>
      </c>
      <c r="D191" s="223" t="n">
        <v>0</v>
      </c>
      <c r="E191" s="222" t="str">
        <f aca="false">DEC2HEX(((D191)*2^28),8)</f>
        <v>00000000</v>
      </c>
      <c r="F191" s="224" t="s">
        <v>327</v>
      </c>
      <c r="G191" s="209"/>
      <c r="H191" s="210"/>
      <c r="I191" s="211"/>
    </row>
    <row r="192" s="1" customFormat="true" ht="127.5" hidden="false" customHeight="false" outlineLevel="0" collapsed="false">
      <c r="B192" s="197" t="s">
        <v>328</v>
      </c>
      <c r="C192" s="198" t="s">
        <v>79</v>
      </c>
      <c r="D192" s="225" t="n">
        <v>4</v>
      </c>
      <c r="E192" s="198" t="str">
        <f aca="false">DEC2HEX(((D192)*2^25),8)</f>
        <v>08000000</v>
      </c>
      <c r="F192" s="200" t="s">
        <v>329</v>
      </c>
      <c r="G192" s="209"/>
      <c r="H192" s="210"/>
      <c r="I192" s="211"/>
    </row>
    <row r="193" s="1" customFormat="true" ht="51" hidden="false" customHeight="false" outlineLevel="0" collapsed="false">
      <c r="B193" s="197" t="s">
        <v>330</v>
      </c>
      <c r="C193" s="198" t="s">
        <v>79</v>
      </c>
      <c r="D193" s="226" t="n">
        <v>1</v>
      </c>
      <c r="E193" s="198" t="str">
        <f aca="false">DEC2HEX(((D193)*2^24),8)</f>
        <v>01000000</v>
      </c>
      <c r="F193" s="227" t="s">
        <v>331</v>
      </c>
      <c r="G193" s="209"/>
      <c r="H193" s="210"/>
      <c r="I193" s="211"/>
    </row>
    <row r="194" s="1" customFormat="true" ht="43.5" hidden="false" customHeight="true" outlineLevel="0" collapsed="false">
      <c r="B194" s="197" t="s">
        <v>332</v>
      </c>
      <c r="C194" s="198" t="s">
        <v>79</v>
      </c>
      <c r="D194" s="228" t="n">
        <v>0</v>
      </c>
      <c r="E194" s="198" t="str">
        <f aca="false">DEC2HEX(((D194)*2^22),8)</f>
        <v>00000000</v>
      </c>
      <c r="F194" s="229" t="s">
        <v>333</v>
      </c>
      <c r="G194" s="209"/>
      <c r="H194" s="210"/>
      <c r="I194" s="211"/>
    </row>
    <row r="195" s="1" customFormat="true" ht="30.75" hidden="false" customHeight="true" outlineLevel="0" collapsed="false">
      <c r="B195" s="197" t="s">
        <v>334</v>
      </c>
      <c r="C195" s="198" t="s">
        <v>79</v>
      </c>
      <c r="D195" s="228" t="n">
        <v>1</v>
      </c>
      <c r="E195" s="198" t="str">
        <f aca="false">DEC2HEX(((D195)*2^21),8)</f>
        <v>00200000</v>
      </c>
      <c r="F195" s="229"/>
      <c r="G195" s="209"/>
      <c r="H195" s="210"/>
      <c r="I195" s="211"/>
    </row>
    <row r="196" s="1" customFormat="true" ht="36" hidden="false" customHeight="true" outlineLevel="0" collapsed="false">
      <c r="B196" s="197" t="s">
        <v>335</v>
      </c>
      <c r="C196" s="198" t="s">
        <v>79</v>
      </c>
      <c r="D196" s="228" t="n">
        <v>1</v>
      </c>
      <c r="E196" s="198" t="str">
        <f aca="false">DEC2HEX(((D196)*2^20),8)</f>
        <v>00100000</v>
      </c>
      <c r="F196" s="229"/>
      <c r="G196" s="209"/>
      <c r="H196" s="210"/>
      <c r="I196" s="211"/>
    </row>
    <row r="197" s="1" customFormat="true" ht="39.75" hidden="false" customHeight="true" outlineLevel="0" collapsed="false">
      <c r="B197" s="197" t="s">
        <v>336</v>
      </c>
      <c r="C197" s="198" t="s">
        <v>79</v>
      </c>
      <c r="D197" s="228" t="n">
        <v>0</v>
      </c>
      <c r="E197" s="198" t="str">
        <f aca="false">DEC2HEX(((D197)*2^18),8)</f>
        <v>00000000</v>
      </c>
      <c r="F197" s="229"/>
      <c r="G197" s="209"/>
      <c r="H197" s="210"/>
      <c r="I197" s="211"/>
    </row>
    <row r="198" s="1" customFormat="true" ht="51" hidden="false" customHeight="false" outlineLevel="0" collapsed="false">
      <c r="B198" s="197" t="s">
        <v>337</v>
      </c>
      <c r="C198" s="198" t="s">
        <v>79</v>
      </c>
      <c r="D198" s="226" t="n">
        <v>0</v>
      </c>
      <c r="E198" s="198" t="str">
        <f aca="false">DEC2HEX(((D198)*2^19),8)</f>
        <v>00000000</v>
      </c>
      <c r="F198" s="227" t="s">
        <v>338</v>
      </c>
      <c r="G198" s="209"/>
      <c r="H198" s="210"/>
      <c r="I198" s="211"/>
    </row>
    <row r="199" s="1" customFormat="true" ht="76.5" hidden="false" customHeight="false" outlineLevel="0" collapsed="false">
      <c r="B199" s="197" t="s">
        <v>339</v>
      </c>
      <c r="C199" s="198" t="s">
        <v>79</v>
      </c>
      <c r="D199" s="226" t="n">
        <v>0</v>
      </c>
      <c r="E199" s="198" t="str">
        <f aca="false">DEC2HEX(((D199)*2^16),8)</f>
        <v>00000000</v>
      </c>
      <c r="F199" s="227" t="s">
        <v>340</v>
      </c>
      <c r="G199" s="209"/>
      <c r="H199" s="210"/>
      <c r="I199" s="211"/>
    </row>
    <row r="200" s="1" customFormat="true" ht="52.5" hidden="false" customHeight="true" outlineLevel="0" collapsed="false">
      <c r="B200" s="197" t="s">
        <v>341</v>
      </c>
      <c r="C200" s="198" t="s">
        <v>79</v>
      </c>
      <c r="D200" s="230" t="n">
        <v>0</v>
      </c>
      <c r="E200" s="198" t="str">
        <f aca="false">DEC2HEX(((D200)*2^12),8)</f>
        <v>00000000</v>
      </c>
      <c r="F200" s="200" t="s">
        <v>342</v>
      </c>
      <c r="G200" s="209"/>
      <c r="H200" s="210"/>
      <c r="I200" s="211"/>
    </row>
    <row r="201" s="1" customFormat="true" ht="51" hidden="false" customHeight="false" outlineLevel="0" collapsed="false">
      <c r="B201" s="197" t="s">
        <v>343</v>
      </c>
      <c r="C201" s="198" t="s">
        <v>79</v>
      </c>
      <c r="D201" s="230" t="n">
        <v>0</v>
      </c>
      <c r="E201" s="198" t="str">
        <f aca="false">DEC2HEX(((D201)*2^11),8)</f>
        <v>00000000</v>
      </c>
      <c r="F201" s="200" t="s">
        <v>344</v>
      </c>
      <c r="G201" s="209"/>
      <c r="H201" s="210"/>
      <c r="I201" s="211"/>
    </row>
    <row r="202" s="1" customFormat="true" ht="42.75" hidden="false" customHeight="true" outlineLevel="0" collapsed="false">
      <c r="B202" s="197" t="s">
        <v>345</v>
      </c>
      <c r="C202" s="198" t="s">
        <v>79</v>
      </c>
      <c r="D202" s="230" t="n">
        <v>0</v>
      </c>
      <c r="E202" s="198" t="str">
        <f aca="false">DEC2HEX(((D202)*2^9),8)</f>
        <v>00000000</v>
      </c>
      <c r="F202" s="231" t="s">
        <v>346</v>
      </c>
      <c r="G202" s="209"/>
      <c r="H202" s="210"/>
      <c r="I202" s="211"/>
    </row>
    <row r="203" s="1" customFormat="true" ht="41.25" hidden="false" customHeight="true" outlineLevel="0" collapsed="false">
      <c r="B203" s="197" t="s">
        <v>347</v>
      </c>
      <c r="C203" s="198" t="s">
        <v>79</v>
      </c>
      <c r="D203" s="230" t="n">
        <v>0</v>
      </c>
      <c r="E203" s="198" t="str">
        <f aca="false">DEC2HEX(((D203)*2^6),8)</f>
        <v>00000000</v>
      </c>
      <c r="F203" s="231"/>
      <c r="G203" s="209"/>
      <c r="H203" s="210"/>
      <c r="I203" s="211"/>
    </row>
    <row r="204" s="1" customFormat="true" ht="44.25" hidden="false" customHeight="true" outlineLevel="0" collapsed="false">
      <c r="B204" s="197" t="s">
        <v>348</v>
      </c>
      <c r="C204" s="198" t="s">
        <v>79</v>
      </c>
      <c r="D204" s="230" t="n">
        <v>1</v>
      </c>
      <c r="E204" s="198" t="str">
        <f aca="false">DEC2HEX(((D204)*2^2),8)</f>
        <v>00000004</v>
      </c>
      <c r="F204" s="231"/>
      <c r="G204" s="209"/>
      <c r="H204" s="210"/>
      <c r="I204" s="211"/>
    </row>
    <row r="205" s="1" customFormat="true" ht="51" hidden="false" customHeight="false" outlineLevel="0" collapsed="false">
      <c r="B205" s="197" t="s">
        <v>349</v>
      </c>
      <c r="C205" s="198" t="s">
        <v>79</v>
      </c>
      <c r="D205" s="230" t="n">
        <v>0</v>
      </c>
      <c r="E205" s="198" t="str">
        <f aca="false">DEC2HEX(((D205)*2^7),8)</f>
        <v>00000000</v>
      </c>
      <c r="F205" s="200" t="s">
        <v>350</v>
      </c>
      <c r="G205" s="209"/>
      <c r="H205" s="210"/>
      <c r="I205" s="211"/>
    </row>
    <row r="206" s="1" customFormat="true" ht="39" hidden="false" customHeight="true" outlineLevel="0" collapsed="false">
      <c r="B206" s="197" t="s">
        <v>351</v>
      </c>
      <c r="C206" s="198" t="s">
        <v>79</v>
      </c>
      <c r="D206" s="230" t="n">
        <v>0</v>
      </c>
      <c r="E206" s="198" t="str">
        <f aca="false">DEC2HEX(((D206)*2^5),8)</f>
        <v>00000000</v>
      </c>
      <c r="F206" s="231" t="s">
        <v>352</v>
      </c>
      <c r="G206" s="209"/>
      <c r="H206" s="210"/>
      <c r="I206" s="211"/>
    </row>
    <row r="207" s="1" customFormat="true" ht="40.5" hidden="false" customHeight="true" outlineLevel="0" collapsed="false">
      <c r="B207" s="197" t="s">
        <v>353</v>
      </c>
      <c r="C207" s="198" t="s">
        <v>79</v>
      </c>
      <c r="D207" s="230" t="n">
        <v>0</v>
      </c>
      <c r="E207" s="198" t="str">
        <f aca="false">DEC2HEX(((D207)*2^1),8)</f>
        <v>00000000</v>
      </c>
      <c r="F207" s="231"/>
      <c r="G207" s="209"/>
      <c r="H207" s="210"/>
      <c r="I207" s="211"/>
    </row>
    <row r="208" s="1" customFormat="true" ht="76.5" hidden="false" customHeight="false" outlineLevel="0" collapsed="false">
      <c r="B208" s="197" t="s">
        <v>354</v>
      </c>
      <c r="C208" s="198" t="s">
        <v>79</v>
      </c>
      <c r="D208" s="230" t="n">
        <v>0</v>
      </c>
      <c r="E208" s="198" t="str">
        <f aca="false">DEC2HEX(((D208)*2^3),8)</f>
        <v>00000000</v>
      </c>
      <c r="F208" s="200" t="s">
        <v>355</v>
      </c>
      <c r="G208" s="209"/>
      <c r="H208" s="210"/>
      <c r="I208" s="211"/>
    </row>
    <row r="209" s="1" customFormat="true" ht="51.75" hidden="false" customHeight="false" outlineLevel="0" collapsed="false">
      <c r="B209" s="217" t="s">
        <v>356</v>
      </c>
      <c r="C209" s="218" t="s">
        <v>79</v>
      </c>
      <c r="D209" s="232" t="n">
        <v>0</v>
      </c>
      <c r="E209" s="218" t="str">
        <f aca="false">DEC2HEX(((D209)*2^0),8)</f>
        <v>00000000</v>
      </c>
      <c r="F209" s="220" t="s">
        <v>357</v>
      </c>
      <c r="G209" s="209"/>
      <c r="H209" s="210"/>
      <c r="I209" s="211"/>
    </row>
    <row r="210" customFormat="false" ht="13.5" hidden="false" customHeight="false" outlineLevel="0" collapsed="false">
      <c r="B210" s="94"/>
      <c r="C210" s="95"/>
      <c r="D210" s="116"/>
      <c r="E210" s="97"/>
      <c r="F210" s="98"/>
      <c r="G210" s="117"/>
      <c r="H210" s="117"/>
      <c r="I210" s="117"/>
      <c r="J210" s="85"/>
    </row>
    <row r="211" customFormat="false" ht="13.5" hidden="false" customHeight="false" outlineLevel="0" collapsed="false">
      <c r="B211" s="138" t="s">
        <v>358</v>
      </c>
      <c r="C211" s="138"/>
      <c r="D211" s="138"/>
      <c r="E211" s="138"/>
      <c r="F211" s="138"/>
      <c r="G211" s="138"/>
      <c r="H211" s="138"/>
      <c r="I211" s="138"/>
      <c r="J211" s="85"/>
      <c r="L211" s="233"/>
      <c r="M211" s="233"/>
    </row>
    <row r="212" s="233" customFormat="true" ht="13.5" hidden="false" customHeight="false" outlineLevel="0" collapsed="false">
      <c r="B212" s="234"/>
      <c r="C212" s="234"/>
      <c r="D212" s="234"/>
      <c r="E212" s="234"/>
      <c r="F212" s="234"/>
      <c r="G212" s="234"/>
      <c r="H212" s="234"/>
      <c r="I212" s="234"/>
      <c r="J212" s="235"/>
      <c r="L212" s="1"/>
      <c r="M212" s="1"/>
    </row>
    <row r="213" customFormat="false" ht="39" hidden="false" customHeight="false" outlineLevel="0" collapsed="false">
      <c r="B213" s="127" t="s">
        <v>141</v>
      </c>
      <c r="C213" s="130" t="s">
        <v>201</v>
      </c>
      <c r="D213" s="155" t="s">
        <v>359</v>
      </c>
      <c r="E213" s="127" t="s">
        <v>70</v>
      </c>
      <c r="F213" s="128" t="s">
        <v>71</v>
      </c>
      <c r="G213" s="129" t="s">
        <v>72</v>
      </c>
      <c r="H213" s="130" t="s">
        <v>144</v>
      </c>
      <c r="I213" s="130" t="s">
        <v>74</v>
      </c>
      <c r="J213" s="69"/>
    </row>
    <row r="214" customFormat="false" ht="134.25" hidden="false" customHeight="true" outlineLevel="0" collapsed="false">
      <c r="B214" s="73" t="s">
        <v>360</v>
      </c>
      <c r="C214" s="100"/>
      <c r="D214" s="101" t="n">
        <v>2</v>
      </c>
      <c r="E214" s="76" t="str">
        <f aca="false">DEC2HEX(((D214)*2^24),8)</f>
        <v>02000000</v>
      </c>
      <c r="F214" s="236" t="s">
        <v>361</v>
      </c>
      <c r="G214" s="103" t="s">
        <v>362</v>
      </c>
      <c r="H214" s="103" t="str">
        <f aca="false">"0x"&amp;DEC2HEX((HEX2DEC(C32)+400), 8)</f>
        <v>0x307A0190</v>
      </c>
      <c r="I214" s="104" t="str">
        <f aca="false">"0x"&amp;DEC2HEX((HEX2DEC(E214)+HEX2DEC(E215)+HEX2DEC(E216)+HEX2DEC(E217)+HEX2DEC(E218)+HEX2DEC(E219)), 8)</f>
        <v>0x02098203</v>
      </c>
      <c r="J214" s="69"/>
    </row>
    <row r="215" customFormat="false" ht="106.5" hidden="false" customHeight="true" outlineLevel="0" collapsed="false">
      <c r="B215" s="80" t="s">
        <v>363</v>
      </c>
      <c r="C215" s="81"/>
      <c r="D215" s="86" t="n">
        <v>0</v>
      </c>
      <c r="E215" s="83" t="str">
        <f aca="false">DEC2HEX(((D215)*2^23),8)</f>
        <v>00000000</v>
      </c>
      <c r="F215" s="237" t="s">
        <v>364</v>
      </c>
      <c r="G215" s="103"/>
      <c r="H215" s="103"/>
      <c r="I215" s="104"/>
      <c r="J215" s="69"/>
    </row>
    <row r="216" customFormat="false" ht="117.75" hidden="false" customHeight="true" outlineLevel="0" collapsed="false">
      <c r="B216" s="80" t="s">
        <v>365</v>
      </c>
      <c r="C216" s="81"/>
      <c r="D216" s="86" t="n">
        <v>9</v>
      </c>
      <c r="E216" s="83" t="str">
        <f aca="false">DEC2HEX(((D216)*2^16),8)</f>
        <v>00090000</v>
      </c>
      <c r="F216" s="238" t="s">
        <v>366</v>
      </c>
      <c r="G216" s="103"/>
      <c r="H216" s="103"/>
      <c r="I216" s="104"/>
      <c r="J216" s="69"/>
    </row>
    <row r="217" customFormat="false" ht="113.25" hidden="false" customHeight="true" outlineLevel="0" collapsed="false">
      <c r="B217" s="80" t="s">
        <v>367</v>
      </c>
      <c r="C217" s="81"/>
      <c r="D217" s="86" t="n">
        <v>1</v>
      </c>
      <c r="E217" s="83" t="str">
        <f aca="false">DEC2HEX(((D217)*2^15),8)</f>
        <v>00008000</v>
      </c>
      <c r="F217" s="238" t="s">
        <v>368</v>
      </c>
      <c r="G217" s="103"/>
      <c r="H217" s="103"/>
      <c r="I217" s="104"/>
      <c r="J217" s="69"/>
    </row>
    <row r="218" customFormat="false" ht="100.5" hidden="false" customHeight="true" outlineLevel="0" collapsed="false">
      <c r="B218" s="114" t="s">
        <v>369</v>
      </c>
      <c r="C218" s="81"/>
      <c r="D218" s="86" t="n">
        <v>2</v>
      </c>
      <c r="E218" s="83" t="str">
        <f aca="false">DEC2HEX(((D218)*2^8),8)</f>
        <v>00000200</v>
      </c>
      <c r="F218" s="238" t="s">
        <v>370</v>
      </c>
      <c r="G218" s="103"/>
      <c r="H218" s="103"/>
      <c r="I218" s="104"/>
      <c r="J218" s="69"/>
    </row>
    <row r="219" customFormat="false" ht="116.25" hidden="false" customHeight="true" outlineLevel="0" collapsed="false">
      <c r="B219" s="167" t="s">
        <v>371</v>
      </c>
      <c r="C219" s="90"/>
      <c r="D219" s="105" t="n">
        <f aca="false">IF(C17="DDR3", C114-2, C114-1)</f>
        <v>3</v>
      </c>
      <c r="E219" s="92" t="str">
        <f aca="false">DEC2HEX(((D219)*2^0),8)</f>
        <v>00000003</v>
      </c>
      <c r="F219" s="239" t="s">
        <v>372</v>
      </c>
      <c r="G219" s="103"/>
      <c r="H219" s="103"/>
      <c r="I219" s="104"/>
      <c r="J219" s="69"/>
    </row>
    <row r="220" customFormat="false" ht="12.75" hidden="false" customHeight="true" outlineLevel="0" collapsed="false">
      <c r="B220" s="107"/>
      <c r="C220" s="108"/>
      <c r="D220" s="109"/>
      <c r="E220" s="110"/>
      <c r="F220" s="98"/>
      <c r="G220" s="97"/>
      <c r="H220" s="97"/>
      <c r="I220" s="112"/>
      <c r="J220" s="69"/>
    </row>
    <row r="221" customFormat="false" ht="12.75" hidden="false" customHeight="false" outlineLevel="0" collapsed="false">
      <c r="B221" s="73" t="s">
        <v>373</v>
      </c>
      <c r="C221" s="100" t="s">
        <v>79</v>
      </c>
      <c r="D221" s="101" t="n">
        <v>0</v>
      </c>
      <c r="E221" s="76" t="str">
        <f aca="false">DEC2HEX(((D221)*2^28),8)</f>
        <v>00000000</v>
      </c>
      <c r="F221" s="236" t="s">
        <v>374</v>
      </c>
      <c r="G221" s="103" t="s">
        <v>375</v>
      </c>
      <c r="H221" s="103" t="str">
        <f aca="false">"0x"&amp;DEC2HEX((HEX2DEC(C32)+404), 8)</f>
        <v>0x307A0194</v>
      </c>
      <c r="I221" s="104" t="str">
        <f aca="false">"0x"&amp;DEC2HEX((HEX2DEC(E221)+HEX2DEC(E222)+HEX2DEC(E223)+HEX2DEC(E224)+HEX2DEC(E225)), 8)</f>
        <v>0x00060303</v>
      </c>
      <c r="J221" s="69"/>
    </row>
    <row r="222" customFormat="false" ht="12.75" hidden="false" customHeight="false" outlineLevel="0" collapsed="false">
      <c r="B222" s="80" t="s">
        <v>373</v>
      </c>
      <c r="C222" s="81" t="s">
        <v>79</v>
      </c>
      <c r="D222" s="86" t="n">
        <v>0</v>
      </c>
      <c r="E222" s="83" t="str">
        <f aca="false">DEC2HEX(((D222)*2^24),8)</f>
        <v>00000000</v>
      </c>
      <c r="F222" s="237" t="s">
        <v>374</v>
      </c>
      <c r="G222" s="103"/>
      <c r="H222" s="103"/>
      <c r="I222" s="104"/>
      <c r="J222" s="69"/>
    </row>
    <row r="223" customFormat="false" ht="189" hidden="false" customHeight="true" outlineLevel="0" collapsed="false">
      <c r="B223" s="80" t="s">
        <v>376</v>
      </c>
      <c r="C223" s="81" t="s">
        <v>79</v>
      </c>
      <c r="D223" s="86" t="n">
        <f aca="false">(IF(C17="DDR3",3,6))</f>
        <v>6</v>
      </c>
      <c r="E223" s="83" t="str">
        <f aca="false">DEC2HEX(((D223)*2^16),8)</f>
        <v>00060000</v>
      </c>
      <c r="F223" s="238" t="s">
        <v>377</v>
      </c>
      <c r="G223" s="103"/>
      <c r="H223" s="103"/>
      <c r="I223" s="104"/>
      <c r="J223" s="69"/>
    </row>
    <row r="224" customFormat="false" ht="91.5" hidden="false" customHeight="true" outlineLevel="0" collapsed="false">
      <c r="B224" s="80" t="s">
        <v>378</v>
      </c>
      <c r="C224" s="81" t="s">
        <v>79</v>
      </c>
      <c r="D224" s="86" t="n">
        <v>3</v>
      </c>
      <c r="E224" s="83" t="str">
        <f aca="false">DEC2HEX(((D224)*2^8),8)</f>
        <v>00000300</v>
      </c>
      <c r="F224" s="238" t="s">
        <v>379</v>
      </c>
      <c r="G224" s="103"/>
      <c r="H224" s="103"/>
      <c r="I224" s="104"/>
      <c r="J224" s="69"/>
    </row>
    <row r="225" customFormat="false" ht="96.75" hidden="false" customHeight="true" outlineLevel="0" collapsed="false">
      <c r="B225" s="89" t="s">
        <v>380</v>
      </c>
      <c r="C225" s="90" t="s">
        <v>79</v>
      </c>
      <c r="D225" s="137" t="n">
        <v>3</v>
      </c>
      <c r="E225" s="92" t="str">
        <f aca="false">DEC2HEX(((D225)*2^0),8)</f>
        <v>00000003</v>
      </c>
      <c r="F225" s="239" t="s">
        <v>381</v>
      </c>
      <c r="G225" s="103"/>
      <c r="H225" s="103"/>
      <c r="I225" s="104"/>
      <c r="J225" s="69"/>
    </row>
    <row r="226" customFormat="false" ht="7.5" hidden="false" customHeight="true" outlineLevel="0" collapsed="false">
      <c r="B226" s="107"/>
      <c r="C226" s="108"/>
      <c r="D226" s="109"/>
      <c r="E226" s="110"/>
      <c r="F226" s="98"/>
      <c r="G226" s="97"/>
      <c r="H226" s="97"/>
      <c r="I226" s="112"/>
      <c r="J226" s="69"/>
    </row>
    <row r="227" customFormat="false" ht="105" hidden="false" customHeight="true" outlineLevel="0" collapsed="false">
      <c r="B227" s="73" t="s">
        <v>382</v>
      </c>
      <c r="C227" s="100" t="s">
        <v>79</v>
      </c>
      <c r="D227" s="101" t="n">
        <v>1</v>
      </c>
      <c r="E227" s="76" t="str">
        <f aca="false">DEC2HEX(((D227)*2^31),8)</f>
        <v>80000000</v>
      </c>
      <c r="F227" s="236" t="s">
        <v>383</v>
      </c>
      <c r="G227" s="103" t="s">
        <v>384</v>
      </c>
      <c r="H227" s="103" t="str">
        <f aca="false">"0x"&amp;DEC2HEX((HEX2DEC(C32)+416), 8)</f>
        <v>0x307A01A0</v>
      </c>
      <c r="I227" s="104" t="str">
        <f aca="false">"0x"&amp;DEC2HEX((HEX2DEC(E227)+HEX2DEC(E228)+HEX2DEC(E229)+HEX2DEC(E230)), 8)</f>
        <v>0x80400003</v>
      </c>
      <c r="J227" s="69"/>
    </row>
    <row r="228" customFormat="false" ht="102.75" hidden="false" customHeight="true" outlineLevel="0" collapsed="false">
      <c r="B228" s="80" t="s">
        <v>385</v>
      </c>
      <c r="C228" s="81" t="s">
        <v>79</v>
      </c>
      <c r="D228" s="86" t="n">
        <v>0</v>
      </c>
      <c r="E228" s="83" t="str">
        <f aca="false">DEC2HEX(((D228)*2^30),8)</f>
        <v>00000000</v>
      </c>
      <c r="F228" s="237" t="s">
        <v>386</v>
      </c>
      <c r="G228" s="103"/>
      <c r="H228" s="103"/>
      <c r="I228" s="104"/>
      <c r="J228" s="69"/>
    </row>
    <row r="229" customFormat="false" ht="63" hidden="false" customHeight="true" outlineLevel="0" collapsed="false">
      <c r="B229" s="114" t="s">
        <v>387</v>
      </c>
      <c r="C229" s="81" t="s">
        <v>79</v>
      </c>
      <c r="D229" s="86" t="n">
        <v>64</v>
      </c>
      <c r="E229" s="83" t="str">
        <f aca="false">DEC2HEX(((D229)*2^16),8)</f>
        <v>00400000</v>
      </c>
      <c r="F229" s="238" t="s">
        <v>388</v>
      </c>
      <c r="G229" s="103"/>
      <c r="H229" s="103"/>
      <c r="I229" s="104"/>
      <c r="J229" s="69"/>
    </row>
    <row r="230" customFormat="false" ht="105.75" hidden="false" customHeight="true" outlineLevel="0" collapsed="false">
      <c r="B230" s="89" t="s">
        <v>389</v>
      </c>
      <c r="C230" s="90" t="s">
        <v>79</v>
      </c>
      <c r="D230" s="137" t="n">
        <v>3</v>
      </c>
      <c r="E230" s="92" t="str">
        <f aca="false">DEC2HEX(((D230)*2^0),8)</f>
        <v>00000003</v>
      </c>
      <c r="F230" s="239" t="s">
        <v>390</v>
      </c>
      <c r="G230" s="103"/>
      <c r="H230" s="103"/>
      <c r="I230" s="104"/>
      <c r="J230" s="69"/>
    </row>
    <row r="231" customFormat="false" ht="6" hidden="false" customHeight="true" outlineLevel="0" collapsed="false">
      <c r="B231" s="107"/>
      <c r="C231" s="108"/>
      <c r="D231" s="109"/>
      <c r="E231" s="110"/>
      <c r="F231" s="98"/>
      <c r="G231" s="97"/>
      <c r="H231" s="97"/>
      <c r="I231" s="112"/>
      <c r="J231" s="69"/>
    </row>
    <row r="232" customFormat="false" ht="105.75" hidden="false" customHeight="true" outlineLevel="0" collapsed="false">
      <c r="B232" s="73" t="s">
        <v>391</v>
      </c>
      <c r="C232" s="100" t="s">
        <v>79</v>
      </c>
      <c r="D232" s="101" t="n">
        <v>16</v>
      </c>
      <c r="E232" s="76" t="str">
        <f aca="false">DEC2HEX(((D232)*2^16),8)</f>
        <v>00100000</v>
      </c>
      <c r="F232" s="236" t="s">
        <v>392</v>
      </c>
      <c r="G232" s="103" t="s">
        <v>393</v>
      </c>
      <c r="H232" s="103" t="str">
        <f aca="false">"0x"&amp;DEC2HEX((HEX2DEC(C32)+420), 8)</f>
        <v>0x307A01A4</v>
      </c>
      <c r="I232" s="104" t="str">
        <f aca="false">"0x"&amp;DEC2HEX((HEX2DEC(E232)+HEX2DEC(E233)), 8)</f>
        <v>0x00100020</v>
      </c>
      <c r="J232" s="69"/>
    </row>
    <row r="233" customFormat="false" ht="183" hidden="false" customHeight="true" outlineLevel="0" collapsed="false">
      <c r="B233" s="89" t="s">
        <v>394</v>
      </c>
      <c r="C233" s="90" t="s">
        <v>79</v>
      </c>
      <c r="D233" s="137" t="n">
        <v>32</v>
      </c>
      <c r="E233" s="92" t="str">
        <f aca="false">DEC2HEX(((D233)*2^0),8)</f>
        <v>00000020</v>
      </c>
      <c r="F233" s="239" t="s">
        <v>395</v>
      </c>
      <c r="G233" s="103"/>
      <c r="H233" s="103"/>
      <c r="I233" s="104"/>
      <c r="J233" s="69"/>
    </row>
    <row r="234" customFormat="false" ht="6.75" hidden="false" customHeight="true" outlineLevel="0" collapsed="false">
      <c r="B234" s="107"/>
      <c r="C234" s="108"/>
      <c r="D234" s="109"/>
      <c r="E234" s="110"/>
      <c r="F234" s="98"/>
      <c r="G234" s="97"/>
      <c r="H234" s="97"/>
      <c r="I234" s="112"/>
      <c r="J234" s="69"/>
    </row>
    <row r="235" customFormat="false" ht="68.25" hidden="false" customHeight="true" outlineLevel="0" collapsed="false">
      <c r="B235" s="73" t="s">
        <v>396</v>
      </c>
      <c r="C235" s="100" t="s">
        <v>79</v>
      </c>
      <c r="D235" s="101" t="n">
        <v>1</v>
      </c>
      <c r="E235" s="76" t="str">
        <f aca="false">DEC2HEX(((D235)*2^31),8)</f>
        <v>80000000</v>
      </c>
      <c r="F235" s="236" t="s">
        <v>397</v>
      </c>
      <c r="G235" s="103" t="s">
        <v>398</v>
      </c>
      <c r="H235" s="103" t="str">
        <f aca="false">"0x"&amp;DEC2HEX((HEX2DEC(C32)+424), 8)</f>
        <v>0x307A01A8</v>
      </c>
      <c r="I235" s="104" t="str">
        <f aca="false">"0x"&amp;DEC2HEX((HEX2DEC(E235)+HEX2DEC(E236)+HEX2DEC(E237)), 8)</f>
        <v>0x80100004</v>
      </c>
      <c r="J235" s="69"/>
    </row>
    <row r="236" customFormat="false" ht="105.75" hidden="false" customHeight="true" outlineLevel="0" collapsed="false">
      <c r="B236" s="114" t="s">
        <v>399</v>
      </c>
      <c r="C236" s="81" t="s">
        <v>79</v>
      </c>
      <c r="D236" s="86" t="n">
        <v>16</v>
      </c>
      <c r="E236" s="83" t="str">
        <f aca="false">DEC2HEX(((D236)*2^16),8)</f>
        <v>00100000</v>
      </c>
      <c r="F236" s="238" t="s">
        <v>400</v>
      </c>
      <c r="G236" s="103"/>
      <c r="H236" s="103"/>
      <c r="I236" s="104"/>
      <c r="J236" s="69"/>
    </row>
    <row r="237" customFormat="false" ht="109.5" hidden="false" customHeight="true" outlineLevel="0" collapsed="false">
      <c r="B237" s="89" t="s">
        <v>401</v>
      </c>
      <c r="C237" s="90" t="s">
        <v>79</v>
      </c>
      <c r="D237" s="137" t="n">
        <v>4</v>
      </c>
      <c r="E237" s="92" t="str">
        <f aca="false">DEC2HEX(((D237)*2^0),8)</f>
        <v>00000004</v>
      </c>
      <c r="F237" s="239" t="s">
        <v>402</v>
      </c>
      <c r="G237" s="103"/>
      <c r="H237" s="103"/>
      <c r="I237" s="104"/>
      <c r="J237" s="69"/>
    </row>
    <row r="238" customFormat="false" ht="10.5" hidden="false" customHeight="true" outlineLevel="0" collapsed="false">
      <c r="B238" s="107"/>
      <c r="C238" s="108"/>
      <c r="D238" s="109"/>
      <c r="E238" s="110"/>
      <c r="F238" s="98"/>
      <c r="G238" s="97"/>
      <c r="H238" s="97"/>
      <c r="I238" s="112"/>
      <c r="J238" s="69"/>
    </row>
    <row r="239" customFormat="false" ht="21.75" hidden="false" customHeight="true" outlineLevel="0" collapsed="false"/>
    <row r="240" s="1" customFormat="true" ht="13.5" hidden="false" customHeight="false" outlineLevel="0" collapsed="false">
      <c r="E240" s="16"/>
      <c r="G240" s="16"/>
      <c r="H240" s="16"/>
      <c r="I240" s="16"/>
    </row>
    <row r="241" customFormat="false" ht="39" hidden="false" customHeight="false" outlineLevel="0" collapsed="false">
      <c r="B241" s="65" t="s">
        <v>403</v>
      </c>
      <c r="C241" s="65" t="s">
        <v>68</v>
      </c>
      <c r="D241" s="65" t="s">
        <v>69</v>
      </c>
      <c r="E241" s="65" t="s">
        <v>70</v>
      </c>
      <c r="F241" s="66" t="s">
        <v>71</v>
      </c>
      <c r="G241" s="67" t="s">
        <v>72</v>
      </c>
      <c r="H241" s="68" t="s">
        <v>73</v>
      </c>
      <c r="I241" s="68" t="s">
        <v>74</v>
      </c>
    </row>
    <row r="242" customFormat="false" ht="3" hidden="false" customHeight="true" outlineLevel="0" collapsed="false"/>
    <row r="243" customFormat="false" ht="12.75" hidden="false" customHeight="false" outlineLevel="0" collapsed="false">
      <c r="B243" s="240" t="s">
        <v>373</v>
      </c>
      <c r="C243" s="241" t="s">
        <v>79</v>
      </c>
      <c r="D243" s="242" t="n">
        <v>23</v>
      </c>
      <c r="E243" s="242" t="str">
        <f aca="false">DEC2HEX(((D243)*2^24),8)</f>
        <v>17000000</v>
      </c>
      <c r="F243" s="243" t="s">
        <v>374</v>
      </c>
      <c r="G243" s="120" t="s">
        <v>404</v>
      </c>
      <c r="H243" s="121" t="str">
        <f aca="false">"0x"&amp;DEC2HEX((HEX2DEC(C33)+0), 8)</f>
        <v>0x30790000</v>
      </c>
      <c r="I243" s="125" t="str">
        <f aca="false">"0x"&amp;DEC2HEX((HEX2DEC(E243)+HEX2DEC(E244)+HEX2DEC(E245)+HEX2DEC(E246)+HEX2DEC(E247)+HEX2DEC(E248)+HEX2DEC(E249)+HEX2DEC(E250)+HEX2DEC(E251)+HEX2DEC(E252)+HEX2DEC(E253)+HEX2DEC(E254)+HEX2DEC(E255)), 8)</f>
        <v>0x17421640</v>
      </c>
    </row>
    <row r="244" customFormat="false" ht="76.5" hidden="false" customHeight="false" outlineLevel="0" collapsed="false">
      <c r="B244" s="244" t="s">
        <v>405</v>
      </c>
      <c r="C244" s="226" t="s">
        <v>79</v>
      </c>
      <c r="D244" s="245" t="n">
        <v>1</v>
      </c>
      <c r="E244" s="245" t="str">
        <f aca="false">DEC2HEX(((D244)*2^22),8)</f>
        <v>00400000</v>
      </c>
      <c r="F244" s="246" t="s">
        <v>406</v>
      </c>
      <c r="G244" s="120"/>
      <c r="H244" s="120"/>
      <c r="I244" s="125"/>
    </row>
    <row r="245" customFormat="false" ht="114.75" hidden="false" customHeight="false" outlineLevel="0" collapsed="false">
      <c r="B245" s="244" t="s">
        <v>407</v>
      </c>
      <c r="C245" s="226" t="s">
        <v>79</v>
      </c>
      <c r="D245" s="245" t="n">
        <v>0</v>
      </c>
      <c r="E245" s="245" t="str">
        <f aca="false">DEC2HEX(((D245)*2^20),8)</f>
        <v>00000000</v>
      </c>
      <c r="F245" s="247" t="s">
        <v>408</v>
      </c>
      <c r="G245" s="120"/>
      <c r="H245" s="120"/>
      <c r="I245" s="125"/>
    </row>
    <row r="246" customFormat="false" ht="12.75" hidden="false" customHeight="false" outlineLevel="0" collapsed="false">
      <c r="B246" s="244" t="s">
        <v>373</v>
      </c>
      <c r="C246" s="226" t="s">
        <v>79</v>
      </c>
      <c r="D246" s="245" t="n">
        <v>1</v>
      </c>
      <c r="E246" s="245" t="str">
        <f aca="false">DEC2HEX(((D246)*2^17),8)</f>
        <v>00020000</v>
      </c>
      <c r="F246" s="246" t="s">
        <v>374</v>
      </c>
      <c r="G246" s="120"/>
      <c r="H246" s="120"/>
      <c r="I246" s="125"/>
    </row>
    <row r="247" customFormat="false" ht="51" hidden="false" customHeight="false" outlineLevel="0" collapsed="false">
      <c r="B247" s="244" t="s">
        <v>409</v>
      </c>
      <c r="C247" s="245" t="s">
        <v>79</v>
      </c>
      <c r="D247" s="245" t="n">
        <v>0</v>
      </c>
      <c r="E247" s="245" t="str">
        <f aca="false">DEC2HEX(((D247)*2^16),8)</f>
        <v>00000000</v>
      </c>
      <c r="F247" s="247" t="s">
        <v>410</v>
      </c>
      <c r="G247" s="120"/>
      <c r="H247" s="120"/>
      <c r="I247" s="125"/>
    </row>
    <row r="248" customFormat="false" ht="76.5" hidden="false" customHeight="false" outlineLevel="0" collapsed="false">
      <c r="B248" s="244" t="s">
        <v>411</v>
      </c>
      <c r="C248" s="226" t="s">
        <v>79</v>
      </c>
      <c r="D248" s="248" t="n">
        <f aca="false">IF(C17 = "lpddr3",3,0)+IF(C17 = "lpddr2",2,0)+IF(C17 = "ddr3",1,0)</f>
        <v>2</v>
      </c>
      <c r="E248" s="245" t="str">
        <f aca="false">DEC2HEX(((D248)*2^11),8)</f>
        <v>00001000</v>
      </c>
      <c r="F248" s="247" t="s">
        <v>412</v>
      </c>
      <c r="G248" s="120"/>
      <c r="H248" s="120"/>
      <c r="I248" s="125"/>
    </row>
    <row r="249" customFormat="false" ht="12.75" hidden="false" customHeight="false" outlineLevel="0" collapsed="false">
      <c r="B249" s="244" t="s">
        <v>373</v>
      </c>
      <c r="C249" s="226" t="s">
        <v>79</v>
      </c>
      <c r="D249" s="249" t="n">
        <v>1</v>
      </c>
      <c r="E249" s="245" t="str">
        <f aca="false">DEC2HEX(((D249)*2^10),8)</f>
        <v>00000400</v>
      </c>
      <c r="F249" s="246" t="s">
        <v>374</v>
      </c>
      <c r="G249" s="120"/>
      <c r="H249" s="120"/>
      <c r="I249" s="125"/>
    </row>
    <row r="250" customFormat="false" ht="51" hidden="false" customHeight="false" outlineLevel="0" collapsed="false">
      <c r="B250" s="244" t="s">
        <v>413</v>
      </c>
      <c r="C250" s="226" t="s">
        <v>79</v>
      </c>
      <c r="D250" s="245" t="n">
        <v>1</v>
      </c>
      <c r="E250" s="245" t="str">
        <f aca="false">DEC2HEX(((D250)*2^9),8)</f>
        <v>00000200</v>
      </c>
      <c r="F250" s="246" t="s">
        <v>414</v>
      </c>
      <c r="G250" s="120"/>
      <c r="H250" s="120"/>
      <c r="I250" s="125"/>
    </row>
    <row r="251" customFormat="false" ht="114.75" hidden="false" customHeight="false" outlineLevel="0" collapsed="false">
      <c r="B251" s="244" t="s">
        <v>415</v>
      </c>
      <c r="C251" s="226" t="s">
        <v>79</v>
      </c>
      <c r="D251" s="248" t="n">
        <f aca="false">IF(C17 = "DDR3",1,0)</f>
        <v>0</v>
      </c>
      <c r="E251" s="245" t="str">
        <f aca="false">DEC2HEX(((D251)*2^8),8)</f>
        <v>00000000</v>
      </c>
      <c r="F251" s="246" t="s">
        <v>416</v>
      </c>
      <c r="G251" s="120"/>
      <c r="H251" s="120"/>
      <c r="I251" s="125"/>
      <c r="J251" s="250"/>
    </row>
    <row r="252" customFormat="false" ht="38.25" hidden="false" customHeight="false" outlineLevel="0" collapsed="false">
      <c r="B252" s="244" t="s">
        <v>417</v>
      </c>
      <c r="C252" s="226" t="s">
        <v>79</v>
      </c>
      <c r="D252" s="245" t="n">
        <v>1</v>
      </c>
      <c r="E252" s="245" t="str">
        <f aca="false">DEC2HEX(((D252)*2^6),8)</f>
        <v>00000040</v>
      </c>
      <c r="F252" s="246" t="s">
        <v>418</v>
      </c>
      <c r="G252" s="120"/>
      <c r="H252" s="120"/>
      <c r="I252" s="125"/>
    </row>
    <row r="253" customFormat="false" ht="89.25" hidden="false" customHeight="false" outlineLevel="0" collapsed="false">
      <c r="B253" s="244" t="s">
        <v>419</v>
      </c>
      <c r="C253" s="226" t="s">
        <v>79</v>
      </c>
      <c r="D253" s="245" t="n">
        <v>0</v>
      </c>
      <c r="E253" s="245" t="str">
        <f aca="false">DEC2HEX(((D253)*2^4),8)</f>
        <v>00000000</v>
      </c>
      <c r="F253" s="246" t="s">
        <v>420</v>
      </c>
      <c r="G253" s="120"/>
      <c r="H253" s="120"/>
      <c r="I253" s="125"/>
    </row>
    <row r="254" customFormat="false" ht="102" hidden="false" customHeight="false" outlineLevel="0" collapsed="false">
      <c r="B254" s="244" t="s">
        <v>421</v>
      </c>
      <c r="C254" s="226" t="s">
        <v>79</v>
      </c>
      <c r="D254" s="245" t="n">
        <v>0</v>
      </c>
      <c r="E254" s="245" t="str">
        <f aca="false">DEC2HEX(((D254)*2^3),8)</f>
        <v>00000000</v>
      </c>
      <c r="F254" s="246" t="s">
        <v>422</v>
      </c>
      <c r="G254" s="120"/>
      <c r="H254" s="120"/>
      <c r="I254" s="125"/>
    </row>
    <row r="255" customFormat="false" ht="268.5" hidden="false" customHeight="false" outlineLevel="0" collapsed="false">
      <c r="B255" s="251" t="s">
        <v>423</v>
      </c>
      <c r="C255" s="161" t="s">
        <v>79</v>
      </c>
      <c r="D255" s="252" t="n">
        <v>0</v>
      </c>
      <c r="E255" s="252" t="str">
        <f aca="false">DEC2HEX(((D255)*2^0),8)</f>
        <v>00000000</v>
      </c>
      <c r="F255" s="253" t="s">
        <v>424</v>
      </c>
      <c r="G255" s="120"/>
      <c r="H255" s="120"/>
      <c r="I255" s="125"/>
    </row>
    <row r="256" customFormat="false" ht="8.25" hidden="false" customHeight="true" outlineLevel="0" collapsed="false">
      <c r="B256" s="117"/>
      <c r="C256" s="117"/>
      <c r="D256" s="117"/>
      <c r="E256" s="117"/>
      <c r="F256" s="117"/>
      <c r="G256" s="117"/>
      <c r="H256" s="117"/>
      <c r="I256" s="117"/>
    </row>
    <row r="257" customFormat="false" ht="72.75" hidden="false" customHeight="true" outlineLevel="0" collapsed="false">
      <c r="B257" s="240" t="s">
        <v>425</v>
      </c>
      <c r="C257" s="241" t="s">
        <v>79</v>
      </c>
      <c r="D257" s="242" t="n">
        <v>0</v>
      </c>
      <c r="E257" s="242" t="str">
        <f aca="false">DEC2HEX(((D257)*2^31),8)</f>
        <v>00000000</v>
      </c>
      <c r="F257" s="243" t="s">
        <v>426</v>
      </c>
      <c r="G257" s="120" t="s">
        <v>427</v>
      </c>
      <c r="H257" s="121" t="str">
        <f aca="false">"0x"&amp;DEC2HEX((HEX2DEC(C33)+4), 8)</f>
        <v>0x30790004</v>
      </c>
      <c r="I257" s="125" t="str">
        <f aca="false">"0x"&amp;DEC2HEX((HEX2DEC(E257)+HEX2DEC(E258)+HEX2DEC(E259)+HEX2DEC(E260)+HEX2DEC(E261)+HEX2DEC(E262)), 8)</f>
        <v>0x10210100</v>
      </c>
    </row>
    <row r="258" customFormat="false" ht="72.75" hidden="false" customHeight="true" outlineLevel="0" collapsed="false">
      <c r="B258" s="240"/>
      <c r="C258" s="226" t="s">
        <v>79</v>
      </c>
      <c r="D258" s="245" t="n">
        <v>1</v>
      </c>
      <c r="E258" s="245" t="str">
        <f aca="false">DEC2HEX(((D258)*2^28),8)</f>
        <v>10000000</v>
      </c>
      <c r="F258" s="243"/>
      <c r="G258" s="120"/>
      <c r="H258" s="121"/>
      <c r="I258" s="125"/>
    </row>
    <row r="259" customFormat="false" ht="67.5" hidden="false" customHeight="true" outlineLevel="0" collapsed="false">
      <c r="B259" s="244" t="s">
        <v>428</v>
      </c>
      <c r="C259" s="226" t="s">
        <v>79</v>
      </c>
      <c r="D259" s="245" t="n">
        <v>0</v>
      </c>
      <c r="E259" s="245" t="str">
        <f aca="false">DEC2HEX(((D259)*2^23),8)</f>
        <v>00000000</v>
      </c>
      <c r="F259" s="246" t="s">
        <v>429</v>
      </c>
      <c r="G259" s="120"/>
      <c r="H259" s="121"/>
      <c r="I259" s="125"/>
    </row>
    <row r="260" customFormat="false" ht="67.5" hidden="false" customHeight="true" outlineLevel="0" collapsed="false">
      <c r="B260" s="244"/>
      <c r="C260" s="226" t="s">
        <v>79</v>
      </c>
      <c r="D260" s="245" t="n">
        <v>2</v>
      </c>
      <c r="E260" s="245" t="str">
        <f aca="false">DEC2HEX(((D260)*2^20),8)</f>
        <v>00200000</v>
      </c>
      <c r="F260" s="246"/>
      <c r="G260" s="120"/>
      <c r="H260" s="120"/>
      <c r="I260" s="125"/>
    </row>
    <row r="261" customFormat="false" ht="12.75" hidden="false" customHeight="false" outlineLevel="0" collapsed="false">
      <c r="B261" s="244" t="s">
        <v>373</v>
      </c>
      <c r="C261" s="226" t="s">
        <v>79</v>
      </c>
      <c r="D261" s="245" t="n">
        <v>1</v>
      </c>
      <c r="E261" s="245" t="str">
        <f aca="false">DEC2HEX(((D261)*2^16),8)</f>
        <v>00010000</v>
      </c>
      <c r="F261" s="246" t="s">
        <v>374</v>
      </c>
      <c r="G261" s="120"/>
      <c r="H261" s="120"/>
      <c r="I261" s="125"/>
    </row>
    <row r="262" customFormat="false" ht="13.5" hidden="false" customHeight="false" outlineLevel="0" collapsed="false">
      <c r="B262" s="251" t="s">
        <v>373</v>
      </c>
      <c r="C262" s="161" t="s">
        <v>79</v>
      </c>
      <c r="D262" s="252" t="n">
        <v>256</v>
      </c>
      <c r="E262" s="252" t="str">
        <f aca="false">DEC2HEX(((D262)*2^0),8)</f>
        <v>00000100</v>
      </c>
      <c r="F262" s="253" t="s">
        <v>374</v>
      </c>
      <c r="G262" s="120"/>
      <c r="H262" s="120"/>
      <c r="I262" s="125"/>
    </row>
    <row r="263" customFormat="false" ht="13.5" hidden="false" customHeight="false" outlineLevel="0" collapsed="false">
      <c r="B263" s="254"/>
      <c r="C263" s="254"/>
      <c r="D263" s="117"/>
      <c r="E263" s="117"/>
      <c r="F263" s="255"/>
      <c r="G263" s="117"/>
      <c r="H263" s="117"/>
      <c r="I263" s="117"/>
    </row>
    <row r="264" customFormat="false" ht="18.75" hidden="false" customHeight="true" outlineLevel="0" collapsed="false">
      <c r="B264" s="99" t="s">
        <v>430</v>
      </c>
      <c r="C264" s="99"/>
      <c r="D264" s="99"/>
      <c r="E264" s="99"/>
      <c r="F264" s="99"/>
      <c r="G264" s="99"/>
      <c r="H264" s="99"/>
      <c r="I264" s="99"/>
    </row>
    <row r="265" customFormat="false" ht="12.75" hidden="false" customHeight="true" outlineLevel="0" collapsed="false">
      <c r="B265" s="240" t="s">
        <v>373</v>
      </c>
      <c r="C265" s="241" t="s">
        <v>79</v>
      </c>
      <c r="D265" s="242" t="n">
        <v>0</v>
      </c>
      <c r="E265" s="242" t="str">
        <f aca="false">DEC2HEX(((D265)*2^27),8)</f>
        <v>00000000</v>
      </c>
      <c r="F265" s="256" t="s">
        <v>374</v>
      </c>
      <c r="G265" s="257" t="s">
        <v>431</v>
      </c>
      <c r="H265" s="258" t="str">
        <f aca="false">"0x"&amp;DEC2HEX((HEX2DEC(C33)+8), 8)</f>
        <v>0x30790008</v>
      </c>
      <c r="I265" s="259" t="str">
        <f aca="false">"0x"&amp;DEC2HEX((HEX2DEC(E265)+HEX2DEC(E266)+HEX2DEC(E267)+HEX2DEC(E268)+HEX2DEC(E269)+HEX2DEC(E270)+HEX2DEC(E271)+HEX2DEC(E272)+HEX2DEC(E273)+HEX2DEC(E274)+HEX2DEC(E275)+HEX2DEC(E276)+HEX2DEC(E277)+HEX2DEC(E278)+HEX2DEC(E279)+HEX2DEC(E280)), 8)</f>
        <v>0x00010000</v>
      </c>
    </row>
    <row r="266" customFormat="false" ht="12.75" hidden="false" customHeight="false" outlineLevel="0" collapsed="false">
      <c r="B266" s="244" t="s">
        <v>373</v>
      </c>
      <c r="C266" s="226" t="s">
        <v>79</v>
      </c>
      <c r="D266" s="245" t="n">
        <v>0</v>
      </c>
      <c r="E266" s="245" t="str">
        <f aca="false">DEC2HEX(((D266)*2^26),8)</f>
        <v>00000000</v>
      </c>
      <c r="F266" s="260" t="s">
        <v>374</v>
      </c>
      <c r="G266" s="257"/>
      <c r="H266" s="257"/>
      <c r="I266" s="259"/>
    </row>
    <row r="267" customFormat="false" ht="12.75" hidden="false" customHeight="false" outlineLevel="0" collapsed="false">
      <c r="B267" s="244" t="s">
        <v>373</v>
      </c>
      <c r="C267" s="226" t="s">
        <v>79</v>
      </c>
      <c r="D267" s="245" t="n">
        <v>0</v>
      </c>
      <c r="E267" s="245" t="str">
        <f aca="false">DEC2HEX(((D267)*2^25),8)</f>
        <v>00000000</v>
      </c>
      <c r="F267" s="260" t="s">
        <v>374</v>
      </c>
      <c r="G267" s="257"/>
      <c r="H267" s="257"/>
      <c r="I267" s="259"/>
    </row>
    <row r="268" customFormat="false" ht="117.75" hidden="false" customHeight="true" outlineLevel="0" collapsed="false">
      <c r="B268" s="244" t="s">
        <v>432</v>
      </c>
      <c r="C268" s="226" t="s">
        <v>79</v>
      </c>
      <c r="D268" s="245" t="n">
        <v>0</v>
      </c>
      <c r="E268" s="245" t="str">
        <f aca="false">DEC2HEX(((D268)*2^24),8)</f>
        <v>00000000</v>
      </c>
      <c r="F268" s="261" t="s">
        <v>433</v>
      </c>
      <c r="G268" s="257"/>
      <c r="H268" s="257"/>
      <c r="I268" s="259"/>
    </row>
    <row r="269" customFormat="false" ht="114" hidden="false" customHeight="true" outlineLevel="0" collapsed="false">
      <c r="B269" s="244" t="s">
        <v>434</v>
      </c>
      <c r="C269" s="226" t="s">
        <v>79</v>
      </c>
      <c r="D269" s="245" t="n">
        <v>0</v>
      </c>
      <c r="E269" s="245" t="str">
        <f aca="false">DEC2HEX(((D269)*2^23),8)</f>
        <v>00000000</v>
      </c>
      <c r="F269" s="261" t="s">
        <v>435</v>
      </c>
      <c r="G269" s="257"/>
      <c r="H269" s="257"/>
      <c r="I269" s="259"/>
    </row>
    <row r="270" customFormat="false" ht="12.75" hidden="false" customHeight="true" outlineLevel="0" collapsed="false">
      <c r="B270" s="244" t="s">
        <v>373</v>
      </c>
      <c r="C270" s="226" t="s">
        <v>373</v>
      </c>
      <c r="D270" s="245" t="n">
        <v>0</v>
      </c>
      <c r="E270" s="245" t="str">
        <f aca="false">DEC2HEX(((D270)*2^21),8)</f>
        <v>00000000</v>
      </c>
      <c r="F270" s="260" t="s">
        <v>374</v>
      </c>
      <c r="G270" s="257"/>
      <c r="H270" s="257"/>
      <c r="I270" s="259"/>
    </row>
    <row r="271" customFormat="false" ht="12.75" hidden="false" customHeight="false" outlineLevel="0" collapsed="false">
      <c r="B271" s="244"/>
      <c r="C271" s="226" t="s">
        <v>373</v>
      </c>
      <c r="D271" s="245" t="n">
        <v>1</v>
      </c>
      <c r="E271" s="245" t="str">
        <f aca="false">DEC2HEX(((D271)*2^16),8)</f>
        <v>00010000</v>
      </c>
      <c r="F271" s="260"/>
      <c r="G271" s="257"/>
      <c r="H271" s="257"/>
      <c r="I271" s="259"/>
    </row>
    <row r="272" customFormat="false" ht="12.75" hidden="false" customHeight="false" outlineLevel="0" collapsed="false">
      <c r="B272" s="244" t="s">
        <v>373</v>
      </c>
      <c r="C272" s="226" t="s">
        <v>79</v>
      </c>
      <c r="D272" s="245" t="n">
        <v>0</v>
      </c>
      <c r="E272" s="245" t="str">
        <f aca="false">DEC2HEX(((D272)*2^15),8)</f>
        <v>00000000</v>
      </c>
      <c r="F272" s="260" t="s">
        <v>374</v>
      </c>
      <c r="G272" s="257"/>
      <c r="H272" s="257"/>
      <c r="I272" s="259"/>
    </row>
    <row r="273" customFormat="false" ht="93" hidden="false" customHeight="true" outlineLevel="0" collapsed="false">
      <c r="B273" s="244" t="s">
        <v>436</v>
      </c>
      <c r="C273" s="226" t="s">
        <v>79</v>
      </c>
      <c r="D273" s="245" t="n">
        <v>0</v>
      </c>
      <c r="E273" s="245" t="str">
        <f aca="false">DEC2HEX(((D273)*2^14),8)</f>
        <v>00000000</v>
      </c>
      <c r="F273" s="260" t="s">
        <v>437</v>
      </c>
      <c r="G273" s="257"/>
      <c r="H273" s="257"/>
      <c r="I273" s="259"/>
    </row>
    <row r="274" customFormat="false" ht="92.25" hidden="false" customHeight="true" outlineLevel="0" collapsed="false">
      <c r="B274" s="244" t="s">
        <v>438</v>
      </c>
      <c r="C274" s="226" t="s">
        <v>79</v>
      </c>
      <c r="D274" s="245" t="n">
        <v>0</v>
      </c>
      <c r="E274" s="245" t="str">
        <f aca="false">DEC2HEX(((D274)*2^13),8)</f>
        <v>00000000</v>
      </c>
      <c r="F274" s="260" t="s">
        <v>439</v>
      </c>
      <c r="G274" s="257"/>
      <c r="H274" s="257"/>
      <c r="I274" s="259"/>
    </row>
    <row r="275" customFormat="false" ht="12.75" hidden="false" customHeight="false" outlineLevel="0" collapsed="false">
      <c r="B275" s="244" t="s">
        <v>373</v>
      </c>
      <c r="C275" s="226" t="s">
        <v>79</v>
      </c>
      <c r="D275" s="245" t="n">
        <v>0</v>
      </c>
      <c r="E275" s="245" t="str">
        <f aca="false">DEC2HEX(((D275)*2^12),8)</f>
        <v>00000000</v>
      </c>
      <c r="F275" s="260" t="s">
        <v>374</v>
      </c>
      <c r="G275" s="257"/>
      <c r="H275" s="257"/>
      <c r="I275" s="259"/>
    </row>
    <row r="276" customFormat="false" ht="12.75" hidden="false" customHeight="false" outlineLevel="0" collapsed="false">
      <c r="B276" s="244" t="s">
        <v>373</v>
      </c>
      <c r="C276" s="226" t="s">
        <v>373</v>
      </c>
      <c r="D276" s="245" t="n">
        <v>0</v>
      </c>
      <c r="E276" s="245" t="str">
        <f aca="false">DEC2HEX(((D276)*2^10),8)</f>
        <v>00000000</v>
      </c>
      <c r="F276" s="260" t="s">
        <v>374</v>
      </c>
      <c r="G276" s="257"/>
      <c r="H276" s="257"/>
      <c r="I276" s="259"/>
    </row>
    <row r="277" customFormat="false" ht="12.75" hidden="false" customHeight="false" outlineLevel="0" collapsed="false">
      <c r="B277" s="244"/>
      <c r="C277" s="226" t="s">
        <v>373</v>
      </c>
      <c r="D277" s="245" t="n">
        <v>0</v>
      </c>
      <c r="E277" s="245" t="str">
        <f aca="false">DEC2HEX(((D277)*2^8),8)</f>
        <v>00000000</v>
      </c>
      <c r="F277" s="260" t="s">
        <v>374</v>
      </c>
      <c r="G277" s="257"/>
      <c r="H277" s="257"/>
      <c r="I277" s="259"/>
    </row>
    <row r="278" customFormat="false" ht="12.75" hidden="false" customHeight="false" outlineLevel="0" collapsed="false">
      <c r="B278" s="244" t="s">
        <v>373</v>
      </c>
      <c r="C278" s="226" t="s">
        <v>79</v>
      </c>
      <c r="D278" s="245" t="n">
        <v>0</v>
      </c>
      <c r="E278" s="245" t="str">
        <f aca="false">DEC2HEX(((D278)*2^6),8)</f>
        <v>00000000</v>
      </c>
      <c r="F278" s="260" t="s">
        <v>374</v>
      </c>
      <c r="G278" s="257"/>
      <c r="H278" s="257"/>
      <c r="I278" s="259"/>
    </row>
    <row r="279" customFormat="false" ht="12.75" hidden="false" customHeight="false" outlineLevel="0" collapsed="false">
      <c r="B279" s="244" t="s">
        <v>373</v>
      </c>
      <c r="C279" s="226" t="s">
        <v>79</v>
      </c>
      <c r="D279" s="245" t="n">
        <v>0</v>
      </c>
      <c r="E279" s="245" t="str">
        <f aca="false">DEC2HEX(((D279)*2^5),8)</f>
        <v>00000000</v>
      </c>
      <c r="F279" s="260" t="s">
        <v>374</v>
      </c>
      <c r="G279" s="257"/>
      <c r="H279" s="257"/>
      <c r="I279" s="259"/>
    </row>
    <row r="280" customFormat="false" ht="13.5" hidden="false" customHeight="false" outlineLevel="0" collapsed="false">
      <c r="B280" s="251" t="s">
        <v>373</v>
      </c>
      <c r="C280" s="161" t="s">
        <v>79</v>
      </c>
      <c r="D280" s="252" t="n">
        <v>0</v>
      </c>
      <c r="E280" s="252" t="str">
        <f aca="false">DEC2HEX(((D280)*2^0),8)</f>
        <v>00000000</v>
      </c>
      <c r="F280" s="262" t="s">
        <v>374</v>
      </c>
      <c r="G280" s="257"/>
      <c r="H280" s="257"/>
      <c r="I280" s="259"/>
    </row>
    <row r="281" customFormat="false" ht="9" hidden="false" customHeight="true" outlineLevel="0" collapsed="false">
      <c r="B281" s="117"/>
      <c r="C281" s="117"/>
      <c r="D281" s="117"/>
      <c r="E281" s="117"/>
      <c r="F281" s="117"/>
      <c r="G281" s="117"/>
      <c r="H281" s="117"/>
      <c r="I281" s="117"/>
    </row>
    <row r="282" customFormat="false" ht="114.75" hidden="false" customHeight="false" outlineLevel="0" collapsed="false">
      <c r="B282" s="240" t="s">
        <v>440</v>
      </c>
      <c r="C282" s="241" t="s">
        <v>79</v>
      </c>
      <c r="D282" s="242" t="n">
        <v>0</v>
      </c>
      <c r="E282" s="242" t="str">
        <f aca="false">DEC2HEX(((D282)*2^16),8)</f>
        <v>00000000</v>
      </c>
      <c r="F282" s="243" t="s">
        <v>441</v>
      </c>
      <c r="G282" s="120" t="s">
        <v>442</v>
      </c>
      <c r="H282" s="121" t="str">
        <f aca="false">"0x"&amp;DEC2HEX((HEX2DEC(C33)+24), 8)</f>
        <v>0x30790018</v>
      </c>
      <c r="I282" s="125" t="str">
        <f aca="false">"0x"&amp;DEC2HEX((HEX2DEC(E282)+HEX2DEC(E283)), 8)</f>
        <v>0x0000000F</v>
      </c>
    </row>
    <row r="283" customFormat="false" ht="153.75" hidden="false" customHeight="false" outlineLevel="0" collapsed="false">
      <c r="B283" s="251" t="s">
        <v>443</v>
      </c>
      <c r="C283" s="161" t="s">
        <v>79</v>
      </c>
      <c r="D283" s="252" t="n">
        <v>15</v>
      </c>
      <c r="E283" s="252" t="str">
        <f aca="false">DEC2HEX(((D283)*2^0),8)</f>
        <v>0000000F</v>
      </c>
      <c r="F283" s="253" t="s">
        <v>444</v>
      </c>
      <c r="G283" s="120"/>
      <c r="H283" s="120"/>
      <c r="I283" s="125"/>
    </row>
    <row r="284" customFormat="false" ht="9.75" hidden="false" customHeight="true" outlineLevel="0" collapsed="false">
      <c r="B284" s="117"/>
      <c r="C284" s="117"/>
      <c r="D284" s="117"/>
      <c r="E284" s="117"/>
      <c r="F284" s="263"/>
      <c r="G284" s="117"/>
      <c r="H284" s="117"/>
      <c r="I284" s="117"/>
    </row>
    <row r="285" customFormat="false" ht="18.75" hidden="false" customHeight="true" outlineLevel="0" collapsed="false">
      <c r="B285" s="99" t="s">
        <v>445</v>
      </c>
      <c r="C285" s="99"/>
      <c r="D285" s="99"/>
      <c r="E285" s="99"/>
      <c r="F285" s="99"/>
      <c r="G285" s="99"/>
      <c r="H285" s="99"/>
      <c r="I285" s="99"/>
    </row>
    <row r="286" customFormat="false" ht="12.75" hidden="false" customHeight="true" outlineLevel="0" collapsed="false">
      <c r="B286" s="240" t="s">
        <v>373</v>
      </c>
      <c r="C286" s="264" t="s">
        <v>373</v>
      </c>
      <c r="D286" s="242" t="n">
        <v>0</v>
      </c>
      <c r="E286" s="242" t="str">
        <f aca="false">DEC2HEX(((D286)*2^31),8)</f>
        <v>00000000</v>
      </c>
      <c r="F286" s="243" t="s">
        <v>374</v>
      </c>
      <c r="G286" s="257" t="s">
        <v>446</v>
      </c>
      <c r="H286" s="258" t="str">
        <f aca="false">"0x"&amp;DEC2HEX((HEX2DEC(C33)+28), 8)</f>
        <v>0x3079001C</v>
      </c>
      <c r="I286" s="259" t="str">
        <f aca="false">"0x"&amp;DEC2HEX((HEX2DEC(E286)+HEX2DEC(E287)+HEX2DEC(E288)+HEX2DEC(E289)+HEX2DEC(E290)+HEX2DEC(E291)), 8)</f>
        <v>0x01010000</v>
      </c>
    </row>
    <row r="287" customFormat="false" ht="12.75" hidden="false" customHeight="false" outlineLevel="0" collapsed="false">
      <c r="B287" s="240"/>
      <c r="C287" s="222" t="s">
        <v>373</v>
      </c>
      <c r="D287" s="265" t="n">
        <v>0</v>
      </c>
      <c r="E287" s="265" t="str">
        <f aca="false">DEC2HEX(((D287)*2^28),8)</f>
        <v>00000000</v>
      </c>
      <c r="F287" s="243"/>
      <c r="G287" s="257"/>
      <c r="H287" s="258"/>
      <c r="I287" s="259"/>
    </row>
    <row r="288" customFormat="false" ht="12.75" hidden="false" customHeight="true" outlineLevel="0" collapsed="false">
      <c r="B288" s="244" t="s">
        <v>373</v>
      </c>
      <c r="C288" s="198" t="s">
        <v>373</v>
      </c>
      <c r="D288" s="245" t="n">
        <v>0</v>
      </c>
      <c r="E288" s="245" t="str">
        <f aca="false">DEC2HEX(((D288)*2^27),8)</f>
        <v>00000000</v>
      </c>
      <c r="F288" s="246" t="s">
        <v>374</v>
      </c>
      <c r="G288" s="257"/>
      <c r="H288" s="257"/>
      <c r="I288" s="259"/>
    </row>
    <row r="289" customFormat="false" ht="12.75" hidden="false" customHeight="false" outlineLevel="0" collapsed="false">
      <c r="B289" s="244"/>
      <c r="C289" s="198" t="s">
        <v>373</v>
      </c>
      <c r="D289" s="245" t="n">
        <v>1</v>
      </c>
      <c r="E289" s="245" t="str">
        <f aca="false">DEC2HEX(((D289)*2^24),8)</f>
        <v>01000000</v>
      </c>
      <c r="F289" s="246"/>
      <c r="G289" s="257"/>
      <c r="H289" s="257"/>
      <c r="I289" s="259"/>
    </row>
    <row r="290" customFormat="false" ht="104.25" hidden="false" customHeight="true" outlineLevel="0" collapsed="false">
      <c r="B290" s="244" t="s">
        <v>447</v>
      </c>
      <c r="C290" s="226" t="s">
        <v>79</v>
      </c>
      <c r="D290" s="245" t="n">
        <v>1</v>
      </c>
      <c r="E290" s="245" t="str">
        <f aca="false">DEC2HEX(((D290)*2^16),8)</f>
        <v>00010000</v>
      </c>
      <c r="F290" s="266" t="s">
        <v>448</v>
      </c>
      <c r="G290" s="257"/>
      <c r="H290" s="257"/>
      <c r="I290" s="259"/>
    </row>
    <row r="291" customFormat="false" ht="13.5" hidden="false" customHeight="false" outlineLevel="0" collapsed="false">
      <c r="B291" s="251" t="s">
        <v>373</v>
      </c>
      <c r="C291" s="161" t="s">
        <v>79</v>
      </c>
      <c r="D291" s="252" t="n">
        <v>0</v>
      </c>
      <c r="E291" s="252" t="str">
        <f aca="false">DEC2HEX(((D291)*2^0),8)</f>
        <v>00000000</v>
      </c>
      <c r="F291" s="253" t="s">
        <v>374</v>
      </c>
      <c r="G291" s="257"/>
      <c r="H291" s="257"/>
      <c r="I291" s="259"/>
    </row>
    <row r="292" customFormat="false" ht="9.75" hidden="false" customHeight="true" outlineLevel="0" collapsed="false">
      <c r="B292" s="117"/>
      <c r="C292" s="117"/>
      <c r="D292" s="117"/>
      <c r="E292" s="117"/>
      <c r="F292" s="263"/>
      <c r="G292" s="117"/>
      <c r="H292" s="117"/>
      <c r="I292" s="117"/>
    </row>
    <row r="293" customFormat="false" ht="117.75" hidden="false" customHeight="true" outlineLevel="0" collapsed="false">
      <c r="B293" s="240" t="s">
        <v>449</v>
      </c>
      <c r="C293" s="241" t="s">
        <v>450</v>
      </c>
      <c r="D293" s="242" t="n">
        <v>0</v>
      </c>
      <c r="E293" s="242" t="str">
        <f aca="false">DEC2HEX(((D293)*2^31),8)</f>
        <v>00000000</v>
      </c>
      <c r="F293" s="243" t="s">
        <v>451</v>
      </c>
      <c r="G293" s="120" t="s">
        <v>452</v>
      </c>
      <c r="H293" s="121" t="str">
        <f aca="false">"0x"&amp;DEC2HEX((HEX2DEC(C33)+32), 8)</f>
        <v>0x30790020</v>
      </c>
      <c r="I293" s="125" t="str">
        <f aca="false">"0x"&amp;DEC2HEX((HEX2DEC(E293)+HEX2DEC(E294)+HEX2DEC(E295)+HEX2DEC(E296)+HEX2DEC(E297)+HEX2DEC(E298)+HEX2DEC(E299)+HEX2DEC(E300)), 8)</f>
        <v>0x0A0A0A0A</v>
      </c>
    </row>
    <row r="294" customFormat="false" ht="117.75" hidden="false" customHeight="true" outlineLevel="0" collapsed="false">
      <c r="B294" s="240"/>
      <c r="C294" s="267" t="s">
        <v>453</v>
      </c>
      <c r="D294" s="268" t="n">
        <f aca="false">IF(C17="DDR3", 8, 10)</f>
        <v>10</v>
      </c>
      <c r="E294" s="245" t="str">
        <f aca="false">DEC2HEX(((D294)*2^24),8)</f>
        <v>0A000000</v>
      </c>
      <c r="F294" s="243"/>
      <c r="G294" s="120"/>
      <c r="H294" s="121"/>
      <c r="I294" s="125"/>
    </row>
    <row r="295" customFormat="false" ht="117.75" hidden="false" customHeight="true" outlineLevel="0" collapsed="false">
      <c r="B295" s="244" t="s">
        <v>454</v>
      </c>
      <c r="C295" s="267" t="s">
        <v>450</v>
      </c>
      <c r="D295" s="265" t="n">
        <v>0</v>
      </c>
      <c r="E295" s="245" t="str">
        <f aca="false">DEC2HEX(((D295)*2^238),8)</f>
        <v>00000000</v>
      </c>
      <c r="F295" s="246" t="s">
        <v>455</v>
      </c>
      <c r="G295" s="120"/>
      <c r="H295" s="121"/>
      <c r="I295" s="125"/>
    </row>
    <row r="296" customFormat="false" ht="117.75" hidden="false" customHeight="true" outlineLevel="0" collapsed="false">
      <c r="B296" s="244"/>
      <c r="C296" s="267" t="s">
        <v>453</v>
      </c>
      <c r="D296" s="268" t="n">
        <f aca="false">IF(C17="DDR3", 8, 10)</f>
        <v>10</v>
      </c>
      <c r="E296" s="245" t="str">
        <f aca="false">DEC2HEX(((D296)*2^16),8)</f>
        <v>000A0000</v>
      </c>
      <c r="F296" s="246"/>
      <c r="G296" s="120"/>
      <c r="H296" s="121"/>
      <c r="I296" s="125"/>
    </row>
    <row r="297" customFormat="false" ht="117.75" hidden="false" customHeight="true" outlineLevel="0" collapsed="false">
      <c r="B297" s="244" t="s">
        <v>456</v>
      </c>
      <c r="C297" s="267" t="s">
        <v>450</v>
      </c>
      <c r="D297" s="265" t="n">
        <v>0</v>
      </c>
      <c r="E297" s="245" t="str">
        <f aca="false">DEC2HEX(((D297)*2^15),8)</f>
        <v>00000000</v>
      </c>
      <c r="F297" s="246" t="s">
        <v>457</v>
      </c>
      <c r="G297" s="120"/>
      <c r="H297" s="121"/>
      <c r="I297" s="125"/>
    </row>
    <row r="298" customFormat="false" ht="117.75" hidden="false" customHeight="true" outlineLevel="0" collapsed="false">
      <c r="B298" s="244"/>
      <c r="C298" s="267" t="s">
        <v>453</v>
      </c>
      <c r="D298" s="268" t="n">
        <f aca="false">IF(C17="DDR3", 8, 10)</f>
        <v>10</v>
      </c>
      <c r="E298" s="245" t="str">
        <f aca="false">DEC2HEX(((D298)*2^8),8)</f>
        <v>00000A00</v>
      </c>
      <c r="F298" s="246"/>
      <c r="G298" s="120"/>
      <c r="H298" s="120"/>
      <c r="I298" s="125"/>
      <c r="N298" s="5" t="s">
        <v>458</v>
      </c>
    </row>
    <row r="299" customFormat="false" ht="117.75" hidden="false" customHeight="true" outlineLevel="0" collapsed="false">
      <c r="B299" s="251" t="s">
        <v>459</v>
      </c>
      <c r="C299" s="267" t="s">
        <v>450</v>
      </c>
      <c r="D299" s="269" t="n">
        <v>0</v>
      </c>
      <c r="E299" s="245" t="str">
        <f aca="false">DEC2HEX(((D299)*2^7),8)</f>
        <v>00000000</v>
      </c>
      <c r="F299" s="253" t="s">
        <v>460</v>
      </c>
      <c r="G299" s="120"/>
      <c r="H299" s="120"/>
      <c r="I299" s="125"/>
    </row>
    <row r="300" customFormat="false" ht="117.75" hidden="false" customHeight="true" outlineLevel="0" collapsed="false">
      <c r="B300" s="251"/>
      <c r="C300" s="161" t="s">
        <v>453</v>
      </c>
      <c r="D300" s="270" t="n">
        <f aca="false">IF(C17="DDR3", 8, 10)</f>
        <v>10</v>
      </c>
      <c r="E300" s="252" t="str">
        <f aca="false">DEC2HEX(((D300)*2^0),8)</f>
        <v>0000000A</v>
      </c>
      <c r="F300" s="253"/>
      <c r="G300" s="120"/>
      <c r="H300" s="120"/>
      <c r="I300" s="125"/>
    </row>
    <row r="301" customFormat="false" ht="8.25" hidden="false" customHeight="true" outlineLevel="0" collapsed="false">
      <c r="B301" s="117"/>
      <c r="C301" s="117"/>
      <c r="D301" s="117"/>
      <c r="E301" s="117"/>
      <c r="F301" s="263"/>
      <c r="G301" s="117"/>
      <c r="H301" s="117"/>
      <c r="I301" s="117"/>
    </row>
    <row r="302" customFormat="false" ht="117.75" hidden="false" customHeight="true" outlineLevel="0" collapsed="false">
      <c r="B302" s="240" t="s">
        <v>461</v>
      </c>
      <c r="C302" s="241" t="s">
        <v>450</v>
      </c>
      <c r="D302" s="242" t="n">
        <v>0</v>
      </c>
      <c r="E302" s="242" t="str">
        <f aca="false">DEC2HEX(((D302)*2^31),8)</f>
        <v>00000000</v>
      </c>
      <c r="F302" s="243" t="s">
        <v>462</v>
      </c>
      <c r="G302" s="120" t="s">
        <v>463</v>
      </c>
      <c r="H302" s="121" t="str">
        <f aca="false">"0x"&amp;DEC2HEX((HEX2DEC(C33)+48), 8)</f>
        <v>0x30790030</v>
      </c>
      <c r="I302" s="125" t="str">
        <f aca="false">"0x"&amp;DEC2HEX((HEX2DEC(E302)+HEX2DEC(E303)+HEX2DEC(E304)+HEX2DEC(E305)+HEX2DEC(E306)+HEX2DEC(E307)+HEX2DEC(E308)+HEX2DEC(E309)), 8)</f>
        <v>0x06060606</v>
      </c>
    </row>
    <row r="303" customFormat="false" ht="117.75" hidden="false" customHeight="true" outlineLevel="0" collapsed="false">
      <c r="B303" s="240"/>
      <c r="C303" s="267" t="s">
        <v>453</v>
      </c>
      <c r="D303" s="268" t="n">
        <f aca="false">IF(C17="DDR3", 8, 6)</f>
        <v>6</v>
      </c>
      <c r="E303" s="265" t="str">
        <f aca="false">DEC2HEX(((D303)*2^24),8)</f>
        <v>06000000</v>
      </c>
      <c r="F303" s="243"/>
      <c r="G303" s="120"/>
      <c r="H303" s="121"/>
      <c r="I303" s="125"/>
    </row>
    <row r="304" customFormat="false" ht="117.75" hidden="false" customHeight="true" outlineLevel="0" collapsed="false">
      <c r="B304" s="244" t="s">
        <v>464</v>
      </c>
      <c r="C304" s="267" t="s">
        <v>450</v>
      </c>
      <c r="D304" s="265" t="n">
        <v>0</v>
      </c>
      <c r="E304" s="245" t="str">
        <f aca="false">DEC2HEX(((D304)*2^23),8)</f>
        <v>00000000</v>
      </c>
      <c r="F304" s="246" t="s">
        <v>465</v>
      </c>
      <c r="G304" s="120"/>
      <c r="H304" s="120"/>
      <c r="I304" s="125"/>
    </row>
    <row r="305" customFormat="false" ht="117.75" hidden="false" customHeight="true" outlineLevel="0" collapsed="false">
      <c r="B305" s="244"/>
      <c r="C305" s="267" t="s">
        <v>453</v>
      </c>
      <c r="D305" s="268" t="n">
        <f aca="false">IF(C17="DDR3", 8, 6)</f>
        <v>6</v>
      </c>
      <c r="E305" s="245" t="str">
        <f aca="false">DEC2HEX(((D305)*2^16),8)</f>
        <v>00060000</v>
      </c>
      <c r="F305" s="246"/>
      <c r="G305" s="120"/>
      <c r="H305" s="120"/>
      <c r="I305" s="125"/>
    </row>
    <row r="306" customFormat="false" ht="117.75" hidden="false" customHeight="true" outlineLevel="0" collapsed="false">
      <c r="B306" s="244" t="s">
        <v>466</v>
      </c>
      <c r="C306" s="267" t="s">
        <v>450</v>
      </c>
      <c r="D306" s="265" t="n">
        <v>0</v>
      </c>
      <c r="E306" s="245" t="str">
        <f aca="false">DEC2HEX(((D306)*2^15),8)</f>
        <v>00000000</v>
      </c>
      <c r="F306" s="246" t="s">
        <v>467</v>
      </c>
      <c r="G306" s="120"/>
      <c r="H306" s="120"/>
      <c r="I306" s="125"/>
    </row>
    <row r="307" customFormat="false" ht="117.75" hidden="false" customHeight="true" outlineLevel="0" collapsed="false">
      <c r="B307" s="244"/>
      <c r="C307" s="267" t="s">
        <v>453</v>
      </c>
      <c r="D307" s="268" t="n">
        <f aca="false">IF(C17="DDR3", 8, 6)</f>
        <v>6</v>
      </c>
      <c r="E307" s="245" t="str">
        <f aca="false">DEC2HEX(((D307)*2^8),8)</f>
        <v>00000600</v>
      </c>
      <c r="F307" s="246"/>
      <c r="G307" s="120"/>
      <c r="H307" s="120"/>
      <c r="I307" s="125"/>
    </row>
    <row r="308" customFormat="false" ht="117.75" hidden="false" customHeight="true" outlineLevel="0" collapsed="false">
      <c r="B308" s="251" t="s">
        <v>468</v>
      </c>
      <c r="C308" s="267" t="s">
        <v>450</v>
      </c>
      <c r="D308" s="269" t="n">
        <v>0</v>
      </c>
      <c r="E308" s="269" t="str">
        <f aca="false">DEC2HEX(((D308)*2^7),8)</f>
        <v>00000000</v>
      </c>
      <c r="F308" s="253" t="s">
        <v>469</v>
      </c>
      <c r="G308" s="120"/>
      <c r="H308" s="120"/>
      <c r="I308" s="125"/>
    </row>
    <row r="309" customFormat="false" ht="117.75" hidden="false" customHeight="true" outlineLevel="0" collapsed="false">
      <c r="B309" s="251"/>
      <c r="C309" s="161" t="s">
        <v>453</v>
      </c>
      <c r="D309" s="270" t="n">
        <f aca="false">IF(C17="DDR3", 8, 6)</f>
        <v>6</v>
      </c>
      <c r="E309" s="252" t="str">
        <f aca="false">DEC2HEX(((D309)*2^0),8)</f>
        <v>00000006</v>
      </c>
      <c r="F309" s="253"/>
      <c r="G309" s="120"/>
      <c r="H309" s="120"/>
      <c r="I309" s="125"/>
    </row>
    <row r="310" customFormat="false" ht="9" hidden="false" customHeight="true" outlineLevel="0" collapsed="false">
      <c r="B310" s="117"/>
      <c r="C310" s="117"/>
      <c r="D310" s="117"/>
      <c r="E310" s="117"/>
      <c r="F310" s="117"/>
      <c r="G310" s="117"/>
      <c r="H310" s="117"/>
      <c r="I310" s="117"/>
    </row>
    <row r="311" customFormat="false" ht="66.75" hidden="false" customHeight="true" outlineLevel="0" collapsed="false">
      <c r="B311" s="240" t="s">
        <v>470</v>
      </c>
      <c r="C311" s="241" t="s">
        <v>79</v>
      </c>
      <c r="D311" s="242" t="n">
        <v>0</v>
      </c>
      <c r="E311" s="242" t="str">
        <f aca="false">DEC2HEX(((D311)*2^28),8)</f>
        <v>00000000</v>
      </c>
      <c r="F311" s="256" t="s">
        <v>471</v>
      </c>
      <c r="G311" s="120" t="s">
        <v>472</v>
      </c>
      <c r="H311" s="121" t="str">
        <f aca="false">"0x"&amp;DEC2HEX((HEX2DEC(C33)+80), 8)</f>
        <v>0x30790050</v>
      </c>
      <c r="I311" s="125" t="str">
        <f aca="false">"0x"&amp;DEC2HEX((HEX2DEC(E311)+HEX2DEC(E312)+HEX2DEC(E313)+HEX2DEC(E314)), 8)</f>
        <v>0x00000008</v>
      </c>
    </row>
    <row r="312" customFormat="false" ht="78" hidden="false" customHeight="true" outlineLevel="0" collapsed="false">
      <c r="B312" s="244" t="s">
        <v>473</v>
      </c>
      <c r="C312" s="226" t="s">
        <v>79</v>
      </c>
      <c r="D312" s="245" t="n">
        <v>0</v>
      </c>
      <c r="E312" s="245" t="str">
        <f aca="false">DEC2HEX(((D312)*2^24),8)</f>
        <v>00000000</v>
      </c>
      <c r="F312" s="260" t="s">
        <v>474</v>
      </c>
      <c r="G312" s="120"/>
      <c r="H312" s="120"/>
      <c r="I312" s="125"/>
    </row>
    <row r="313" customFormat="false" ht="113.25" hidden="false" customHeight="true" outlineLevel="0" collapsed="false">
      <c r="B313" s="251" t="s">
        <v>475</v>
      </c>
      <c r="C313" s="267" t="s">
        <v>450</v>
      </c>
      <c r="D313" s="269" t="n">
        <v>0</v>
      </c>
      <c r="E313" s="245" t="str">
        <f aca="false">DEC2HEX(((D313)*2^7),8)</f>
        <v>00000000</v>
      </c>
      <c r="F313" s="253" t="s">
        <v>476</v>
      </c>
      <c r="G313" s="120"/>
      <c r="H313" s="120"/>
      <c r="I313" s="125"/>
    </row>
    <row r="314" customFormat="false" ht="115.5" hidden="false" customHeight="true" outlineLevel="0" collapsed="false">
      <c r="B314" s="251"/>
      <c r="C314" s="161" t="s">
        <v>453</v>
      </c>
      <c r="D314" s="252" t="n">
        <f aca="false">IF(C17="DDR3", 16, 8)</f>
        <v>8</v>
      </c>
      <c r="E314" s="252" t="str">
        <f aca="false">DEC2HEX(((D314)*2^0),8)</f>
        <v>00000008</v>
      </c>
      <c r="F314" s="253"/>
      <c r="G314" s="120"/>
      <c r="H314" s="120"/>
      <c r="I314" s="125"/>
    </row>
    <row r="315" customFormat="false" ht="12" hidden="false" customHeight="true" outlineLevel="0" collapsed="false">
      <c r="B315" s="117"/>
      <c r="C315" s="254"/>
      <c r="D315" s="117"/>
      <c r="E315" s="117"/>
      <c r="F315" s="263"/>
      <c r="G315" s="117"/>
      <c r="H315" s="117"/>
      <c r="I315" s="117"/>
    </row>
    <row r="316" customFormat="false" ht="30.75" hidden="false" customHeight="true" outlineLevel="0" collapsed="false">
      <c r="B316" s="271" t="s">
        <v>477</v>
      </c>
      <c r="C316" s="271"/>
      <c r="D316" s="271"/>
      <c r="E316" s="271"/>
      <c r="F316" s="271"/>
      <c r="G316" s="271"/>
      <c r="H316" s="271"/>
      <c r="I316" s="271"/>
    </row>
    <row r="317" customFormat="false" ht="44.25" hidden="false" customHeight="true" outlineLevel="0" collapsed="false">
      <c r="B317" s="240" t="s">
        <v>478</v>
      </c>
      <c r="C317" s="241" t="s">
        <v>79</v>
      </c>
      <c r="D317" s="242" t="n">
        <v>0</v>
      </c>
      <c r="E317" s="242" t="str">
        <f aca="false">DEC2HEX(((D317)*2^24),8)</f>
        <v>00000000</v>
      </c>
      <c r="F317" s="243" t="s">
        <v>479</v>
      </c>
      <c r="G317" s="120" t="s">
        <v>480</v>
      </c>
      <c r="H317" s="121" t="str">
        <f aca="false">"0x"&amp;DEC2HEX((HEX2DEC(C33)+108), 8)</f>
        <v>0x3079006C</v>
      </c>
      <c r="I317" s="125" t="str">
        <f aca="false">"0x"&amp;DEC2HEX((HEX2DEC(E317)+HEX2DEC(E318)+HEX2DEC(E319)+HEX2DEC(E320)), 8)</f>
        <v>0x00000000</v>
      </c>
    </row>
    <row r="318" customFormat="false" ht="44.25" hidden="false" customHeight="true" outlineLevel="0" collapsed="false">
      <c r="B318" s="244" t="s">
        <v>481</v>
      </c>
      <c r="C318" s="226" t="s">
        <v>79</v>
      </c>
      <c r="D318" s="245" t="n">
        <v>0</v>
      </c>
      <c r="E318" s="245" t="str">
        <f aca="false">DEC2HEX(((D318)*2^16),8)</f>
        <v>00000000</v>
      </c>
      <c r="F318" s="246" t="s">
        <v>482</v>
      </c>
      <c r="G318" s="120"/>
      <c r="H318" s="120"/>
      <c r="I318" s="125"/>
    </row>
    <row r="319" customFormat="false" ht="44.25" hidden="false" customHeight="true" outlineLevel="0" collapsed="false">
      <c r="B319" s="244" t="s">
        <v>483</v>
      </c>
      <c r="C319" s="226" t="s">
        <v>79</v>
      </c>
      <c r="D319" s="245" t="n">
        <v>0</v>
      </c>
      <c r="E319" s="245" t="str">
        <f aca="false">DEC2HEX(((D319)*2^8),8)</f>
        <v>00000000</v>
      </c>
      <c r="F319" s="246" t="s">
        <v>484</v>
      </c>
      <c r="G319" s="120"/>
      <c r="H319" s="120"/>
      <c r="I319" s="125"/>
    </row>
    <row r="320" customFormat="false" ht="44.25" hidden="false" customHeight="true" outlineLevel="0" collapsed="false">
      <c r="B320" s="251" t="s">
        <v>485</v>
      </c>
      <c r="C320" s="161" t="s">
        <v>79</v>
      </c>
      <c r="D320" s="252" t="n">
        <v>0</v>
      </c>
      <c r="E320" s="252" t="str">
        <f aca="false">DEC2HEX(((D320)*2^0),8)</f>
        <v>00000000</v>
      </c>
      <c r="F320" s="253" t="s">
        <v>486</v>
      </c>
      <c r="G320" s="120"/>
      <c r="H320" s="120"/>
      <c r="I320" s="125"/>
    </row>
    <row r="321" customFormat="false" ht="4.5" hidden="false" customHeight="true" outlineLevel="0" collapsed="false">
      <c r="B321" s="117"/>
      <c r="C321" s="254"/>
      <c r="D321" s="117"/>
      <c r="E321" s="117"/>
      <c r="F321" s="263"/>
      <c r="G321" s="117"/>
      <c r="H321" s="117"/>
      <c r="I321" s="117"/>
    </row>
    <row r="322" customFormat="false" ht="95.25" hidden="false" customHeight="true" outlineLevel="0" collapsed="false">
      <c r="B322" s="272" t="s">
        <v>487</v>
      </c>
      <c r="C322" s="120" t="s">
        <v>79</v>
      </c>
      <c r="D322" s="121" t="n">
        <v>0</v>
      </c>
      <c r="E322" s="121" t="str">
        <f aca="false">DEC2HEX(((D322)*2^0),8)</f>
        <v>00000000</v>
      </c>
      <c r="F322" s="273" t="s">
        <v>488</v>
      </c>
      <c r="G322" s="120" t="s">
        <v>489</v>
      </c>
      <c r="H322" s="121" t="str">
        <f aca="false">"0x"&amp;DEC2HEX((HEX2DEC(C33)+120), 8)</f>
        <v>0x30790078</v>
      </c>
      <c r="I322" s="125" t="str">
        <f aca="false">"0x"&amp;DEC2HEX((HEX2DEC(E322)), 8)</f>
        <v>0x00000000</v>
      </c>
    </row>
    <row r="323" customFormat="false" ht="13.5" hidden="false" customHeight="false" outlineLevel="0" collapsed="false"/>
    <row r="324" customFormat="false" ht="39" hidden="false" customHeight="false" outlineLevel="0" collapsed="false">
      <c r="B324" s="65" t="s">
        <v>403</v>
      </c>
      <c r="C324" s="65" t="s">
        <v>68</v>
      </c>
      <c r="D324" s="65" t="s">
        <v>69</v>
      </c>
      <c r="E324" s="65" t="s">
        <v>70</v>
      </c>
      <c r="F324" s="66" t="s">
        <v>71</v>
      </c>
      <c r="G324" s="67" t="s">
        <v>72</v>
      </c>
      <c r="H324" s="68" t="s">
        <v>73</v>
      </c>
      <c r="I324" s="68" t="s">
        <v>74</v>
      </c>
    </row>
    <row r="325" customFormat="false" ht="89.25" hidden="false" customHeight="false" outlineLevel="0" collapsed="false">
      <c r="B325" s="240" t="s">
        <v>490</v>
      </c>
      <c r="C325" s="242" t="s">
        <v>79</v>
      </c>
      <c r="D325" s="274" t="n">
        <f aca="false">C114+IF(C17 = "DDR3",0,1)</f>
        <v>5</v>
      </c>
      <c r="E325" s="242" t="str">
        <f aca="false">DEC2HEX(((D325)*2^16),8)</f>
        <v>00050000</v>
      </c>
      <c r="F325" s="243" t="s">
        <v>491</v>
      </c>
      <c r="G325" s="120" t="s">
        <v>492</v>
      </c>
      <c r="H325" s="121" t="str">
        <f aca="false">"0x"&amp;DEC2HEX((HEX2DEC(C33)+16), 8)</f>
        <v>0x30790010</v>
      </c>
      <c r="I325" s="125" t="str">
        <f aca="false">"0x"&amp;DEC2HEX((HEX2DEC(E325)+HEX2DEC(E326)+HEX2DEC(E327)), 8)</f>
        <v>0x00050408</v>
      </c>
      <c r="J325" s="24"/>
    </row>
    <row r="326" customFormat="false" ht="63.75" hidden="false" customHeight="false" outlineLevel="0" collapsed="false">
      <c r="B326" s="244" t="s">
        <v>493</v>
      </c>
      <c r="C326" s="245" t="s">
        <v>79</v>
      </c>
      <c r="D326" s="275" t="n">
        <f aca="false">D41*2</f>
        <v>4</v>
      </c>
      <c r="E326" s="245" t="str">
        <f aca="false">DEC2HEX(((D326)*2^8),8)</f>
        <v>00000400</v>
      </c>
      <c r="F326" s="247" t="s">
        <v>494</v>
      </c>
      <c r="G326" s="120"/>
      <c r="H326" s="120"/>
      <c r="I326" s="125"/>
      <c r="J326" s="24"/>
    </row>
    <row r="327" customFormat="false" ht="51.75" hidden="false" customHeight="false" outlineLevel="0" collapsed="false">
      <c r="B327" s="251" t="s">
        <v>495</v>
      </c>
      <c r="C327" s="252" t="s">
        <v>79</v>
      </c>
      <c r="D327" s="276" t="n">
        <f aca="false">C115</f>
        <v>8</v>
      </c>
      <c r="E327" s="252" t="str">
        <f aca="false">DEC2HEX(((D327)*2^0),8)</f>
        <v>00000008</v>
      </c>
      <c r="F327" s="253" t="s">
        <v>496</v>
      </c>
      <c r="G327" s="120"/>
      <c r="H327" s="120"/>
      <c r="I327" s="125"/>
      <c r="J327" s="24"/>
    </row>
    <row r="328" customFormat="false" ht="9" hidden="false" customHeight="true" outlineLevel="0" collapsed="false">
      <c r="B328" s="117"/>
      <c r="C328" s="117"/>
      <c r="D328" s="117"/>
      <c r="E328" s="117"/>
      <c r="F328" s="117"/>
      <c r="G328" s="117"/>
      <c r="H328" s="117"/>
      <c r="I328" s="117"/>
    </row>
    <row r="329" customFormat="false" ht="12.75" hidden="false" customHeight="false" outlineLevel="0" collapsed="false">
      <c r="B329" s="240" t="s">
        <v>373</v>
      </c>
      <c r="C329" s="241" t="s">
        <v>79</v>
      </c>
      <c r="D329" s="241" t="n">
        <v>0</v>
      </c>
      <c r="E329" s="241" t="str">
        <f aca="false">DEC2HEX(((D329)*2^25),8)</f>
        <v>00000000</v>
      </c>
      <c r="F329" s="243" t="s">
        <v>373</v>
      </c>
      <c r="G329" s="120" t="s">
        <v>497</v>
      </c>
      <c r="H329" s="121" t="str">
        <f aca="false">"0x"&amp;DEC2HEX((HEX2DEC(C33)+156), 8)</f>
        <v>0x3079009C</v>
      </c>
      <c r="I329" s="125" t="str">
        <f aca="false">"0x"&amp;DEC2HEX((HEX2DEC(E329)+HEX2DEC(E330)+HEX2DEC(E331)+HEX2DEC(E332)+HEX2DEC(E333)+HEX2DEC(E334)+HEX2DEC(E335)+HEX2DEC(E336)), 8)</f>
        <v>0x00000D6E</v>
      </c>
    </row>
    <row r="330" customFormat="false" ht="12.75" hidden="false" customHeight="false" outlineLevel="0" collapsed="false">
      <c r="B330" s="277" t="s">
        <v>373</v>
      </c>
      <c r="C330" s="267" t="s">
        <v>79</v>
      </c>
      <c r="D330" s="267" t="n">
        <v>0</v>
      </c>
      <c r="E330" s="267" t="str">
        <f aca="false">DEC2HEX(((D330)*2^22),8)</f>
        <v>00000000</v>
      </c>
      <c r="F330" s="278" t="s">
        <v>373</v>
      </c>
      <c r="G330" s="120"/>
      <c r="H330" s="121"/>
      <c r="I330" s="125"/>
    </row>
    <row r="331" customFormat="false" ht="12.75" hidden="false" customHeight="false" outlineLevel="0" collapsed="false">
      <c r="B331" s="277" t="s">
        <v>373</v>
      </c>
      <c r="C331" s="267" t="s">
        <v>79</v>
      </c>
      <c r="D331" s="267" t="n">
        <v>0</v>
      </c>
      <c r="E331" s="267" t="str">
        <f aca="false">DEC2HEX(((D331)*2^19),8)</f>
        <v>00000000</v>
      </c>
      <c r="F331" s="278" t="s">
        <v>373</v>
      </c>
      <c r="G331" s="120"/>
      <c r="H331" s="121"/>
      <c r="I331" s="125"/>
    </row>
    <row r="332" customFormat="false" ht="12.75" hidden="false" customHeight="false" outlineLevel="0" collapsed="false">
      <c r="B332" s="277" t="s">
        <v>373</v>
      </c>
      <c r="C332" s="267" t="s">
        <v>79</v>
      </c>
      <c r="D332" s="267" t="n">
        <v>0</v>
      </c>
      <c r="E332" s="267" t="str">
        <f aca="false">DEC2HEX(((D332)*2^16),8)</f>
        <v>00000000</v>
      </c>
      <c r="F332" s="278" t="s">
        <v>373</v>
      </c>
      <c r="G332" s="120"/>
      <c r="H332" s="121"/>
      <c r="I332" s="125"/>
    </row>
    <row r="333" customFormat="false" ht="102" hidden="false" customHeight="false" outlineLevel="0" collapsed="false">
      <c r="B333" s="277" t="s">
        <v>498</v>
      </c>
      <c r="C333" s="267" t="s">
        <v>79</v>
      </c>
      <c r="D333" s="265" t="n">
        <v>6</v>
      </c>
      <c r="E333" s="279" t="str">
        <f aca="false">DEC2HEX(((D333)*2^9),8)</f>
        <v>00000C00</v>
      </c>
      <c r="F333" s="278" t="s">
        <v>499</v>
      </c>
      <c r="G333" s="120"/>
      <c r="H333" s="121"/>
      <c r="I333" s="125"/>
    </row>
    <row r="334" customFormat="false" ht="102" hidden="false" customHeight="false" outlineLevel="0" collapsed="false">
      <c r="B334" s="277" t="s">
        <v>500</v>
      </c>
      <c r="C334" s="267" t="s">
        <v>79</v>
      </c>
      <c r="D334" s="265" t="n">
        <v>5</v>
      </c>
      <c r="E334" s="245" t="str">
        <f aca="false">DEC2HEX(((D334)*2^6),8)</f>
        <v>00000140</v>
      </c>
      <c r="F334" s="280" t="s">
        <v>501</v>
      </c>
      <c r="G334" s="120"/>
      <c r="H334" s="120"/>
      <c r="I334" s="125"/>
    </row>
    <row r="335" customFormat="false" ht="102" hidden="false" customHeight="false" outlineLevel="0" collapsed="false">
      <c r="B335" s="244" t="s">
        <v>502</v>
      </c>
      <c r="C335" s="226" t="s">
        <v>79</v>
      </c>
      <c r="D335" s="245" t="n">
        <v>5</v>
      </c>
      <c r="E335" s="245" t="str">
        <f aca="false">DEC2HEX(((D335)*2^3),8)</f>
        <v>00000028</v>
      </c>
      <c r="F335" s="247" t="s">
        <v>503</v>
      </c>
      <c r="G335" s="120"/>
      <c r="H335" s="120"/>
      <c r="I335" s="125"/>
    </row>
    <row r="336" customFormat="false" ht="115.5" hidden="false" customHeight="false" outlineLevel="0" collapsed="false">
      <c r="B336" s="251" t="s">
        <v>504</v>
      </c>
      <c r="C336" s="161" t="s">
        <v>79</v>
      </c>
      <c r="D336" s="252" t="n">
        <v>6</v>
      </c>
      <c r="E336" s="252" t="str">
        <f aca="false">DEC2HEX(((D336)*2^0),8)</f>
        <v>00000006</v>
      </c>
      <c r="F336" s="281" t="s">
        <v>505</v>
      </c>
      <c r="G336" s="120"/>
      <c r="H336" s="120"/>
      <c r="I336" s="125"/>
    </row>
    <row r="337" customFormat="false" ht="9.75" hidden="false" customHeight="true" outlineLevel="0" collapsed="false">
      <c r="B337" s="279"/>
      <c r="C337" s="279"/>
      <c r="D337" s="279"/>
      <c r="E337" s="279"/>
      <c r="F337" s="279"/>
      <c r="G337" s="279"/>
      <c r="H337" s="279"/>
      <c r="I337" s="279"/>
    </row>
    <row r="338" customFormat="false" ht="63.75" hidden="false" customHeight="false" outlineLevel="0" collapsed="false">
      <c r="B338" s="240" t="s">
        <v>506</v>
      </c>
      <c r="C338" s="242" t="s">
        <v>79</v>
      </c>
      <c r="D338" s="242" t="n">
        <v>1</v>
      </c>
      <c r="E338" s="242" t="str">
        <f aca="false">DEC2HEX(((D338)*2^27),8)</f>
        <v>08000000</v>
      </c>
      <c r="F338" s="282" t="s">
        <v>507</v>
      </c>
      <c r="G338" s="120" t="s">
        <v>508</v>
      </c>
      <c r="H338" s="121" t="str">
        <f aca="false">"0x"&amp;DEC2HEX((HEX2DEC(C33)+192), 8)</f>
        <v>0x307900C0</v>
      </c>
      <c r="I338" s="125" t="str">
        <f aca="false">"0x"&amp;DEC2HEX((HEX2DEC(E338)+HEX2DEC(E339)+HEX2DEC(E340)+HEX2DEC(E341)+HEX2DEC(E342)+HEX2DEC(E343)+HEX2DEC(E344)+HEX2DEC(E345)+HEX2DEC(E346)+HEX2DEC(E347)+HEX2DEC(E348)+HEX2DEC(E349)), 8)</f>
        <v>0x0E487304</v>
      </c>
    </row>
    <row r="339" customFormat="false" ht="128.25" hidden="false" customHeight="true" outlineLevel="0" collapsed="false">
      <c r="B339" s="244" t="s">
        <v>509</v>
      </c>
      <c r="C339" s="245" t="s">
        <v>79</v>
      </c>
      <c r="D339" s="245" t="n">
        <v>6</v>
      </c>
      <c r="E339" s="245" t="str">
        <f aca="false">DEC2HEX(((D339)*2^24),8)</f>
        <v>06000000</v>
      </c>
      <c r="F339" s="246" t="s">
        <v>510</v>
      </c>
      <c r="G339" s="120"/>
      <c r="H339" s="120"/>
      <c r="I339" s="125"/>
    </row>
    <row r="340" customFormat="false" ht="127.5" hidden="false" customHeight="false" outlineLevel="0" collapsed="false">
      <c r="B340" s="244" t="s">
        <v>511</v>
      </c>
      <c r="C340" s="245" t="s">
        <v>79</v>
      </c>
      <c r="D340" s="245" t="n">
        <v>2</v>
      </c>
      <c r="E340" s="245" t="str">
        <f aca="false">DEC2HEX(((D340)*2^21),8)</f>
        <v>00400000</v>
      </c>
      <c r="F340" s="247" t="s">
        <v>512</v>
      </c>
      <c r="G340" s="120"/>
      <c r="H340" s="120"/>
      <c r="I340" s="125"/>
    </row>
    <row r="341" customFormat="false" ht="38.25" hidden="false" customHeight="false" outlineLevel="0" collapsed="false">
      <c r="B341" s="244" t="s">
        <v>513</v>
      </c>
      <c r="C341" s="245" t="s">
        <v>79</v>
      </c>
      <c r="D341" s="245" t="n">
        <v>0</v>
      </c>
      <c r="E341" s="245" t="str">
        <f aca="false">DEC2HEX(((D341)*2^20),8)</f>
        <v>00000000</v>
      </c>
      <c r="F341" s="247" t="s">
        <v>514</v>
      </c>
      <c r="G341" s="120"/>
      <c r="H341" s="120"/>
      <c r="I341" s="125"/>
    </row>
    <row r="342" customFormat="false" ht="89.25" hidden="false" customHeight="false" outlineLevel="0" collapsed="false">
      <c r="B342" s="244" t="s">
        <v>515</v>
      </c>
      <c r="C342" s="245" t="s">
        <v>79</v>
      </c>
      <c r="D342" s="245" t="n">
        <f aca="false">IF(C17="DDR3", 0, 1)</f>
        <v>1</v>
      </c>
      <c r="E342" s="245" t="str">
        <f aca="false">DEC2HEX(((D342)*2^19),8)</f>
        <v>00080000</v>
      </c>
      <c r="F342" s="246" t="s">
        <v>516</v>
      </c>
      <c r="G342" s="120"/>
      <c r="H342" s="120"/>
      <c r="I342" s="125"/>
    </row>
    <row r="343" customFormat="false" ht="76.5" hidden="false" customHeight="false" outlineLevel="0" collapsed="false">
      <c r="B343" s="244" t="s">
        <v>517</v>
      </c>
      <c r="C343" s="245" t="s">
        <v>79</v>
      </c>
      <c r="D343" s="245" t="n">
        <v>0</v>
      </c>
      <c r="E343" s="245" t="str">
        <f aca="false">DEC2HEX(((D343)*2^18),8)</f>
        <v>00000000</v>
      </c>
      <c r="F343" s="246" t="s">
        <v>518</v>
      </c>
      <c r="G343" s="120"/>
      <c r="H343" s="120"/>
      <c r="I343" s="125"/>
    </row>
    <row r="344" customFormat="false" ht="63.75" hidden="false" customHeight="false" outlineLevel="0" collapsed="false">
      <c r="B344" s="244" t="s">
        <v>519</v>
      </c>
      <c r="C344" s="245" t="s">
        <v>79</v>
      </c>
      <c r="D344" s="245" t="n">
        <v>0</v>
      </c>
      <c r="E344" s="245" t="str">
        <f aca="false">DEC2HEX(((D344)*2^15),8)</f>
        <v>00000000</v>
      </c>
      <c r="F344" s="246" t="s">
        <v>520</v>
      </c>
      <c r="G344" s="120"/>
      <c r="H344" s="120"/>
      <c r="I344" s="125"/>
    </row>
    <row r="345" customFormat="false" ht="63.75" hidden="false" customHeight="false" outlineLevel="0" collapsed="false">
      <c r="B345" s="244" t="s">
        <v>521</v>
      </c>
      <c r="C345" s="245" t="s">
        <v>79</v>
      </c>
      <c r="D345" s="245" t="n">
        <v>7</v>
      </c>
      <c r="E345" s="245" t="str">
        <f aca="false">DEC2HEX(((D345)*2^12),8)</f>
        <v>00007000</v>
      </c>
      <c r="F345" s="246" t="s">
        <v>522</v>
      </c>
      <c r="G345" s="120"/>
      <c r="H345" s="120"/>
      <c r="I345" s="125"/>
    </row>
    <row r="346" customFormat="false" ht="81.75" hidden="false" customHeight="true" outlineLevel="0" collapsed="false">
      <c r="B346" s="283" t="s">
        <v>523</v>
      </c>
      <c r="C346" s="245" t="s">
        <v>79</v>
      </c>
      <c r="D346" s="245" t="n">
        <v>48</v>
      </c>
      <c r="E346" s="245" t="str">
        <f aca="false">DEC2HEX(((D346)*2^4),8)</f>
        <v>00000300</v>
      </c>
      <c r="F346" s="247" t="s">
        <v>524</v>
      </c>
      <c r="G346" s="120"/>
      <c r="H346" s="120"/>
      <c r="I346" s="125"/>
    </row>
    <row r="347" customFormat="false" ht="76.5" hidden="false" customHeight="false" outlineLevel="0" collapsed="false">
      <c r="B347" s="283" t="s">
        <v>525</v>
      </c>
      <c r="C347" s="245" t="s">
        <v>79</v>
      </c>
      <c r="D347" s="245" t="n">
        <v>1</v>
      </c>
      <c r="E347" s="245" t="str">
        <f aca="false">DEC2HEX(((D347)*2^2),8)</f>
        <v>00000004</v>
      </c>
      <c r="F347" s="247" t="s">
        <v>526</v>
      </c>
      <c r="G347" s="120"/>
      <c r="H347" s="120"/>
      <c r="I347" s="125"/>
    </row>
    <row r="348" customFormat="false" ht="76.5" hidden="false" customHeight="false" outlineLevel="0" collapsed="false">
      <c r="B348" s="283" t="s">
        <v>527</v>
      </c>
      <c r="C348" s="245" t="s">
        <v>79</v>
      </c>
      <c r="D348" s="245" t="n">
        <v>0</v>
      </c>
      <c r="E348" s="245" t="str">
        <f aca="false">DEC2HEX(((D348)*2^1),8)</f>
        <v>00000000</v>
      </c>
      <c r="F348" s="247" t="s">
        <v>528</v>
      </c>
      <c r="G348" s="120"/>
      <c r="H348" s="120"/>
      <c r="I348" s="125"/>
    </row>
    <row r="349" customFormat="false" ht="77.25" hidden="false" customHeight="false" outlineLevel="0" collapsed="false">
      <c r="B349" s="284" t="s">
        <v>529</v>
      </c>
      <c r="C349" s="252" t="s">
        <v>79</v>
      </c>
      <c r="D349" s="252" t="n">
        <v>0</v>
      </c>
      <c r="E349" s="252" t="str">
        <f aca="false">DEC2HEX(((D349)*2^0),8)</f>
        <v>00000000</v>
      </c>
      <c r="F349" s="253" t="s">
        <v>530</v>
      </c>
      <c r="G349" s="120"/>
      <c r="H349" s="120"/>
      <c r="I349" s="125"/>
    </row>
  </sheetData>
  <mergeCells count="225">
    <mergeCell ref="C3:G3"/>
    <mergeCell ref="C4:F4"/>
    <mergeCell ref="G4:J4"/>
    <mergeCell ref="B5:J5"/>
    <mergeCell ref="B7:E14"/>
    <mergeCell ref="F7:F8"/>
    <mergeCell ref="G7:G8"/>
    <mergeCell ref="F9:F10"/>
    <mergeCell ref="G9:G10"/>
    <mergeCell ref="F13:F14"/>
    <mergeCell ref="G13:G14"/>
    <mergeCell ref="F16:F27"/>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B34:D34"/>
    <mergeCell ref="B35:D35"/>
    <mergeCell ref="B36:D36"/>
    <mergeCell ref="G40:G48"/>
    <mergeCell ref="H40:H48"/>
    <mergeCell ref="I40:I48"/>
    <mergeCell ref="B50:I50"/>
    <mergeCell ref="G51:G52"/>
    <mergeCell ref="H51:H52"/>
    <mergeCell ref="I51:I52"/>
    <mergeCell ref="G54:G56"/>
    <mergeCell ref="H54:H56"/>
    <mergeCell ref="I54:I56"/>
    <mergeCell ref="G58:G61"/>
    <mergeCell ref="H58:H61"/>
    <mergeCell ref="I58:I61"/>
    <mergeCell ref="G63:G64"/>
    <mergeCell ref="H63:H64"/>
    <mergeCell ref="I63:I64"/>
    <mergeCell ref="G66:G69"/>
    <mergeCell ref="H66:H69"/>
    <mergeCell ref="I66:I69"/>
    <mergeCell ref="G71:G75"/>
    <mergeCell ref="H71:H75"/>
    <mergeCell ref="I71:I75"/>
    <mergeCell ref="G79:G80"/>
    <mergeCell ref="H79:H80"/>
    <mergeCell ref="I79:I80"/>
    <mergeCell ref="B82:I82"/>
    <mergeCell ref="G83:G84"/>
    <mergeCell ref="H83:H84"/>
    <mergeCell ref="I83:I84"/>
    <mergeCell ref="B86:I86"/>
    <mergeCell ref="G87:G89"/>
    <mergeCell ref="H87:H89"/>
    <mergeCell ref="I87:I89"/>
    <mergeCell ref="G91:G93"/>
    <mergeCell ref="H91:H93"/>
    <mergeCell ref="I91:I93"/>
    <mergeCell ref="G95:G96"/>
    <mergeCell ref="H95:H96"/>
    <mergeCell ref="I95:I96"/>
    <mergeCell ref="B98:I98"/>
    <mergeCell ref="G99:G101"/>
    <mergeCell ref="H99:H101"/>
    <mergeCell ref="I99:I101"/>
    <mergeCell ref="G103:G106"/>
    <mergeCell ref="H103:H106"/>
    <mergeCell ref="I103:I106"/>
    <mergeCell ref="G108:G111"/>
    <mergeCell ref="H108:H111"/>
    <mergeCell ref="I108:I111"/>
    <mergeCell ref="D110:D111"/>
    <mergeCell ref="E110:E111"/>
    <mergeCell ref="F110:F111"/>
    <mergeCell ref="G114:G117"/>
    <mergeCell ref="H114:H117"/>
    <mergeCell ref="I114:I117"/>
    <mergeCell ref="G119:G121"/>
    <mergeCell ref="H119:H121"/>
    <mergeCell ref="I119:I121"/>
    <mergeCell ref="G123:G126"/>
    <mergeCell ref="H123:H126"/>
    <mergeCell ref="I123:I126"/>
    <mergeCell ref="G128:G133"/>
    <mergeCell ref="H128:H133"/>
    <mergeCell ref="I128:I133"/>
    <mergeCell ref="D130:D131"/>
    <mergeCell ref="E130:E131"/>
    <mergeCell ref="F130:F131"/>
    <mergeCell ref="D132:D133"/>
    <mergeCell ref="E132:E133"/>
    <mergeCell ref="F132:F133"/>
    <mergeCell ref="B135:I135"/>
    <mergeCell ref="G136:G138"/>
    <mergeCell ref="H136:H138"/>
    <mergeCell ref="I136:I138"/>
    <mergeCell ref="B140:I140"/>
    <mergeCell ref="G141:G142"/>
    <mergeCell ref="H141:H142"/>
    <mergeCell ref="I141:I142"/>
    <mergeCell ref="D144:D145"/>
    <mergeCell ref="E144:E145"/>
    <mergeCell ref="F144:F145"/>
    <mergeCell ref="G144:G146"/>
    <mergeCell ref="H144:H146"/>
    <mergeCell ref="I144:I146"/>
    <mergeCell ref="G148:G152"/>
    <mergeCell ref="H148:H152"/>
    <mergeCell ref="I148:I152"/>
    <mergeCell ref="B154:I154"/>
    <mergeCell ref="G155:G156"/>
    <mergeCell ref="H155:H156"/>
    <mergeCell ref="I155:I156"/>
    <mergeCell ref="G158:G161"/>
    <mergeCell ref="H158:H161"/>
    <mergeCell ref="I158:I161"/>
    <mergeCell ref="B163:I163"/>
    <mergeCell ref="G164:G167"/>
    <mergeCell ref="H164:H167"/>
    <mergeCell ref="I164:I167"/>
    <mergeCell ref="B170:I170"/>
    <mergeCell ref="B172:D172"/>
    <mergeCell ref="G175:G181"/>
    <mergeCell ref="H175:H181"/>
    <mergeCell ref="I175:I181"/>
    <mergeCell ref="G185:G209"/>
    <mergeCell ref="H185:H209"/>
    <mergeCell ref="I185:I209"/>
    <mergeCell ref="F194:F197"/>
    <mergeCell ref="F202:F204"/>
    <mergeCell ref="F206:F207"/>
    <mergeCell ref="B211:I211"/>
    <mergeCell ref="G214:G219"/>
    <mergeCell ref="H214:H219"/>
    <mergeCell ref="I214:I219"/>
    <mergeCell ref="G221:G225"/>
    <mergeCell ref="H221:H225"/>
    <mergeCell ref="I221:I225"/>
    <mergeCell ref="G227:G230"/>
    <mergeCell ref="H227:H230"/>
    <mergeCell ref="I227:I230"/>
    <mergeCell ref="G232:G233"/>
    <mergeCell ref="H232:H233"/>
    <mergeCell ref="I232:I233"/>
    <mergeCell ref="G235:G237"/>
    <mergeCell ref="H235:H237"/>
    <mergeCell ref="I235:I237"/>
    <mergeCell ref="G243:G255"/>
    <mergeCell ref="H243:H255"/>
    <mergeCell ref="I243:I255"/>
    <mergeCell ref="B257:B258"/>
    <mergeCell ref="F257:F258"/>
    <mergeCell ref="G257:G262"/>
    <mergeCell ref="H257:H262"/>
    <mergeCell ref="I257:I262"/>
    <mergeCell ref="B259:B260"/>
    <mergeCell ref="F259:F260"/>
    <mergeCell ref="B264:I264"/>
    <mergeCell ref="G265:G280"/>
    <mergeCell ref="H265:H280"/>
    <mergeCell ref="I265:I280"/>
    <mergeCell ref="B270:B271"/>
    <mergeCell ref="F270:F271"/>
    <mergeCell ref="B276:B277"/>
    <mergeCell ref="G282:G283"/>
    <mergeCell ref="H282:H283"/>
    <mergeCell ref="I282:I283"/>
    <mergeCell ref="B285:I285"/>
    <mergeCell ref="B286:B287"/>
    <mergeCell ref="F286:F287"/>
    <mergeCell ref="G286:G291"/>
    <mergeCell ref="H286:H291"/>
    <mergeCell ref="I286:I291"/>
    <mergeCell ref="B288:B289"/>
    <mergeCell ref="F288:F289"/>
    <mergeCell ref="B293:B294"/>
    <mergeCell ref="F293:F294"/>
    <mergeCell ref="G293:G300"/>
    <mergeCell ref="H293:H300"/>
    <mergeCell ref="I293:I300"/>
    <mergeCell ref="B295:B296"/>
    <mergeCell ref="F295:F296"/>
    <mergeCell ref="B297:B298"/>
    <mergeCell ref="F297:F298"/>
    <mergeCell ref="B299:B300"/>
    <mergeCell ref="F299:F300"/>
    <mergeCell ref="B302:B303"/>
    <mergeCell ref="F302:F303"/>
    <mergeCell ref="G302:G309"/>
    <mergeCell ref="H302:H309"/>
    <mergeCell ref="I302:I309"/>
    <mergeCell ref="B304:B305"/>
    <mergeCell ref="F304:F305"/>
    <mergeCell ref="B306:B307"/>
    <mergeCell ref="F306:F307"/>
    <mergeCell ref="B308:B309"/>
    <mergeCell ref="F308:F309"/>
    <mergeCell ref="G311:G314"/>
    <mergeCell ref="H311:H314"/>
    <mergeCell ref="I311:I314"/>
    <mergeCell ref="B313:B314"/>
    <mergeCell ref="F313:F314"/>
    <mergeCell ref="B316:I316"/>
    <mergeCell ref="G317:G320"/>
    <mergeCell ref="H317:H320"/>
    <mergeCell ref="I317:I320"/>
    <mergeCell ref="G325:G327"/>
    <mergeCell ref="H325:H327"/>
    <mergeCell ref="I325:I327"/>
    <mergeCell ref="G329:G336"/>
    <mergeCell ref="H329:H336"/>
    <mergeCell ref="I329:I336"/>
    <mergeCell ref="G338:G349"/>
    <mergeCell ref="H338:H349"/>
    <mergeCell ref="I338:I349"/>
  </mergeCells>
  <dataValidations count="3">
    <dataValidation allowBlank="true" operator="between" prompt="Select the DDR type from the drop down menu." promptTitle="DDR type selection" showDropDown="false" showErrorMessage="true" showInputMessage="true" sqref="C17:D17" type="list">
      <formula1>DDRTypes</formula1>
      <formula2>0</formula2>
    </dataValidation>
    <dataValidation allowBlank="true" operator="between" prompt="Select whether or not you want to enable or disable this feature. " promptTitle="ROW-BANK Interleaving option" showDropDown="false" showErrorMessage="true" showInputMessage="true" sqref="F28" type="list">
      <formula1>RowBankInterleavingOption</formula1>
      <formula2>0</formula2>
    </dataValidation>
    <dataValidation allowBlank="true" operator="between" prompt="Select the desired bus width, 32-bit or 16-bit" promptTitle="Bus width select" showDropDown="false" showErrorMessage="true" showInputMessage="true" sqref="C29:D29" type="list">
      <formula1>BusWidth</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409"/>
  <sheetViews>
    <sheetView showFormulas="false" showGridLines="true" showRowColHeaders="true" showZeros="true" rightToLeft="false" tabSelected="true" showOutlineSymbols="true" defaultGridColor="true" view="normal" topLeftCell="A390" colorId="64" zoomScale="100" zoomScaleNormal="100" zoomScalePageLayoutView="100" workbookViewId="0">
      <selection pane="topLeft" activeCell="A1" activeCellId="0" sqref="A1:C409"/>
    </sheetView>
  </sheetViews>
  <sheetFormatPr defaultRowHeight="13.5" zeroHeight="false" outlineLevelRow="0" outlineLevelCol="0"/>
  <cols>
    <col collapsed="false" customWidth="true" hidden="false" outlineLevel="0" max="1" min="1" style="285" width="43"/>
    <col collapsed="false" customWidth="true" hidden="false" outlineLevel="0" max="2" min="2" style="286" width="30.01"/>
    <col collapsed="false" customWidth="true" hidden="false" outlineLevel="0" max="3" min="3" style="286" width="27.71"/>
    <col collapsed="false" customWidth="true" hidden="false" outlineLevel="0" max="4" min="4" style="285" width="9.29"/>
    <col collapsed="false" customWidth="true" hidden="false" outlineLevel="0" max="5" min="5" style="285" width="15.42"/>
    <col collapsed="false" customWidth="true" hidden="false" outlineLevel="0" max="6" min="6" style="0" width="8.67"/>
    <col collapsed="false" customWidth="true" hidden="false" outlineLevel="0" max="7" min="7" style="0" width="12.29"/>
    <col collapsed="false" customWidth="true" hidden="false" outlineLevel="0" max="8" min="8" style="0" width="11.99"/>
    <col collapsed="false" customWidth="true" hidden="false" outlineLevel="0" max="9" min="9" style="0" width="8.67"/>
    <col collapsed="false" customWidth="true" hidden="false" outlineLevel="0" max="10" min="10" style="0" width="15.29"/>
    <col collapsed="false" customWidth="true" hidden="false" outlineLevel="0" max="11" min="11" style="0" width="23.15"/>
    <col collapsed="false" customWidth="true" hidden="false" outlineLevel="0" max="12" min="12" style="0" width="13.01"/>
    <col collapsed="false" customWidth="true" hidden="false" outlineLevel="0" max="13" min="13" style="0" width="21.57"/>
    <col collapsed="false" customWidth="true" hidden="false" outlineLevel="0" max="14" min="14" style="0" width="19.99"/>
    <col collapsed="false" customWidth="true" hidden="false" outlineLevel="0" max="1025" min="15" style="0" width="8.67"/>
  </cols>
  <sheetData>
    <row r="1" customFormat="false" ht="13.5" hidden="false" customHeight="false" outlineLevel="0" collapsed="false">
      <c r="A1" s="287" t="s">
        <v>531</v>
      </c>
    </row>
    <row r="2" customFormat="false" ht="13.5" hidden="false" customHeight="false" outlineLevel="0" collapsed="false">
      <c r="A2" s="287" t="s">
        <v>532</v>
      </c>
      <c r="B2" s="288" t="str">
        <f aca="false">'Register Configuration'!C17</f>
        <v>LPDDR2</v>
      </c>
    </row>
    <row r="3" customFormat="false" ht="13.5" hidden="false" customHeight="false" outlineLevel="0" collapsed="false">
      <c r="A3" s="287" t="s">
        <v>531</v>
      </c>
    </row>
    <row r="4" customFormat="false" ht="13.5" hidden="false" customHeight="false" outlineLevel="0" collapsed="false">
      <c r="A4" s="287" t="s">
        <v>533</v>
      </c>
    </row>
    <row r="5" customFormat="false" ht="13.5" hidden="false" customHeight="false" outlineLevel="0" collapsed="false">
      <c r="A5" s="289" t="str">
        <f aca="false">"#  " &amp; 'Revision History'!B3</f>
        <v>#  1.2</v>
      </c>
    </row>
    <row r="6" customFormat="false" ht="13.5" hidden="false" customHeight="false" outlineLevel="0" collapsed="false">
      <c r="A6" s="287" t="s">
        <v>531</v>
      </c>
    </row>
    <row r="8" customFormat="false" ht="13.5" hidden="false" customHeight="false" outlineLevel="0" collapsed="false">
      <c r="A8" s="287" t="s">
        <v>534</v>
      </c>
      <c r="B8" s="290" t="s">
        <v>535</v>
      </c>
    </row>
    <row r="10" customFormat="false" ht="13.5" hidden="false" customHeight="false" outlineLevel="0" collapsed="false">
      <c r="A10" s="287" t="s">
        <v>536</v>
      </c>
      <c r="B10" s="290" t="s">
        <v>535</v>
      </c>
    </row>
    <row r="12" customFormat="false" ht="13.5" hidden="false" customHeight="false" outlineLevel="0" collapsed="false">
      <c r="A12" s="287" t="s">
        <v>537</v>
      </c>
      <c r="B12" s="290" t="s">
        <v>535</v>
      </c>
    </row>
    <row r="13" customFormat="false" ht="13.5" hidden="false" customHeight="false" outlineLevel="0" collapsed="false">
      <c r="A13" s="287" t="s">
        <v>531</v>
      </c>
    </row>
    <row r="14" customFormat="false" ht="13.5" hidden="false" customHeight="false" outlineLevel="0" collapsed="false">
      <c r="A14" s="287" t="s">
        <v>538</v>
      </c>
    </row>
    <row r="15" customFormat="false" ht="13.5" hidden="false" customHeight="false" outlineLevel="0" collapsed="false">
      <c r="A15" s="287" t="s">
        <v>531</v>
      </c>
    </row>
    <row r="17" customFormat="false" ht="13.5" hidden="false" customHeight="false" outlineLevel="0" collapsed="false">
      <c r="A17" s="287" t="s">
        <v>539</v>
      </c>
      <c r="C17" s="285"/>
      <c r="D17" s="286"/>
    </row>
    <row r="18" customFormat="false" ht="13.5" hidden="false" customHeight="false" outlineLevel="0" collapsed="false">
      <c r="A18" s="287" t="s">
        <v>540</v>
      </c>
      <c r="C18" s="285"/>
      <c r="D18" s="286"/>
    </row>
    <row r="19" customFormat="false" ht="13.5" hidden="false" customHeight="false" outlineLevel="0" collapsed="false">
      <c r="A19" s="287" t="s">
        <v>541</v>
      </c>
      <c r="C19" s="285"/>
      <c r="D19" s="286"/>
    </row>
    <row r="20" customFormat="false" ht="13.5" hidden="false" customHeight="false" outlineLevel="0" collapsed="false">
      <c r="A20" s="287" t="s">
        <v>542</v>
      </c>
      <c r="C20" s="285"/>
      <c r="D20" s="286"/>
    </row>
    <row r="21" customFormat="false" ht="13.5" hidden="false" customHeight="false" outlineLevel="0" collapsed="false">
      <c r="A21" s="287" t="s">
        <v>543</v>
      </c>
      <c r="C21" s="285"/>
      <c r="D21" s="286"/>
    </row>
    <row r="22" customFormat="false" ht="13.5" hidden="false" customHeight="false" outlineLevel="0" collapsed="false">
      <c r="A22" s="287" t="s">
        <v>544</v>
      </c>
      <c r="C22" s="285"/>
      <c r="D22" s="286"/>
    </row>
    <row r="23" customFormat="false" ht="13.5" hidden="false" customHeight="false" outlineLevel="0" collapsed="false">
      <c r="A23" s="287" t="s">
        <v>545</v>
      </c>
      <c r="C23" s="285"/>
      <c r="D23" s="286"/>
    </row>
    <row r="24" customFormat="false" ht="13.5" hidden="false" customHeight="false" outlineLevel="0" collapsed="false">
      <c r="A24" s="287" t="s">
        <v>546</v>
      </c>
      <c r="C24" s="285"/>
      <c r="D24" s="286"/>
    </row>
    <row r="25" customFormat="false" ht="13.5" hidden="false" customHeight="false" outlineLevel="0" collapsed="false">
      <c r="A25" s="287" t="s">
        <v>547</v>
      </c>
      <c r="C25" s="285"/>
      <c r="D25" s="286"/>
    </row>
    <row r="26" customFormat="false" ht="13.5" hidden="false" customHeight="false" outlineLevel="0" collapsed="false">
      <c r="A26" s="287" t="s">
        <v>548</v>
      </c>
      <c r="C26" s="285"/>
      <c r="D26" s="286"/>
    </row>
    <row r="27" customFormat="false" ht="13.5" hidden="false" customHeight="false" outlineLevel="0" collapsed="false">
      <c r="A27" s="287" t="s">
        <v>549</v>
      </c>
      <c r="C27" s="285"/>
      <c r="D27" s="286"/>
    </row>
    <row r="28" customFormat="false" ht="13.5" hidden="false" customHeight="false" outlineLevel="0" collapsed="false">
      <c r="A28" s="287" t="s">
        <v>550</v>
      </c>
      <c r="C28" s="285"/>
      <c r="D28" s="286"/>
    </row>
    <row r="29" customFormat="false" ht="13.5" hidden="false" customHeight="false" outlineLevel="0" collapsed="false">
      <c r="A29" s="287" t="s">
        <v>551</v>
      </c>
      <c r="C29" s="285"/>
      <c r="D29" s="286"/>
    </row>
    <row r="30" customFormat="false" ht="13.5" hidden="false" customHeight="false" outlineLevel="0" collapsed="false">
      <c r="A30" s="287" t="s">
        <v>552</v>
      </c>
      <c r="C30" s="285"/>
      <c r="D30" s="286"/>
    </row>
    <row r="31" customFormat="false" ht="13.5" hidden="false" customHeight="false" outlineLevel="0" collapsed="false">
      <c r="A31" s="287" t="s">
        <v>553</v>
      </c>
      <c r="C31" s="285"/>
      <c r="D31" s="286"/>
    </row>
    <row r="32" customFormat="false" ht="13.5" hidden="false" customHeight="false" outlineLevel="0" collapsed="false">
      <c r="A32" s="287" t="s">
        <v>554</v>
      </c>
      <c r="C32" s="285"/>
      <c r="D32" s="286"/>
    </row>
    <row r="33" customFormat="false" ht="13.5" hidden="false" customHeight="false" outlineLevel="0" collapsed="false">
      <c r="A33" s="287" t="s">
        <v>555</v>
      </c>
      <c r="C33" s="285"/>
      <c r="D33" s="286"/>
    </row>
    <row r="34" customFormat="false" ht="13.5" hidden="false" customHeight="false" outlineLevel="0" collapsed="false">
      <c r="A34" s="287" t="s">
        <v>556</v>
      </c>
      <c r="C34" s="285"/>
      <c r="D34" s="286"/>
    </row>
    <row r="35" customFormat="false" ht="13.5" hidden="false" customHeight="false" outlineLevel="0" collapsed="false">
      <c r="A35" s="287" t="s">
        <v>557</v>
      </c>
      <c r="C35" s="285"/>
      <c r="D35" s="286"/>
    </row>
    <row r="36" customFormat="false" ht="13.5" hidden="false" customHeight="false" outlineLevel="0" collapsed="false">
      <c r="A36" s="287" t="s">
        <v>558</v>
      </c>
      <c r="C36" s="285"/>
      <c r="D36" s="286"/>
    </row>
    <row r="37" customFormat="false" ht="13.5" hidden="false" customHeight="false" outlineLevel="0" collapsed="false">
      <c r="A37" s="287" t="s">
        <v>559</v>
      </c>
      <c r="C37" s="285"/>
      <c r="D37" s="286"/>
    </row>
    <row r="38" customFormat="false" ht="13.5" hidden="false" customHeight="false" outlineLevel="0" collapsed="false">
      <c r="A38" s="287" t="s">
        <v>560</v>
      </c>
      <c r="C38" s="285"/>
      <c r="D38" s="286"/>
    </row>
    <row r="39" customFormat="false" ht="13.5" hidden="false" customHeight="false" outlineLevel="0" collapsed="false">
      <c r="A39" s="287" t="s">
        <v>561</v>
      </c>
      <c r="C39" s="285"/>
      <c r="D39" s="286"/>
    </row>
    <row r="40" customFormat="false" ht="13.5" hidden="false" customHeight="false" outlineLevel="0" collapsed="false">
      <c r="A40" s="287" t="s">
        <v>562</v>
      </c>
      <c r="C40" s="285"/>
      <c r="D40" s="286"/>
    </row>
    <row r="41" customFormat="false" ht="13.5" hidden="false" customHeight="false" outlineLevel="0" collapsed="false">
      <c r="A41" s="287" t="s">
        <v>563</v>
      </c>
      <c r="C41" s="285"/>
      <c r="D41" s="286"/>
    </row>
    <row r="42" customFormat="false" ht="13.5" hidden="false" customHeight="false" outlineLevel="0" collapsed="false">
      <c r="A42" s="287" t="s">
        <v>564</v>
      </c>
      <c r="C42" s="285"/>
      <c r="D42" s="286"/>
    </row>
    <row r="43" customFormat="false" ht="13.5" hidden="false" customHeight="false" outlineLevel="0" collapsed="false">
      <c r="A43" s="287" t="s">
        <v>565</v>
      </c>
      <c r="C43" s="285"/>
      <c r="D43" s="286"/>
    </row>
    <row r="44" customFormat="false" ht="13.5" hidden="false" customHeight="false" outlineLevel="0" collapsed="false">
      <c r="A44" s="287" t="s">
        <v>566</v>
      </c>
      <c r="C44" s="285"/>
      <c r="D44" s="286"/>
    </row>
    <row r="45" customFormat="false" ht="13.5" hidden="false" customHeight="false" outlineLevel="0" collapsed="false">
      <c r="A45" s="287" t="s">
        <v>567</v>
      </c>
      <c r="C45" s="285"/>
      <c r="D45" s="286"/>
    </row>
    <row r="46" customFormat="false" ht="13.5" hidden="false" customHeight="false" outlineLevel="0" collapsed="false">
      <c r="A46" s="287" t="s">
        <v>568</v>
      </c>
      <c r="C46" s="285"/>
      <c r="D46" s="286"/>
    </row>
    <row r="47" customFormat="false" ht="13.5" hidden="false" customHeight="false" outlineLevel="0" collapsed="false">
      <c r="A47" s="287" t="s">
        <v>569</v>
      </c>
      <c r="C47" s="285"/>
      <c r="D47" s="286"/>
    </row>
    <row r="48" customFormat="false" ht="13.5" hidden="false" customHeight="false" outlineLevel="0" collapsed="false">
      <c r="A48" s="287" t="s">
        <v>570</v>
      </c>
      <c r="C48" s="285"/>
      <c r="D48" s="286"/>
    </row>
    <row r="49" customFormat="false" ht="13.5" hidden="false" customHeight="false" outlineLevel="0" collapsed="false">
      <c r="A49" s="287" t="s">
        <v>571</v>
      </c>
      <c r="C49" s="285"/>
      <c r="D49" s="286"/>
    </row>
    <row r="50" customFormat="false" ht="13.5" hidden="false" customHeight="false" outlineLevel="0" collapsed="false">
      <c r="A50" s="287" t="s">
        <v>572</v>
      </c>
      <c r="C50" s="285"/>
      <c r="D50" s="286"/>
    </row>
    <row r="51" customFormat="false" ht="13.5" hidden="false" customHeight="false" outlineLevel="0" collapsed="false">
      <c r="A51" s="287" t="s">
        <v>573</v>
      </c>
      <c r="C51" s="285"/>
      <c r="D51" s="286"/>
    </row>
    <row r="52" customFormat="false" ht="13.5" hidden="false" customHeight="false" outlineLevel="0" collapsed="false">
      <c r="A52" s="287" t="s">
        <v>574</v>
      </c>
      <c r="C52" s="285"/>
      <c r="D52" s="286"/>
    </row>
    <row r="53" customFormat="false" ht="13.5" hidden="false" customHeight="false" outlineLevel="0" collapsed="false">
      <c r="A53" s="287" t="s">
        <v>575</v>
      </c>
      <c r="C53" s="285"/>
      <c r="D53" s="286"/>
    </row>
    <row r="54" customFormat="false" ht="13.5" hidden="false" customHeight="false" outlineLevel="0" collapsed="false">
      <c r="A54" s="287" t="s">
        <v>576</v>
      </c>
      <c r="C54" s="285"/>
      <c r="D54" s="286"/>
    </row>
    <row r="55" customFormat="false" ht="13.5" hidden="false" customHeight="false" outlineLevel="0" collapsed="false">
      <c r="A55" s="287" t="s">
        <v>577</v>
      </c>
      <c r="C55" s="285"/>
      <c r="D55" s="286"/>
    </row>
    <row r="56" customFormat="false" ht="13.5" hidden="false" customHeight="false" outlineLevel="0" collapsed="false">
      <c r="A56" s="287" t="s">
        <v>578</v>
      </c>
      <c r="C56" s="285"/>
      <c r="D56" s="286"/>
    </row>
    <row r="57" customFormat="false" ht="13.5" hidden="false" customHeight="false" outlineLevel="0" collapsed="false">
      <c r="A57" s="287" t="s">
        <v>579</v>
      </c>
      <c r="C57" s="285"/>
      <c r="D57" s="286"/>
    </row>
    <row r="58" customFormat="false" ht="13.5" hidden="false" customHeight="false" outlineLevel="0" collapsed="false">
      <c r="A58" s="287" t="s">
        <v>580</v>
      </c>
      <c r="C58" s="285"/>
      <c r="D58" s="286"/>
    </row>
    <row r="59" customFormat="false" ht="13.5" hidden="false" customHeight="false" outlineLevel="0" collapsed="false">
      <c r="A59" s="287" t="s">
        <v>581</v>
      </c>
      <c r="C59" s="285"/>
      <c r="D59" s="286"/>
    </row>
    <row r="60" customFormat="false" ht="13.5" hidden="false" customHeight="false" outlineLevel="0" collapsed="false">
      <c r="A60" s="287" t="s">
        <v>582</v>
      </c>
      <c r="C60" s="285"/>
      <c r="D60" s="286"/>
    </row>
    <row r="61" customFormat="false" ht="13.5" hidden="false" customHeight="false" outlineLevel="0" collapsed="false">
      <c r="A61" s="287" t="s">
        <v>583</v>
      </c>
      <c r="C61" s="285"/>
      <c r="D61" s="286"/>
    </row>
    <row r="62" customFormat="false" ht="13.5" hidden="false" customHeight="false" outlineLevel="0" collapsed="false">
      <c r="A62" s="287" t="s">
        <v>584</v>
      </c>
      <c r="C62" s="285"/>
      <c r="D62" s="286"/>
    </row>
    <row r="63" customFormat="false" ht="13.5" hidden="false" customHeight="false" outlineLevel="0" collapsed="false">
      <c r="A63" s="287" t="s">
        <v>585</v>
      </c>
      <c r="C63" s="285"/>
      <c r="D63" s="286"/>
    </row>
    <row r="64" customFormat="false" ht="13.5" hidden="false" customHeight="false" outlineLevel="0" collapsed="false">
      <c r="A64" s="287" t="s">
        <v>586</v>
      </c>
      <c r="C64" s="285"/>
      <c r="D64" s="286"/>
    </row>
    <row r="65" customFormat="false" ht="13.5" hidden="false" customHeight="false" outlineLevel="0" collapsed="false">
      <c r="A65" s="287" t="s">
        <v>587</v>
      </c>
      <c r="C65" s="285"/>
      <c r="D65" s="286"/>
    </row>
    <row r="66" customFormat="false" ht="13.5" hidden="false" customHeight="false" outlineLevel="0" collapsed="false">
      <c r="A66" s="287" t="s">
        <v>588</v>
      </c>
      <c r="C66" s="285"/>
      <c r="D66" s="286"/>
    </row>
    <row r="67" customFormat="false" ht="13.5" hidden="false" customHeight="false" outlineLevel="0" collapsed="false">
      <c r="A67" s="287" t="s">
        <v>589</v>
      </c>
      <c r="C67" s="285"/>
      <c r="D67" s="286"/>
    </row>
    <row r="68" customFormat="false" ht="13.5" hidden="false" customHeight="false" outlineLevel="0" collapsed="false">
      <c r="A68" s="287" t="s">
        <v>590</v>
      </c>
      <c r="C68" s="285"/>
      <c r="D68" s="286"/>
    </row>
    <row r="69" customFormat="false" ht="13.5" hidden="false" customHeight="false" outlineLevel="0" collapsed="false">
      <c r="A69" s="287" t="s">
        <v>591</v>
      </c>
      <c r="C69" s="285"/>
      <c r="D69" s="286"/>
    </row>
    <row r="70" customFormat="false" ht="13.5" hidden="false" customHeight="false" outlineLevel="0" collapsed="false">
      <c r="A70" s="287" t="s">
        <v>592</v>
      </c>
      <c r="C70" s="285"/>
      <c r="D70" s="286"/>
    </row>
    <row r="71" customFormat="false" ht="13.5" hidden="false" customHeight="false" outlineLevel="0" collapsed="false">
      <c r="A71" s="287" t="s">
        <v>593</v>
      </c>
      <c r="C71" s="285"/>
      <c r="D71" s="286"/>
    </row>
    <row r="72" customFormat="false" ht="13.5" hidden="false" customHeight="false" outlineLevel="0" collapsed="false">
      <c r="A72" s="287" t="s">
        <v>594</v>
      </c>
      <c r="C72" s="285"/>
      <c r="D72" s="286"/>
    </row>
    <row r="73" customFormat="false" ht="13.5" hidden="false" customHeight="false" outlineLevel="0" collapsed="false">
      <c r="A73" s="287" t="s">
        <v>595</v>
      </c>
      <c r="C73" s="285"/>
      <c r="D73" s="286"/>
    </row>
    <row r="74" customFormat="false" ht="13.5" hidden="false" customHeight="false" outlineLevel="0" collapsed="false">
      <c r="A74" s="287" t="s">
        <v>596</v>
      </c>
      <c r="C74" s="285"/>
      <c r="D74" s="286"/>
    </row>
    <row r="75" customFormat="false" ht="13.5" hidden="false" customHeight="false" outlineLevel="0" collapsed="false">
      <c r="A75" s="287" t="s">
        <v>597</v>
      </c>
      <c r="C75" s="285"/>
      <c r="D75" s="286"/>
    </row>
    <row r="76" customFormat="false" ht="13.5" hidden="false" customHeight="false" outlineLevel="0" collapsed="false">
      <c r="A76" s="287" t="s">
        <v>598</v>
      </c>
      <c r="C76" s="285"/>
      <c r="D76" s="286"/>
    </row>
    <row r="77" customFormat="false" ht="13.5" hidden="false" customHeight="false" outlineLevel="0" collapsed="false">
      <c r="A77" s="287" t="s">
        <v>599</v>
      </c>
      <c r="C77" s="285"/>
      <c r="D77" s="286"/>
    </row>
    <row r="78" customFormat="false" ht="13.5" hidden="false" customHeight="false" outlineLevel="0" collapsed="false">
      <c r="A78" s="287" t="s">
        <v>600</v>
      </c>
      <c r="C78" s="285"/>
      <c r="D78" s="286"/>
    </row>
    <row r="79" customFormat="false" ht="13.5" hidden="false" customHeight="false" outlineLevel="0" collapsed="false">
      <c r="A79" s="287" t="s">
        <v>601</v>
      </c>
      <c r="C79" s="285"/>
      <c r="D79" s="286"/>
    </row>
    <row r="80" customFormat="false" ht="13.5" hidden="false" customHeight="false" outlineLevel="0" collapsed="false">
      <c r="A80" s="287" t="s">
        <v>602</v>
      </c>
      <c r="C80" s="285"/>
      <c r="D80" s="286"/>
    </row>
    <row r="81" customFormat="false" ht="13.5" hidden="false" customHeight="false" outlineLevel="0" collapsed="false">
      <c r="A81" s="287" t="s">
        <v>603</v>
      </c>
      <c r="C81" s="285"/>
      <c r="D81" s="286"/>
    </row>
    <row r="82" customFormat="false" ht="13.5" hidden="false" customHeight="false" outlineLevel="0" collapsed="false">
      <c r="A82" s="287" t="s">
        <v>604</v>
      </c>
      <c r="C82" s="285"/>
      <c r="D82" s="286"/>
    </row>
    <row r="83" customFormat="false" ht="13.5" hidden="false" customHeight="false" outlineLevel="0" collapsed="false">
      <c r="A83" s="287" t="s">
        <v>605</v>
      </c>
      <c r="C83" s="285"/>
      <c r="D83" s="286"/>
    </row>
    <row r="84" customFormat="false" ht="13.5" hidden="false" customHeight="false" outlineLevel="0" collapsed="false">
      <c r="A84" s="287" t="s">
        <v>606</v>
      </c>
      <c r="C84" s="285"/>
      <c r="D84" s="286"/>
    </row>
    <row r="85" customFormat="false" ht="13.5" hidden="false" customHeight="false" outlineLevel="0" collapsed="false">
      <c r="A85" s="287" t="s">
        <v>607</v>
      </c>
      <c r="C85" s="285"/>
      <c r="D85" s="286"/>
    </row>
    <row r="86" customFormat="false" ht="13.5" hidden="false" customHeight="false" outlineLevel="0" collapsed="false">
      <c r="A86" s="287" t="s">
        <v>608</v>
      </c>
      <c r="C86" s="285"/>
      <c r="D86" s="286"/>
    </row>
    <row r="87" customFormat="false" ht="13.5" hidden="false" customHeight="false" outlineLevel="0" collapsed="false">
      <c r="A87" s="287" t="s">
        <v>609</v>
      </c>
      <c r="C87" s="285"/>
      <c r="D87" s="286"/>
    </row>
    <row r="88" customFormat="false" ht="13.5" hidden="false" customHeight="false" outlineLevel="0" collapsed="false">
      <c r="C88" s="285"/>
      <c r="D88" s="286"/>
    </row>
    <row r="89" customFormat="false" ht="13.5" hidden="false" customHeight="false" outlineLevel="0" collapsed="false">
      <c r="A89" s="287" t="s">
        <v>610</v>
      </c>
      <c r="C89" s="285"/>
      <c r="D89" s="286"/>
    </row>
    <row r="90" customFormat="false" ht="13.5" hidden="false" customHeight="false" outlineLevel="0" collapsed="false">
      <c r="C90" s="285"/>
      <c r="D90" s="286"/>
    </row>
    <row r="91" customFormat="false" ht="13.5" hidden="false" customHeight="false" outlineLevel="0" collapsed="false">
      <c r="A91" s="287" t="s">
        <v>611</v>
      </c>
      <c r="C91" s="285"/>
      <c r="D91" s="286"/>
    </row>
    <row r="92" customFormat="false" ht="13.5" hidden="false" customHeight="false" outlineLevel="0" collapsed="false">
      <c r="A92" s="287" t="s">
        <v>612</v>
      </c>
      <c r="C92" s="285"/>
      <c r="D92" s="286"/>
    </row>
    <row r="93" customFormat="false" ht="13.5" hidden="false" customHeight="false" outlineLevel="0" collapsed="false">
      <c r="A93" s="287" t="s">
        <v>613</v>
      </c>
      <c r="C93" s="285"/>
      <c r="D93" s="286"/>
    </row>
    <row r="94" customFormat="false" ht="13.5" hidden="false" customHeight="false" outlineLevel="0" collapsed="false">
      <c r="A94" s="287" t="s">
        <v>614</v>
      </c>
      <c r="C94" s="285"/>
      <c r="D94" s="286"/>
    </row>
    <row r="95" customFormat="false" ht="13.5" hidden="false" customHeight="false" outlineLevel="0" collapsed="false">
      <c r="A95" s="287" t="s">
        <v>615</v>
      </c>
      <c r="C95" s="285"/>
      <c r="D95" s="286"/>
    </row>
    <row r="96" customFormat="false" ht="13.5" hidden="false" customHeight="false" outlineLevel="0" collapsed="false">
      <c r="A96" s="287" t="s">
        <v>616</v>
      </c>
      <c r="C96" s="285"/>
      <c r="D96" s="286"/>
    </row>
    <row r="97" customFormat="false" ht="13.5" hidden="false" customHeight="false" outlineLevel="0" collapsed="false">
      <c r="A97" s="287" t="s">
        <v>617</v>
      </c>
      <c r="C97" s="285"/>
      <c r="D97" s="286"/>
    </row>
    <row r="98" customFormat="false" ht="13.5" hidden="false" customHeight="false" outlineLevel="0" collapsed="false">
      <c r="A98" s="287" t="s">
        <v>618</v>
      </c>
      <c r="C98" s="285"/>
      <c r="D98" s="286"/>
    </row>
    <row r="99" customFormat="false" ht="13.5" hidden="false" customHeight="false" outlineLevel="0" collapsed="false">
      <c r="A99" s="287" t="s">
        <v>619</v>
      </c>
      <c r="C99" s="285"/>
      <c r="D99" s="286"/>
    </row>
    <row r="100" customFormat="false" ht="13.5" hidden="false" customHeight="false" outlineLevel="0" collapsed="false">
      <c r="A100" s="287" t="s">
        <v>620</v>
      </c>
      <c r="C100" s="285"/>
      <c r="D100" s="286"/>
    </row>
    <row r="101" customFormat="false" ht="13.5" hidden="false" customHeight="false" outlineLevel="0" collapsed="false">
      <c r="A101" s="287" t="s">
        <v>621</v>
      </c>
      <c r="C101" s="285"/>
      <c r="D101" s="286"/>
    </row>
    <row r="102" customFormat="false" ht="13.5" hidden="false" customHeight="false" outlineLevel="0" collapsed="false">
      <c r="A102" s="287" t="s">
        <v>622</v>
      </c>
      <c r="C102" s="285"/>
      <c r="D102" s="286"/>
    </row>
    <row r="103" customFormat="false" ht="13.5" hidden="false" customHeight="false" outlineLevel="0" collapsed="false">
      <c r="A103" s="287" t="s">
        <v>623</v>
      </c>
      <c r="C103" s="285"/>
      <c r="D103" s="286"/>
    </row>
    <row r="104" customFormat="false" ht="13.5" hidden="false" customHeight="false" outlineLevel="0" collapsed="false">
      <c r="A104" s="287" t="s">
        <v>624</v>
      </c>
      <c r="C104" s="285"/>
      <c r="D104" s="286"/>
    </row>
    <row r="105" customFormat="false" ht="13.5" hidden="false" customHeight="false" outlineLevel="0" collapsed="false">
      <c r="A105" s="287" t="s">
        <v>625</v>
      </c>
      <c r="C105" s="285"/>
      <c r="D105" s="286"/>
    </row>
    <row r="106" customFormat="false" ht="13.5" hidden="false" customHeight="false" outlineLevel="0" collapsed="false">
      <c r="A106" s="287" t="s">
        <v>626</v>
      </c>
      <c r="C106" s="285"/>
      <c r="D106" s="286"/>
    </row>
    <row r="107" customFormat="false" ht="13.5" hidden="false" customHeight="false" outlineLevel="0" collapsed="false">
      <c r="A107" s="287" t="s">
        <v>627</v>
      </c>
      <c r="C107" s="285"/>
      <c r="D107" s="286"/>
    </row>
    <row r="108" customFormat="false" ht="13.5" hidden="false" customHeight="false" outlineLevel="0" collapsed="false">
      <c r="A108" s="287" t="s">
        <v>628</v>
      </c>
      <c r="C108" s="285"/>
      <c r="D108" s="286"/>
    </row>
    <row r="109" customFormat="false" ht="13.5" hidden="false" customHeight="false" outlineLevel="0" collapsed="false">
      <c r="A109" s="287" t="s">
        <v>629</v>
      </c>
      <c r="C109" s="285"/>
      <c r="D109" s="286"/>
    </row>
    <row r="110" customFormat="false" ht="13.5" hidden="false" customHeight="false" outlineLevel="0" collapsed="false">
      <c r="A110" s="287" t="s">
        <v>630</v>
      </c>
      <c r="C110" s="285"/>
      <c r="D110" s="286"/>
    </row>
    <row r="111" customFormat="false" ht="13.5" hidden="false" customHeight="false" outlineLevel="0" collapsed="false">
      <c r="A111" s="287" t="s">
        <v>631</v>
      </c>
      <c r="C111" s="285"/>
      <c r="D111" s="286"/>
    </row>
    <row r="112" customFormat="false" ht="13.5" hidden="false" customHeight="false" outlineLevel="0" collapsed="false">
      <c r="A112" s="287" t="s">
        <v>632</v>
      </c>
      <c r="C112" s="285"/>
      <c r="D112" s="286"/>
    </row>
    <row r="113" customFormat="false" ht="13.5" hidden="false" customHeight="false" outlineLevel="0" collapsed="false">
      <c r="A113" s="287" t="s">
        <v>633</v>
      </c>
      <c r="C113" s="285"/>
      <c r="D113" s="286"/>
    </row>
    <row r="114" customFormat="false" ht="13.5" hidden="false" customHeight="false" outlineLevel="0" collapsed="false">
      <c r="A114" s="287" t="s">
        <v>634</v>
      </c>
      <c r="C114" s="285"/>
      <c r="D114" s="286"/>
    </row>
    <row r="115" customFormat="false" ht="13.5" hidden="false" customHeight="false" outlineLevel="0" collapsed="false">
      <c r="A115" s="287" t="s">
        <v>635</v>
      </c>
      <c r="C115" s="285"/>
      <c r="D115" s="286"/>
    </row>
    <row r="116" customFormat="false" ht="13.5" hidden="false" customHeight="false" outlineLevel="0" collapsed="false">
      <c r="A116" s="287" t="s">
        <v>636</v>
      </c>
      <c r="C116" s="285"/>
      <c r="D116" s="286"/>
    </row>
    <row r="117" customFormat="false" ht="13.5" hidden="false" customHeight="false" outlineLevel="0" collapsed="false">
      <c r="A117" s="287" t="s">
        <v>637</v>
      </c>
      <c r="C117" s="285"/>
      <c r="D117" s="286"/>
    </row>
    <row r="118" customFormat="false" ht="13.5" hidden="false" customHeight="false" outlineLevel="0" collapsed="false">
      <c r="A118" s="287" t="s">
        <v>638</v>
      </c>
      <c r="C118" s="285"/>
      <c r="D118" s="286"/>
    </row>
    <row r="119" customFormat="false" ht="13.5" hidden="false" customHeight="false" outlineLevel="0" collapsed="false">
      <c r="A119" s="287" t="s">
        <v>639</v>
      </c>
      <c r="C119" s="285"/>
      <c r="D119" s="286"/>
    </row>
    <row r="120" customFormat="false" ht="13.5" hidden="false" customHeight="false" outlineLevel="0" collapsed="false">
      <c r="A120" s="287" t="s">
        <v>640</v>
      </c>
      <c r="C120" s="285"/>
      <c r="D120" s="286"/>
    </row>
    <row r="121" customFormat="false" ht="13.5" hidden="false" customHeight="false" outlineLevel="0" collapsed="false">
      <c r="A121" s="287" t="s">
        <v>641</v>
      </c>
      <c r="C121" s="285"/>
      <c r="D121" s="286"/>
    </row>
    <row r="122" customFormat="false" ht="13.5" hidden="false" customHeight="false" outlineLevel="0" collapsed="false">
      <c r="A122" s="287" t="s">
        <v>642</v>
      </c>
      <c r="C122" s="285"/>
      <c r="D122" s="286"/>
    </row>
    <row r="123" customFormat="false" ht="13.5" hidden="false" customHeight="false" outlineLevel="0" collapsed="false">
      <c r="A123" s="287" t="s">
        <v>643</v>
      </c>
      <c r="C123" s="285"/>
      <c r="D123" s="286"/>
    </row>
    <row r="124" customFormat="false" ht="13.5" hidden="false" customHeight="false" outlineLevel="0" collapsed="false">
      <c r="A124" s="287" t="s">
        <v>644</v>
      </c>
      <c r="C124" s="285"/>
      <c r="D124" s="286"/>
    </row>
    <row r="125" customFormat="false" ht="13.5" hidden="false" customHeight="false" outlineLevel="0" collapsed="false">
      <c r="A125" s="287" t="s">
        <v>645</v>
      </c>
      <c r="C125" s="285"/>
      <c r="D125" s="286"/>
    </row>
    <row r="126" customFormat="false" ht="13.5" hidden="false" customHeight="false" outlineLevel="0" collapsed="false">
      <c r="A126" s="287" t="s">
        <v>646</v>
      </c>
      <c r="C126" s="285"/>
      <c r="D126" s="286"/>
    </row>
    <row r="127" customFormat="false" ht="13.5" hidden="false" customHeight="false" outlineLevel="0" collapsed="false">
      <c r="A127" s="287" t="s">
        <v>647</v>
      </c>
      <c r="C127" s="285"/>
      <c r="D127" s="286"/>
    </row>
    <row r="128" customFormat="false" ht="13.5" hidden="false" customHeight="false" outlineLevel="0" collapsed="false">
      <c r="A128" s="287" t="s">
        <v>648</v>
      </c>
      <c r="C128" s="285"/>
      <c r="D128" s="286"/>
    </row>
    <row r="129" customFormat="false" ht="13.5" hidden="false" customHeight="false" outlineLevel="0" collapsed="false">
      <c r="A129" s="287" t="s">
        <v>649</v>
      </c>
      <c r="C129" s="285"/>
      <c r="D129" s="286"/>
    </row>
    <row r="130" customFormat="false" ht="13.5" hidden="false" customHeight="false" outlineLevel="0" collapsed="false">
      <c r="A130" s="287" t="s">
        <v>650</v>
      </c>
      <c r="C130" s="285"/>
      <c r="D130" s="286"/>
    </row>
    <row r="131" customFormat="false" ht="13.5" hidden="false" customHeight="false" outlineLevel="0" collapsed="false">
      <c r="A131" s="287" t="s">
        <v>651</v>
      </c>
      <c r="C131" s="285"/>
      <c r="D131" s="286"/>
    </row>
    <row r="132" customFormat="false" ht="13.5" hidden="false" customHeight="false" outlineLevel="0" collapsed="false">
      <c r="A132" s="287" t="s">
        <v>652</v>
      </c>
      <c r="C132" s="285"/>
      <c r="D132" s="286"/>
    </row>
    <row r="133" customFormat="false" ht="13.5" hidden="false" customHeight="false" outlineLevel="0" collapsed="false">
      <c r="A133" s="287" t="s">
        <v>653</v>
      </c>
      <c r="C133" s="285"/>
      <c r="D133" s="286"/>
    </row>
    <row r="134" customFormat="false" ht="13.5" hidden="false" customHeight="false" outlineLevel="0" collapsed="false">
      <c r="A134" s="287" t="s">
        <v>654</v>
      </c>
      <c r="C134" s="285"/>
      <c r="D134" s="286"/>
    </row>
    <row r="135" customFormat="false" ht="13.5" hidden="false" customHeight="false" outlineLevel="0" collapsed="false">
      <c r="A135" s="287" t="s">
        <v>655</v>
      </c>
      <c r="C135" s="285"/>
      <c r="D135" s="286"/>
    </row>
    <row r="136" customFormat="false" ht="13.5" hidden="false" customHeight="false" outlineLevel="0" collapsed="false">
      <c r="A136" s="287" t="s">
        <v>656</v>
      </c>
      <c r="C136" s="285"/>
      <c r="D136" s="286"/>
    </row>
    <row r="137" customFormat="false" ht="13.5" hidden="false" customHeight="false" outlineLevel="0" collapsed="false">
      <c r="A137" s="287" t="s">
        <v>657</v>
      </c>
      <c r="C137" s="285"/>
      <c r="D137" s="286"/>
    </row>
    <row r="138" customFormat="false" ht="13.5" hidden="false" customHeight="false" outlineLevel="0" collapsed="false">
      <c r="A138" s="287" t="s">
        <v>658</v>
      </c>
      <c r="C138" s="285"/>
      <c r="D138" s="286"/>
    </row>
    <row r="139" customFormat="false" ht="13.5" hidden="false" customHeight="false" outlineLevel="0" collapsed="false">
      <c r="A139" s="287" t="s">
        <v>659</v>
      </c>
      <c r="C139" s="285"/>
      <c r="D139" s="286"/>
    </row>
    <row r="140" customFormat="false" ht="13.5" hidden="false" customHeight="false" outlineLevel="0" collapsed="false">
      <c r="A140" s="287" t="s">
        <v>660</v>
      </c>
      <c r="C140" s="285"/>
      <c r="D140" s="286"/>
    </row>
    <row r="141" customFormat="false" ht="13.5" hidden="false" customHeight="false" outlineLevel="0" collapsed="false">
      <c r="A141" s="287" t="s">
        <v>661</v>
      </c>
      <c r="C141" s="285"/>
      <c r="D141" s="286"/>
    </row>
    <row r="142" customFormat="false" ht="13.5" hidden="false" customHeight="false" outlineLevel="0" collapsed="false">
      <c r="A142" s="287" t="s">
        <v>662</v>
      </c>
      <c r="C142" s="285"/>
      <c r="D142" s="286"/>
    </row>
    <row r="143" customFormat="false" ht="13.5" hidden="false" customHeight="false" outlineLevel="0" collapsed="false">
      <c r="A143" s="287" t="s">
        <v>663</v>
      </c>
      <c r="C143" s="285"/>
      <c r="D143" s="286"/>
    </row>
    <row r="144" customFormat="false" ht="13.5" hidden="false" customHeight="false" outlineLevel="0" collapsed="false">
      <c r="A144" s="287" t="s">
        <v>664</v>
      </c>
      <c r="C144" s="285"/>
      <c r="D144" s="286"/>
    </row>
    <row r="145" customFormat="false" ht="13.5" hidden="false" customHeight="false" outlineLevel="0" collapsed="false">
      <c r="A145" s="287" t="s">
        <v>665</v>
      </c>
      <c r="C145" s="285"/>
      <c r="D145" s="286"/>
    </row>
    <row r="146" customFormat="false" ht="13.5" hidden="false" customHeight="false" outlineLevel="0" collapsed="false">
      <c r="A146" s="287" t="s">
        <v>666</v>
      </c>
      <c r="C146" s="285"/>
      <c r="D146" s="286"/>
    </row>
    <row r="147" customFormat="false" ht="13.5" hidden="false" customHeight="false" outlineLevel="0" collapsed="false">
      <c r="A147" s="287" t="s">
        <v>667</v>
      </c>
      <c r="C147" s="285"/>
      <c r="D147" s="286"/>
    </row>
    <row r="148" customFormat="false" ht="13.5" hidden="false" customHeight="false" outlineLevel="0" collapsed="false">
      <c r="A148" s="287" t="s">
        <v>668</v>
      </c>
      <c r="C148" s="285"/>
      <c r="D148" s="286"/>
    </row>
    <row r="149" customFormat="false" ht="13.5" hidden="false" customHeight="false" outlineLevel="0" collapsed="false">
      <c r="A149" s="287" t="s">
        <v>669</v>
      </c>
      <c r="C149" s="285"/>
      <c r="D149" s="286"/>
    </row>
    <row r="150" customFormat="false" ht="13.5" hidden="false" customHeight="false" outlineLevel="0" collapsed="false">
      <c r="A150" s="287" t="s">
        <v>670</v>
      </c>
      <c r="C150" s="285"/>
      <c r="D150" s="286"/>
    </row>
    <row r="151" customFormat="false" ht="13.5" hidden="false" customHeight="false" outlineLevel="0" collapsed="false">
      <c r="A151" s="287" t="s">
        <v>671</v>
      </c>
      <c r="C151" s="285"/>
      <c r="D151" s="286"/>
    </row>
    <row r="152" customFormat="false" ht="13.5" hidden="false" customHeight="false" outlineLevel="0" collapsed="false">
      <c r="A152" s="287" t="s">
        <v>672</v>
      </c>
      <c r="C152" s="285"/>
      <c r="D152" s="286"/>
    </row>
    <row r="153" customFormat="false" ht="13.5" hidden="false" customHeight="false" outlineLevel="0" collapsed="false">
      <c r="A153" s="287" t="s">
        <v>673</v>
      </c>
      <c r="C153" s="285"/>
      <c r="D153" s="286"/>
    </row>
    <row r="154" customFormat="false" ht="13.5" hidden="false" customHeight="false" outlineLevel="0" collapsed="false">
      <c r="A154" s="287" t="s">
        <v>674</v>
      </c>
      <c r="C154" s="285"/>
      <c r="D154" s="286"/>
    </row>
    <row r="155" customFormat="false" ht="13.5" hidden="false" customHeight="false" outlineLevel="0" collapsed="false">
      <c r="A155" s="287" t="s">
        <v>675</v>
      </c>
      <c r="C155" s="285"/>
      <c r="D155" s="286"/>
    </row>
    <row r="156" customFormat="false" ht="13.5" hidden="false" customHeight="false" outlineLevel="0" collapsed="false">
      <c r="A156" s="287" t="s">
        <v>676</v>
      </c>
      <c r="C156" s="285"/>
      <c r="D156" s="286"/>
    </row>
    <row r="157" customFormat="false" ht="13.5" hidden="false" customHeight="false" outlineLevel="0" collapsed="false">
      <c r="A157" s="287" t="s">
        <v>677</v>
      </c>
      <c r="C157" s="285"/>
      <c r="D157" s="286"/>
    </row>
    <row r="158" customFormat="false" ht="13.5" hidden="false" customHeight="false" outlineLevel="0" collapsed="false">
      <c r="A158" s="287" t="s">
        <v>678</v>
      </c>
      <c r="C158" s="285"/>
      <c r="D158" s="286"/>
    </row>
    <row r="159" customFormat="false" ht="13.5" hidden="false" customHeight="false" outlineLevel="0" collapsed="false">
      <c r="A159" s="287" t="s">
        <v>679</v>
      </c>
      <c r="C159" s="285"/>
      <c r="D159" s="286"/>
    </row>
    <row r="160" customFormat="false" ht="13.5" hidden="false" customHeight="false" outlineLevel="0" collapsed="false">
      <c r="A160" s="287" t="s">
        <v>680</v>
      </c>
      <c r="C160" s="285"/>
      <c r="D160" s="286"/>
    </row>
    <row r="161" customFormat="false" ht="13.5" hidden="false" customHeight="false" outlineLevel="0" collapsed="false">
      <c r="A161" s="287" t="s">
        <v>681</v>
      </c>
      <c r="C161" s="285"/>
      <c r="D161" s="286"/>
    </row>
    <row r="162" customFormat="false" ht="13.5" hidden="false" customHeight="false" outlineLevel="0" collapsed="false">
      <c r="A162" s="287" t="s">
        <v>682</v>
      </c>
      <c r="C162" s="285"/>
      <c r="D162" s="286"/>
    </row>
    <row r="163" customFormat="false" ht="13.5" hidden="false" customHeight="false" outlineLevel="0" collapsed="false">
      <c r="A163" s="287" t="s">
        <v>683</v>
      </c>
      <c r="C163" s="285"/>
      <c r="D163" s="286"/>
    </row>
    <row r="164" customFormat="false" ht="13.5" hidden="false" customHeight="false" outlineLevel="0" collapsed="false">
      <c r="A164" s="287" t="s">
        <v>684</v>
      </c>
      <c r="C164" s="285"/>
      <c r="D164" s="286"/>
    </row>
    <row r="165" customFormat="false" ht="13.5" hidden="false" customHeight="false" outlineLevel="0" collapsed="false">
      <c r="A165" s="287" t="s">
        <v>685</v>
      </c>
      <c r="C165" s="285"/>
      <c r="D165" s="286"/>
    </row>
    <row r="166" customFormat="false" ht="13.5" hidden="false" customHeight="false" outlineLevel="0" collapsed="false">
      <c r="A166" s="287" t="s">
        <v>686</v>
      </c>
      <c r="C166" s="285"/>
      <c r="D166" s="286"/>
    </row>
    <row r="167" customFormat="false" ht="13.5" hidden="false" customHeight="false" outlineLevel="0" collapsed="false">
      <c r="A167" s="287" t="s">
        <v>687</v>
      </c>
      <c r="C167" s="285"/>
      <c r="D167" s="286"/>
    </row>
    <row r="168" customFormat="false" ht="13.5" hidden="false" customHeight="false" outlineLevel="0" collapsed="false">
      <c r="A168" s="287" t="s">
        <v>688</v>
      </c>
      <c r="C168" s="285"/>
      <c r="D168" s="286"/>
    </row>
    <row r="169" customFormat="false" ht="13.5" hidden="false" customHeight="false" outlineLevel="0" collapsed="false">
      <c r="A169" s="287" t="s">
        <v>689</v>
      </c>
      <c r="C169" s="285"/>
      <c r="D169" s="286"/>
    </row>
    <row r="170" customFormat="false" ht="13.5" hidden="false" customHeight="false" outlineLevel="0" collapsed="false">
      <c r="A170" s="287" t="s">
        <v>690</v>
      </c>
      <c r="C170" s="285"/>
      <c r="D170" s="286"/>
    </row>
    <row r="171" customFormat="false" ht="13.5" hidden="false" customHeight="false" outlineLevel="0" collapsed="false">
      <c r="A171" s="287" t="s">
        <v>691</v>
      </c>
      <c r="C171" s="285"/>
      <c r="D171" s="286"/>
    </row>
    <row r="172" customFormat="false" ht="13.5" hidden="false" customHeight="false" outlineLevel="0" collapsed="false">
      <c r="A172" s="287" t="s">
        <v>692</v>
      </c>
      <c r="C172" s="285"/>
      <c r="D172" s="286"/>
    </row>
    <row r="173" customFormat="false" ht="13.5" hidden="false" customHeight="false" outlineLevel="0" collapsed="false">
      <c r="A173" s="287" t="s">
        <v>693</v>
      </c>
      <c r="C173" s="285"/>
      <c r="D173" s="286"/>
    </row>
    <row r="174" customFormat="false" ht="13.5" hidden="false" customHeight="false" outlineLevel="0" collapsed="false">
      <c r="A174" s="287" t="s">
        <v>694</v>
      </c>
      <c r="C174" s="285"/>
      <c r="D174" s="286"/>
    </row>
    <row r="175" customFormat="false" ht="13.5" hidden="false" customHeight="false" outlineLevel="0" collapsed="false">
      <c r="A175" s="287" t="s">
        <v>695</v>
      </c>
      <c r="C175" s="285"/>
      <c r="D175" s="286"/>
    </row>
    <row r="176" customFormat="false" ht="13.5" hidden="false" customHeight="false" outlineLevel="0" collapsed="false">
      <c r="A176" s="287" t="s">
        <v>696</v>
      </c>
      <c r="C176" s="285"/>
      <c r="D176" s="286"/>
    </row>
    <row r="177" customFormat="false" ht="13.5" hidden="false" customHeight="false" outlineLevel="0" collapsed="false">
      <c r="A177" s="287" t="s">
        <v>697</v>
      </c>
      <c r="C177" s="285"/>
      <c r="D177" s="286"/>
    </row>
    <row r="178" customFormat="false" ht="13.5" hidden="false" customHeight="false" outlineLevel="0" collapsed="false">
      <c r="A178" s="287" t="s">
        <v>698</v>
      </c>
      <c r="C178" s="285"/>
      <c r="D178" s="286"/>
    </row>
    <row r="179" customFormat="false" ht="13.5" hidden="false" customHeight="false" outlineLevel="0" collapsed="false">
      <c r="A179" s="287" t="s">
        <v>699</v>
      </c>
      <c r="C179" s="285"/>
      <c r="D179" s="286"/>
    </row>
    <row r="180" customFormat="false" ht="13.5" hidden="false" customHeight="false" outlineLevel="0" collapsed="false">
      <c r="A180" s="287" t="s">
        <v>700</v>
      </c>
      <c r="C180" s="285"/>
      <c r="D180" s="286"/>
    </row>
    <row r="181" customFormat="false" ht="13.5" hidden="false" customHeight="false" outlineLevel="0" collapsed="false">
      <c r="A181" s="287" t="s">
        <v>701</v>
      </c>
      <c r="C181" s="285"/>
      <c r="D181" s="286"/>
    </row>
    <row r="182" customFormat="false" ht="13.5" hidden="false" customHeight="false" outlineLevel="0" collapsed="false">
      <c r="A182" s="287" t="s">
        <v>702</v>
      </c>
      <c r="C182" s="285"/>
      <c r="D182" s="286"/>
    </row>
    <row r="183" customFormat="false" ht="13.5" hidden="false" customHeight="false" outlineLevel="0" collapsed="false">
      <c r="A183" s="287" t="s">
        <v>703</v>
      </c>
      <c r="C183" s="285"/>
      <c r="D183" s="286"/>
    </row>
    <row r="184" customFormat="false" ht="13.5" hidden="false" customHeight="false" outlineLevel="0" collapsed="false">
      <c r="A184" s="287" t="s">
        <v>704</v>
      </c>
      <c r="C184" s="285"/>
      <c r="D184" s="286"/>
    </row>
    <row r="185" customFormat="false" ht="13.5" hidden="false" customHeight="false" outlineLevel="0" collapsed="false">
      <c r="A185" s="287" t="s">
        <v>705</v>
      </c>
      <c r="C185" s="285"/>
      <c r="D185" s="286"/>
    </row>
    <row r="186" customFormat="false" ht="13.5" hidden="false" customHeight="false" outlineLevel="0" collapsed="false">
      <c r="A186" s="287" t="s">
        <v>706</v>
      </c>
      <c r="C186" s="285"/>
      <c r="D186" s="286"/>
    </row>
    <row r="187" customFormat="false" ht="13.5" hidden="false" customHeight="false" outlineLevel="0" collapsed="false">
      <c r="A187" s="287" t="s">
        <v>707</v>
      </c>
      <c r="C187" s="285"/>
      <c r="D187" s="286"/>
    </row>
    <row r="188" customFormat="false" ht="13.5" hidden="false" customHeight="false" outlineLevel="0" collapsed="false">
      <c r="A188" s="287" t="s">
        <v>708</v>
      </c>
      <c r="C188" s="285"/>
      <c r="D188" s="286"/>
    </row>
    <row r="189" customFormat="false" ht="13.5" hidden="false" customHeight="false" outlineLevel="0" collapsed="false">
      <c r="A189" s="287" t="s">
        <v>709</v>
      </c>
      <c r="C189" s="285"/>
      <c r="D189" s="286"/>
    </row>
    <row r="190" customFormat="false" ht="13.5" hidden="false" customHeight="false" outlineLevel="0" collapsed="false">
      <c r="A190" s="287" t="s">
        <v>710</v>
      </c>
      <c r="C190" s="285"/>
      <c r="D190" s="286"/>
    </row>
    <row r="191" customFormat="false" ht="13.5" hidden="false" customHeight="false" outlineLevel="0" collapsed="false">
      <c r="A191" s="287" t="s">
        <v>711</v>
      </c>
      <c r="C191" s="285"/>
      <c r="D191" s="286"/>
    </row>
    <row r="192" customFormat="false" ht="13.5" hidden="false" customHeight="false" outlineLevel="0" collapsed="false">
      <c r="A192" s="287" t="s">
        <v>712</v>
      </c>
      <c r="C192" s="285"/>
      <c r="D192" s="286"/>
    </row>
    <row r="193" customFormat="false" ht="13.5" hidden="false" customHeight="false" outlineLevel="0" collapsed="false">
      <c r="A193" s="287" t="s">
        <v>713</v>
      </c>
      <c r="C193" s="285"/>
      <c r="D193" s="286"/>
    </row>
    <row r="194" customFormat="false" ht="13.5" hidden="false" customHeight="false" outlineLevel="0" collapsed="false">
      <c r="A194" s="287" t="s">
        <v>714</v>
      </c>
      <c r="C194" s="285"/>
      <c r="D194" s="286"/>
    </row>
    <row r="195" customFormat="false" ht="13.5" hidden="false" customHeight="false" outlineLevel="0" collapsed="false">
      <c r="A195" s="287" t="s">
        <v>715</v>
      </c>
      <c r="C195" s="285"/>
      <c r="D195" s="286"/>
    </row>
    <row r="196" customFormat="false" ht="13.5" hidden="false" customHeight="false" outlineLevel="0" collapsed="false">
      <c r="A196" s="287" t="s">
        <v>716</v>
      </c>
      <c r="C196" s="285"/>
      <c r="D196" s="286"/>
    </row>
    <row r="197" customFormat="false" ht="13.5" hidden="false" customHeight="false" outlineLevel="0" collapsed="false">
      <c r="A197" s="287" t="s">
        <v>717</v>
      </c>
      <c r="C197" s="285"/>
      <c r="D197" s="286"/>
    </row>
    <row r="198" customFormat="false" ht="13.5" hidden="false" customHeight="false" outlineLevel="0" collapsed="false">
      <c r="A198" s="287" t="s">
        <v>718</v>
      </c>
      <c r="C198" s="285"/>
      <c r="D198" s="286"/>
    </row>
    <row r="199" customFormat="false" ht="13.5" hidden="false" customHeight="false" outlineLevel="0" collapsed="false">
      <c r="A199" s="287" t="s">
        <v>719</v>
      </c>
      <c r="C199" s="285"/>
      <c r="D199" s="286"/>
    </row>
    <row r="200" customFormat="false" ht="13.5" hidden="false" customHeight="false" outlineLevel="0" collapsed="false">
      <c r="A200" s="287" t="s">
        <v>720</v>
      </c>
      <c r="C200" s="285"/>
      <c r="D200" s="286"/>
    </row>
    <row r="201" customFormat="false" ht="13.5" hidden="false" customHeight="false" outlineLevel="0" collapsed="false">
      <c r="A201" s="287" t="s">
        <v>721</v>
      </c>
      <c r="C201" s="285"/>
      <c r="D201" s="286"/>
    </row>
    <row r="202" customFormat="false" ht="13.5" hidden="false" customHeight="false" outlineLevel="0" collapsed="false">
      <c r="A202" s="287" t="s">
        <v>722</v>
      </c>
      <c r="C202" s="285"/>
      <c r="D202" s="286"/>
    </row>
    <row r="203" customFormat="false" ht="13.5" hidden="false" customHeight="false" outlineLevel="0" collapsed="false">
      <c r="A203" s="287" t="s">
        <v>723</v>
      </c>
      <c r="C203" s="285"/>
      <c r="D203" s="286"/>
    </row>
    <row r="204" customFormat="false" ht="13.5" hidden="false" customHeight="false" outlineLevel="0" collapsed="false">
      <c r="A204" s="287" t="s">
        <v>724</v>
      </c>
      <c r="C204" s="285"/>
      <c r="D204" s="286"/>
    </row>
    <row r="205" customFormat="false" ht="13.5" hidden="false" customHeight="false" outlineLevel="0" collapsed="false">
      <c r="A205" s="287" t="s">
        <v>725</v>
      </c>
      <c r="C205" s="285"/>
      <c r="D205" s="286"/>
    </row>
    <row r="206" customFormat="false" ht="13.5" hidden="false" customHeight="false" outlineLevel="0" collapsed="false">
      <c r="A206" s="287" t="s">
        <v>726</v>
      </c>
      <c r="C206" s="285"/>
      <c r="D206" s="286"/>
    </row>
    <row r="207" customFormat="false" ht="13.5" hidden="false" customHeight="false" outlineLevel="0" collapsed="false">
      <c r="A207" s="287" t="s">
        <v>727</v>
      </c>
      <c r="C207" s="285"/>
      <c r="D207" s="286"/>
    </row>
    <row r="208" customFormat="false" ht="13.5" hidden="false" customHeight="false" outlineLevel="0" collapsed="false">
      <c r="A208" s="287" t="s">
        <v>728</v>
      </c>
      <c r="C208" s="285"/>
      <c r="D208" s="286"/>
    </row>
    <row r="209" customFormat="false" ht="13.5" hidden="false" customHeight="false" outlineLevel="0" collapsed="false">
      <c r="A209" s="287" t="s">
        <v>729</v>
      </c>
      <c r="C209" s="285"/>
      <c r="D209" s="286"/>
    </row>
    <row r="210" customFormat="false" ht="13.5" hidden="false" customHeight="false" outlineLevel="0" collapsed="false">
      <c r="A210" s="287" t="s">
        <v>730</v>
      </c>
      <c r="C210" s="285"/>
      <c r="D210" s="286"/>
    </row>
    <row r="211" customFormat="false" ht="13.5" hidden="false" customHeight="false" outlineLevel="0" collapsed="false">
      <c r="A211" s="287" t="s">
        <v>731</v>
      </c>
      <c r="C211" s="285"/>
      <c r="D211" s="286"/>
    </row>
    <row r="212" customFormat="false" ht="13.5" hidden="false" customHeight="false" outlineLevel="0" collapsed="false">
      <c r="A212" s="287" t="s">
        <v>732</v>
      </c>
      <c r="C212" s="285"/>
      <c r="D212" s="286"/>
    </row>
    <row r="213" customFormat="false" ht="13.5" hidden="false" customHeight="false" outlineLevel="0" collapsed="false">
      <c r="A213" s="287" t="s">
        <v>733</v>
      </c>
      <c r="C213" s="285"/>
      <c r="D213" s="286"/>
    </row>
    <row r="214" customFormat="false" ht="13.5" hidden="false" customHeight="false" outlineLevel="0" collapsed="false">
      <c r="A214" s="287" t="s">
        <v>734</v>
      </c>
      <c r="C214" s="285"/>
      <c r="D214" s="286"/>
    </row>
    <row r="215" customFormat="false" ht="13.5" hidden="false" customHeight="false" outlineLevel="0" collapsed="false">
      <c r="A215" s="287" t="s">
        <v>735</v>
      </c>
      <c r="C215" s="285"/>
      <c r="D215" s="286"/>
    </row>
    <row r="216" customFormat="false" ht="13.5" hidden="false" customHeight="false" outlineLevel="0" collapsed="false">
      <c r="A216" s="287" t="s">
        <v>736</v>
      </c>
      <c r="C216" s="285"/>
      <c r="D216" s="286"/>
    </row>
    <row r="217" customFormat="false" ht="13.5" hidden="false" customHeight="false" outlineLevel="0" collapsed="false">
      <c r="A217" s="287" t="s">
        <v>737</v>
      </c>
      <c r="C217" s="285"/>
      <c r="D217" s="286"/>
    </row>
    <row r="218" customFormat="false" ht="13.5" hidden="false" customHeight="false" outlineLevel="0" collapsed="false">
      <c r="A218" s="287" t="s">
        <v>738</v>
      </c>
      <c r="C218" s="285"/>
      <c r="D218" s="286"/>
    </row>
    <row r="219" customFormat="false" ht="13.5" hidden="false" customHeight="false" outlineLevel="0" collapsed="false">
      <c r="A219" s="287" t="s">
        <v>739</v>
      </c>
      <c r="C219" s="285"/>
      <c r="D219" s="286"/>
    </row>
    <row r="220" customFormat="false" ht="13.5" hidden="false" customHeight="false" outlineLevel="0" collapsed="false">
      <c r="A220" s="287" t="s">
        <v>740</v>
      </c>
      <c r="C220" s="285"/>
      <c r="D220" s="286"/>
    </row>
    <row r="221" customFormat="false" ht="13.5" hidden="false" customHeight="false" outlineLevel="0" collapsed="false">
      <c r="A221" s="287" t="s">
        <v>741</v>
      </c>
      <c r="C221" s="285"/>
      <c r="D221" s="286"/>
    </row>
    <row r="222" customFormat="false" ht="13.5" hidden="false" customHeight="false" outlineLevel="0" collapsed="false">
      <c r="A222" s="287" t="s">
        <v>742</v>
      </c>
      <c r="C222" s="285"/>
      <c r="D222" s="286"/>
    </row>
    <row r="223" customFormat="false" ht="13.5" hidden="false" customHeight="false" outlineLevel="0" collapsed="false">
      <c r="A223" s="287" t="s">
        <v>743</v>
      </c>
      <c r="C223" s="285"/>
      <c r="D223" s="286"/>
    </row>
    <row r="224" customFormat="false" ht="13.5" hidden="false" customHeight="false" outlineLevel="0" collapsed="false">
      <c r="A224" s="287" t="s">
        <v>744</v>
      </c>
      <c r="C224" s="285"/>
      <c r="D224" s="286"/>
    </row>
    <row r="225" customFormat="false" ht="13.5" hidden="false" customHeight="false" outlineLevel="0" collapsed="false">
      <c r="A225" s="287" t="s">
        <v>745</v>
      </c>
      <c r="C225" s="285"/>
      <c r="D225" s="286"/>
    </row>
    <row r="226" customFormat="false" ht="13.5" hidden="false" customHeight="false" outlineLevel="0" collapsed="false">
      <c r="A226" s="287" t="s">
        <v>746</v>
      </c>
      <c r="C226" s="285"/>
      <c r="D226" s="286"/>
    </row>
    <row r="227" customFormat="false" ht="13.5" hidden="false" customHeight="false" outlineLevel="0" collapsed="false">
      <c r="A227" s="287" t="s">
        <v>747</v>
      </c>
      <c r="C227" s="285"/>
      <c r="D227" s="286"/>
    </row>
    <row r="228" customFormat="false" ht="13.5" hidden="false" customHeight="false" outlineLevel="0" collapsed="false">
      <c r="A228" s="287" t="s">
        <v>748</v>
      </c>
      <c r="C228" s="285"/>
      <c r="D228" s="286"/>
    </row>
    <row r="229" customFormat="false" ht="13.5" hidden="false" customHeight="false" outlineLevel="0" collapsed="false">
      <c r="A229" s="287" t="s">
        <v>749</v>
      </c>
      <c r="C229" s="285"/>
      <c r="D229" s="286"/>
    </row>
    <row r="230" customFormat="false" ht="13.5" hidden="false" customHeight="false" outlineLevel="0" collapsed="false">
      <c r="A230" s="287" t="s">
        <v>750</v>
      </c>
      <c r="C230" s="285"/>
      <c r="D230" s="286"/>
    </row>
    <row r="231" customFormat="false" ht="13.5" hidden="false" customHeight="false" outlineLevel="0" collapsed="false">
      <c r="A231" s="287" t="s">
        <v>751</v>
      </c>
      <c r="C231" s="285"/>
      <c r="D231" s="286"/>
    </row>
    <row r="232" customFormat="false" ht="13.5" hidden="false" customHeight="false" outlineLevel="0" collapsed="false">
      <c r="A232" s="287" t="s">
        <v>752</v>
      </c>
      <c r="C232" s="285"/>
      <c r="D232" s="286"/>
    </row>
    <row r="233" customFormat="false" ht="13.5" hidden="false" customHeight="false" outlineLevel="0" collapsed="false">
      <c r="A233" s="287" t="s">
        <v>753</v>
      </c>
      <c r="C233" s="285"/>
      <c r="D233" s="286"/>
    </row>
    <row r="234" customFormat="false" ht="13.5" hidden="false" customHeight="false" outlineLevel="0" collapsed="false">
      <c r="A234" s="287" t="s">
        <v>754</v>
      </c>
      <c r="C234" s="285"/>
      <c r="D234" s="286"/>
    </row>
    <row r="235" customFormat="false" ht="13.5" hidden="false" customHeight="false" outlineLevel="0" collapsed="false">
      <c r="A235" s="287" t="s">
        <v>755</v>
      </c>
      <c r="C235" s="285"/>
      <c r="D235" s="286"/>
    </row>
    <row r="236" customFormat="false" ht="13.5" hidden="false" customHeight="false" outlineLevel="0" collapsed="false">
      <c r="A236" s="287" t="s">
        <v>756</v>
      </c>
      <c r="C236" s="285"/>
      <c r="D236" s="286"/>
    </row>
    <row r="237" customFormat="false" ht="13.5" hidden="false" customHeight="false" outlineLevel="0" collapsed="false">
      <c r="A237" s="287" t="s">
        <v>757</v>
      </c>
      <c r="C237" s="285"/>
      <c r="D237" s="286"/>
    </row>
    <row r="238" customFormat="false" ht="13.5" hidden="false" customHeight="false" outlineLevel="0" collapsed="false">
      <c r="A238" s="287" t="s">
        <v>758</v>
      </c>
      <c r="C238" s="285"/>
      <c r="D238" s="286"/>
    </row>
    <row r="239" customFormat="false" ht="13.5" hidden="false" customHeight="false" outlineLevel="0" collapsed="false">
      <c r="A239" s="287" t="s">
        <v>759</v>
      </c>
      <c r="C239" s="285"/>
      <c r="D239" s="286"/>
    </row>
    <row r="240" customFormat="false" ht="13.5" hidden="false" customHeight="false" outlineLevel="0" collapsed="false">
      <c r="A240" s="287" t="s">
        <v>760</v>
      </c>
      <c r="C240" s="285"/>
      <c r="D240" s="286"/>
    </row>
    <row r="241" customFormat="false" ht="13.5" hidden="false" customHeight="false" outlineLevel="0" collapsed="false">
      <c r="A241" s="287" t="s">
        <v>761</v>
      </c>
      <c r="C241" s="285"/>
      <c r="D241" s="286"/>
    </row>
    <row r="242" customFormat="false" ht="13.5" hidden="false" customHeight="false" outlineLevel="0" collapsed="false">
      <c r="A242" s="287" t="s">
        <v>762</v>
      </c>
      <c r="C242" s="285"/>
      <c r="D242" s="286"/>
    </row>
    <row r="243" customFormat="false" ht="13.5" hidden="false" customHeight="false" outlineLevel="0" collapsed="false">
      <c r="A243" s="287" t="s">
        <v>763</v>
      </c>
      <c r="C243" s="285"/>
      <c r="D243" s="286"/>
    </row>
    <row r="244" customFormat="false" ht="13.5" hidden="false" customHeight="false" outlineLevel="0" collapsed="false">
      <c r="A244" s="287" t="s">
        <v>764</v>
      </c>
      <c r="C244" s="285"/>
      <c r="D244" s="286"/>
    </row>
    <row r="245" customFormat="false" ht="13.5" hidden="false" customHeight="false" outlineLevel="0" collapsed="false">
      <c r="A245" s="287" t="s">
        <v>765</v>
      </c>
      <c r="C245" s="285"/>
      <c r="D245" s="286"/>
    </row>
    <row r="246" customFormat="false" ht="13.5" hidden="false" customHeight="false" outlineLevel="0" collapsed="false">
      <c r="A246" s="287" t="s">
        <v>766</v>
      </c>
      <c r="C246" s="285"/>
      <c r="D246" s="286"/>
    </row>
    <row r="247" customFormat="false" ht="13.5" hidden="false" customHeight="false" outlineLevel="0" collapsed="false">
      <c r="A247" s="287" t="s">
        <v>767</v>
      </c>
      <c r="C247" s="285"/>
      <c r="D247" s="286"/>
    </row>
    <row r="248" customFormat="false" ht="13.5" hidden="false" customHeight="false" outlineLevel="0" collapsed="false">
      <c r="A248" s="287" t="s">
        <v>768</v>
      </c>
      <c r="C248" s="285"/>
      <c r="D248" s="286"/>
    </row>
    <row r="249" customFormat="false" ht="13.5" hidden="false" customHeight="false" outlineLevel="0" collapsed="false">
      <c r="A249" s="287" t="s">
        <v>769</v>
      </c>
      <c r="C249" s="285"/>
      <c r="D249" s="286"/>
    </row>
    <row r="250" customFormat="false" ht="13.5" hidden="false" customHeight="false" outlineLevel="0" collapsed="false">
      <c r="A250" s="287" t="s">
        <v>770</v>
      </c>
      <c r="C250" s="285"/>
      <c r="D250" s="286"/>
    </row>
    <row r="251" customFormat="false" ht="13.5" hidden="false" customHeight="false" outlineLevel="0" collapsed="false">
      <c r="A251" s="287" t="s">
        <v>771</v>
      </c>
      <c r="C251" s="285"/>
      <c r="D251" s="286"/>
    </row>
    <row r="252" customFormat="false" ht="13.5" hidden="false" customHeight="false" outlineLevel="0" collapsed="false">
      <c r="A252" s="287" t="s">
        <v>772</v>
      </c>
      <c r="C252" s="285"/>
      <c r="D252" s="286"/>
    </row>
    <row r="253" customFormat="false" ht="13.5" hidden="false" customHeight="false" outlineLevel="0" collapsed="false">
      <c r="A253" s="287" t="s">
        <v>773</v>
      </c>
      <c r="C253" s="285"/>
      <c r="D253" s="286"/>
    </row>
    <row r="254" customFormat="false" ht="13.5" hidden="false" customHeight="false" outlineLevel="0" collapsed="false">
      <c r="A254" s="287" t="s">
        <v>774</v>
      </c>
      <c r="C254" s="285"/>
      <c r="D254" s="286"/>
    </row>
    <row r="255" customFormat="false" ht="13.5" hidden="false" customHeight="false" outlineLevel="0" collapsed="false">
      <c r="A255" s="287" t="s">
        <v>775</v>
      </c>
      <c r="C255" s="285"/>
      <c r="D255" s="286"/>
    </row>
    <row r="256" customFormat="false" ht="13.5" hidden="false" customHeight="false" outlineLevel="0" collapsed="false">
      <c r="A256" s="287" t="s">
        <v>776</v>
      </c>
      <c r="C256" s="285"/>
      <c r="D256" s="286"/>
    </row>
    <row r="257" customFormat="false" ht="13.5" hidden="false" customHeight="false" outlineLevel="0" collapsed="false">
      <c r="A257" s="287" t="s">
        <v>777</v>
      </c>
      <c r="C257" s="285"/>
      <c r="D257" s="286"/>
    </row>
    <row r="258" customFormat="false" ht="13.5" hidden="false" customHeight="false" outlineLevel="0" collapsed="false">
      <c r="A258" s="287" t="s">
        <v>778</v>
      </c>
      <c r="C258" s="285"/>
      <c r="D258" s="286"/>
    </row>
    <row r="259" customFormat="false" ht="13.5" hidden="false" customHeight="false" outlineLevel="0" collapsed="false">
      <c r="A259" s="287" t="s">
        <v>779</v>
      </c>
      <c r="C259" s="285"/>
      <c r="D259" s="286"/>
    </row>
    <row r="260" customFormat="false" ht="13.5" hidden="false" customHeight="false" outlineLevel="0" collapsed="false">
      <c r="A260" s="287" t="s">
        <v>780</v>
      </c>
      <c r="C260" s="285"/>
      <c r="D260" s="286"/>
    </row>
    <row r="261" customFormat="false" ht="13.5" hidden="false" customHeight="false" outlineLevel="0" collapsed="false">
      <c r="A261" s="287" t="s">
        <v>781</v>
      </c>
      <c r="C261" s="285"/>
      <c r="D261" s="286"/>
    </row>
    <row r="262" customFormat="false" ht="13.5" hidden="false" customHeight="false" outlineLevel="0" collapsed="false">
      <c r="A262" s="287" t="s">
        <v>782</v>
      </c>
      <c r="C262" s="285"/>
      <c r="D262" s="286"/>
    </row>
    <row r="263" customFormat="false" ht="13.5" hidden="false" customHeight="false" outlineLevel="0" collapsed="false">
      <c r="A263" s="287" t="s">
        <v>783</v>
      </c>
      <c r="C263" s="285"/>
      <c r="D263" s="286"/>
    </row>
    <row r="264" customFormat="false" ht="13.5" hidden="false" customHeight="false" outlineLevel="0" collapsed="false">
      <c r="A264" s="287" t="s">
        <v>784</v>
      </c>
      <c r="C264" s="285"/>
      <c r="D264" s="286"/>
    </row>
    <row r="265" customFormat="false" ht="13.5" hidden="false" customHeight="false" outlineLevel="0" collapsed="false">
      <c r="A265" s="287" t="s">
        <v>785</v>
      </c>
      <c r="C265" s="285"/>
      <c r="D265" s="286"/>
    </row>
    <row r="266" customFormat="false" ht="13.5" hidden="false" customHeight="false" outlineLevel="0" collapsed="false">
      <c r="A266" s="287" t="s">
        <v>786</v>
      </c>
      <c r="C266" s="285"/>
      <c r="D266" s="286"/>
    </row>
    <row r="267" customFormat="false" ht="13.5" hidden="false" customHeight="false" outlineLevel="0" collapsed="false">
      <c r="A267" s="287" t="s">
        <v>787</v>
      </c>
      <c r="C267" s="285"/>
      <c r="D267" s="286"/>
    </row>
    <row r="268" customFormat="false" ht="13.5" hidden="false" customHeight="false" outlineLevel="0" collapsed="false">
      <c r="A268" s="287" t="s">
        <v>788</v>
      </c>
      <c r="C268" s="285"/>
      <c r="D268" s="286"/>
    </row>
    <row r="269" customFormat="false" ht="13.5" hidden="false" customHeight="false" outlineLevel="0" collapsed="false">
      <c r="A269" s="287" t="s">
        <v>789</v>
      </c>
      <c r="C269" s="285"/>
      <c r="D269" s="286"/>
    </row>
    <row r="270" customFormat="false" ht="13.5" hidden="false" customHeight="false" outlineLevel="0" collapsed="false">
      <c r="A270" s="287" t="s">
        <v>790</v>
      </c>
      <c r="C270" s="285"/>
      <c r="D270" s="286"/>
    </row>
    <row r="271" customFormat="false" ht="13.5" hidden="false" customHeight="false" outlineLevel="0" collapsed="false">
      <c r="A271" s="287" t="s">
        <v>791</v>
      </c>
      <c r="C271" s="285"/>
      <c r="D271" s="286"/>
    </row>
    <row r="272" customFormat="false" ht="13.5" hidden="false" customHeight="false" outlineLevel="0" collapsed="false">
      <c r="A272" s="287" t="s">
        <v>792</v>
      </c>
      <c r="C272" s="285"/>
      <c r="D272" s="286"/>
    </row>
    <row r="273" customFormat="false" ht="13.5" hidden="false" customHeight="false" outlineLevel="0" collapsed="false">
      <c r="A273" s="287" t="s">
        <v>793</v>
      </c>
      <c r="C273" s="285"/>
      <c r="D273" s="286"/>
    </row>
    <row r="274" customFormat="false" ht="13.5" hidden="false" customHeight="false" outlineLevel="0" collapsed="false">
      <c r="A274" s="287" t="s">
        <v>794</v>
      </c>
      <c r="C274" s="285"/>
      <c r="D274" s="286"/>
    </row>
    <row r="275" customFormat="false" ht="13.5" hidden="false" customHeight="false" outlineLevel="0" collapsed="false">
      <c r="A275" s="287" t="s">
        <v>795</v>
      </c>
      <c r="C275" s="285"/>
      <c r="D275" s="286"/>
    </row>
    <row r="276" customFormat="false" ht="13.5" hidden="false" customHeight="false" outlineLevel="0" collapsed="false">
      <c r="A276" s="287" t="s">
        <v>796</v>
      </c>
      <c r="C276" s="285"/>
      <c r="D276" s="286"/>
    </row>
    <row r="277" customFormat="false" ht="13.5" hidden="false" customHeight="false" outlineLevel="0" collapsed="false">
      <c r="A277" s="287" t="s">
        <v>797</v>
      </c>
      <c r="C277" s="285"/>
      <c r="D277" s="286"/>
    </row>
    <row r="278" customFormat="false" ht="13.5" hidden="false" customHeight="false" outlineLevel="0" collapsed="false">
      <c r="A278" s="287" t="s">
        <v>798</v>
      </c>
      <c r="C278" s="285"/>
      <c r="D278" s="286"/>
    </row>
    <row r="279" customFormat="false" ht="13.5" hidden="false" customHeight="false" outlineLevel="0" collapsed="false">
      <c r="A279" s="287" t="s">
        <v>799</v>
      </c>
      <c r="C279" s="285"/>
      <c r="D279" s="286"/>
    </row>
    <row r="280" customFormat="false" ht="13.5" hidden="false" customHeight="false" outlineLevel="0" collapsed="false">
      <c r="A280" s="287" t="s">
        <v>800</v>
      </c>
      <c r="C280" s="285"/>
      <c r="D280" s="286"/>
    </row>
    <row r="281" customFormat="false" ht="13.5" hidden="false" customHeight="false" outlineLevel="0" collapsed="false">
      <c r="A281" s="287" t="s">
        <v>801</v>
      </c>
      <c r="C281" s="285"/>
      <c r="D281" s="286"/>
    </row>
    <row r="282" customFormat="false" ht="13.5" hidden="false" customHeight="false" outlineLevel="0" collapsed="false">
      <c r="A282" s="287" t="s">
        <v>802</v>
      </c>
      <c r="C282" s="285"/>
      <c r="D282" s="286"/>
    </row>
    <row r="283" customFormat="false" ht="13.5" hidden="false" customHeight="false" outlineLevel="0" collapsed="false">
      <c r="C283" s="285"/>
      <c r="D283" s="286"/>
    </row>
    <row r="284" customFormat="false" ht="13.5" hidden="false" customHeight="false" outlineLevel="0" collapsed="false">
      <c r="A284" s="287" t="s">
        <v>803</v>
      </c>
      <c r="C284" s="285"/>
      <c r="D284" s="286"/>
    </row>
    <row r="285" customFormat="false" ht="13.5" hidden="false" customHeight="false" outlineLevel="0" collapsed="false">
      <c r="A285" s="287" t="s">
        <v>804</v>
      </c>
      <c r="C285" s="285"/>
      <c r="D285" s="286"/>
    </row>
    <row r="286" customFormat="false" ht="13.5" hidden="false" customHeight="false" outlineLevel="0" collapsed="false">
      <c r="A286" s="287" t="s">
        <v>805</v>
      </c>
      <c r="C286" s="285"/>
      <c r="D286" s="286"/>
    </row>
    <row r="287" customFormat="false" ht="13.5" hidden="false" customHeight="false" outlineLevel="0" collapsed="false">
      <c r="A287" s="287" t="s">
        <v>806</v>
      </c>
      <c r="C287" s="285"/>
      <c r="D287" s="286"/>
    </row>
    <row r="288" customFormat="false" ht="13.5" hidden="false" customHeight="false" outlineLevel="0" collapsed="false">
      <c r="A288" s="287" t="s">
        <v>807</v>
      </c>
      <c r="C288" s="285"/>
      <c r="D288" s="286"/>
    </row>
    <row r="289" customFormat="false" ht="13.5" hidden="false" customHeight="false" outlineLevel="0" collapsed="false">
      <c r="A289" s="287" t="s">
        <v>808</v>
      </c>
      <c r="C289" s="285"/>
      <c r="D289" s="286"/>
    </row>
    <row r="290" customFormat="false" ht="13.5" hidden="false" customHeight="false" outlineLevel="0" collapsed="false">
      <c r="A290" s="287" t="s">
        <v>809</v>
      </c>
      <c r="C290" s="285"/>
      <c r="D290" s="286"/>
    </row>
    <row r="291" customFormat="false" ht="13.5" hidden="false" customHeight="false" outlineLevel="0" collapsed="false">
      <c r="A291" s="287" t="s">
        <v>810</v>
      </c>
      <c r="C291" s="285"/>
      <c r="D291" s="286"/>
    </row>
    <row r="292" customFormat="false" ht="13.5" hidden="false" customHeight="false" outlineLevel="0" collapsed="false">
      <c r="A292" s="287" t="s">
        <v>811</v>
      </c>
      <c r="C292" s="285"/>
      <c r="D292" s="286"/>
    </row>
    <row r="293" customFormat="false" ht="13.5" hidden="false" customHeight="false" outlineLevel="0" collapsed="false">
      <c r="A293" s="287" t="s">
        <v>812</v>
      </c>
      <c r="C293" s="285"/>
      <c r="D293" s="286"/>
    </row>
    <row r="294" customFormat="false" ht="13.5" hidden="false" customHeight="false" outlineLevel="0" collapsed="false">
      <c r="A294" s="287" t="s">
        <v>813</v>
      </c>
      <c r="C294" s="285"/>
      <c r="D294" s="286"/>
    </row>
    <row r="295" customFormat="false" ht="13.5" hidden="false" customHeight="false" outlineLevel="0" collapsed="false">
      <c r="A295" s="287" t="s">
        <v>814</v>
      </c>
      <c r="C295" s="285"/>
      <c r="D295" s="286"/>
    </row>
    <row r="296" customFormat="false" ht="13.5" hidden="false" customHeight="false" outlineLevel="0" collapsed="false">
      <c r="A296" s="287" t="s">
        <v>815</v>
      </c>
      <c r="C296" s="285"/>
      <c r="D296" s="286"/>
    </row>
    <row r="297" customFormat="false" ht="13.5" hidden="false" customHeight="false" outlineLevel="0" collapsed="false">
      <c r="A297" s="287" t="s">
        <v>816</v>
      </c>
      <c r="C297" s="285"/>
      <c r="D297" s="286"/>
    </row>
    <row r="298" customFormat="false" ht="13.5" hidden="false" customHeight="false" outlineLevel="0" collapsed="false">
      <c r="A298" s="287" t="s">
        <v>817</v>
      </c>
      <c r="C298" s="285"/>
      <c r="D298" s="286"/>
    </row>
    <row r="299" customFormat="false" ht="13.5" hidden="false" customHeight="false" outlineLevel="0" collapsed="false">
      <c r="A299" s="287" t="s">
        <v>818</v>
      </c>
      <c r="C299" s="285"/>
      <c r="D299" s="286"/>
    </row>
    <row r="300" customFormat="false" ht="13.5" hidden="false" customHeight="false" outlineLevel="0" collapsed="false">
      <c r="A300" s="287" t="s">
        <v>819</v>
      </c>
      <c r="C300" s="285"/>
      <c r="D300" s="286"/>
    </row>
    <row r="301" customFormat="false" ht="13.5" hidden="false" customHeight="false" outlineLevel="0" collapsed="false">
      <c r="A301" s="287" t="s">
        <v>820</v>
      </c>
      <c r="C301" s="285"/>
      <c r="D301" s="286"/>
    </row>
    <row r="302" customFormat="false" ht="13.5" hidden="false" customHeight="false" outlineLevel="0" collapsed="false">
      <c r="A302" s="287" t="s">
        <v>821</v>
      </c>
      <c r="C302" s="285"/>
      <c r="D302" s="286"/>
    </row>
    <row r="303" customFormat="false" ht="13.5" hidden="false" customHeight="false" outlineLevel="0" collapsed="false">
      <c r="A303" s="287" t="s">
        <v>822</v>
      </c>
      <c r="C303" s="285"/>
      <c r="D303" s="286"/>
    </row>
    <row r="304" customFormat="false" ht="13.5" hidden="false" customHeight="false" outlineLevel="0" collapsed="false">
      <c r="A304" s="287" t="s">
        <v>823</v>
      </c>
      <c r="C304" s="285"/>
      <c r="D304" s="286"/>
    </row>
    <row r="305" customFormat="false" ht="13.5" hidden="false" customHeight="false" outlineLevel="0" collapsed="false">
      <c r="A305" s="287" t="s">
        <v>824</v>
      </c>
      <c r="C305" s="285"/>
      <c r="D305" s="286"/>
    </row>
    <row r="306" customFormat="false" ht="13.5" hidden="false" customHeight="false" outlineLevel="0" collapsed="false">
      <c r="A306" s="287" t="s">
        <v>825</v>
      </c>
      <c r="C306" s="285"/>
      <c r="D306" s="286"/>
    </row>
    <row r="307" customFormat="false" ht="13.5" hidden="false" customHeight="false" outlineLevel="0" collapsed="false">
      <c r="A307" s="287" t="s">
        <v>826</v>
      </c>
      <c r="C307" s="285"/>
      <c r="D307" s="286"/>
    </row>
    <row r="308" customFormat="false" ht="13.5" hidden="false" customHeight="false" outlineLevel="0" collapsed="false">
      <c r="A308" s="287" t="s">
        <v>827</v>
      </c>
      <c r="C308" s="285"/>
      <c r="D308" s="286"/>
    </row>
    <row r="309" customFormat="false" ht="13.5" hidden="false" customHeight="false" outlineLevel="0" collapsed="false">
      <c r="A309" s="287" t="s">
        <v>828</v>
      </c>
      <c r="C309" s="285"/>
      <c r="D309" s="286"/>
    </row>
    <row r="310" customFormat="false" ht="13.5" hidden="false" customHeight="false" outlineLevel="0" collapsed="false">
      <c r="A310" s="287" t="s">
        <v>829</v>
      </c>
      <c r="C310" s="285"/>
      <c r="D310" s="286"/>
    </row>
    <row r="311" customFormat="false" ht="13.5" hidden="false" customHeight="false" outlineLevel="0" collapsed="false">
      <c r="A311" s="287" t="s">
        <v>830</v>
      </c>
      <c r="C311" s="285"/>
      <c r="D311" s="286"/>
    </row>
    <row r="312" customFormat="false" ht="13.5" hidden="false" customHeight="false" outlineLevel="0" collapsed="false">
      <c r="A312" s="287" t="s">
        <v>831</v>
      </c>
      <c r="C312" s="285"/>
      <c r="D312" s="286"/>
    </row>
    <row r="313" customFormat="false" ht="13.5" hidden="false" customHeight="false" outlineLevel="0" collapsed="false">
      <c r="A313" s="287" t="s">
        <v>832</v>
      </c>
      <c r="C313" s="285"/>
      <c r="D313" s="286"/>
    </row>
    <row r="314" customFormat="false" ht="13.5" hidden="false" customHeight="false" outlineLevel="0" collapsed="false">
      <c r="A314" s="287" t="s">
        <v>833</v>
      </c>
      <c r="C314" s="285"/>
      <c r="D314" s="286"/>
    </row>
    <row r="315" customFormat="false" ht="13.5" hidden="false" customHeight="false" outlineLevel="0" collapsed="false">
      <c r="A315" s="287" t="s">
        <v>834</v>
      </c>
      <c r="C315" s="285"/>
      <c r="D315" s="286"/>
    </row>
    <row r="316" customFormat="false" ht="13.5" hidden="false" customHeight="false" outlineLevel="0" collapsed="false">
      <c r="A316" s="287" t="s">
        <v>835</v>
      </c>
      <c r="C316" s="285"/>
      <c r="D316" s="286"/>
    </row>
    <row r="317" customFormat="false" ht="13.5" hidden="false" customHeight="false" outlineLevel="0" collapsed="false">
      <c r="B317" s="286" t="s">
        <v>836</v>
      </c>
      <c r="C317" s="285"/>
    </row>
    <row r="318" customFormat="false" ht="13.5" hidden="false" customHeight="false" outlineLevel="0" collapsed="false">
      <c r="A318" s="287" t="s">
        <v>837</v>
      </c>
      <c r="B318" s="286" t="s">
        <v>836</v>
      </c>
      <c r="C318" s="285"/>
    </row>
    <row r="319" customFormat="false" ht="13.5" hidden="false" customHeight="false" outlineLevel="0" collapsed="false">
      <c r="A319" s="287" t="s">
        <v>838</v>
      </c>
      <c r="B319" s="291"/>
      <c r="C319" s="285"/>
      <c r="D319" s="286"/>
    </row>
    <row r="321" customFormat="false" ht="13.5" hidden="false" customHeight="false" outlineLevel="0" collapsed="false">
      <c r="A321" s="287" t="s">
        <v>531</v>
      </c>
    </row>
    <row r="322" customFormat="false" ht="13.5" hidden="false" customHeight="false" outlineLevel="0" collapsed="false">
      <c r="A322" s="287" t="s">
        <v>839</v>
      </c>
    </row>
    <row r="323" customFormat="false" ht="13.5" hidden="false" customHeight="false" outlineLevel="0" collapsed="false">
      <c r="A323" s="287" t="s">
        <v>531</v>
      </c>
    </row>
    <row r="324" customFormat="false" ht="13.5" hidden="false" customHeight="false" outlineLevel="0" collapsed="false">
      <c r="A324" s="287" t="s">
        <v>840</v>
      </c>
      <c r="B324" s="292" t="str">
        <f aca="false">'Register Configuration'!C17</f>
        <v>LPDDR2</v>
      </c>
    </row>
    <row r="325" customFormat="false" ht="13.5" hidden="false" customHeight="false" outlineLevel="0" collapsed="false">
      <c r="A325" s="287" t="s">
        <v>841</v>
      </c>
      <c r="B325" s="292" t="str">
        <f aca="false">'Register Configuration'!C18</f>
        <v>Micron</v>
      </c>
    </row>
    <row r="326" customFormat="false" ht="13.5" hidden="false" customHeight="false" outlineLevel="0" collapsed="false">
      <c r="A326" s="287" t="s">
        <v>842</v>
      </c>
      <c r="B326" s="292" t="str">
        <f aca="false">'Register Configuration'!C19</f>
        <v>Micron LPDDR2</v>
      </c>
    </row>
    <row r="327" customFormat="false" ht="13.5" hidden="false" customHeight="false" outlineLevel="0" collapsed="false">
      <c r="A327" s="287" t="s">
        <v>843</v>
      </c>
      <c r="B327" s="292" t="str">
        <f aca="false">'Register Configuration'!C30&amp;"MHz"</f>
        <v>533MHz</v>
      </c>
    </row>
    <row r="328" customFormat="false" ht="13.5" hidden="false" customHeight="false" outlineLevel="0" collapsed="false">
      <c r="A328" s="287" t="s">
        <v>844</v>
      </c>
      <c r="B328" s="289" t="n">
        <f aca="false">'Register Configuration'!C22</f>
        <v>2</v>
      </c>
    </row>
    <row r="329" customFormat="false" ht="13.5" hidden="false" customHeight="false" outlineLevel="0" collapsed="false">
      <c r="A329" s="287" t="s">
        <v>845</v>
      </c>
      <c r="B329" s="289" t="n">
        <f aca="false">'Register Configuration'!C23</f>
        <v>1</v>
      </c>
    </row>
    <row r="330" customFormat="false" ht="13.5" hidden="false" customHeight="false" outlineLevel="0" collapsed="false">
      <c r="A330" s="287" t="s">
        <v>846</v>
      </c>
      <c r="B330" s="289" t="n">
        <f aca="false">'Register Configuration'!C28</f>
        <v>8</v>
      </c>
    </row>
    <row r="331" customFormat="false" ht="13.5" hidden="false" customHeight="false" outlineLevel="0" collapsed="false">
      <c r="A331" s="287" t="s">
        <v>847</v>
      </c>
      <c r="B331" s="289" t="n">
        <f aca="false">'Register Configuration'!C25</f>
        <v>14</v>
      </c>
    </row>
    <row r="332" customFormat="false" ht="13.5" hidden="false" customHeight="false" outlineLevel="0" collapsed="false">
      <c r="A332" s="287" t="s">
        <v>848</v>
      </c>
      <c r="B332" s="289" t="n">
        <f aca="false">'Register Configuration'!C26</f>
        <v>10</v>
      </c>
    </row>
    <row r="333" customFormat="false" ht="13.5" hidden="false" customHeight="false" outlineLevel="0" collapsed="false">
      <c r="A333" s="287" t="s">
        <v>849</v>
      </c>
      <c r="B333" s="289" t="n">
        <f aca="false">'Register Configuration'!C29</f>
        <v>16</v>
      </c>
    </row>
    <row r="334" customFormat="false" ht="13.5" hidden="false" customHeight="false" outlineLevel="0" collapsed="false">
      <c r="A334" s="287" t="s">
        <v>850</v>
      </c>
      <c r="B334" s="289" t="str">
        <f aca="false">'Register Configuration'!F28</f>
        <v>ENABLED</v>
      </c>
    </row>
    <row r="335" customFormat="false" ht="13.5" hidden="false" customHeight="false" outlineLevel="0" collapsed="false">
      <c r="A335" s="287" t="s">
        <v>531</v>
      </c>
    </row>
    <row r="336" customFormat="false" ht="13.5" hidden="false" customHeight="false" outlineLevel="0" collapsed="false">
      <c r="C336" s="291"/>
    </row>
    <row r="337" customFormat="false" ht="13.5" hidden="false" customHeight="false" outlineLevel="0" collapsed="false">
      <c r="A337" s="287" t="s">
        <v>851</v>
      </c>
      <c r="B337" s="287" t="s">
        <v>852</v>
      </c>
    </row>
    <row r="338" customFormat="false" ht="13.5" hidden="false" customHeight="false" outlineLevel="0" collapsed="false">
      <c r="A338" s="292" t="str">
        <f aca="false">"memory set "&amp;'Register Configuration'!H40&amp;" 32 " &amp; 'Register Configuration'!I40</f>
        <v>memory set 0x307A0000 32 0x01021004</v>
      </c>
      <c r="B338" s="287" t="s">
        <v>853</v>
      </c>
    </row>
    <row r="339" customFormat="false" ht="13.5" hidden="false" customHeight="false" outlineLevel="0" collapsed="false">
      <c r="A339" s="292" t="str">
        <f aca="false">"memory set " &amp; 'Register Configuration'!H79 &amp; " 32 " &amp; 'Register Configuration'!I79</f>
        <v>memory set 0x307A0064 32 0x00200023</v>
      </c>
      <c r="B339" s="287" t="s">
        <v>854</v>
      </c>
    </row>
    <row r="340" customFormat="false" ht="13.5" hidden="false" customHeight="false" outlineLevel="0" collapsed="false">
      <c r="A340" s="287" t="s">
        <v>855</v>
      </c>
      <c r="B340" s="287" t="s">
        <v>856</v>
      </c>
    </row>
    <row r="341" customFormat="false" ht="13.5" hidden="false" customHeight="false" outlineLevel="0" collapsed="false">
      <c r="A341" s="292" t="str">
        <f aca="false">IF('Register Configuration'!C17="DDR3", "memory set ", "#memory set " ) &amp; 'Register Configuration'!H87 &amp; " 32 " &amp; 'Register Configuration'!I87</f>
        <v>#memory set 0x307A00D4 32 0x00010000</v>
      </c>
      <c r="B341" s="287" t="s">
        <v>857</v>
      </c>
      <c r="C341" s="285"/>
    </row>
    <row r="342" customFormat="false" ht="13.5" hidden="false" customHeight="false" outlineLevel="0" collapsed="false">
      <c r="A342" s="292" t="str">
        <f aca="false">"memory set " &amp; 'Register Configuration'!H91 &amp; " 32 " &amp; 'Register Configuration'!I91</f>
        <v>memory set 0x307A00D0 32 0x00350001</v>
      </c>
      <c r="B342" s="287" t="s">
        <v>858</v>
      </c>
      <c r="C342" s="285"/>
    </row>
    <row r="343" customFormat="false" ht="13.5" hidden="false" customHeight="false" outlineLevel="0" collapsed="false">
      <c r="A343" s="292" t="str">
        <f aca="false">IF('Register Configuration'!C17="LPDDR2","memory set ","#memory set ")&amp;'Register Configuration'!H83&amp;" 32 "&amp;'Register Configuration'!I83</f>
        <v>memory set 0x307A00D8 32 0x00001105</v>
      </c>
      <c r="B343" s="287" t="s">
        <v>859</v>
      </c>
      <c r="C343" s="285"/>
    </row>
    <row r="344" customFormat="false" ht="13.5" hidden="false" customHeight="false" outlineLevel="0" collapsed="false">
      <c r="A344" s="292" t="str">
        <f aca="false">"memory set " &amp; 'Register Configuration'!H185 &amp; " 32 " &amp; 'Register Configuration'!I185</f>
        <v>memory set 0x307A00DC 32 0x00C20006</v>
      </c>
      <c r="B344" s="287" t="s">
        <v>860</v>
      </c>
      <c r="C344" s="285"/>
    </row>
    <row r="345" customFormat="false" ht="13.5" hidden="false" customHeight="false" outlineLevel="0" collapsed="false">
      <c r="A345" s="292" t="str">
        <f aca="false">"memory set " &amp; 'Register Configuration'!H175 &amp; " 32 " &amp; 'Register Configuration'!I175</f>
        <v>memory set 0x307A00E0 32 0x00020000</v>
      </c>
      <c r="B345" s="287" t="s">
        <v>861</v>
      </c>
      <c r="C345" s="285"/>
    </row>
    <row r="346" customFormat="false" ht="13.5" hidden="false" customHeight="false" outlineLevel="0" collapsed="false">
      <c r="A346" s="292" t="str">
        <f aca="false">"memory set " &amp; 'Register Configuration'!H95 &amp; " 32 " &amp; 'Register Configuration'!I95</f>
        <v>memory set 0x307A00E4 32 0x00110006</v>
      </c>
      <c r="B346" s="287" t="s">
        <v>862</v>
      </c>
      <c r="C346" s="285"/>
    </row>
    <row r="347" customFormat="false" ht="13.5" hidden="false" customHeight="false" outlineLevel="0" collapsed="false">
      <c r="A347" s="292" t="str">
        <f aca="false">"memory set " &amp; 'Register Configuration'!H99 &amp; " 32 " &amp; 'Register Configuration'!I99</f>
        <v>memory set 0x307A00F4 32 0x0000033F</v>
      </c>
      <c r="B347" s="287" t="s">
        <v>863</v>
      </c>
      <c r="C347" s="285"/>
    </row>
    <row r="348" customFormat="false" ht="13.5" hidden="false" customHeight="false" outlineLevel="0" collapsed="false">
      <c r="A348" s="292" t="str">
        <f aca="false">"memory set " &amp; 'Register Configuration'!H103 &amp; " 32 " &amp; 'Register Configuration'!I103</f>
        <v>memory set 0x307A0100 32 0x080E110B</v>
      </c>
      <c r="B348" s="287" t="s">
        <v>864</v>
      </c>
      <c r="C348" s="285"/>
    </row>
    <row r="349" customFormat="false" ht="13.5" hidden="false" customHeight="false" outlineLevel="0" collapsed="false">
      <c r="A349" s="292" t="str">
        <f aca="false">"memory set " &amp; 'Register Configuration'!H108 &amp; " 32 " &amp; 'Register Configuration'!I108</f>
        <v>memory set 0x307A0104 32 0x00020211</v>
      </c>
      <c r="B349" s="287" t="s">
        <v>865</v>
      </c>
      <c r="C349" s="285"/>
    </row>
    <row r="350" customFormat="false" ht="13.5" hidden="false" customHeight="false" outlineLevel="0" collapsed="false">
      <c r="A350" s="292" t="str">
        <f aca="false">"memory set " &amp; 'Register Configuration'!H114 &amp; " 32 " &amp; 'Register Configuration'!I114</f>
        <v>memory set 0x307A0108 32 0x02040706</v>
      </c>
      <c r="B350" s="287" t="s">
        <v>866</v>
      </c>
      <c r="C350" s="285"/>
    </row>
    <row r="351" customFormat="false" ht="13.5" hidden="false" customHeight="false" outlineLevel="0" collapsed="false">
      <c r="A351" s="292" t="str">
        <f aca="false">"memory set " &amp; 'Register Configuration'!H119 &amp; " 32 " &amp; 'Register Configuration'!I119</f>
        <v>memory set 0x307A010C 32 0x00504000</v>
      </c>
      <c r="B351" s="287" t="s">
        <v>867</v>
      </c>
      <c r="C351" s="285"/>
    </row>
    <row r="352" customFormat="false" ht="13.5" hidden="false" customHeight="false" outlineLevel="0" collapsed="false">
      <c r="A352" s="292" t="str">
        <f aca="false">"memory set " &amp; 'Register Configuration'!H123 &amp; " 32 " &amp; 'Register Configuration'!I123</f>
        <v>memory set 0x307A0110 32 0x05010307</v>
      </c>
      <c r="B352" s="287" t="s">
        <v>868</v>
      </c>
      <c r="C352" s="285"/>
    </row>
    <row r="353" customFormat="false" ht="13.5" hidden="false" customHeight="false" outlineLevel="0" collapsed="false">
      <c r="A353" s="292" t="str">
        <f aca="false">"memory set " &amp; 'Register Configuration'!H128 &amp; " 32 " &amp; 'Register Configuration'!I128</f>
        <v>memory set 0x307A0114 32 0x02020404</v>
      </c>
      <c r="B353" s="287" t="s">
        <v>869</v>
      </c>
      <c r="C353" s="285"/>
    </row>
    <row r="354" customFormat="false" ht="13.5" hidden="false" customHeight="false" outlineLevel="0" collapsed="false">
      <c r="A354" s="292" t="str">
        <f aca="false">IF('Register Configuration'!C17="DDR3", "#memory set ", "memory set " ) &amp; 'Register Configuration'!H136 &amp; " 32 " &amp; 'Register Configuration'!I136</f>
        <v>memory set 0x307A0118 32 0x02020003</v>
      </c>
      <c r="B354" s="287" t="s">
        <v>870</v>
      </c>
      <c r="C354" s="285"/>
    </row>
    <row r="355" customFormat="false" ht="13.5" hidden="false" customHeight="false" outlineLevel="0" collapsed="false">
      <c r="A355" s="292" t="str">
        <f aca="false">IF('Register Configuration'!C17="DDR3", "#memory set ", "memory set " ) &amp; 'Register Configuration'!H141 &amp; " 32 " &amp; 'Register Configuration'!I141</f>
        <v>memory set 0x307A011C 32 0x00000202</v>
      </c>
      <c r="B355" s="287" t="s">
        <v>871</v>
      </c>
      <c r="C355" s="285"/>
    </row>
    <row r="356" customFormat="false" ht="13.5" hidden="false" customHeight="false" outlineLevel="0" collapsed="false">
      <c r="A356" s="292" t="str">
        <f aca="false">"memory set " &amp; 'Register Configuration'!H144 &amp; " 32 " &amp; 'Register Configuration'!I144</f>
        <v>memory set 0x307A0120 32 0x00000202</v>
      </c>
      <c r="B356" s="287" t="s">
        <v>872</v>
      </c>
      <c r="C356" s="285"/>
    </row>
    <row r="357" customFormat="false" ht="13.5" hidden="false" customHeight="false" outlineLevel="0" collapsed="false">
      <c r="A357" s="292" t="str">
        <f aca="false">"memory set " &amp; 'Register Configuration'!H148 &amp; " 32 " &amp; 'Register Configuration'!I148</f>
        <v>memory set 0x307A0180 32 0x20600018</v>
      </c>
      <c r="B357" s="287" t="s">
        <v>873</v>
      </c>
      <c r="C357" s="285"/>
    </row>
    <row r="358" customFormat="false" ht="13.5" hidden="false" customHeight="false" outlineLevel="0" collapsed="false">
      <c r="A358" s="292" t="str">
        <f aca="false">IF('Register Configuration'!C17="DDR3", "#memory set ", "memory set " ) &amp; 'Register Configuration'!H155 &amp; " 32 " &amp; 'Register Configuration'!I155</f>
        <v>memory set 0x307A0184 32 0x00E00100</v>
      </c>
      <c r="B358" s="287" t="s">
        <v>874</v>
      </c>
      <c r="C358" s="285"/>
    </row>
    <row r="359" customFormat="false" ht="13.5" hidden="false" customHeight="false" outlineLevel="0" collapsed="false">
      <c r="A359" s="292" t="str">
        <f aca="false">"memory set " &amp; 'Register Configuration'!H214 &amp; " 32 " &amp; 'Register Configuration'!I214</f>
        <v>memory set 0x307A0190 32 0x02098203</v>
      </c>
      <c r="B359" s="287" t="s">
        <v>875</v>
      </c>
      <c r="C359" s="285"/>
    </row>
    <row r="360" customFormat="false" ht="13.5" hidden="false" customHeight="false" outlineLevel="0" collapsed="false">
      <c r="A360" s="292" t="str">
        <f aca="false">"memory set " &amp; 'Register Configuration'!H221 &amp; " 32 " &amp; 'Register Configuration'!I221</f>
        <v>memory set 0x307A0194 32 0x00060303</v>
      </c>
      <c r="B360" s="287" t="s">
        <v>876</v>
      </c>
      <c r="C360" s="285"/>
    </row>
    <row r="361" customFormat="false" ht="13.5" hidden="false" customHeight="false" outlineLevel="0" collapsed="false">
      <c r="A361" s="292" t="str">
        <f aca="false">"memory set " &amp; 'Register Configuration'!H227 &amp; " 32 " &amp; 'Register Configuration'!I227</f>
        <v>memory set 0x307A01A0 32 0x80400003</v>
      </c>
      <c r="B361" s="287" t="s">
        <v>877</v>
      </c>
      <c r="C361" s="285"/>
    </row>
    <row r="362" customFormat="false" ht="13.5" hidden="false" customHeight="false" outlineLevel="0" collapsed="false">
      <c r="A362" s="292" t="str">
        <f aca="false">"memory set " &amp; 'Register Configuration'!H232 &amp; " 32 " &amp; 'Register Configuration'!I232</f>
        <v>memory set 0x307A01A4 32 0x00100020</v>
      </c>
      <c r="B362" s="287" t="s">
        <v>878</v>
      </c>
      <c r="C362" s="285"/>
    </row>
    <row r="363" customFormat="false" ht="13.5" hidden="false" customHeight="false" outlineLevel="0" collapsed="false">
      <c r="A363" s="292" t="str">
        <f aca="false">"memory set " &amp; 'Register Configuration'!H235 &amp; " 32 " &amp; 'Register Configuration'!I235</f>
        <v>memory set 0x307A01A8 32 0x80100004</v>
      </c>
      <c r="B363" s="287" t="s">
        <v>879</v>
      </c>
      <c r="C363" s="285"/>
    </row>
    <row r="364" customFormat="false" ht="13.5" hidden="false" customHeight="false" outlineLevel="0" collapsed="false">
      <c r="A364" s="292" t="str">
        <f aca="false">"memory set " &amp; 'Register Configuration'!H51 &amp; " 32 " &amp; 'Register Configuration'!I51</f>
        <v>memory set 0x307A0200 32 0x0000001F</v>
      </c>
      <c r="B364" s="287" t="s">
        <v>880</v>
      </c>
      <c r="C364" s="285"/>
    </row>
    <row r="365" customFormat="false" ht="13.5" hidden="false" customHeight="false" outlineLevel="0" collapsed="false">
      <c r="A365" s="292" t="str">
        <f aca="false">"memory set " &amp; 'Register Configuration'!H54 &amp; " 32 " &amp; 'Register Configuration'!I54</f>
        <v>memory set 0x307A0204 32 0x00070707</v>
      </c>
      <c r="B365" s="287" t="s">
        <v>881</v>
      </c>
      <c r="C365" s="285"/>
    </row>
    <row r="366" customFormat="false" ht="13.5" hidden="false" customHeight="false" outlineLevel="0" collapsed="false">
      <c r="A366" s="292" t="str">
        <f aca="false">"memory set " &amp; 'Register Configuration'!H58 &amp; " 32 " &amp; 'Register Configuration'!I58</f>
        <v>memory set 0x307A020C 32 0x0F000000</v>
      </c>
      <c r="B366" s="287" t="s">
        <v>882</v>
      </c>
      <c r="C366" s="285"/>
    </row>
    <row r="367" customFormat="false" ht="13.5" hidden="false" customHeight="false" outlineLevel="0" collapsed="false">
      <c r="A367" s="292" t="str">
        <f aca="false">"memory set " &amp; 'Register Configuration'!H63 &amp; " 32 " &amp; 'Register Configuration'!I63</f>
        <v>memory set 0x307A0210 32 0x00000F0F</v>
      </c>
      <c r="B367" s="287" t="s">
        <v>883</v>
      </c>
      <c r="C367" s="285"/>
    </row>
    <row r="368" customFormat="false" ht="13.5" hidden="false" customHeight="false" outlineLevel="0" collapsed="false">
      <c r="A368" s="292" t="str">
        <f aca="false">"memory set " &amp; 'Register Configuration'!H66 &amp; " 32 " &amp; 'Register Configuration'!I66</f>
        <v>memory set 0x307A0214 32 0x06060606</v>
      </c>
      <c r="B368" s="287" t="s">
        <v>884</v>
      </c>
      <c r="C368" s="285"/>
    </row>
    <row r="369" customFormat="false" ht="13.5" hidden="false" customHeight="false" outlineLevel="0" collapsed="false">
      <c r="A369" s="292" t="str">
        <f aca="false">"memory set " &amp; 'Register Configuration'!H71 &amp; " 32 " &amp; 'Register Configuration'!I71</f>
        <v>memory set 0x307A0218 32 0x0F0F0606</v>
      </c>
      <c r="B369" s="287" t="s">
        <v>885</v>
      </c>
      <c r="C369" s="285"/>
    </row>
    <row r="370" customFormat="false" ht="13.5" hidden="false" customHeight="false" outlineLevel="0" collapsed="false">
      <c r="A370" s="292" t="str">
        <f aca="false">"memory set " &amp; 'Register Configuration'!H158 &amp; " 32 " &amp; 'Register Configuration'!I158</f>
        <v>memory set 0x307A0240 32 0x06000600</v>
      </c>
      <c r="B370" s="287" t="s">
        <v>886</v>
      </c>
      <c r="C370" s="285"/>
    </row>
    <row r="371" customFormat="false" ht="13.5" hidden="false" customHeight="false" outlineLevel="0" collapsed="false">
      <c r="A371" s="292" t="str">
        <f aca="false">"memory set " &amp; 'Register Configuration'!H164 &amp; " 32 " &amp; 'Register Configuration'!I164</f>
        <v>memory set 0x307A0244 32 0x00000000</v>
      </c>
      <c r="B371" s="287" t="s">
        <v>887</v>
      </c>
      <c r="C371" s="285"/>
    </row>
    <row r="373" customFormat="false" ht="13.5" hidden="false" customHeight="false" outlineLevel="0" collapsed="false">
      <c r="A373" s="287" t="s">
        <v>531</v>
      </c>
    </row>
    <row r="374" customFormat="false" ht="13.5" hidden="false" customHeight="false" outlineLevel="0" collapsed="false">
      <c r="A374" s="287" t="s">
        <v>888</v>
      </c>
    </row>
    <row r="375" customFormat="false" ht="13.5" hidden="false" customHeight="false" outlineLevel="0" collapsed="false">
      <c r="A375" s="287" t="s">
        <v>531</v>
      </c>
    </row>
    <row r="377" customFormat="false" ht="13.5" hidden="false" customHeight="false" outlineLevel="0" collapsed="false">
      <c r="A377" s="287" t="s">
        <v>889</v>
      </c>
      <c r="B377" s="287" t="s">
        <v>852</v>
      </c>
      <c r="C377" s="285"/>
    </row>
    <row r="378" customFormat="false" ht="13.5" hidden="false" customHeight="false" outlineLevel="0" collapsed="false">
      <c r="A378" s="292" t="str">
        <f aca="false">"memory set " &amp; 'Register Configuration'!H243 &amp; " 32 " &amp; 'Register Configuration'!I243</f>
        <v>memory set 0x30790000 32 0x17421640</v>
      </c>
      <c r="B378" s="287" t="s">
        <v>890</v>
      </c>
      <c r="C378" s="285"/>
    </row>
    <row r="379" customFormat="false" ht="13.5" hidden="false" customHeight="false" outlineLevel="0" collapsed="false">
      <c r="A379" s="292" t="str">
        <f aca="false">"memory set " &amp; 'Register Configuration'!H257 &amp; " 32 " &amp; 'Register Configuration'!I257</f>
        <v>memory set 0x30790004 32 0x10210100</v>
      </c>
      <c r="B379" s="287" t="s">
        <v>891</v>
      </c>
      <c r="C379" s="285"/>
    </row>
    <row r="380" customFormat="false" ht="13.5" hidden="false" customHeight="false" outlineLevel="0" collapsed="false">
      <c r="A380" s="292" t="str">
        <f aca="false">IF('Register Configuration'!C17="DDR3", "#memory set ", "memory set " ) &amp; 'Register Configuration'!H265 &amp; " 32 " &amp; 'Register Configuration'!I265</f>
        <v>memory set 0x30790008 32 0x00010000</v>
      </c>
      <c r="B380" s="287" t="s">
        <v>892</v>
      </c>
      <c r="C380" s="285"/>
    </row>
    <row r="381" customFormat="false" ht="13.5" hidden="false" customHeight="false" outlineLevel="0" collapsed="false">
      <c r="A381" s="292" t="str">
        <f aca="false">"memory set " &amp; 'Register Configuration'!H325 &amp; " 32 " &amp; 'Register Configuration'!I325</f>
        <v>memory set 0x30790010 32 0x00050408</v>
      </c>
      <c r="B381" s="287" t="s">
        <v>893</v>
      </c>
      <c r="C381" s="285"/>
    </row>
    <row r="382" customFormat="false" ht="13.5" hidden="false" customHeight="false" outlineLevel="0" collapsed="false">
      <c r="A382" s="287" t="s">
        <v>894</v>
      </c>
      <c r="B382" s="287" t="s">
        <v>895</v>
      </c>
      <c r="C382" s="285"/>
    </row>
    <row r="383" customFormat="false" ht="13.5" hidden="false" customHeight="false" outlineLevel="0" collapsed="false">
      <c r="A383" s="292" t="str">
        <f aca="false">IF('Register Configuration'!C17="DDR3", "#memory set ", "memory set " ) &amp; 'Register Configuration'!H286 &amp; " 32 " &amp; 'Register Configuration'!I286</f>
        <v>memory set 0x3079001C 32 0x01010000</v>
      </c>
      <c r="B383" s="287" t="s">
        <v>896</v>
      </c>
      <c r="C383" s="285"/>
    </row>
    <row r="384" customFormat="false" ht="13.5" hidden="false" customHeight="false" outlineLevel="0" collapsed="false">
      <c r="A384" s="292" t="str">
        <f aca="false">"memory set " &amp; 'Register Configuration'!H329 &amp; " 32 " &amp; 'Register Configuration'!I329</f>
        <v>memory set 0x3079009C 32 0x00000D6E</v>
      </c>
      <c r="B384" s="287" t="s">
        <v>897</v>
      </c>
      <c r="C384" s="285"/>
    </row>
    <row r="385" customFormat="false" ht="13.5" hidden="false" customHeight="false" outlineLevel="0" collapsed="false">
      <c r="A385" s="285" t="s">
        <v>458</v>
      </c>
      <c r="B385" s="291"/>
      <c r="C385" s="293"/>
    </row>
    <row r="386" customFormat="false" ht="13.5" hidden="false" customHeight="false" outlineLevel="0" collapsed="false">
      <c r="A386" s="294" t="str">
        <f aca="false">"#memory set " &amp; 'Register Configuration'!H322 &amp; " 32 " &amp; "0x00000001"</f>
        <v>#memory set 0x30790078 32 0x00000001</v>
      </c>
      <c r="B386" s="295" t="s">
        <v>898</v>
      </c>
      <c r="C386" s="285"/>
    </row>
    <row r="387" customFormat="false" ht="13.5" hidden="false" customHeight="false" outlineLevel="0" collapsed="false">
      <c r="A387" s="294" t="str">
        <f aca="false">"#memory set " &amp; 'Register Configuration'!H317 &amp; " 32 " &amp; 'Register Configuration'!I317</f>
        <v>#memory set 0x3079006C 32 0x00000000</v>
      </c>
      <c r="B387" s="295" t="s">
        <v>899</v>
      </c>
      <c r="C387" s="285"/>
    </row>
    <row r="388" customFormat="false" ht="13.5" hidden="false" customHeight="false" outlineLevel="0" collapsed="false">
      <c r="A388" s="294" t="str">
        <f aca="false">"#memory set " &amp; 'Register Configuration'!H322 &amp; " 32 " &amp; 'Register Configuration'!I322</f>
        <v>#memory set 0x30790078 32 0x00000000</v>
      </c>
      <c r="B388" s="295" t="s">
        <v>900</v>
      </c>
      <c r="C388" s="285"/>
    </row>
    <row r="389" customFormat="false" ht="13.5" hidden="false" customHeight="false" outlineLevel="0" collapsed="false">
      <c r="A389" s="285" t="s">
        <v>458</v>
      </c>
      <c r="B389" s="291"/>
      <c r="C389" s="293"/>
    </row>
    <row r="390" customFormat="false" ht="13.5" hidden="false" customHeight="false" outlineLevel="0" collapsed="false">
      <c r="A390" s="292" t="str">
        <f aca="false">"memory set " &amp; 'Register Configuration'!H302 &amp; " 32 " &amp; 'Register Configuration'!I302</f>
        <v>memory set 0x30790030 32 0x06060606</v>
      </c>
      <c r="B390" s="287" t="s">
        <v>901</v>
      </c>
      <c r="C390" s="285"/>
    </row>
    <row r="391" customFormat="false" ht="13.5" hidden="false" customHeight="false" outlineLevel="0" collapsed="false">
      <c r="A391" s="292" t="str">
        <f aca="false">"memory set " &amp; 'Register Configuration'!H293 &amp; " 32 " &amp; 'Register Configuration'!I293</f>
        <v>memory set 0x30790020 32 0x0A0A0A0A</v>
      </c>
      <c r="B391" s="287" t="s">
        <v>902</v>
      </c>
      <c r="C391" s="285"/>
    </row>
    <row r="392" customFormat="false" ht="13.5" hidden="false" customHeight="false" outlineLevel="0" collapsed="false">
      <c r="A392" s="292" t="str">
        <f aca="false">"memory set " &amp; 'Register Configuration'!H311 &amp; " 32 " &amp; "0x"&amp;DEC2HEX((HEX2DEC(1000000)+HEX2DEC('Register Configuration'!E311)+HEX2DEC('Register Configuration'!E312)+HEX2DEC('Register Configuration'!E313)+HEX2DEC('Register Configuration'!E314)), 8)</f>
        <v>memory set 0x30790050 32 0x01000008</v>
      </c>
      <c r="B392" s="287" t="s">
        <v>903</v>
      </c>
      <c r="C392" s="285"/>
    </row>
    <row r="393" customFormat="false" ht="13.5" hidden="false" customHeight="false" outlineLevel="0" collapsed="false">
      <c r="A393" s="292" t="str">
        <f aca="false">"memory set " &amp; 'Register Configuration'!H311 &amp; " 32 " &amp; 'Register Configuration'!I311</f>
        <v>memory set 0x30790050 32 0x00000008</v>
      </c>
      <c r="B393" s="287" t="s">
        <v>903</v>
      </c>
      <c r="C393" s="285"/>
    </row>
    <row r="394" customFormat="false" ht="13.5" hidden="false" customHeight="false" outlineLevel="0" collapsed="false">
      <c r="A394" s="292" t="str">
        <f aca="false">"memory set " &amp; 'Register Configuration'!H282 &amp; " 32 " &amp; 'Register Configuration'!I282</f>
        <v>memory set 0x30790018 32 0x0000000F</v>
      </c>
      <c r="B394" s="287" t="s">
        <v>904</v>
      </c>
      <c r="C394" s="285"/>
      <c r="F394" s="64"/>
    </row>
    <row r="395" customFormat="false" ht="13.5" hidden="false" customHeight="false" outlineLevel="0" collapsed="false">
      <c r="A395" s="292" t="str">
        <f aca="false">"memory set " &amp; 'Register Configuration'!H338 &amp; " 32 " &amp; 'Register Configuration'!I338</f>
        <v>memory set 0x307900C0 32 0x0E487304</v>
      </c>
      <c r="B395" s="287" t="s">
        <v>905</v>
      </c>
      <c r="C395" s="285"/>
      <c r="F395" s="64"/>
    </row>
    <row r="396" customFormat="false" ht="13.5" hidden="false" customHeight="false" outlineLevel="0" collapsed="false">
      <c r="A396" s="292" t="str">
        <f aca="false">"memory set " &amp; 'Register Configuration'!H338 &amp; " 32 " &amp; "0x"&amp;DEC2HEX((HEX2DEC('Register Configuration'!E338)+HEX2DEC('Register Configuration'!E339)+HEX2DEC('Register Configuration'!E340)+HEX2DEC('Register Configuration'!E341)+HEX2DEC('Register Configuration'!E342)+HEX2DEC('Register Configuration'!E343)+HEX2DEC('Register Configuration'!E344)+HEX2DEC('Register Configuration'!E345)+HEX2DEC('Register Configuration'!E346)+HEX2DEC('Register Configuration'!E347)+HEX2DEC('Register Configuration'!E348)+HEX2DEC('Register Configuration'!E349)+HEX2DEC(40000)), 8)</f>
        <v>memory set 0x307900C0 32 0x0E4C7304</v>
      </c>
      <c r="B396" s="291"/>
      <c r="C396" s="285"/>
      <c r="F396" s="64"/>
    </row>
    <row r="397" customFormat="false" ht="13.5" hidden="false" customHeight="false" outlineLevel="0" collapsed="false">
      <c r="A397" s="292" t="str">
        <f aca="false">"memory set " &amp; 'Register Configuration'!H338 &amp; " 32 " &amp; "0x"&amp;DEC2HEX((HEX2DEC('Register Configuration'!E338)+HEX2DEC('Register Configuration'!E339)+HEX2DEC('Register Configuration'!E340)+HEX2DEC('Register Configuration'!E341)+HEX2DEC('Register Configuration'!E342)+HEX2DEC('Register Configuration'!E343)+HEX2DEC('Register Configuration'!E344)+HEX2DEC('Register Configuration'!E345)+HEX2DEC('Register Configuration'!E346)+HEX2DEC('Register Configuration'!E347)+HEX2DEC('Register Configuration'!E348)+HEX2DEC('Register Configuration'!E349)+HEX2DEC(40000)+2), 8)</f>
        <v>memory set 0x307900C0 32 0x0E4C7306</v>
      </c>
      <c r="B397" s="291"/>
      <c r="C397" s="285"/>
      <c r="F397" s="64"/>
    </row>
    <row r="398" customFormat="false" ht="13.5" hidden="false" customHeight="false" outlineLevel="0" collapsed="false">
      <c r="A398" s="287" t="s">
        <v>906</v>
      </c>
      <c r="B398" s="287" t="s">
        <v>907</v>
      </c>
      <c r="C398" s="293"/>
      <c r="F398" s="64"/>
      <c r="G398" s="24"/>
      <c r="J398" s="24"/>
      <c r="K398" s="24"/>
      <c r="L398" s="24"/>
      <c r="M398" s="24"/>
      <c r="N398" s="24"/>
    </row>
    <row r="399" customFormat="false" ht="13.5" hidden="false" customHeight="false" outlineLevel="0" collapsed="false">
      <c r="A399" s="292" t="str">
        <f aca="false">"memory set " &amp; 'Register Configuration'!H338 &amp; " 32 " &amp; 'Register Configuration'!I338</f>
        <v>memory set 0x307900C0 32 0x0E487304</v>
      </c>
      <c r="B399" s="287" t="s">
        <v>908</v>
      </c>
      <c r="C399" s="285"/>
      <c r="F399" s="64"/>
      <c r="G399" s="24"/>
      <c r="I399" s="24"/>
      <c r="K399" s="24"/>
      <c r="L399" s="24"/>
      <c r="M399" s="24"/>
    </row>
    <row r="400" customFormat="false" ht="13.5" hidden="false" customHeight="false" outlineLevel="0" collapsed="false">
      <c r="G400" s="64"/>
      <c r="H400" s="24"/>
      <c r="J400" s="24"/>
      <c r="K400" s="24"/>
      <c r="L400" s="24"/>
      <c r="M400" s="24"/>
      <c r="N400" s="24"/>
    </row>
    <row r="401" customFormat="false" ht="13.5" hidden="false" customHeight="false" outlineLevel="0" collapsed="false">
      <c r="G401" s="64"/>
      <c r="H401" s="24"/>
      <c r="J401" s="24"/>
      <c r="K401" s="24"/>
      <c r="L401" s="24"/>
      <c r="M401" s="24"/>
      <c r="N401" s="24"/>
      <c r="O401" s="24"/>
    </row>
    <row r="402" customFormat="false" ht="13.5" hidden="false" customHeight="false" outlineLevel="0" collapsed="false">
      <c r="A402" s="287" t="s">
        <v>531</v>
      </c>
      <c r="G402" s="64"/>
    </row>
    <row r="403" customFormat="false" ht="13.5" hidden="false" customHeight="false" outlineLevel="0" collapsed="false">
      <c r="A403" s="287" t="s">
        <v>909</v>
      </c>
      <c r="G403" s="64"/>
    </row>
    <row r="404" customFormat="false" ht="13.5" hidden="false" customHeight="false" outlineLevel="0" collapsed="false">
      <c r="A404" s="287" t="s">
        <v>531</v>
      </c>
      <c r="G404" s="64"/>
    </row>
    <row r="405" customFormat="false" ht="13.5" hidden="false" customHeight="false" outlineLevel="0" collapsed="false">
      <c r="G405" s="64"/>
    </row>
    <row r="406" customFormat="false" ht="13.5" hidden="false" customHeight="false" outlineLevel="0" collapsed="false">
      <c r="A406" s="287" t="s">
        <v>910</v>
      </c>
      <c r="B406" s="287" t="s">
        <v>911</v>
      </c>
      <c r="G406" s="64"/>
    </row>
    <row r="407" customFormat="false" ht="13.5" hidden="false" customHeight="false" outlineLevel="0" collapsed="false">
      <c r="A407" s="287" t="s">
        <v>912</v>
      </c>
      <c r="B407" s="287" t="s">
        <v>913</v>
      </c>
      <c r="G407" s="64"/>
    </row>
    <row r="408" customFormat="false" ht="13.5" hidden="false" customHeight="false" outlineLevel="0" collapsed="false">
      <c r="A408" s="287" t="s">
        <v>630</v>
      </c>
      <c r="B408" s="287" t="s">
        <v>914</v>
      </c>
      <c r="G408" s="64"/>
    </row>
    <row r="409" customFormat="false" ht="13.5" hidden="false" customHeight="false" outlineLevel="0" collapsed="false">
      <c r="A409" s="287" t="s">
        <v>915</v>
      </c>
      <c r="B409" s="287" t="s">
        <v>916</v>
      </c>
      <c r="G409" s="64"/>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Company>Freescale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2008-07-23T13:35:02Z</dcterms:created>
  <dc:creator>ra7694</dc:creator>
  <dc:description/>
  <dc:language>zh-CN</dc:language>
  <cp:lastModifiedBy/>
  <cp:lastPrinted>2009-11-19T19:37:47Z</cp:lastPrinted>
  <dcterms:modified xsi:type="dcterms:W3CDTF">2019-09-01T11:41:13Z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Freescale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_NewReviewCycle">
    <vt:lpwstr/>
  </property>
</Properties>
</file>