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Qingshi/Documents/University of British Columbia/Publications_QT/In_process_Journal papers/UBC/[scrap mixing] write something/RCR/spreadsheets to submit/"/>
    </mc:Choice>
  </mc:AlternateContent>
  <xr:revisionPtr revIDLastSave="0" documentId="13_ncr:1_{F255AC9B-A0D8-3C47-B23D-D44BB3ED4E50}" xr6:coauthVersionLast="45" xr6:coauthVersionMax="45" xr10:uidLastSave="{00000000-0000-0000-0000-000000000000}"/>
  <bookViews>
    <workbookView xWindow="0" yWindow="460" windowWidth="25600" windowHeight="15460" tabRatio="500" activeTab="19" xr2:uid="{00000000-000D-0000-FFFF-FFFF00000000}"/>
  </bookViews>
  <sheets>
    <sheet name="Energy_Mix" sheetId="10" state="hidden" r:id="rId1"/>
    <sheet name="EFs" sheetId="11" state="hidden" r:id="rId2"/>
    <sheet name="Archetype_weight_Das_2016" sheetId="3" state="hidden" r:id="rId3"/>
    <sheet name="Archetype_battery" sheetId="4" state="hidden" r:id="rId4"/>
    <sheet name="Archetype_body_GREET2" sheetId="6" state="hidden" r:id="rId5"/>
    <sheet name="Archetype_body_GREET2_(virgin)" sheetId="14" state="hidden" r:id="rId6"/>
    <sheet name="Material_compnt_GREET2" sheetId="15" r:id="rId7"/>
    <sheet name="Alloy_compnt_G&amp;L" sheetId="17" r:id="rId8"/>
    <sheet name="Alloy_compnt_G&amp;L_percent" sheetId="23" r:id="rId9"/>
    <sheet name="Alloy_compnt_G&amp;L_percent_ori" sheetId="24" r:id="rId10"/>
    <sheet name="Alloy_compnt_G&amp;L_all type" sheetId="21" r:id="rId11"/>
    <sheet name="Al_alloy_use_compnt" sheetId="16" r:id="rId12"/>
    <sheet name="Al_alloy_composition" sheetId="18" state="hidden" r:id="rId13"/>
    <sheet name="All_metal_alloy_composition" sheetId="19" r:id="rId14"/>
    <sheet name="Alloy_spec_ori" sheetId="22" r:id="rId15"/>
    <sheet name="Alloy_spec" sheetId="25" r:id="rId16"/>
    <sheet name="Body_composition_assumptions" sheetId="13" r:id="rId17"/>
    <sheet name="Archetype_battery_GREET2" sheetId="7" r:id="rId18"/>
    <sheet name="ConversionFactors" sheetId="8" r:id="rId19"/>
    <sheet name="Concate_names" sheetId="20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5" l="1"/>
  <c r="D81" i="15"/>
  <c r="E81" i="15"/>
  <c r="F81" i="15"/>
  <c r="G81" i="15"/>
  <c r="B81" i="15"/>
  <c r="F80" i="15"/>
  <c r="G80" i="15"/>
  <c r="B80" i="15"/>
  <c r="C80" i="15"/>
  <c r="D80" i="15"/>
  <c r="E80" i="15"/>
  <c r="E9" i="19"/>
  <c r="C3" i="17"/>
  <c r="C4" i="17"/>
  <c r="C5" i="17"/>
  <c r="C9" i="17"/>
  <c r="C10" i="17"/>
  <c r="C11" i="17"/>
  <c r="C13" i="17"/>
  <c r="C18" i="17"/>
  <c r="C19" i="17"/>
  <c r="C20" i="17"/>
  <c r="C21" i="17"/>
  <c r="C22" i="17"/>
  <c r="C23" i="17"/>
  <c r="C25" i="17"/>
  <c r="C26" i="17"/>
  <c r="C27" i="17"/>
  <c r="C28" i="17"/>
  <c r="C30" i="17"/>
  <c r="C35" i="17"/>
  <c r="C36" i="17"/>
  <c r="C37" i="17"/>
  <c r="C38" i="17"/>
  <c r="C39" i="17"/>
  <c r="C40" i="17"/>
  <c r="C42" i="17"/>
  <c r="C43" i="17"/>
  <c r="C44" i="17"/>
  <c r="C45" i="17"/>
  <c r="C46" i="17"/>
  <c r="C47" i="17"/>
  <c r="C48" i="17"/>
  <c r="C49" i="17"/>
  <c r="C50" i="17"/>
  <c r="C61" i="17"/>
  <c r="C62" i="17"/>
  <c r="C64" i="17"/>
  <c r="C65" i="17"/>
  <c r="C66" i="17"/>
  <c r="C67" i="17"/>
  <c r="C68" i="17"/>
  <c r="C69" i="17"/>
  <c r="C70" i="17"/>
  <c r="C71" i="17"/>
  <c r="C72" i="17"/>
  <c r="C73" i="17"/>
  <c r="C74" i="17"/>
  <c r="C77" i="17"/>
  <c r="C78" i="17"/>
  <c r="C79" i="17"/>
  <c r="C80" i="17"/>
  <c r="C81" i="17"/>
  <c r="C82" i="17"/>
  <c r="C84" i="17"/>
  <c r="C85" i="17"/>
  <c r="C87" i="17"/>
  <c r="C88" i="17"/>
  <c r="C89" i="17"/>
  <c r="C90" i="17"/>
  <c r="C91" i="17"/>
  <c r="C94" i="17"/>
  <c r="C95" i="17"/>
  <c r="C96" i="17"/>
  <c r="C97" i="17"/>
  <c r="C98" i="17"/>
  <c r="C99" i="17"/>
  <c r="C101" i="17"/>
  <c r="C102" i="17"/>
  <c r="C104" i="17"/>
  <c r="C105" i="17"/>
  <c r="C108" i="17"/>
  <c r="C109" i="17"/>
  <c r="C110" i="17"/>
  <c r="C111" i="17"/>
  <c r="C112" i="17"/>
  <c r="C113" i="17"/>
  <c r="C114" i="17"/>
  <c r="C117" i="17"/>
  <c r="C118" i="17"/>
  <c r="C119" i="17"/>
  <c r="C120" i="17"/>
  <c r="C121" i="17"/>
  <c r="C125" i="17"/>
  <c r="C126" i="17"/>
  <c r="C127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2" i="17"/>
  <c r="C163" i="17"/>
  <c r="C164" i="17"/>
  <c r="C165" i="17"/>
  <c r="C167" i="17"/>
  <c r="C168" i="17"/>
  <c r="C171" i="17"/>
  <c r="C172" i="17"/>
  <c r="C173" i="17"/>
  <c r="C174" i="17"/>
  <c r="C176" i="17"/>
  <c r="C177" i="17"/>
  <c r="C180" i="17"/>
  <c r="C181" i="17"/>
  <c r="C182" i="17"/>
  <c r="C186" i="17"/>
  <c r="C187" i="17"/>
  <c r="C188" i="17"/>
  <c r="C190" i="17"/>
  <c r="C191" i="17"/>
  <c r="C192" i="17"/>
  <c r="C193" i="17"/>
  <c r="C194" i="17"/>
  <c r="C195" i="17"/>
  <c r="C196" i="17"/>
  <c r="C197" i="17"/>
  <c r="C199" i="17"/>
  <c r="C200" i="17"/>
  <c r="C201" i="17"/>
  <c r="C202" i="17"/>
  <c r="C203" i="17"/>
  <c r="C204" i="17"/>
  <c r="C206" i="17"/>
  <c r="C207" i="17"/>
  <c r="C208" i="17"/>
  <c r="C209" i="17"/>
  <c r="C210" i="17"/>
  <c r="C211" i="17"/>
  <c r="C212" i="17"/>
  <c r="C213" i="17"/>
  <c r="C214" i="17"/>
  <c r="C216" i="17"/>
  <c r="C217" i="17"/>
  <c r="C218" i="17"/>
  <c r="C219" i="17"/>
  <c r="C220" i="17"/>
  <c r="C221" i="17"/>
  <c r="C223" i="17"/>
  <c r="C224" i="17"/>
  <c r="C225" i="17"/>
  <c r="C226" i="17"/>
  <c r="C227" i="17"/>
  <c r="C228" i="17"/>
  <c r="C230" i="17"/>
  <c r="C231" i="17"/>
  <c r="C232" i="17"/>
  <c r="C233" i="17"/>
  <c r="C235" i="17"/>
  <c r="C236" i="17"/>
  <c r="C237" i="17"/>
  <c r="C239" i="17"/>
  <c r="C240" i="17"/>
  <c r="C241" i="17"/>
  <c r="C242" i="17"/>
  <c r="C247" i="17"/>
  <c r="C248" i="17"/>
  <c r="C249" i="17"/>
  <c r="C250" i="17"/>
  <c r="C296" i="17"/>
  <c r="C297" i="17"/>
  <c r="C300" i="17"/>
  <c r="C301" i="17"/>
  <c r="C302" i="17"/>
  <c r="C303" i="17"/>
  <c r="C304" i="17"/>
  <c r="C308" i="17"/>
  <c r="C309" i="17"/>
  <c r="C310" i="17"/>
  <c r="C357" i="17"/>
  <c r="C358" i="17"/>
  <c r="C361" i="17"/>
  <c r="C362" i="17"/>
  <c r="C363" i="17"/>
  <c r="C364" i="17"/>
  <c r="C365" i="17"/>
  <c r="C369" i="17"/>
  <c r="C370" i="17"/>
  <c r="C371" i="17"/>
  <c r="C418" i="17"/>
  <c r="C419" i="17"/>
  <c r="C422" i="17"/>
  <c r="C423" i="17"/>
  <c r="C424" i="17"/>
  <c r="C425" i="17"/>
  <c r="C426" i="17"/>
  <c r="D3" i="17"/>
  <c r="D4" i="17"/>
  <c r="D5" i="17"/>
  <c r="D9" i="17"/>
  <c r="D10" i="17"/>
  <c r="D11" i="17"/>
  <c r="D13" i="17"/>
  <c r="D18" i="17"/>
  <c r="D19" i="17"/>
  <c r="D20" i="17"/>
  <c r="D21" i="17"/>
  <c r="D22" i="17"/>
  <c r="D23" i="17"/>
  <c r="D25" i="17"/>
  <c r="D26" i="17"/>
  <c r="D27" i="17"/>
  <c r="D28" i="17"/>
  <c r="D30" i="17"/>
  <c r="D35" i="17"/>
  <c r="D36" i="17"/>
  <c r="D37" i="17"/>
  <c r="D38" i="17"/>
  <c r="D39" i="17"/>
  <c r="D40" i="17"/>
  <c r="D42" i="17"/>
  <c r="D43" i="17"/>
  <c r="D44" i="17"/>
  <c r="D45" i="17"/>
  <c r="D46" i="17"/>
  <c r="D47" i="17"/>
  <c r="D48" i="17"/>
  <c r="D49" i="17"/>
  <c r="D50" i="17"/>
  <c r="D61" i="17"/>
  <c r="D62" i="17"/>
  <c r="D64" i="17"/>
  <c r="D65" i="17"/>
  <c r="D66" i="17"/>
  <c r="D67" i="17"/>
  <c r="D68" i="17"/>
  <c r="D69" i="17"/>
  <c r="D70" i="17"/>
  <c r="D71" i="17"/>
  <c r="D72" i="17"/>
  <c r="D73" i="17"/>
  <c r="D74" i="17"/>
  <c r="D77" i="17"/>
  <c r="D78" i="17"/>
  <c r="D79" i="17"/>
  <c r="D80" i="17"/>
  <c r="D81" i="17"/>
  <c r="D82" i="17"/>
  <c r="D84" i="17"/>
  <c r="D85" i="17"/>
  <c r="D87" i="17"/>
  <c r="D88" i="17"/>
  <c r="D89" i="17"/>
  <c r="D90" i="17"/>
  <c r="D91" i="17"/>
  <c r="D94" i="17"/>
  <c r="D95" i="17"/>
  <c r="D96" i="17"/>
  <c r="D97" i="17"/>
  <c r="D98" i="17"/>
  <c r="D99" i="17"/>
  <c r="D101" i="17"/>
  <c r="D102" i="17"/>
  <c r="D104" i="17"/>
  <c r="D105" i="17"/>
  <c r="D108" i="17"/>
  <c r="D109" i="17"/>
  <c r="D110" i="17"/>
  <c r="D111" i="17"/>
  <c r="D112" i="17"/>
  <c r="D113" i="17"/>
  <c r="D114" i="17"/>
  <c r="D117" i="17"/>
  <c r="D118" i="17"/>
  <c r="D119" i="17"/>
  <c r="D120" i="17"/>
  <c r="D121" i="17"/>
  <c r="D125" i="17"/>
  <c r="D126" i="17"/>
  <c r="D127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2" i="17"/>
  <c r="D163" i="17"/>
  <c r="D164" i="17"/>
  <c r="D165" i="17"/>
  <c r="D167" i="17"/>
  <c r="D168" i="17"/>
  <c r="D171" i="17"/>
  <c r="D172" i="17"/>
  <c r="D173" i="17"/>
  <c r="D174" i="17"/>
  <c r="D176" i="17"/>
  <c r="D177" i="17"/>
  <c r="D180" i="17"/>
  <c r="D181" i="17"/>
  <c r="D182" i="17"/>
  <c r="D186" i="17"/>
  <c r="D187" i="17"/>
  <c r="D188" i="17"/>
  <c r="D190" i="17"/>
  <c r="D191" i="17"/>
  <c r="D192" i="17"/>
  <c r="D193" i="17"/>
  <c r="D194" i="17"/>
  <c r="D195" i="17"/>
  <c r="D196" i="17"/>
  <c r="D197" i="17"/>
  <c r="D199" i="17"/>
  <c r="D200" i="17"/>
  <c r="D201" i="17"/>
  <c r="D202" i="17"/>
  <c r="D203" i="17"/>
  <c r="D204" i="17"/>
  <c r="D206" i="17"/>
  <c r="D207" i="17"/>
  <c r="D208" i="17"/>
  <c r="D209" i="17"/>
  <c r="D210" i="17"/>
  <c r="D211" i="17"/>
  <c r="D212" i="17"/>
  <c r="D213" i="17"/>
  <c r="D214" i="17"/>
  <c r="D216" i="17"/>
  <c r="D217" i="17"/>
  <c r="D218" i="17"/>
  <c r="D219" i="17"/>
  <c r="D220" i="17"/>
  <c r="D221" i="17"/>
  <c r="D223" i="17"/>
  <c r="D224" i="17"/>
  <c r="D225" i="17"/>
  <c r="D226" i="17"/>
  <c r="D227" i="17"/>
  <c r="D228" i="17"/>
  <c r="D230" i="17"/>
  <c r="D231" i="17"/>
  <c r="D232" i="17"/>
  <c r="D233" i="17"/>
  <c r="D235" i="17"/>
  <c r="D236" i="17"/>
  <c r="D237" i="17"/>
  <c r="D239" i="17"/>
  <c r="D240" i="17"/>
  <c r="D241" i="17"/>
  <c r="D242" i="17"/>
  <c r="D247" i="17"/>
  <c r="D248" i="17"/>
  <c r="D249" i="17"/>
  <c r="D250" i="17"/>
  <c r="D296" i="17"/>
  <c r="D297" i="17"/>
  <c r="D300" i="17"/>
  <c r="D301" i="17"/>
  <c r="D302" i="17"/>
  <c r="D303" i="17"/>
  <c r="D304" i="17"/>
  <c r="D308" i="17"/>
  <c r="D309" i="17"/>
  <c r="D310" i="17"/>
  <c r="D357" i="17"/>
  <c r="D358" i="17"/>
  <c r="D361" i="17"/>
  <c r="D362" i="17"/>
  <c r="D363" i="17"/>
  <c r="D364" i="17"/>
  <c r="D365" i="17"/>
  <c r="D369" i="17"/>
  <c r="D370" i="17"/>
  <c r="D371" i="17"/>
  <c r="D418" i="17"/>
  <c r="D419" i="17"/>
  <c r="D422" i="17"/>
  <c r="D423" i="17"/>
  <c r="D424" i="17"/>
  <c r="D425" i="17"/>
  <c r="D426" i="17"/>
  <c r="E3" i="17"/>
  <c r="E4" i="17"/>
  <c r="E5" i="17"/>
  <c r="E9" i="17"/>
  <c r="E10" i="17"/>
  <c r="E11" i="17"/>
  <c r="E13" i="17"/>
  <c r="E18" i="17"/>
  <c r="E19" i="17"/>
  <c r="E20" i="17"/>
  <c r="E21" i="17"/>
  <c r="E22" i="17"/>
  <c r="E23" i="17"/>
  <c r="E25" i="17"/>
  <c r="E26" i="17"/>
  <c r="E27" i="17"/>
  <c r="E28" i="17"/>
  <c r="E30" i="17"/>
  <c r="E35" i="17"/>
  <c r="E36" i="17"/>
  <c r="E37" i="17"/>
  <c r="E38" i="17"/>
  <c r="E39" i="17"/>
  <c r="E40" i="17"/>
  <c r="E42" i="17"/>
  <c r="E43" i="17"/>
  <c r="E44" i="17"/>
  <c r="E45" i="17"/>
  <c r="E46" i="17"/>
  <c r="E47" i="17"/>
  <c r="E48" i="17"/>
  <c r="E49" i="17"/>
  <c r="E50" i="17"/>
  <c r="E61" i="17"/>
  <c r="E62" i="17"/>
  <c r="E64" i="17"/>
  <c r="E65" i="17"/>
  <c r="E66" i="17"/>
  <c r="E67" i="17"/>
  <c r="E68" i="17"/>
  <c r="E69" i="17"/>
  <c r="E70" i="17"/>
  <c r="E71" i="17"/>
  <c r="E72" i="17"/>
  <c r="E73" i="17"/>
  <c r="E74" i="17"/>
  <c r="E77" i="17"/>
  <c r="E78" i="17"/>
  <c r="E79" i="17"/>
  <c r="E80" i="17"/>
  <c r="E81" i="17"/>
  <c r="E82" i="17"/>
  <c r="E84" i="17"/>
  <c r="E85" i="17"/>
  <c r="E87" i="17"/>
  <c r="E88" i="17"/>
  <c r="E89" i="17"/>
  <c r="E90" i="17"/>
  <c r="E91" i="17"/>
  <c r="E94" i="17"/>
  <c r="E95" i="17"/>
  <c r="E96" i="17"/>
  <c r="E97" i="17"/>
  <c r="E98" i="17"/>
  <c r="E99" i="17"/>
  <c r="E101" i="17"/>
  <c r="E102" i="17"/>
  <c r="E104" i="17"/>
  <c r="E105" i="17"/>
  <c r="E108" i="17"/>
  <c r="E109" i="17"/>
  <c r="E110" i="17"/>
  <c r="E111" i="17"/>
  <c r="E112" i="17"/>
  <c r="E113" i="17"/>
  <c r="E114" i="17"/>
  <c r="E117" i="17"/>
  <c r="E118" i="17"/>
  <c r="E119" i="17"/>
  <c r="E120" i="17"/>
  <c r="E121" i="17"/>
  <c r="E125" i="17"/>
  <c r="E126" i="17"/>
  <c r="E127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2" i="17"/>
  <c r="E163" i="17"/>
  <c r="E164" i="17"/>
  <c r="E165" i="17"/>
  <c r="E167" i="17"/>
  <c r="E168" i="17"/>
  <c r="E171" i="17"/>
  <c r="E172" i="17"/>
  <c r="E173" i="17"/>
  <c r="E174" i="17"/>
  <c r="E176" i="17"/>
  <c r="E177" i="17"/>
  <c r="E180" i="17"/>
  <c r="E181" i="17"/>
  <c r="E182" i="17"/>
  <c r="E186" i="17"/>
  <c r="E187" i="17"/>
  <c r="E188" i="17"/>
  <c r="E190" i="17"/>
  <c r="E191" i="17"/>
  <c r="E192" i="17"/>
  <c r="E193" i="17"/>
  <c r="E194" i="17"/>
  <c r="E195" i="17"/>
  <c r="E196" i="17"/>
  <c r="E197" i="17"/>
  <c r="E199" i="17"/>
  <c r="E200" i="17"/>
  <c r="E201" i="17"/>
  <c r="E202" i="17"/>
  <c r="E203" i="17"/>
  <c r="E204" i="17"/>
  <c r="E206" i="17"/>
  <c r="E207" i="17"/>
  <c r="E208" i="17"/>
  <c r="E209" i="17"/>
  <c r="E210" i="17"/>
  <c r="E211" i="17"/>
  <c r="E212" i="17"/>
  <c r="E213" i="17"/>
  <c r="E214" i="17"/>
  <c r="E216" i="17"/>
  <c r="E217" i="17"/>
  <c r="E218" i="17"/>
  <c r="E219" i="17"/>
  <c r="E220" i="17"/>
  <c r="E221" i="17"/>
  <c r="E223" i="17"/>
  <c r="E224" i="17"/>
  <c r="E225" i="17"/>
  <c r="E226" i="17"/>
  <c r="E227" i="17"/>
  <c r="E228" i="17"/>
  <c r="E230" i="17"/>
  <c r="E231" i="17"/>
  <c r="E232" i="17"/>
  <c r="E233" i="17"/>
  <c r="E235" i="17"/>
  <c r="E236" i="17"/>
  <c r="E237" i="17"/>
  <c r="E239" i="17"/>
  <c r="E240" i="17"/>
  <c r="E241" i="17"/>
  <c r="E242" i="17"/>
  <c r="E247" i="17"/>
  <c r="E248" i="17"/>
  <c r="E249" i="17"/>
  <c r="E250" i="17"/>
  <c r="E296" i="17"/>
  <c r="E297" i="17"/>
  <c r="E300" i="17"/>
  <c r="E301" i="17"/>
  <c r="E302" i="17"/>
  <c r="E303" i="17"/>
  <c r="E304" i="17"/>
  <c r="E308" i="17"/>
  <c r="E309" i="17"/>
  <c r="E310" i="17"/>
  <c r="E357" i="17"/>
  <c r="E358" i="17"/>
  <c r="E361" i="17"/>
  <c r="E362" i="17"/>
  <c r="E363" i="17"/>
  <c r="E364" i="17"/>
  <c r="E365" i="17"/>
  <c r="E369" i="17"/>
  <c r="E370" i="17"/>
  <c r="E371" i="17"/>
  <c r="E418" i="17"/>
  <c r="E419" i="17"/>
  <c r="E422" i="17"/>
  <c r="E423" i="17"/>
  <c r="E424" i="17"/>
  <c r="E425" i="17"/>
  <c r="E426" i="17"/>
  <c r="F3" i="17"/>
  <c r="F4" i="17"/>
  <c r="F5" i="17"/>
  <c r="F9" i="17"/>
  <c r="F10" i="17"/>
  <c r="F11" i="17"/>
  <c r="F13" i="17"/>
  <c r="F18" i="17"/>
  <c r="F19" i="17"/>
  <c r="F20" i="17"/>
  <c r="F21" i="17"/>
  <c r="F22" i="17"/>
  <c r="F23" i="17"/>
  <c r="F25" i="17"/>
  <c r="F26" i="17"/>
  <c r="F27" i="17"/>
  <c r="F28" i="17"/>
  <c r="F30" i="17"/>
  <c r="F35" i="17"/>
  <c r="F36" i="17"/>
  <c r="F37" i="17"/>
  <c r="F38" i="17"/>
  <c r="F39" i="17"/>
  <c r="F40" i="17"/>
  <c r="F42" i="17"/>
  <c r="F43" i="17"/>
  <c r="F44" i="17"/>
  <c r="F45" i="17"/>
  <c r="F46" i="17"/>
  <c r="F47" i="17"/>
  <c r="F48" i="17"/>
  <c r="F49" i="17"/>
  <c r="F50" i="17"/>
  <c r="F61" i="17"/>
  <c r="F62" i="17"/>
  <c r="F64" i="17"/>
  <c r="F65" i="17"/>
  <c r="F66" i="17"/>
  <c r="F67" i="17"/>
  <c r="F68" i="17"/>
  <c r="F69" i="17"/>
  <c r="F70" i="17"/>
  <c r="F71" i="17"/>
  <c r="F72" i="17"/>
  <c r="F73" i="17"/>
  <c r="F74" i="17"/>
  <c r="F77" i="17"/>
  <c r="F78" i="17"/>
  <c r="F79" i="17"/>
  <c r="F80" i="17"/>
  <c r="F81" i="17"/>
  <c r="F82" i="17"/>
  <c r="F84" i="17"/>
  <c r="F85" i="17"/>
  <c r="F87" i="17"/>
  <c r="F88" i="17"/>
  <c r="F89" i="17"/>
  <c r="F90" i="17"/>
  <c r="F91" i="17"/>
  <c r="F94" i="17"/>
  <c r="F95" i="17"/>
  <c r="F96" i="17"/>
  <c r="F97" i="17"/>
  <c r="F98" i="17"/>
  <c r="F99" i="17"/>
  <c r="F101" i="17"/>
  <c r="F102" i="17"/>
  <c r="F104" i="17"/>
  <c r="F105" i="17"/>
  <c r="F108" i="17"/>
  <c r="F109" i="17"/>
  <c r="F110" i="17"/>
  <c r="F111" i="17"/>
  <c r="F112" i="17"/>
  <c r="F113" i="17"/>
  <c r="F114" i="17"/>
  <c r="F117" i="17"/>
  <c r="F118" i="17"/>
  <c r="F119" i="17"/>
  <c r="F120" i="17"/>
  <c r="F121" i="17"/>
  <c r="F125" i="17"/>
  <c r="F126" i="17"/>
  <c r="F127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2" i="17"/>
  <c r="F163" i="17"/>
  <c r="F164" i="17"/>
  <c r="F165" i="17"/>
  <c r="F167" i="17"/>
  <c r="F168" i="17"/>
  <c r="F171" i="17"/>
  <c r="F172" i="17"/>
  <c r="F173" i="17"/>
  <c r="F174" i="17"/>
  <c r="F176" i="17"/>
  <c r="F177" i="17"/>
  <c r="F180" i="17"/>
  <c r="F181" i="17"/>
  <c r="F182" i="17"/>
  <c r="F186" i="17"/>
  <c r="F187" i="17"/>
  <c r="F188" i="17"/>
  <c r="F190" i="17"/>
  <c r="F191" i="17"/>
  <c r="F192" i="17"/>
  <c r="F193" i="17"/>
  <c r="F194" i="17"/>
  <c r="F195" i="17"/>
  <c r="F196" i="17"/>
  <c r="F197" i="17"/>
  <c r="F199" i="17"/>
  <c r="F200" i="17"/>
  <c r="F201" i="17"/>
  <c r="F202" i="17"/>
  <c r="F203" i="17"/>
  <c r="F204" i="17"/>
  <c r="F206" i="17"/>
  <c r="F207" i="17"/>
  <c r="F208" i="17"/>
  <c r="F209" i="17"/>
  <c r="F210" i="17"/>
  <c r="F211" i="17"/>
  <c r="F212" i="17"/>
  <c r="F213" i="17"/>
  <c r="F214" i="17"/>
  <c r="F216" i="17"/>
  <c r="F217" i="17"/>
  <c r="F218" i="17"/>
  <c r="F219" i="17"/>
  <c r="F220" i="17"/>
  <c r="F221" i="17"/>
  <c r="F223" i="17"/>
  <c r="F224" i="17"/>
  <c r="F225" i="17"/>
  <c r="F226" i="17"/>
  <c r="F227" i="17"/>
  <c r="F228" i="17"/>
  <c r="F230" i="17"/>
  <c r="F231" i="17"/>
  <c r="F232" i="17"/>
  <c r="F233" i="17"/>
  <c r="F235" i="17"/>
  <c r="F236" i="17"/>
  <c r="F237" i="17"/>
  <c r="F239" i="17"/>
  <c r="F240" i="17"/>
  <c r="F241" i="17"/>
  <c r="F242" i="17"/>
  <c r="F247" i="17"/>
  <c r="F248" i="17"/>
  <c r="F249" i="17"/>
  <c r="F250" i="17"/>
  <c r="F296" i="17"/>
  <c r="F297" i="17"/>
  <c r="F300" i="17"/>
  <c r="F301" i="17"/>
  <c r="F302" i="17"/>
  <c r="F303" i="17"/>
  <c r="F304" i="17"/>
  <c r="F308" i="17"/>
  <c r="F309" i="17"/>
  <c r="F310" i="17"/>
  <c r="F357" i="17"/>
  <c r="F358" i="17"/>
  <c r="F361" i="17"/>
  <c r="F362" i="17"/>
  <c r="F363" i="17"/>
  <c r="F364" i="17"/>
  <c r="F365" i="17"/>
  <c r="F369" i="17"/>
  <c r="F370" i="17"/>
  <c r="F371" i="17"/>
  <c r="F418" i="17"/>
  <c r="F419" i="17"/>
  <c r="F422" i="17"/>
  <c r="F423" i="17"/>
  <c r="F424" i="17"/>
  <c r="F425" i="17"/>
  <c r="F426" i="17"/>
  <c r="G3" i="17"/>
  <c r="G4" i="17"/>
  <c r="G5" i="17"/>
  <c r="G9" i="17"/>
  <c r="G10" i="17"/>
  <c r="G11" i="17"/>
  <c r="G13" i="17"/>
  <c r="G18" i="17"/>
  <c r="G19" i="17"/>
  <c r="G20" i="17"/>
  <c r="G21" i="17"/>
  <c r="G22" i="17"/>
  <c r="G23" i="17"/>
  <c r="G25" i="17"/>
  <c r="G26" i="17"/>
  <c r="G27" i="17"/>
  <c r="G28" i="17"/>
  <c r="G30" i="17"/>
  <c r="G35" i="17"/>
  <c r="G36" i="17"/>
  <c r="G37" i="17"/>
  <c r="G38" i="17"/>
  <c r="G39" i="17"/>
  <c r="G40" i="17"/>
  <c r="G42" i="17"/>
  <c r="G43" i="17"/>
  <c r="G44" i="17"/>
  <c r="G45" i="17"/>
  <c r="G46" i="17"/>
  <c r="G47" i="17"/>
  <c r="G48" i="17"/>
  <c r="G49" i="17"/>
  <c r="G50" i="17"/>
  <c r="G61" i="17"/>
  <c r="G62" i="17"/>
  <c r="G64" i="17"/>
  <c r="G65" i="17"/>
  <c r="G66" i="17"/>
  <c r="G67" i="17"/>
  <c r="G68" i="17"/>
  <c r="G69" i="17"/>
  <c r="G70" i="17"/>
  <c r="G71" i="17"/>
  <c r="G72" i="17"/>
  <c r="G73" i="17"/>
  <c r="G74" i="17"/>
  <c r="G77" i="17"/>
  <c r="G78" i="17"/>
  <c r="G79" i="17"/>
  <c r="G80" i="17"/>
  <c r="G81" i="17"/>
  <c r="G82" i="17"/>
  <c r="G84" i="17"/>
  <c r="G85" i="17"/>
  <c r="G87" i="17"/>
  <c r="G88" i="17"/>
  <c r="G89" i="17"/>
  <c r="G90" i="17"/>
  <c r="G91" i="17"/>
  <c r="G94" i="17"/>
  <c r="G95" i="17"/>
  <c r="G96" i="17"/>
  <c r="G97" i="17"/>
  <c r="G98" i="17"/>
  <c r="G99" i="17"/>
  <c r="G101" i="17"/>
  <c r="G102" i="17"/>
  <c r="G104" i="17"/>
  <c r="G105" i="17"/>
  <c r="G108" i="17"/>
  <c r="G109" i="17"/>
  <c r="G110" i="17"/>
  <c r="G111" i="17"/>
  <c r="G112" i="17"/>
  <c r="G113" i="17"/>
  <c r="G114" i="17"/>
  <c r="G117" i="17"/>
  <c r="G118" i="17"/>
  <c r="G119" i="17"/>
  <c r="G120" i="17"/>
  <c r="G121" i="17"/>
  <c r="G125" i="17"/>
  <c r="G126" i="17"/>
  <c r="G127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2" i="17"/>
  <c r="G163" i="17"/>
  <c r="G164" i="17"/>
  <c r="G165" i="17"/>
  <c r="G167" i="17"/>
  <c r="G168" i="17"/>
  <c r="G171" i="17"/>
  <c r="G172" i="17"/>
  <c r="G173" i="17"/>
  <c r="G174" i="17"/>
  <c r="G176" i="17"/>
  <c r="G177" i="17"/>
  <c r="G180" i="17"/>
  <c r="G181" i="17"/>
  <c r="G182" i="17"/>
  <c r="G186" i="17"/>
  <c r="G187" i="17"/>
  <c r="G188" i="17"/>
  <c r="G190" i="17"/>
  <c r="G191" i="17"/>
  <c r="G192" i="17"/>
  <c r="G193" i="17"/>
  <c r="G194" i="17"/>
  <c r="G195" i="17"/>
  <c r="G196" i="17"/>
  <c r="G197" i="17"/>
  <c r="G199" i="17"/>
  <c r="G200" i="17"/>
  <c r="G201" i="17"/>
  <c r="G202" i="17"/>
  <c r="G203" i="17"/>
  <c r="G204" i="17"/>
  <c r="G206" i="17"/>
  <c r="G207" i="17"/>
  <c r="G208" i="17"/>
  <c r="G209" i="17"/>
  <c r="G210" i="17"/>
  <c r="G211" i="17"/>
  <c r="G212" i="17"/>
  <c r="G213" i="17"/>
  <c r="G214" i="17"/>
  <c r="G216" i="17"/>
  <c r="G217" i="17"/>
  <c r="G218" i="17"/>
  <c r="G219" i="17"/>
  <c r="G220" i="17"/>
  <c r="G221" i="17"/>
  <c r="G223" i="17"/>
  <c r="G224" i="17"/>
  <c r="G225" i="17"/>
  <c r="G226" i="17"/>
  <c r="G227" i="17"/>
  <c r="G228" i="17"/>
  <c r="G230" i="17"/>
  <c r="G231" i="17"/>
  <c r="G232" i="17"/>
  <c r="G233" i="17"/>
  <c r="G235" i="17"/>
  <c r="G236" i="17"/>
  <c r="G237" i="17"/>
  <c r="G239" i="17"/>
  <c r="G240" i="17"/>
  <c r="G241" i="17"/>
  <c r="G242" i="17"/>
  <c r="G247" i="17"/>
  <c r="G248" i="17"/>
  <c r="G249" i="17"/>
  <c r="G250" i="17"/>
  <c r="G296" i="17"/>
  <c r="G297" i="17"/>
  <c r="G300" i="17"/>
  <c r="G301" i="17"/>
  <c r="G302" i="17"/>
  <c r="G303" i="17"/>
  <c r="G304" i="17"/>
  <c r="G308" i="17"/>
  <c r="G309" i="17"/>
  <c r="G310" i="17"/>
  <c r="G357" i="17"/>
  <c r="G358" i="17"/>
  <c r="G361" i="17"/>
  <c r="G362" i="17"/>
  <c r="G363" i="17"/>
  <c r="G364" i="17"/>
  <c r="G365" i="17"/>
  <c r="G369" i="17"/>
  <c r="G370" i="17"/>
  <c r="G371" i="17"/>
  <c r="G418" i="17"/>
  <c r="G419" i="17"/>
  <c r="G422" i="17"/>
  <c r="G423" i="17"/>
  <c r="G424" i="17"/>
  <c r="G425" i="17"/>
  <c r="G426" i="17"/>
  <c r="B3" i="17"/>
  <c r="B4" i="17"/>
  <c r="B5" i="17"/>
  <c r="B9" i="17"/>
  <c r="B10" i="17"/>
  <c r="B11" i="17"/>
  <c r="B13" i="17"/>
  <c r="B18" i="17"/>
  <c r="B19" i="17"/>
  <c r="B20" i="17"/>
  <c r="B21" i="17"/>
  <c r="B22" i="17"/>
  <c r="B23" i="17"/>
  <c r="B25" i="17"/>
  <c r="B26" i="17"/>
  <c r="B27" i="17"/>
  <c r="B28" i="17"/>
  <c r="B30" i="17"/>
  <c r="B35" i="17"/>
  <c r="B36" i="17"/>
  <c r="B37" i="17"/>
  <c r="B38" i="17"/>
  <c r="B39" i="17"/>
  <c r="B40" i="17"/>
  <c r="B42" i="17"/>
  <c r="B43" i="17"/>
  <c r="B44" i="17"/>
  <c r="B45" i="17"/>
  <c r="B46" i="17"/>
  <c r="B47" i="17"/>
  <c r="B48" i="17"/>
  <c r="B49" i="17"/>
  <c r="B50" i="17"/>
  <c r="B61" i="17"/>
  <c r="B62" i="17"/>
  <c r="B64" i="17"/>
  <c r="B65" i="17"/>
  <c r="B66" i="17"/>
  <c r="B67" i="17"/>
  <c r="B68" i="17"/>
  <c r="B69" i="17"/>
  <c r="B70" i="17"/>
  <c r="B71" i="17"/>
  <c r="B72" i="17"/>
  <c r="B73" i="17"/>
  <c r="B74" i="17"/>
  <c r="B77" i="17"/>
  <c r="B78" i="17"/>
  <c r="B79" i="17"/>
  <c r="B80" i="17"/>
  <c r="B81" i="17"/>
  <c r="B82" i="17"/>
  <c r="B84" i="17"/>
  <c r="B85" i="17"/>
  <c r="B87" i="17"/>
  <c r="B88" i="17"/>
  <c r="B89" i="17"/>
  <c r="B90" i="17"/>
  <c r="B91" i="17"/>
  <c r="B94" i="17"/>
  <c r="B95" i="17"/>
  <c r="B96" i="17"/>
  <c r="B97" i="17"/>
  <c r="B98" i="17"/>
  <c r="B99" i="17"/>
  <c r="B101" i="17"/>
  <c r="B102" i="17"/>
  <c r="B104" i="17"/>
  <c r="B105" i="17"/>
  <c r="B108" i="17"/>
  <c r="B109" i="17"/>
  <c r="B110" i="17"/>
  <c r="B111" i="17"/>
  <c r="B112" i="17"/>
  <c r="B113" i="17"/>
  <c r="B114" i="17"/>
  <c r="B117" i="17"/>
  <c r="B118" i="17"/>
  <c r="B119" i="17"/>
  <c r="B120" i="17"/>
  <c r="B121" i="17"/>
  <c r="B125" i="17"/>
  <c r="B126" i="17"/>
  <c r="B127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2" i="17"/>
  <c r="B163" i="17"/>
  <c r="B164" i="17"/>
  <c r="B165" i="17"/>
  <c r="B167" i="17"/>
  <c r="B168" i="17"/>
  <c r="B171" i="17"/>
  <c r="B172" i="17"/>
  <c r="B173" i="17"/>
  <c r="B174" i="17"/>
  <c r="B176" i="17"/>
  <c r="B177" i="17"/>
  <c r="B180" i="17"/>
  <c r="B181" i="17"/>
  <c r="B182" i="17"/>
  <c r="B186" i="17"/>
  <c r="B187" i="17"/>
  <c r="B188" i="17"/>
  <c r="B190" i="17"/>
  <c r="B191" i="17"/>
  <c r="B192" i="17"/>
  <c r="B193" i="17"/>
  <c r="B194" i="17"/>
  <c r="B195" i="17"/>
  <c r="B196" i="17"/>
  <c r="B197" i="17"/>
  <c r="B199" i="17"/>
  <c r="B200" i="17"/>
  <c r="B201" i="17"/>
  <c r="B202" i="17"/>
  <c r="B203" i="17"/>
  <c r="B204" i="17"/>
  <c r="B206" i="17"/>
  <c r="B207" i="17"/>
  <c r="B208" i="17"/>
  <c r="B209" i="17"/>
  <c r="B210" i="17"/>
  <c r="B211" i="17"/>
  <c r="B212" i="17"/>
  <c r="B213" i="17"/>
  <c r="B214" i="17"/>
  <c r="B216" i="17"/>
  <c r="B217" i="17"/>
  <c r="B218" i="17"/>
  <c r="B219" i="17"/>
  <c r="B220" i="17"/>
  <c r="B221" i="17"/>
  <c r="B223" i="17"/>
  <c r="B224" i="17"/>
  <c r="B225" i="17"/>
  <c r="B226" i="17"/>
  <c r="B227" i="17"/>
  <c r="B228" i="17"/>
  <c r="B230" i="17"/>
  <c r="B231" i="17"/>
  <c r="B232" i="17"/>
  <c r="B233" i="17"/>
  <c r="B235" i="17"/>
  <c r="B236" i="17"/>
  <c r="B237" i="17"/>
  <c r="B239" i="17"/>
  <c r="B240" i="17"/>
  <c r="B241" i="17"/>
  <c r="B242" i="17"/>
  <c r="B247" i="17"/>
  <c r="B248" i="17"/>
  <c r="B249" i="17"/>
  <c r="B250" i="17"/>
  <c r="B296" i="17"/>
  <c r="B297" i="17"/>
  <c r="B300" i="17"/>
  <c r="B301" i="17"/>
  <c r="B302" i="17"/>
  <c r="B303" i="17"/>
  <c r="B304" i="17"/>
  <c r="B308" i="17"/>
  <c r="B309" i="17"/>
  <c r="B310" i="17"/>
  <c r="B357" i="17"/>
  <c r="B358" i="17"/>
  <c r="B361" i="17"/>
  <c r="B362" i="17"/>
  <c r="B363" i="17"/>
  <c r="B364" i="17"/>
  <c r="B365" i="17"/>
  <c r="B369" i="17"/>
  <c r="B370" i="17"/>
  <c r="B371" i="17"/>
  <c r="B418" i="17"/>
  <c r="B419" i="17"/>
  <c r="B422" i="17"/>
  <c r="B423" i="17"/>
  <c r="B424" i="17"/>
  <c r="B425" i="17"/>
  <c r="B426" i="17"/>
  <c r="C79" i="15"/>
  <c r="D79" i="15"/>
  <c r="E79" i="15"/>
  <c r="F79" i="15"/>
  <c r="G79" i="15"/>
  <c r="B79" i="15"/>
  <c r="B78" i="15"/>
  <c r="C78" i="15"/>
  <c r="D78" i="15"/>
  <c r="E78" i="15"/>
  <c r="F78" i="15"/>
  <c r="G78" i="15"/>
  <c r="O9" i="19"/>
  <c r="I426" i="21"/>
  <c r="H426" i="21"/>
  <c r="G426" i="21"/>
  <c r="F426" i="21"/>
  <c r="E426" i="21"/>
  <c r="D426" i="21"/>
  <c r="C426" i="21"/>
  <c r="B426" i="21"/>
  <c r="I425" i="21"/>
  <c r="H425" i="21"/>
  <c r="G425" i="21"/>
  <c r="F425" i="21"/>
  <c r="E425" i="21"/>
  <c r="D425" i="21"/>
  <c r="C425" i="21"/>
  <c r="B425" i="21"/>
  <c r="I424" i="21"/>
  <c r="H424" i="21"/>
  <c r="G424" i="21"/>
  <c r="F424" i="21"/>
  <c r="E424" i="21"/>
  <c r="D424" i="21"/>
  <c r="C424" i="21"/>
  <c r="B424" i="21"/>
  <c r="I423" i="21"/>
  <c r="H423" i="21"/>
  <c r="G423" i="21"/>
  <c r="F423" i="21"/>
  <c r="E423" i="21"/>
  <c r="D423" i="21"/>
  <c r="C423" i="21"/>
  <c r="B423" i="21"/>
  <c r="I422" i="21"/>
  <c r="H422" i="21"/>
  <c r="G422" i="21"/>
  <c r="F422" i="21"/>
  <c r="E422" i="21"/>
  <c r="D422" i="21"/>
  <c r="C422" i="21"/>
  <c r="B422" i="21"/>
  <c r="I419" i="21"/>
  <c r="H419" i="21"/>
  <c r="G419" i="21"/>
  <c r="F419" i="21"/>
  <c r="E419" i="21"/>
  <c r="D419" i="21"/>
  <c r="C419" i="21"/>
  <c r="B419" i="21"/>
  <c r="I418" i="21"/>
  <c r="H418" i="21"/>
  <c r="G418" i="21"/>
  <c r="F418" i="21"/>
  <c r="E418" i="21"/>
  <c r="D418" i="21"/>
  <c r="C418" i="21"/>
  <c r="B418" i="21"/>
  <c r="I371" i="21"/>
  <c r="H371" i="21"/>
  <c r="G371" i="21"/>
  <c r="F371" i="21"/>
  <c r="E371" i="21"/>
  <c r="D371" i="21"/>
  <c r="C371" i="21"/>
  <c r="B371" i="21"/>
  <c r="I370" i="21"/>
  <c r="H370" i="21"/>
  <c r="G370" i="21"/>
  <c r="F370" i="21"/>
  <c r="E370" i="21"/>
  <c r="D370" i="21"/>
  <c r="C370" i="21"/>
  <c r="B370" i="21"/>
  <c r="I369" i="21"/>
  <c r="H369" i="21"/>
  <c r="G369" i="21"/>
  <c r="F369" i="21"/>
  <c r="E369" i="21"/>
  <c r="D369" i="21"/>
  <c r="C369" i="21"/>
  <c r="B369" i="21"/>
  <c r="I365" i="21"/>
  <c r="H365" i="21"/>
  <c r="G365" i="21"/>
  <c r="F365" i="21"/>
  <c r="E365" i="21"/>
  <c r="D365" i="21"/>
  <c r="C365" i="21"/>
  <c r="B365" i="21"/>
  <c r="I364" i="21"/>
  <c r="H364" i="21"/>
  <c r="G364" i="21"/>
  <c r="F364" i="21"/>
  <c r="E364" i="21"/>
  <c r="D364" i="21"/>
  <c r="C364" i="21"/>
  <c r="B364" i="21"/>
  <c r="I363" i="21"/>
  <c r="H363" i="21"/>
  <c r="G363" i="21"/>
  <c r="F363" i="21"/>
  <c r="E363" i="21"/>
  <c r="D363" i="21"/>
  <c r="C363" i="21"/>
  <c r="B363" i="21"/>
  <c r="I362" i="21"/>
  <c r="H362" i="21"/>
  <c r="G362" i="21"/>
  <c r="F362" i="21"/>
  <c r="E362" i="21"/>
  <c r="D362" i="21"/>
  <c r="C362" i="21"/>
  <c r="B362" i="21"/>
  <c r="I361" i="21"/>
  <c r="H361" i="21"/>
  <c r="G361" i="21"/>
  <c r="F361" i="21"/>
  <c r="E361" i="21"/>
  <c r="D361" i="21"/>
  <c r="C361" i="21"/>
  <c r="B361" i="21"/>
  <c r="I358" i="21"/>
  <c r="H358" i="21"/>
  <c r="G358" i="21"/>
  <c r="F358" i="21"/>
  <c r="E358" i="21"/>
  <c r="D358" i="21"/>
  <c r="C358" i="21"/>
  <c r="B358" i="21"/>
  <c r="I357" i="21"/>
  <c r="H357" i="21"/>
  <c r="G357" i="21"/>
  <c r="F357" i="21"/>
  <c r="E357" i="21"/>
  <c r="D357" i="21"/>
  <c r="C357" i="21"/>
  <c r="B357" i="21"/>
  <c r="I310" i="21"/>
  <c r="H310" i="21"/>
  <c r="G310" i="21"/>
  <c r="F310" i="21"/>
  <c r="E310" i="21"/>
  <c r="D310" i="21"/>
  <c r="C310" i="21"/>
  <c r="B310" i="21"/>
  <c r="I309" i="21"/>
  <c r="H309" i="21"/>
  <c r="G309" i="21"/>
  <c r="F309" i="21"/>
  <c r="E309" i="21"/>
  <c r="D309" i="21"/>
  <c r="C309" i="21"/>
  <c r="B309" i="21"/>
  <c r="I308" i="21"/>
  <c r="H308" i="21"/>
  <c r="G308" i="21"/>
  <c r="F308" i="21"/>
  <c r="E308" i="21"/>
  <c r="D308" i="21"/>
  <c r="C308" i="21"/>
  <c r="B308" i="21"/>
  <c r="I304" i="21"/>
  <c r="H304" i="21"/>
  <c r="G304" i="21"/>
  <c r="F304" i="21"/>
  <c r="E304" i="21"/>
  <c r="D304" i="21"/>
  <c r="C304" i="21"/>
  <c r="B304" i="21"/>
  <c r="I303" i="21"/>
  <c r="H303" i="21"/>
  <c r="G303" i="21"/>
  <c r="F303" i="21"/>
  <c r="E303" i="21"/>
  <c r="D303" i="21"/>
  <c r="C303" i="21"/>
  <c r="B303" i="21"/>
  <c r="I302" i="21"/>
  <c r="H302" i="21"/>
  <c r="G302" i="21"/>
  <c r="F302" i="21"/>
  <c r="E302" i="21"/>
  <c r="D302" i="21"/>
  <c r="C302" i="21"/>
  <c r="B302" i="21"/>
  <c r="I301" i="21"/>
  <c r="H301" i="21"/>
  <c r="G301" i="21"/>
  <c r="F301" i="21"/>
  <c r="E301" i="21"/>
  <c r="D301" i="21"/>
  <c r="C301" i="21"/>
  <c r="B301" i="21"/>
  <c r="I300" i="21"/>
  <c r="H300" i="21"/>
  <c r="G300" i="21"/>
  <c r="F300" i="21"/>
  <c r="E300" i="21"/>
  <c r="D300" i="21"/>
  <c r="C300" i="21"/>
  <c r="B300" i="21"/>
  <c r="I297" i="21"/>
  <c r="H297" i="21"/>
  <c r="G297" i="21"/>
  <c r="F297" i="21"/>
  <c r="E297" i="21"/>
  <c r="D297" i="21"/>
  <c r="C297" i="21"/>
  <c r="B297" i="21"/>
  <c r="I296" i="21"/>
  <c r="H296" i="21"/>
  <c r="G296" i="21"/>
  <c r="F296" i="21"/>
  <c r="E296" i="21"/>
  <c r="D296" i="21"/>
  <c r="C296" i="21"/>
  <c r="B296" i="21"/>
  <c r="I250" i="21"/>
  <c r="H250" i="21"/>
  <c r="G250" i="21"/>
  <c r="F250" i="21"/>
  <c r="E250" i="21"/>
  <c r="D250" i="21"/>
  <c r="C250" i="21"/>
  <c r="B250" i="21"/>
  <c r="I249" i="21"/>
  <c r="H249" i="21"/>
  <c r="G249" i="21"/>
  <c r="F249" i="21"/>
  <c r="E249" i="21"/>
  <c r="D249" i="21"/>
  <c r="C249" i="21"/>
  <c r="B249" i="21"/>
  <c r="I248" i="21"/>
  <c r="H248" i="21"/>
  <c r="G248" i="21"/>
  <c r="F248" i="21"/>
  <c r="E248" i="21"/>
  <c r="D248" i="21"/>
  <c r="C248" i="21"/>
  <c r="B248" i="21"/>
  <c r="I247" i="21"/>
  <c r="H247" i="21"/>
  <c r="G247" i="21"/>
  <c r="F247" i="21"/>
  <c r="E247" i="21"/>
  <c r="D247" i="21"/>
  <c r="C247" i="21"/>
  <c r="B247" i="21"/>
  <c r="I242" i="21"/>
  <c r="H242" i="21"/>
  <c r="G242" i="21"/>
  <c r="F242" i="21"/>
  <c r="E242" i="21"/>
  <c r="D242" i="21"/>
  <c r="C242" i="21"/>
  <c r="B242" i="21"/>
  <c r="I241" i="21"/>
  <c r="H241" i="21"/>
  <c r="G241" i="21"/>
  <c r="F241" i="21"/>
  <c r="E241" i="21"/>
  <c r="D241" i="21"/>
  <c r="C241" i="21"/>
  <c r="B241" i="21"/>
  <c r="I240" i="21"/>
  <c r="H240" i="21"/>
  <c r="G240" i="21"/>
  <c r="F240" i="21"/>
  <c r="E240" i="21"/>
  <c r="D240" i="21"/>
  <c r="C240" i="21"/>
  <c r="B240" i="21"/>
  <c r="I239" i="21"/>
  <c r="H239" i="21"/>
  <c r="G239" i="21"/>
  <c r="F239" i="21"/>
  <c r="E239" i="21"/>
  <c r="D239" i="21"/>
  <c r="C239" i="21"/>
  <c r="B239" i="21"/>
  <c r="I237" i="21"/>
  <c r="H237" i="21"/>
  <c r="G237" i="21"/>
  <c r="F237" i="21"/>
  <c r="E237" i="21"/>
  <c r="D237" i="21"/>
  <c r="C237" i="21"/>
  <c r="B237" i="21"/>
  <c r="I236" i="21"/>
  <c r="H236" i="21"/>
  <c r="G236" i="21"/>
  <c r="F236" i="21"/>
  <c r="E236" i="21"/>
  <c r="D236" i="21"/>
  <c r="C236" i="21"/>
  <c r="B236" i="21"/>
  <c r="I235" i="21"/>
  <c r="H235" i="21"/>
  <c r="G235" i="21"/>
  <c r="F235" i="21"/>
  <c r="E235" i="21"/>
  <c r="D235" i="21"/>
  <c r="C235" i="21"/>
  <c r="B235" i="21"/>
  <c r="I233" i="21"/>
  <c r="H233" i="21"/>
  <c r="G233" i="21"/>
  <c r="F233" i="21"/>
  <c r="E233" i="21"/>
  <c r="D233" i="21"/>
  <c r="C233" i="21"/>
  <c r="B233" i="21"/>
  <c r="I232" i="21"/>
  <c r="H232" i="21"/>
  <c r="G232" i="21"/>
  <c r="F232" i="21"/>
  <c r="E232" i="21"/>
  <c r="D232" i="21"/>
  <c r="C232" i="21"/>
  <c r="B232" i="21"/>
  <c r="I231" i="21"/>
  <c r="H231" i="21"/>
  <c r="G231" i="21"/>
  <c r="F231" i="21"/>
  <c r="E231" i="21"/>
  <c r="D231" i="21"/>
  <c r="C231" i="21"/>
  <c r="B231" i="21"/>
  <c r="I230" i="21"/>
  <c r="H230" i="21"/>
  <c r="G230" i="21"/>
  <c r="F230" i="21"/>
  <c r="E230" i="21"/>
  <c r="D230" i="21"/>
  <c r="C230" i="21"/>
  <c r="B230" i="21"/>
  <c r="I228" i="21"/>
  <c r="H228" i="21"/>
  <c r="G228" i="21"/>
  <c r="F228" i="21"/>
  <c r="E228" i="21"/>
  <c r="D228" i="21"/>
  <c r="C228" i="21"/>
  <c r="B228" i="21"/>
  <c r="I227" i="21"/>
  <c r="H227" i="21"/>
  <c r="G227" i="21"/>
  <c r="F227" i="21"/>
  <c r="E227" i="21"/>
  <c r="D227" i="21"/>
  <c r="C227" i="21"/>
  <c r="B227" i="21"/>
  <c r="I226" i="21"/>
  <c r="H226" i="21"/>
  <c r="G226" i="21"/>
  <c r="F226" i="21"/>
  <c r="E226" i="21"/>
  <c r="D226" i="21"/>
  <c r="C226" i="21"/>
  <c r="B226" i="21"/>
  <c r="I225" i="21"/>
  <c r="H225" i="21"/>
  <c r="G225" i="21"/>
  <c r="F225" i="21"/>
  <c r="E225" i="21"/>
  <c r="D225" i="21"/>
  <c r="C225" i="21"/>
  <c r="B225" i="21"/>
  <c r="I224" i="21"/>
  <c r="H224" i="21"/>
  <c r="G224" i="21"/>
  <c r="F224" i="21"/>
  <c r="E224" i="21"/>
  <c r="D224" i="21"/>
  <c r="C224" i="21"/>
  <c r="B224" i="21"/>
  <c r="I223" i="21"/>
  <c r="H223" i="21"/>
  <c r="G223" i="21"/>
  <c r="F223" i="21"/>
  <c r="E223" i="21"/>
  <c r="D223" i="21"/>
  <c r="C223" i="21"/>
  <c r="B223" i="21"/>
  <c r="I221" i="21"/>
  <c r="H221" i="21"/>
  <c r="G221" i="21"/>
  <c r="F221" i="21"/>
  <c r="E221" i="21"/>
  <c r="D221" i="21"/>
  <c r="C221" i="21"/>
  <c r="B221" i="21"/>
  <c r="I220" i="21"/>
  <c r="H220" i="21"/>
  <c r="G220" i="21"/>
  <c r="F220" i="21"/>
  <c r="E220" i="21"/>
  <c r="D220" i="21"/>
  <c r="C220" i="21"/>
  <c r="B220" i="21"/>
  <c r="I219" i="21"/>
  <c r="H219" i="21"/>
  <c r="G219" i="21"/>
  <c r="F219" i="21"/>
  <c r="E219" i="21"/>
  <c r="D219" i="21"/>
  <c r="C219" i="21"/>
  <c r="B219" i="21"/>
  <c r="I218" i="21"/>
  <c r="H218" i="21"/>
  <c r="G218" i="21"/>
  <c r="F218" i="21"/>
  <c r="E218" i="21"/>
  <c r="D218" i="21"/>
  <c r="C218" i="21"/>
  <c r="B218" i="21"/>
  <c r="I217" i="21"/>
  <c r="H217" i="21"/>
  <c r="G217" i="21"/>
  <c r="F217" i="21"/>
  <c r="E217" i="21"/>
  <c r="D217" i="21"/>
  <c r="C217" i="21"/>
  <c r="B217" i="21"/>
  <c r="I216" i="21"/>
  <c r="H216" i="21"/>
  <c r="G216" i="21"/>
  <c r="F216" i="21"/>
  <c r="E216" i="21"/>
  <c r="D216" i="21"/>
  <c r="C216" i="21"/>
  <c r="B216" i="21"/>
  <c r="I214" i="21"/>
  <c r="H214" i="21"/>
  <c r="G214" i="21"/>
  <c r="F214" i="21"/>
  <c r="E214" i="21"/>
  <c r="D214" i="21"/>
  <c r="C214" i="21"/>
  <c r="B214" i="21"/>
  <c r="I213" i="21"/>
  <c r="H213" i="21"/>
  <c r="G213" i="21"/>
  <c r="F213" i="21"/>
  <c r="E213" i="21"/>
  <c r="D213" i="21"/>
  <c r="C213" i="21"/>
  <c r="B213" i="21"/>
  <c r="I212" i="21"/>
  <c r="H212" i="21"/>
  <c r="G212" i="21"/>
  <c r="F212" i="21"/>
  <c r="E212" i="21"/>
  <c r="D212" i="21"/>
  <c r="C212" i="21"/>
  <c r="B212" i="21"/>
  <c r="I211" i="21"/>
  <c r="H211" i="21"/>
  <c r="G211" i="21"/>
  <c r="F211" i="21"/>
  <c r="E211" i="21"/>
  <c r="D211" i="21"/>
  <c r="C211" i="21"/>
  <c r="B211" i="21"/>
  <c r="I210" i="21"/>
  <c r="H210" i="21"/>
  <c r="G210" i="21"/>
  <c r="F210" i="21"/>
  <c r="E210" i="21"/>
  <c r="D210" i="21"/>
  <c r="C210" i="21"/>
  <c r="B210" i="21"/>
  <c r="I209" i="21"/>
  <c r="H209" i="21"/>
  <c r="G209" i="21"/>
  <c r="F209" i="21"/>
  <c r="E209" i="21"/>
  <c r="D209" i="21"/>
  <c r="C209" i="21"/>
  <c r="B209" i="21"/>
  <c r="I208" i="21"/>
  <c r="H208" i="21"/>
  <c r="G208" i="21"/>
  <c r="F208" i="21"/>
  <c r="E208" i="21"/>
  <c r="D208" i="21"/>
  <c r="C208" i="21"/>
  <c r="B208" i="21"/>
  <c r="I207" i="21"/>
  <c r="H207" i="21"/>
  <c r="G207" i="21"/>
  <c r="F207" i="21"/>
  <c r="E207" i="21"/>
  <c r="D207" i="21"/>
  <c r="C207" i="21"/>
  <c r="B207" i="21"/>
  <c r="I206" i="21"/>
  <c r="H206" i="21"/>
  <c r="G206" i="21"/>
  <c r="F206" i="21"/>
  <c r="E206" i="21"/>
  <c r="D206" i="21"/>
  <c r="C206" i="21"/>
  <c r="B206" i="21"/>
  <c r="I204" i="21"/>
  <c r="H204" i="21"/>
  <c r="G204" i="21"/>
  <c r="F204" i="21"/>
  <c r="E204" i="21"/>
  <c r="D204" i="21"/>
  <c r="C204" i="21"/>
  <c r="B204" i="21"/>
  <c r="I203" i="21"/>
  <c r="H203" i="21"/>
  <c r="G203" i="21"/>
  <c r="F203" i="21"/>
  <c r="E203" i="21"/>
  <c r="D203" i="21"/>
  <c r="C203" i="21"/>
  <c r="B203" i="21"/>
  <c r="I202" i="21"/>
  <c r="H202" i="21"/>
  <c r="G202" i="21"/>
  <c r="F202" i="21"/>
  <c r="E202" i="21"/>
  <c r="D202" i="21"/>
  <c r="C202" i="21"/>
  <c r="B202" i="21"/>
  <c r="I201" i="21"/>
  <c r="H201" i="21"/>
  <c r="G201" i="21"/>
  <c r="F201" i="21"/>
  <c r="E201" i="21"/>
  <c r="D201" i="21"/>
  <c r="C201" i="21"/>
  <c r="B201" i="21"/>
  <c r="I200" i="21"/>
  <c r="H200" i="21"/>
  <c r="G200" i="21"/>
  <c r="F200" i="21"/>
  <c r="E200" i="21"/>
  <c r="D200" i="21"/>
  <c r="C200" i="21"/>
  <c r="B200" i="21"/>
  <c r="I199" i="21"/>
  <c r="H199" i="21"/>
  <c r="G199" i="21"/>
  <c r="F199" i="21"/>
  <c r="E199" i="21"/>
  <c r="D199" i="21"/>
  <c r="C199" i="21"/>
  <c r="B199" i="21"/>
  <c r="I197" i="21"/>
  <c r="H197" i="21"/>
  <c r="G197" i="21"/>
  <c r="F197" i="21"/>
  <c r="E197" i="21"/>
  <c r="D197" i="21"/>
  <c r="C197" i="21"/>
  <c r="B197" i="21"/>
  <c r="I196" i="21"/>
  <c r="H196" i="21"/>
  <c r="G196" i="21"/>
  <c r="F196" i="21"/>
  <c r="E196" i="21"/>
  <c r="D196" i="21"/>
  <c r="C196" i="21"/>
  <c r="B196" i="21"/>
  <c r="I195" i="21"/>
  <c r="H195" i="21"/>
  <c r="G195" i="21"/>
  <c r="F195" i="21"/>
  <c r="E195" i="21"/>
  <c r="D195" i="21"/>
  <c r="C195" i="21"/>
  <c r="B195" i="21"/>
  <c r="I194" i="21"/>
  <c r="H194" i="21"/>
  <c r="G194" i="21"/>
  <c r="F194" i="21"/>
  <c r="E194" i="21"/>
  <c r="D194" i="21"/>
  <c r="C194" i="21"/>
  <c r="B194" i="21"/>
  <c r="I193" i="21"/>
  <c r="H193" i="21"/>
  <c r="G193" i="21"/>
  <c r="F193" i="21"/>
  <c r="E193" i="21"/>
  <c r="D193" i="21"/>
  <c r="C193" i="21"/>
  <c r="B193" i="21"/>
  <c r="I192" i="21"/>
  <c r="H192" i="21"/>
  <c r="G192" i="21"/>
  <c r="F192" i="21"/>
  <c r="E192" i="21"/>
  <c r="D192" i="21"/>
  <c r="C192" i="21"/>
  <c r="B192" i="21"/>
  <c r="I191" i="21"/>
  <c r="H191" i="21"/>
  <c r="G191" i="21"/>
  <c r="F191" i="21"/>
  <c r="E191" i="21"/>
  <c r="D191" i="21"/>
  <c r="C191" i="21"/>
  <c r="B191" i="21"/>
  <c r="I190" i="21"/>
  <c r="H190" i="21"/>
  <c r="G190" i="21"/>
  <c r="F190" i="21"/>
  <c r="E190" i="21"/>
  <c r="D190" i="21"/>
  <c r="C190" i="21"/>
  <c r="B190" i="21"/>
  <c r="I188" i="21"/>
  <c r="H188" i="21"/>
  <c r="G188" i="21"/>
  <c r="F188" i="21"/>
  <c r="E188" i="21"/>
  <c r="D188" i="21"/>
  <c r="C188" i="21"/>
  <c r="B188" i="21"/>
  <c r="I187" i="21"/>
  <c r="H187" i="21"/>
  <c r="G187" i="21"/>
  <c r="F187" i="21"/>
  <c r="E187" i="21"/>
  <c r="D187" i="21"/>
  <c r="C187" i="21"/>
  <c r="B187" i="21"/>
  <c r="I186" i="21"/>
  <c r="H186" i="21"/>
  <c r="G186" i="21"/>
  <c r="F186" i="21"/>
  <c r="E186" i="21"/>
  <c r="D186" i="21"/>
  <c r="C186" i="21"/>
  <c r="B186" i="21"/>
  <c r="I182" i="21"/>
  <c r="H182" i="21"/>
  <c r="G182" i="21"/>
  <c r="F182" i="21"/>
  <c r="E182" i="21"/>
  <c r="D182" i="21"/>
  <c r="C182" i="21"/>
  <c r="B182" i="21"/>
  <c r="I181" i="21"/>
  <c r="H181" i="21"/>
  <c r="G181" i="21"/>
  <c r="F181" i="21"/>
  <c r="E181" i="21"/>
  <c r="D181" i="21"/>
  <c r="C181" i="21"/>
  <c r="B181" i="21"/>
  <c r="I180" i="21"/>
  <c r="H180" i="21"/>
  <c r="G180" i="21"/>
  <c r="F180" i="21"/>
  <c r="E180" i="21"/>
  <c r="D180" i="21"/>
  <c r="C180" i="21"/>
  <c r="B180" i="21"/>
  <c r="I177" i="21"/>
  <c r="H177" i="21"/>
  <c r="G177" i="21"/>
  <c r="F177" i="21"/>
  <c r="E177" i="21"/>
  <c r="D177" i="21"/>
  <c r="C177" i="21"/>
  <c r="B177" i="21"/>
  <c r="I176" i="21"/>
  <c r="H176" i="21"/>
  <c r="G176" i="21"/>
  <c r="F176" i="21"/>
  <c r="E176" i="21"/>
  <c r="D176" i="21"/>
  <c r="C176" i="21"/>
  <c r="B176" i="21"/>
  <c r="I174" i="21"/>
  <c r="H174" i="21"/>
  <c r="G174" i="21"/>
  <c r="F174" i="21"/>
  <c r="E174" i="21"/>
  <c r="D174" i="21"/>
  <c r="C174" i="21"/>
  <c r="B174" i="21"/>
  <c r="I173" i="21"/>
  <c r="H173" i="21"/>
  <c r="G173" i="21"/>
  <c r="F173" i="21"/>
  <c r="E173" i="21"/>
  <c r="D173" i="21"/>
  <c r="C173" i="21"/>
  <c r="B173" i="21"/>
  <c r="I172" i="21"/>
  <c r="H172" i="21"/>
  <c r="G172" i="21"/>
  <c r="F172" i="21"/>
  <c r="E172" i="21"/>
  <c r="D172" i="21"/>
  <c r="C172" i="21"/>
  <c r="B172" i="21"/>
  <c r="I171" i="21"/>
  <c r="H171" i="21"/>
  <c r="G171" i="21"/>
  <c r="F171" i="21"/>
  <c r="E171" i="21"/>
  <c r="D171" i="21"/>
  <c r="C171" i="21"/>
  <c r="B171" i="21"/>
  <c r="I168" i="21"/>
  <c r="H168" i="21"/>
  <c r="G168" i="21"/>
  <c r="F168" i="21"/>
  <c r="E168" i="21"/>
  <c r="D168" i="21"/>
  <c r="C168" i="21"/>
  <c r="B168" i="21"/>
  <c r="I167" i="21"/>
  <c r="H167" i="21"/>
  <c r="G167" i="21"/>
  <c r="F167" i="21"/>
  <c r="E167" i="21"/>
  <c r="D167" i="21"/>
  <c r="C167" i="21"/>
  <c r="B167" i="21"/>
  <c r="I165" i="21"/>
  <c r="H165" i="21"/>
  <c r="G165" i="21"/>
  <c r="F165" i="21"/>
  <c r="E165" i="21"/>
  <c r="D165" i="21"/>
  <c r="C165" i="21"/>
  <c r="B165" i="21"/>
  <c r="I164" i="21"/>
  <c r="H164" i="21"/>
  <c r="G164" i="21"/>
  <c r="F164" i="21"/>
  <c r="E164" i="21"/>
  <c r="D164" i="21"/>
  <c r="C164" i="21"/>
  <c r="B164" i="21"/>
  <c r="I163" i="21"/>
  <c r="H163" i="21"/>
  <c r="G163" i="21"/>
  <c r="F163" i="21"/>
  <c r="E163" i="21"/>
  <c r="D163" i="21"/>
  <c r="C163" i="21"/>
  <c r="B163" i="21"/>
  <c r="I162" i="21"/>
  <c r="H162" i="21"/>
  <c r="G162" i="21"/>
  <c r="F162" i="21"/>
  <c r="E162" i="21"/>
  <c r="D162" i="21"/>
  <c r="C162" i="21"/>
  <c r="B162" i="21"/>
  <c r="I160" i="21"/>
  <c r="H160" i="21"/>
  <c r="G160" i="21"/>
  <c r="F160" i="21"/>
  <c r="E160" i="21"/>
  <c r="D160" i="21"/>
  <c r="C160" i="21"/>
  <c r="B160" i="21"/>
  <c r="I159" i="21"/>
  <c r="H159" i="21"/>
  <c r="G159" i="21"/>
  <c r="F159" i="21"/>
  <c r="E159" i="21"/>
  <c r="D159" i="21"/>
  <c r="C159" i="21"/>
  <c r="B159" i="21"/>
  <c r="I158" i="21"/>
  <c r="H158" i="21"/>
  <c r="G158" i="21"/>
  <c r="F158" i="21"/>
  <c r="E158" i="21"/>
  <c r="D158" i="21"/>
  <c r="C158" i="21"/>
  <c r="B158" i="21"/>
  <c r="I157" i="21"/>
  <c r="H157" i="21"/>
  <c r="G157" i="21"/>
  <c r="F157" i="21"/>
  <c r="E157" i="21"/>
  <c r="D157" i="21"/>
  <c r="C157" i="21"/>
  <c r="B157" i="21"/>
  <c r="I156" i="21"/>
  <c r="H156" i="21"/>
  <c r="G156" i="21"/>
  <c r="F156" i="21"/>
  <c r="E156" i="21"/>
  <c r="D156" i="21"/>
  <c r="C156" i="21"/>
  <c r="B156" i="21"/>
  <c r="I155" i="21"/>
  <c r="H155" i="21"/>
  <c r="G155" i="21"/>
  <c r="F155" i="21"/>
  <c r="E155" i="21"/>
  <c r="D155" i="21"/>
  <c r="C155" i="21"/>
  <c r="B155" i="21"/>
  <c r="I154" i="21"/>
  <c r="H154" i="21"/>
  <c r="G154" i="21"/>
  <c r="F154" i="21"/>
  <c r="E154" i="21"/>
  <c r="D154" i="21"/>
  <c r="C154" i="21"/>
  <c r="B154" i="21"/>
  <c r="I153" i="21"/>
  <c r="H153" i="21"/>
  <c r="G153" i="21"/>
  <c r="F153" i="21"/>
  <c r="E153" i="21"/>
  <c r="D153" i="21"/>
  <c r="C153" i="21"/>
  <c r="B153" i="21"/>
  <c r="I152" i="21"/>
  <c r="H152" i="21"/>
  <c r="G152" i="21"/>
  <c r="F152" i="21"/>
  <c r="E152" i="21"/>
  <c r="D152" i="21"/>
  <c r="C152" i="21"/>
  <c r="B152" i="21"/>
  <c r="I151" i="21"/>
  <c r="H151" i="21"/>
  <c r="G151" i="21"/>
  <c r="F151" i="21"/>
  <c r="E151" i="21"/>
  <c r="D151" i="21"/>
  <c r="C151" i="21"/>
  <c r="B151" i="21"/>
  <c r="I150" i="21"/>
  <c r="H150" i="21"/>
  <c r="G150" i="21"/>
  <c r="F150" i="21"/>
  <c r="E150" i="21"/>
  <c r="D150" i="21"/>
  <c r="C150" i="21"/>
  <c r="B150" i="21"/>
  <c r="I149" i="21"/>
  <c r="H149" i="21"/>
  <c r="G149" i="21"/>
  <c r="F149" i="21"/>
  <c r="E149" i="21"/>
  <c r="D149" i="21"/>
  <c r="C149" i="21"/>
  <c r="B149" i="21"/>
  <c r="I148" i="21"/>
  <c r="H148" i="21"/>
  <c r="G148" i="21"/>
  <c r="F148" i="21"/>
  <c r="E148" i="21"/>
  <c r="D148" i="21"/>
  <c r="C148" i="21"/>
  <c r="B148" i="21"/>
  <c r="I147" i="21"/>
  <c r="H147" i="21"/>
  <c r="G147" i="21"/>
  <c r="F147" i="21"/>
  <c r="E147" i="21"/>
  <c r="D147" i="21"/>
  <c r="C147" i="21"/>
  <c r="B147" i="21"/>
  <c r="I146" i="21"/>
  <c r="H146" i="21"/>
  <c r="G146" i="21"/>
  <c r="F146" i="21"/>
  <c r="E146" i="21"/>
  <c r="D146" i="21"/>
  <c r="C146" i="21"/>
  <c r="B146" i="21"/>
  <c r="I145" i="21"/>
  <c r="H145" i="21"/>
  <c r="G145" i="21"/>
  <c r="F145" i="21"/>
  <c r="E145" i="21"/>
  <c r="D145" i="21"/>
  <c r="C145" i="21"/>
  <c r="B145" i="21"/>
  <c r="I143" i="21"/>
  <c r="H143" i="21"/>
  <c r="G143" i="21"/>
  <c r="F143" i="21"/>
  <c r="E143" i="21"/>
  <c r="D143" i="21"/>
  <c r="C143" i="21"/>
  <c r="B143" i="21"/>
  <c r="I142" i="21"/>
  <c r="H142" i="21"/>
  <c r="G142" i="21"/>
  <c r="F142" i="21"/>
  <c r="E142" i="21"/>
  <c r="D142" i="21"/>
  <c r="C142" i="21"/>
  <c r="B142" i="21"/>
  <c r="I141" i="21"/>
  <c r="H141" i="21"/>
  <c r="G141" i="21"/>
  <c r="F141" i="21"/>
  <c r="E141" i="21"/>
  <c r="D141" i="21"/>
  <c r="C141" i="21"/>
  <c r="B141" i="21"/>
  <c r="I140" i="21"/>
  <c r="H140" i="21"/>
  <c r="G140" i="21"/>
  <c r="F140" i="21"/>
  <c r="E140" i="21"/>
  <c r="D140" i="21"/>
  <c r="C140" i="21"/>
  <c r="B140" i="21"/>
  <c r="I139" i="21"/>
  <c r="H139" i="21"/>
  <c r="G139" i="21"/>
  <c r="F139" i="21"/>
  <c r="E139" i="21"/>
  <c r="D139" i="21"/>
  <c r="C139" i="21"/>
  <c r="B139" i="21"/>
  <c r="I138" i="21"/>
  <c r="H138" i="21"/>
  <c r="G138" i="21"/>
  <c r="F138" i="21"/>
  <c r="E138" i="21"/>
  <c r="D138" i="21"/>
  <c r="C138" i="21"/>
  <c r="B138" i="21"/>
  <c r="I137" i="21"/>
  <c r="H137" i="21"/>
  <c r="G137" i="21"/>
  <c r="F137" i="21"/>
  <c r="E137" i="21"/>
  <c r="D137" i="21"/>
  <c r="C137" i="21"/>
  <c r="B137" i="21"/>
  <c r="I136" i="21"/>
  <c r="H136" i="21"/>
  <c r="G136" i="21"/>
  <c r="F136" i="21"/>
  <c r="E136" i="21"/>
  <c r="D136" i="21"/>
  <c r="C136" i="21"/>
  <c r="B136" i="21"/>
  <c r="I135" i="21"/>
  <c r="H135" i="21"/>
  <c r="G135" i="21"/>
  <c r="F135" i="21"/>
  <c r="E135" i="21"/>
  <c r="D135" i="21"/>
  <c r="C135" i="21"/>
  <c r="B135" i="21"/>
  <c r="I134" i="21"/>
  <c r="H134" i="21"/>
  <c r="G134" i="21"/>
  <c r="F134" i="21"/>
  <c r="E134" i="21"/>
  <c r="D134" i="21"/>
  <c r="C134" i="21"/>
  <c r="B134" i="21"/>
  <c r="I133" i="21"/>
  <c r="H133" i="21"/>
  <c r="G133" i="21"/>
  <c r="F133" i="21"/>
  <c r="E133" i="21"/>
  <c r="D133" i="21"/>
  <c r="C133" i="21"/>
  <c r="B133" i="21"/>
  <c r="I132" i="21"/>
  <c r="H132" i="21"/>
  <c r="G132" i="21"/>
  <c r="F132" i="21"/>
  <c r="E132" i="21"/>
  <c r="D132" i="21"/>
  <c r="C132" i="21"/>
  <c r="B132" i="21"/>
  <c r="I131" i="21"/>
  <c r="H131" i="21"/>
  <c r="G131" i="21"/>
  <c r="F131" i="21"/>
  <c r="E131" i="21"/>
  <c r="D131" i="21"/>
  <c r="C131" i="21"/>
  <c r="B131" i="21"/>
  <c r="I130" i="21"/>
  <c r="H130" i="21"/>
  <c r="G130" i="21"/>
  <c r="F130" i="21"/>
  <c r="E130" i="21"/>
  <c r="D130" i="21"/>
  <c r="C130" i="21"/>
  <c r="B130" i="21"/>
  <c r="I129" i="21"/>
  <c r="H129" i="21"/>
  <c r="G129" i="21"/>
  <c r="F129" i="21"/>
  <c r="E129" i="21"/>
  <c r="D129" i="21"/>
  <c r="C129" i="21"/>
  <c r="B129" i="21"/>
  <c r="I127" i="21"/>
  <c r="H127" i="21"/>
  <c r="G127" i="21"/>
  <c r="F127" i="21"/>
  <c r="E127" i="21"/>
  <c r="D127" i="21"/>
  <c r="C127" i="21"/>
  <c r="B127" i="21"/>
  <c r="I126" i="21"/>
  <c r="H126" i="21"/>
  <c r="G126" i="21"/>
  <c r="F126" i="21"/>
  <c r="E126" i="21"/>
  <c r="D126" i="21"/>
  <c r="C126" i="21"/>
  <c r="B126" i="21"/>
  <c r="I125" i="21"/>
  <c r="H125" i="21"/>
  <c r="G125" i="21"/>
  <c r="F125" i="21"/>
  <c r="E125" i="21"/>
  <c r="D125" i="21"/>
  <c r="C125" i="21"/>
  <c r="B125" i="21"/>
  <c r="I121" i="21"/>
  <c r="H121" i="21"/>
  <c r="G121" i="21"/>
  <c r="F121" i="21"/>
  <c r="E121" i="21"/>
  <c r="D121" i="21"/>
  <c r="C121" i="21"/>
  <c r="B121" i="21"/>
  <c r="I120" i="21"/>
  <c r="H120" i="21"/>
  <c r="G120" i="21"/>
  <c r="F120" i="21"/>
  <c r="E120" i="21"/>
  <c r="D120" i="21"/>
  <c r="C120" i="21"/>
  <c r="B120" i="21"/>
  <c r="I119" i="21"/>
  <c r="H119" i="21"/>
  <c r="G119" i="21"/>
  <c r="F119" i="21"/>
  <c r="E119" i="21"/>
  <c r="D119" i="21"/>
  <c r="C119" i="21"/>
  <c r="B119" i="21"/>
  <c r="I118" i="21"/>
  <c r="H118" i="21"/>
  <c r="G118" i="21"/>
  <c r="F118" i="21"/>
  <c r="E118" i="21"/>
  <c r="D118" i="21"/>
  <c r="C118" i="21"/>
  <c r="B118" i="21"/>
  <c r="I117" i="21"/>
  <c r="H117" i="21"/>
  <c r="G117" i="21"/>
  <c r="F117" i="21"/>
  <c r="E117" i="21"/>
  <c r="D117" i="21"/>
  <c r="C117" i="21"/>
  <c r="B117" i="21"/>
  <c r="I114" i="21"/>
  <c r="H114" i="21"/>
  <c r="G114" i="21"/>
  <c r="F114" i="21"/>
  <c r="E114" i="21"/>
  <c r="D114" i="21"/>
  <c r="C114" i="21"/>
  <c r="B114" i="21"/>
  <c r="I113" i="21"/>
  <c r="H113" i="21"/>
  <c r="G113" i="21"/>
  <c r="F113" i="21"/>
  <c r="E113" i="21"/>
  <c r="D113" i="21"/>
  <c r="C113" i="21"/>
  <c r="B113" i="21"/>
  <c r="I112" i="21"/>
  <c r="H112" i="21"/>
  <c r="G112" i="21"/>
  <c r="F112" i="21"/>
  <c r="E112" i="21"/>
  <c r="D112" i="21"/>
  <c r="C112" i="21"/>
  <c r="B112" i="21"/>
  <c r="I111" i="21"/>
  <c r="H111" i="21"/>
  <c r="G111" i="21"/>
  <c r="F111" i="21"/>
  <c r="E111" i="21"/>
  <c r="D111" i="21"/>
  <c r="C111" i="21"/>
  <c r="B111" i="21"/>
  <c r="I110" i="21"/>
  <c r="H110" i="21"/>
  <c r="G110" i="21"/>
  <c r="F110" i="21"/>
  <c r="E110" i="21"/>
  <c r="D110" i="21"/>
  <c r="C110" i="21"/>
  <c r="B110" i="21"/>
  <c r="I109" i="21"/>
  <c r="H109" i="21"/>
  <c r="G109" i="21"/>
  <c r="F109" i="21"/>
  <c r="E109" i="21"/>
  <c r="D109" i="21"/>
  <c r="C109" i="21"/>
  <c r="B109" i="21"/>
  <c r="I108" i="21"/>
  <c r="H108" i="21"/>
  <c r="G108" i="21"/>
  <c r="F108" i="21"/>
  <c r="E108" i="21"/>
  <c r="D108" i="21"/>
  <c r="C108" i="21"/>
  <c r="B108" i="21"/>
  <c r="I105" i="21"/>
  <c r="H105" i="21"/>
  <c r="G105" i="21"/>
  <c r="F105" i="21"/>
  <c r="E105" i="21"/>
  <c r="D105" i="21"/>
  <c r="C105" i="21"/>
  <c r="B105" i="21"/>
  <c r="I104" i="21"/>
  <c r="H104" i="21"/>
  <c r="G104" i="21"/>
  <c r="F104" i="21"/>
  <c r="E104" i="21"/>
  <c r="D104" i="21"/>
  <c r="C104" i="21"/>
  <c r="B104" i="21"/>
  <c r="I102" i="21"/>
  <c r="H102" i="21"/>
  <c r="G102" i="21"/>
  <c r="F102" i="21"/>
  <c r="E102" i="21"/>
  <c r="D102" i="21"/>
  <c r="C102" i="21"/>
  <c r="B102" i="21"/>
  <c r="I101" i="21"/>
  <c r="H101" i="21"/>
  <c r="G101" i="21"/>
  <c r="F101" i="21"/>
  <c r="E101" i="21"/>
  <c r="D101" i="21"/>
  <c r="C101" i="21"/>
  <c r="B101" i="21"/>
  <c r="I99" i="21"/>
  <c r="H99" i="21"/>
  <c r="G99" i="21"/>
  <c r="F99" i="21"/>
  <c r="E99" i="21"/>
  <c r="D99" i="21"/>
  <c r="C99" i="21"/>
  <c r="B99" i="21"/>
  <c r="I98" i="21"/>
  <c r="H98" i="21"/>
  <c r="G98" i="21"/>
  <c r="F98" i="21"/>
  <c r="E98" i="21"/>
  <c r="D98" i="21"/>
  <c r="C98" i="21"/>
  <c r="B98" i="21"/>
  <c r="I97" i="21"/>
  <c r="H97" i="21"/>
  <c r="G97" i="21"/>
  <c r="F97" i="21"/>
  <c r="E97" i="21"/>
  <c r="D97" i="21"/>
  <c r="C97" i="21"/>
  <c r="B97" i="21"/>
  <c r="I96" i="21"/>
  <c r="H96" i="21"/>
  <c r="G96" i="21"/>
  <c r="F96" i="21"/>
  <c r="E96" i="21"/>
  <c r="D96" i="21"/>
  <c r="C96" i="21"/>
  <c r="B96" i="21"/>
  <c r="I95" i="21"/>
  <c r="H95" i="21"/>
  <c r="G95" i="21"/>
  <c r="F95" i="21"/>
  <c r="E95" i="21"/>
  <c r="D95" i="21"/>
  <c r="C95" i="21"/>
  <c r="B95" i="21"/>
  <c r="I94" i="21"/>
  <c r="H94" i="21"/>
  <c r="G94" i="21"/>
  <c r="F94" i="21"/>
  <c r="E94" i="21"/>
  <c r="D94" i="21"/>
  <c r="C94" i="21"/>
  <c r="B94" i="21"/>
  <c r="I91" i="21"/>
  <c r="H91" i="21"/>
  <c r="G91" i="21"/>
  <c r="F91" i="21"/>
  <c r="E91" i="21"/>
  <c r="D91" i="21"/>
  <c r="C91" i="21"/>
  <c r="B91" i="21"/>
  <c r="I90" i="21"/>
  <c r="H90" i="21"/>
  <c r="G90" i="21"/>
  <c r="F90" i="21"/>
  <c r="E90" i="21"/>
  <c r="D90" i="21"/>
  <c r="C90" i="21"/>
  <c r="B90" i="21"/>
  <c r="I89" i="21"/>
  <c r="H89" i="21"/>
  <c r="G89" i="21"/>
  <c r="F89" i="21"/>
  <c r="E89" i="21"/>
  <c r="D89" i="21"/>
  <c r="C89" i="21"/>
  <c r="B89" i="21"/>
  <c r="I88" i="21"/>
  <c r="H88" i="21"/>
  <c r="G88" i="21"/>
  <c r="F88" i="21"/>
  <c r="E88" i="21"/>
  <c r="D88" i="21"/>
  <c r="C88" i="21"/>
  <c r="B88" i="21"/>
  <c r="I87" i="21"/>
  <c r="H87" i="21"/>
  <c r="G87" i="21"/>
  <c r="F87" i="21"/>
  <c r="E87" i="21"/>
  <c r="D87" i="21"/>
  <c r="C87" i="21"/>
  <c r="B87" i="21"/>
  <c r="I85" i="21"/>
  <c r="H85" i="21"/>
  <c r="G85" i="21"/>
  <c r="F85" i="21"/>
  <c r="E85" i="21"/>
  <c r="D85" i="21"/>
  <c r="C85" i="21"/>
  <c r="B85" i="21"/>
  <c r="I84" i="21"/>
  <c r="H84" i="21"/>
  <c r="G84" i="21"/>
  <c r="F84" i="21"/>
  <c r="E84" i="21"/>
  <c r="D84" i="21"/>
  <c r="C84" i="21"/>
  <c r="B84" i="21"/>
  <c r="I82" i="21"/>
  <c r="H82" i="21"/>
  <c r="G82" i="21"/>
  <c r="F82" i="21"/>
  <c r="E82" i="21"/>
  <c r="D82" i="21"/>
  <c r="C82" i="21"/>
  <c r="B82" i="21"/>
  <c r="I81" i="21"/>
  <c r="H81" i="21"/>
  <c r="G81" i="21"/>
  <c r="F81" i="21"/>
  <c r="E81" i="21"/>
  <c r="D81" i="21"/>
  <c r="C81" i="21"/>
  <c r="B81" i="21"/>
  <c r="I80" i="21"/>
  <c r="H80" i="21"/>
  <c r="G80" i="21"/>
  <c r="F80" i="21"/>
  <c r="E80" i="21"/>
  <c r="D80" i="21"/>
  <c r="C80" i="21"/>
  <c r="B80" i="21"/>
  <c r="I79" i="21"/>
  <c r="H79" i="21"/>
  <c r="G79" i="21"/>
  <c r="F79" i="21"/>
  <c r="E79" i="21"/>
  <c r="D79" i="21"/>
  <c r="C79" i="21"/>
  <c r="B79" i="21"/>
  <c r="I78" i="21"/>
  <c r="H78" i="21"/>
  <c r="G78" i="21"/>
  <c r="F78" i="21"/>
  <c r="E78" i="21"/>
  <c r="D78" i="21"/>
  <c r="C78" i="21"/>
  <c r="B78" i="21"/>
  <c r="I77" i="21"/>
  <c r="H77" i="21"/>
  <c r="G77" i="21"/>
  <c r="F77" i="21"/>
  <c r="E77" i="21"/>
  <c r="D77" i="21"/>
  <c r="C77" i="21"/>
  <c r="B77" i="21"/>
  <c r="I74" i="21"/>
  <c r="H74" i="21"/>
  <c r="G74" i="21"/>
  <c r="F74" i="21"/>
  <c r="E74" i="21"/>
  <c r="D74" i="21"/>
  <c r="C74" i="21"/>
  <c r="B74" i="21"/>
  <c r="I73" i="21"/>
  <c r="H73" i="21"/>
  <c r="G73" i="21"/>
  <c r="F73" i="21"/>
  <c r="E73" i="21"/>
  <c r="D73" i="21"/>
  <c r="C73" i="21"/>
  <c r="B73" i="21"/>
  <c r="I72" i="21"/>
  <c r="H72" i="21"/>
  <c r="G72" i="21"/>
  <c r="F72" i="21"/>
  <c r="E72" i="21"/>
  <c r="D72" i="21"/>
  <c r="C72" i="21"/>
  <c r="B72" i="21"/>
  <c r="I71" i="21"/>
  <c r="H71" i="21"/>
  <c r="G71" i="21"/>
  <c r="F71" i="21"/>
  <c r="E71" i="21"/>
  <c r="D71" i="21"/>
  <c r="C71" i="21"/>
  <c r="B71" i="21"/>
  <c r="I70" i="21"/>
  <c r="H70" i="21"/>
  <c r="G70" i="21"/>
  <c r="F70" i="21"/>
  <c r="E70" i="21"/>
  <c r="D70" i="21"/>
  <c r="C70" i="21"/>
  <c r="B70" i="21"/>
  <c r="I69" i="21"/>
  <c r="H69" i="21"/>
  <c r="G69" i="21"/>
  <c r="F69" i="21"/>
  <c r="E69" i="21"/>
  <c r="D69" i="21"/>
  <c r="C69" i="21"/>
  <c r="B69" i="21"/>
  <c r="I68" i="21"/>
  <c r="H68" i="21"/>
  <c r="G68" i="21"/>
  <c r="F68" i="21"/>
  <c r="E68" i="21"/>
  <c r="D68" i="21"/>
  <c r="C68" i="21"/>
  <c r="B68" i="21"/>
  <c r="I67" i="21"/>
  <c r="H67" i="21"/>
  <c r="G67" i="21"/>
  <c r="F67" i="21"/>
  <c r="E67" i="21"/>
  <c r="D67" i="21"/>
  <c r="C67" i="21"/>
  <c r="B67" i="21"/>
  <c r="I66" i="21"/>
  <c r="H66" i="21"/>
  <c r="G66" i="21"/>
  <c r="F66" i="21"/>
  <c r="E66" i="21"/>
  <c r="D66" i="21"/>
  <c r="C66" i="21"/>
  <c r="B66" i="21"/>
  <c r="I65" i="21"/>
  <c r="H65" i="21"/>
  <c r="G65" i="21"/>
  <c r="F65" i="21"/>
  <c r="E65" i="21"/>
  <c r="D65" i="21"/>
  <c r="C65" i="21"/>
  <c r="B65" i="21"/>
  <c r="I64" i="21"/>
  <c r="H64" i="21"/>
  <c r="G64" i="21"/>
  <c r="F64" i="21"/>
  <c r="E64" i="21"/>
  <c r="D64" i="21"/>
  <c r="C64" i="21"/>
  <c r="B64" i="21"/>
  <c r="I62" i="21"/>
  <c r="H62" i="21"/>
  <c r="G62" i="21"/>
  <c r="F62" i="21"/>
  <c r="E62" i="21"/>
  <c r="D62" i="21"/>
  <c r="C62" i="21"/>
  <c r="B62" i="21"/>
  <c r="I61" i="21"/>
  <c r="H61" i="21"/>
  <c r="G61" i="21"/>
  <c r="F61" i="21"/>
  <c r="E61" i="21"/>
  <c r="D61" i="21"/>
  <c r="C61" i="21"/>
  <c r="B61" i="21"/>
  <c r="I50" i="21"/>
  <c r="H50" i="21"/>
  <c r="G50" i="21"/>
  <c r="F50" i="21"/>
  <c r="E50" i="21"/>
  <c r="D50" i="21"/>
  <c r="C50" i="21"/>
  <c r="B50" i="21"/>
  <c r="I49" i="21"/>
  <c r="H49" i="21"/>
  <c r="G49" i="21"/>
  <c r="F49" i="21"/>
  <c r="E49" i="21"/>
  <c r="D49" i="21"/>
  <c r="C49" i="21"/>
  <c r="B49" i="21"/>
  <c r="I48" i="21"/>
  <c r="H48" i="21"/>
  <c r="G48" i="21"/>
  <c r="F48" i="21"/>
  <c r="E48" i="21"/>
  <c r="D48" i="21"/>
  <c r="C48" i="21"/>
  <c r="B48" i="21"/>
  <c r="I47" i="21"/>
  <c r="H47" i="21"/>
  <c r="G47" i="21"/>
  <c r="F47" i="21"/>
  <c r="E47" i="21"/>
  <c r="D47" i="21"/>
  <c r="C47" i="21"/>
  <c r="B47" i="21"/>
  <c r="I46" i="21"/>
  <c r="H46" i="21"/>
  <c r="G46" i="21"/>
  <c r="F46" i="21"/>
  <c r="E46" i="21"/>
  <c r="D46" i="21"/>
  <c r="C46" i="21"/>
  <c r="B46" i="21"/>
  <c r="I45" i="21"/>
  <c r="H45" i="21"/>
  <c r="G45" i="21"/>
  <c r="F45" i="21"/>
  <c r="E45" i="21"/>
  <c r="D45" i="21"/>
  <c r="C45" i="21"/>
  <c r="B45" i="21"/>
  <c r="I44" i="21"/>
  <c r="H44" i="21"/>
  <c r="G44" i="21"/>
  <c r="F44" i="21"/>
  <c r="E44" i="21"/>
  <c r="D44" i="21"/>
  <c r="C44" i="21"/>
  <c r="B44" i="21"/>
  <c r="I43" i="21"/>
  <c r="H43" i="21"/>
  <c r="G43" i="21"/>
  <c r="F43" i="21"/>
  <c r="E43" i="21"/>
  <c r="D43" i="21"/>
  <c r="C43" i="21"/>
  <c r="B43" i="21"/>
  <c r="I42" i="21"/>
  <c r="H42" i="21"/>
  <c r="G42" i="21"/>
  <c r="F42" i="21"/>
  <c r="E42" i="21"/>
  <c r="D42" i="21"/>
  <c r="C42" i="21"/>
  <c r="B42" i="21"/>
  <c r="I40" i="21"/>
  <c r="H40" i="21"/>
  <c r="G40" i="21"/>
  <c r="F40" i="21"/>
  <c r="E40" i="21"/>
  <c r="D40" i="21"/>
  <c r="C40" i="21"/>
  <c r="B40" i="21"/>
  <c r="I39" i="21"/>
  <c r="H39" i="21"/>
  <c r="G39" i="21"/>
  <c r="F39" i="21"/>
  <c r="E39" i="21"/>
  <c r="D39" i="21"/>
  <c r="C39" i="21"/>
  <c r="B39" i="21"/>
  <c r="I38" i="21"/>
  <c r="H38" i="21"/>
  <c r="G38" i="21"/>
  <c r="F38" i="21"/>
  <c r="E38" i="21"/>
  <c r="D38" i="21"/>
  <c r="C38" i="21"/>
  <c r="B38" i="21"/>
  <c r="I37" i="21"/>
  <c r="H37" i="21"/>
  <c r="G37" i="21"/>
  <c r="F37" i="21"/>
  <c r="E37" i="21"/>
  <c r="D37" i="21"/>
  <c r="C37" i="21"/>
  <c r="B37" i="21"/>
  <c r="I36" i="21"/>
  <c r="H36" i="21"/>
  <c r="G36" i="21"/>
  <c r="F36" i="21"/>
  <c r="E36" i="21"/>
  <c r="D36" i="21"/>
  <c r="C36" i="21"/>
  <c r="B36" i="21"/>
  <c r="I35" i="21"/>
  <c r="H35" i="21"/>
  <c r="G35" i="21"/>
  <c r="F35" i="21"/>
  <c r="E35" i="21"/>
  <c r="D35" i="21"/>
  <c r="C35" i="21"/>
  <c r="B35" i="21"/>
  <c r="I30" i="21"/>
  <c r="H30" i="21"/>
  <c r="G30" i="21"/>
  <c r="F30" i="21"/>
  <c r="E30" i="21"/>
  <c r="D30" i="21"/>
  <c r="C30" i="21"/>
  <c r="B30" i="21"/>
  <c r="I28" i="21"/>
  <c r="H28" i="21"/>
  <c r="G28" i="21"/>
  <c r="F28" i="21"/>
  <c r="E28" i="21"/>
  <c r="D28" i="21"/>
  <c r="C28" i="21"/>
  <c r="B28" i="21"/>
  <c r="I27" i="21"/>
  <c r="H27" i="21"/>
  <c r="G27" i="21"/>
  <c r="F27" i="21"/>
  <c r="E27" i="21"/>
  <c r="D27" i="21"/>
  <c r="C27" i="21"/>
  <c r="B27" i="21"/>
  <c r="I26" i="21"/>
  <c r="H26" i="21"/>
  <c r="G26" i="21"/>
  <c r="F26" i="21"/>
  <c r="E26" i="21"/>
  <c r="D26" i="21"/>
  <c r="C26" i="21"/>
  <c r="B26" i="21"/>
  <c r="I25" i="21"/>
  <c r="H25" i="21"/>
  <c r="G25" i="21"/>
  <c r="F25" i="21"/>
  <c r="E25" i="21"/>
  <c r="D25" i="21"/>
  <c r="C25" i="21"/>
  <c r="B25" i="21"/>
  <c r="I23" i="21"/>
  <c r="H23" i="21"/>
  <c r="G23" i="21"/>
  <c r="F23" i="21"/>
  <c r="E23" i="21"/>
  <c r="D23" i="21"/>
  <c r="C23" i="21"/>
  <c r="B23" i="21"/>
  <c r="I22" i="21"/>
  <c r="H22" i="21"/>
  <c r="G22" i="21"/>
  <c r="F22" i="21"/>
  <c r="E22" i="21"/>
  <c r="D22" i="21"/>
  <c r="C22" i="21"/>
  <c r="B22" i="21"/>
  <c r="I21" i="21"/>
  <c r="H21" i="21"/>
  <c r="G21" i="21"/>
  <c r="F21" i="21"/>
  <c r="E21" i="21"/>
  <c r="D21" i="21"/>
  <c r="C21" i="21"/>
  <c r="B21" i="21"/>
  <c r="I20" i="21"/>
  <c r="H20" i="21"/>
  <c r="G20" i="21"/>
  <c r="F20" i="21"/>
  <c r="E20" i="21"/>
  <c r="D20" i="21"/>
  <c r="C20" i="21"/>
  <c r="B20" i="21"/>
  <c r="I19" i="21"/>
  <c r="H19" i="21"/>
  <c r="G19" i="21"/>
  <c r="F19" i="21"/>
  <c r="E19" i="21"/>
  <c r="D19" i="21"/>
  <c r="C19" i="21"/>
  <c r="B19" i="21"/>
  <c r="I18" i="21"/>
  <c r="H18" i="21"/>
  <c r="G18" i="21"/>
  <c r="F18" i="21"/>
  <c r="E18" i="21"/>
  <c r="D18" i="21"/>
  <c r="C18" i="21"/>
  <c r="B18" i="21"/>
  <c r="F17" i="21"/>
  <c r="B17" i="21"/>
  <c r="F15" i="21"/>
  <c r="B15" i="21"/>
  <c r="F14" i="21"/>
  <c r="B14" i="21"/>
  <c r="I13" i="21"/>
  <c r="H13" i="21"/>
  <c r="G13" i="21"/>
  <c r="F13" i="21"/>
  <c r="E13" i="21"/>
  <c r="D13" i="21"/>
  <c r="C13" i="21"/>
  <c r="B13" i="21"/>
  <c r="F12" i="21"/>
  <c r="B12" i="21"/>
  <c r="I11" i="21"/>
  <c r="H11" i="21"/>
  <c r="G11" i="21"/>
  <c r="F11" i="21"/>
  <c r="E11" i="21"/>
  <c r="D11" i="21"/>
  <c r="C11" i="21"/>
  <c r="B11" i="21"/>
  <c r="I10" i="21"/>
  <c r="H10" i="21"/>
  <c r="G10" i="21"/>
  <c r="F10" i="21"/>
  <c r="E10" i="21"/>
  <c r="D10" i="21"/>
  <c r="C10" i="21"/>
  <c r="B10" i="21"/>
  <c r="I9" i="21"/>
  <c r="H9" i="21"/>
  <c r="G9" i="21"/>
  <c r="F9" i="21"/>
  <c r="E9" i="21"/>
  <c r="D9" i="21"/>
  <c r="C9" i="21"/>
  <c r="B9" i="21"/>
  <c r="I5" i="21"/>
  <c r="H5" i="21"/>
  <c r="G5" i="21"/>
  <c r="F5" i="21"/>
  <c r="E5" i="21"/>
  <c r="D5" i="21"/>
  <c r="C5" i="21"/>
  <c r="B5" i="21"/>
  <c r="I4" i="21"/>
  <c r="H4" i="21"/>
  <c r="G4" i="21"/>
  <c r="F4" i="21"/>
  <c r="E4" i="21"/>
  <c r="D4" i="21"/>
  <c r="C4" i="21"/>
  <c r="B4" i="21"/>
  <c r="I3" i="21"/>
  <c r="H3" i="21"/>
  <c r="G3" i="21"/>
  <c r="F3" i="21"/>
  <c r="E3" i="21"/>
  <c r="D3" i="21"/>
  <c r="C3" i="21"/>
  <c r="B3" i="21"/>
  <c r="H23" i="16"/>
  <c r="H22" i="16"/>
  <c r="G420" i="21" s="1"/>
  <c r="H19" i="16"/>
  <c r="H16" i="16"/>
  <c r="H9" i="16"/>
  <c r="H8" i="16"/>
  <c r="G23" i="16"/>
  <c r="F360" i="21" s="1"/>
  <c r="G22" i="16"/>
  <c r="I359" i="21" s="1"/>
  <c r="G19" i="16"/>
  <c r="G16" i="16"/>
  <c r="G9" i="16"/>
  <c r="G8" i="16"/>
  <c r="F23" i="16"/>
  <c r="F22" i="16"/>
  <c r="G298" i="21" s="1"/>
  <c r="F19" i="16"/>
  <c r="F16" i="16"/>
  <c r="F9" i="16"/>
  <c r="F8" i="16"/>
  <c r="C23" i="16"/>
  <c r="F116" i="21" s="1"/>
  <c r="C22" i="16"/>
  <c r="I115" i="21" s="1"/>
  <c r="C19" i="16"/>
  <c r="C16" i="16"/>
  <c r="G100" i="21" s="1"/>
  <c r="C9" i="16"/>
  <c r="F93" i="21" s="1"/>
  <c r="C8" i="16"/>
  <c r="I92" i="21" s="1"/>
  <c r="E28" i="16"/>
  <c r="E23" i="16"/>
  <c r="G238" i="21" s="1"/>
  <c r="E16" i="16"/>
  <c r="F222" i="21" s="1"/>
  <c r="E9" i="16"/>
  <c r="I215" i="21" s="1"/>
  <c r="D25" i="16"/>
  <c r="D24" i="16"/>
  <c r="G178" i="21" s="1"/>
  <c r="D21" i="16"/>
  <c r="F175" i="21" s="1"/>
  <c r="D16" i="16"/>
  <c r="I161" i="21" s="1"/>
  <c r="B6" i="16"/>
  <c r="B8" i="16"/>
  <c r="G31" i="21" s="1"/>
  <c r="B9" i="16"/>
  <c r="F32" i="21" s="1"/>
  <c r="B10" i="16"/>
  <c r="I33" i="21" s="1"/>
  <c r="B11" i="16"/>
  <c r="B18" i="16"/>
  <c r="G41" i="21" s="1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2" i="20"/>
  <c r="E2" i="20"/>
  <c r="F1" i="20"/>
  <c r="E1" i="20"/>
  <c r="O4" i="19"/>
  <c r="O5" i="19"/>
  <c r="O6" i="19"/>
  <c r="O7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" i="19"/>
  <c r="W28" i="16"/>
  <c r="R28" i="16"/>
  <c r="Q28" i="16"/>
  <c r="K28" i="16"/>
  <c r="T25" i="16"/>
  <c r="T24" i="16"/>
  <c r="X23" i="16"/>
  <c r="W23" i="16"/>
  <c r="V23" i="16"/>
  <c r="S23" i="16"/>
  <c r="R23" i="16"/>
  <c r="Q23" i="16"/>
  <c r="V22" i="16"/>
  <c r="T21" i="16"/>
  <c r="V19" i="16"/>
  <c r="K18" i="16"/>
  <c r="W16" i="16"/>
  <c r="V16" i="16"/>
  <c r="T16" i="16"/>
  <c r="R16" i="16"/>
  <c r="Q16" i="16"/>
  <c r="X15" i="16"/>
  <c r="W14" i="16"/>
  <c r="S14" i="16"/>
  <c r="X13" i="16"/>
  <c r="K11" i="16"/>
  <c r="K10" i="16"/>
  <c r="X9" i="16"/>
  <c r="W9" i="16"/>
  <c r="V9" i="16"/>
  <c r="R9" i="16"/>
  <c r="Q9" i="16"/>
  <c r="K9" i="16"/>
  <c r="V8" i="16"/>
  <c r="K8" i="16"/>
  <c r="X7" i="16"/>
  <c r="K6" i="16"/>
  <c r="X4" i="16"/>
  <c r="X3" i="16"/>
  <c r="O3" i="18"/>
  <c r="X4" i="18"/>
  <c r="T4" i="18"/>
  <c r="P4" i="18"/>
  <c r="L4" i="18"/>
  <c r="V4" i="18" s="1"/>
  <c r="L5" i="18"/>
  <c r="X5" i="18" s="1"/>
  <c r="L6" i="18"/>
  <c r="V6" i="18" s="1"/>
  <c r="L7" i="18"/>
  <c r="X7" i="18" s="1"/>
  <c r="L8" i="18"/>
  <c r="V8" i="18" s="1"/>
  <c r="L9" i="18"/>
  <c r="X9" i="18" s="1"/>
  <c r="L10" i="18"/>
  <c r="V10" i="18" s="1"/>
  <c r="L11" i="18"/>
  <c r="X11" i="18" s="1"/>
  <c r="L12" i="18"/>
  <c r="V12" i="18" s="1"/>
  <c r="L13" i="18"/>
  <c r="X13" i="18" s="1"/>
  <c r="L14" i="18"/>
  <c r="V14" i="18" s="1"/>
  <c r="L15" i="18"/>
  <c r="X15" i="18" s="1"/>
  <c r="L16" i="18"/>
  <c r="V16" i="18" s="1"/>
  <c r="L17" i="18"/>
  <c r="X17" i="18" s="1"/>
  <c r="L18" i="18"/>
  <c r="V18" i="18" s="1"/>
  <c r="L19" i="18"/>
  <c r="X19" i="18" s="1"/>
  <c r="L20" i="18"/>
  <c r="V20" i="18" s="1"/>
  <c r="L21" i="18"/>
  <c r="X21" i="18" s="1"/>
  <c r="L22" i="18"/>
  <c r="V22" i="18" s="1"/>
  <c r="L23" i="18"/>
  <c r="X23" i="18" s="1"/>
  <c r="L24" i="18"/>
  <c r="V24" i="18" s="1"/>
  <c r="L25" i="18"/>
  <c r="X25" i="18" s="1"/>
  <c r="L26" i="18"/>
  <c r="V26" i="18" s="1"/>
  <c r="L27" i="18"/>
  <c r="X27" i="18" s="1"/>
  <c r="L28" i="18"/>
  <c r="V28" i="18" s="1"/>
  <c r="L3" i="18"/>
  <c r="X3" i="18" s="1"/>
  <c r="B28" i="16"/>
  <c r="I51" i="21" s="1"/>
  <c r="G24" i="14"/>
  <c r="F24" i="14"/>
  <c r="E24" i="14"/>
  <c r="D24" i="14"/>
  <c r="C24" i="14"/>
  <c r="B24" i="14"/>
  <c r="G23" i="14"/>
  <c r="F23" i="14"/>
  <c r="E23" i="14"/>
  <c r="D23" i="14"/>
  <c r="C23" i="14"/>
  <c r="B23" i="14"/>
  <c r="X6" i="14"/>
  <c r="G22" i="14" s="1"/>
  <c r="F22" i="14"/>
  <c r="E22" i="14"/>
  <c r="D22" i="14"/>
  <c r="C22" i="14"/>
  <c r="B22" i="14"/>
  <c r="G19" i="14"/>
  <c r="F19" i="14"/>
  <c r="E19" i="14"/>
  <c r="D19" i="14"/>
  <c r="C19" i="14"/>
  <c r="B19" i="14"/>
  <c r="X4" i="14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X3" i="14"/>
  <c r="E14" i="14" s="1"/>
  <c r="D14" i="14"/>
  <c r="F13" i="14"/>
  <c r="E13" i="14"/>
  <c r="B13" i="14"/>
  <c r="G12" i="14"/>
  <c r="F12" i="14"/>
  <c r="E12" i="14"/>
  <c r="D12" i="14"/>
  <c r="C12" i="14"/>
  <c r="B12" i="14"/>
  <c r="G11" i="14"/>
  <c r="F11" i="14"/>
  <c r="E11" i="14"/>
  <c r="D11" i="14"/>
  <c r="C11" i="14"/>
  <c r="B11" i="14"/>
  <c r="G10" i="14"/>
  <c r="F10" i="14"/>
  <c r="E10" i="14"/>
  <c r="D10" i="14"/>
  <c r="C10" i="14"/>
  <c r="B10" i="14"/>
  <c r="G9" i="14"/>
  <c r="F9" i="14"/>
  <c r="E9" i="14"/>
  <c r="D9" i="14"/>
  <c r="C9" i="14"/>
  <c r="B9" i="14"/>
  <c r="X2" i="14"/>
  <c r="F7" i="14" s="1"/>
  <c r="E7" i="14"/>
  <c r="D7" i="14"/>
  <c r="G6" i="14"/>
  <c r="F6" i="14"/>
  <c r="C6" i="14"/>
  <c r="B6" i="14"/>
  <c r="E5" i="14"/>
  <c r="D5" i="14"/>
  <c r="X6" i="6"/>
  <c r="X4" i="6"/>
  <c r="X3" i="6"/>
  <c r="X2" i="6"/>
  <c r="B6" i="13"/>
  <c r="B22" i="13"/>
  <c r="B21" i="13"/>
  <c r="B20" i="13"/>
  <c r="A21" i="13"/>
  <c r="A22" i="13"/>
  <c r="A20" i="13"/>
  <c r="B19" i="13"/>
  <c r="B18" i="13"/>
  <c r="A18" i="13"/>
  <c r="A19" i="13"/>
  <c r="B17" i="13"/>
  <c r="B16" i="13"/>
  <c r="B15" i="13"/>
  <c r="A15" i="13"/>
  <c r="A16" i="13"/>
  <c r="A17" i="13"/>
  <c r="B14" i="13"/>
  <c r="B13" i="13"/>
  <c r="B12" i="13"/>
  <c r="B11" i="13"/>
  <c r="B10" i="13"/>
  <c r="A11" i="13"/>
  <c r="A12" i="13"/>
  <c r="A13" i="13"/>
  <c r="A14" i="13"/>
  <c r="A10" i="13"/>
  <c r="A9" i="13"/>
  <c r="A7" i="13"/>
  <c r="A8" i="13"/>
  <c r="A6" i="13"/>
  <c r="B9" i="13"/>
  <c r="B8" i="13"/>
  <c r="B7" i="13"/>
  <c r="G23" i="6"/>
  <c r="F23" i="6"/>
  <c r="E23" i="6"/>
  <c r="D23" i="6"/>
  <c r="C23" i="6"/>
  <c r="B23" i="6"/>
  <c r="G22" i="6"/>
  <c r="F22" i="6"/>
  <c r="E22" i="6"/>
  <c r="D22" i="6"/>
  <c r="C22" i="6"/>
  <c r="B22" i="6"/>
  <c r="G24" i="6"/>
  <c r="F24" i="6"/>
  <c r="E24" i="6"/>
  <c r="D24" i="6"/>
  <c r="C24" i="6"/>
  <c r="B24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B13" i="6"/>
  <c r="C13" i="6"/>
  <c r="D13" i="6"/>
  <c r="E13" i="6"/>
  <c r="F13" i="6"/>
  <c r="G13" i="6"/>
  <c r="G12" i="6"/>
  <c r="F12" i="6"/>
  <c r="E12" i="6"/>
  <c r="D12" i="6"/>
  <c r="C12" i="6"/>
  <c r="B12" i="6"/>
  <c r="G9" i="6"/>
  <c r="G5" i="6"/>
  <c r="F9" i="6"/>
  <c r="F5" i="6"/>
  <c r="E9" i="6"/>
  <c r="E5" i="6"/>
  <c r="D9" i="6"/>
  <c r="D5" i="6"/>
  <c r="C9" i="6"/>
  <c r="C5" i="6"/>
  <c r="B9" i="6"/>
  <c r="B7" i="6"/>
  <c r="G7" i="6"/>
  <c r="F7" i="6"/>
  <c r="E7" i="6"/>
  <c r="D7" i="6"/>
  <c r="C7" i="6"/>
  <c r="B6" i="6"/>
  <c r="C6" i="6"/>
  <c r="D6" i="6"/>
  <c r="E6" i="6"/>
  <c r="F6" i="6"/>
  <c r="G6" i="6"/>
  <c r="B5" i="6"/>
  <c r="G11" i="6"/>
  <c r="F11" i="6"/>
  <c r="E11" i="6"/>
  <c r="D11" i="6"/>
  <c r="C11" i="6"/>
  <c r="B11" i="6"/>
  <c r="B10" i="6"/>
  <c r="G10" i="6"/>
  <c r="F10" i="6"/>
  <c r="E10" i="6"/>
  <c r="D10" i="6"/>
  <c r="C10" i="6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5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31" i="7"/>
  <c r="F73" i="7"/>
  <c r="E50" i="7" s="1"/>
  <c r="C73" i="7"/>
  <c r="C50" i="7" s="1"/>
  <c r="G73" i="7"/>
  <c r="K24" i="7" s="1"/>
  <c r="D73" i="7"/>
  <c r="I24" i="7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73" i="7"/>
  <c r="E24" i="7" s="1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B73" i="7"/>
  <c r="C24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5" i="7"/>
  <c r="H73" i="7"/>
  <c r="F10" i="3"/>
  <c r="F11" i="3"/>
  <c r="F9" i="3"/>
  <c r="E10" i="3"/>
  <c r="E11" i="3"/>
  <c r="E9" i="3"/>
  <c r="E8" i="19"/>
  <c r="O8" i="19" s="1"/>
  <c r="T8" i="19" l="1"/>
  <c r="C6" i="22" s="1"/>
  <c r="C6" i="25" s="1"/>
  <c r="X8" i="19"/>
  <c r="G6" i="22" s="1"/>
  <c r="G6" i="25" s="1"/>
  <c r="AB8" i="19"/>
  <c r="K6" i="22" s="1"/>
  <c r="K6" i="25" s="1"/>
  <c r="U8" i="19"/>
  <c r="D6" i="22" s="1"/>
  <c r="D6" i="25" s="1"/>
  <c r="Y8" i="19"/>
  <c r="H6" i="22" s="1"/>
  <c r="H6" i="25" s="1"/>
  <c r="AC8" i="19"/>
  <c r="L6" i="22" s="1"/>
  <c r="L6" i="25" s="1"/>
  <c r="V8" i="19"/>
  <c r="E6" i="22" s="1"/>
  <c r="E6" i="25" s="1"/>
  <c r="Z8" i="19"/>
  <c r="I6" i="22" s="1"/>
  <c r="I6" i="25" s="1"/>
  <c r="AD8" i="19"/>
  <c r="M6" i="22" s="1"/>
  <c r="M6" i="25" s="1"/>
  <c r="E82" i="15" s="1"/>
  <c r="S8" i="19"/>
  <c r="W8" i="19"/>
  <c r="F6" i="22" s="1"/>
  <c r="F6" i="25" s="1"/>
  <c r="AA8" i="19"/>
  <c r="J6" i="22" s="1"/>
  <c r="J6" i="25" s="1"/>
  <c r="B50" i="7"/>
  <c r="D50" i="7"/>
  <c r="H24" i="7"/>
  <c r="J24" i="7"/>
  <c r="C5" i="14"/>
  <c r="G5" i="14"/>
  <c r="E6" i="14"/>
  <c r="C7" i="14"/>
  <c r="G7" i="14"/>
  <c r="D13" i="14"/>
  <c r="B14" i="14"/>
  <c r="F14" i="14"/>
  <c r="S3" i="18"/>
  <c r="O4" i="18"/>
  <c r="S4" i="18"/>
  <c r="W4" i="18"/>
  <c r="Q5" i="18"/>
  <c r="U5" i="18"/>
  <c r="O6" i="18"/>
  <c r="S6" i="18"/>
  <c r="W6" i="18"/>
  <c r="Q7" i="18"/>
  <c r="U7" i="18"/>
  <c r="O8" i="18"/>
  <c r="S8" i="18"/>
  <c r="W8" i="18"/>
  <c r="Q9" i="18"/>
  <c r="U9" i="18"/>
  <c r="O10" i="18"/>
  <c r="S10" i="18"/>
  <c r="W10" i="18"/>
  <c r="Q11" i="18"/>
  <c r="U11" i="18"/>
  <c r="O12" i="18"/>
  <c r="S12" i="18"/>
  <c r="W12" i="18"/>
  <c r="Q13" i="18"/>
  <c r="U13" i="18"/>
  <c r="O14" i="18"/>
  <c r="S14" i="18"/>
  <c r="W14" i="18"/>
  <c r="Q15" i="18"/>
  <c r="U15" i="18"/>
  <c r="O16" i="18"/>
  <c r="S16" i="18"/>
  <c r="W16" i="18"/>
  <c r="Q17" i="18"/>
  <c r="U17" i="18"/>
  <c r="O18" i="18"/>
  <c r="S18" i="18"/>
  <c r="W18" i="18"/>
  <c r="Q19" i="18"/>
  <c r="U19" i="18"/>
  <c r="O20" i="18"/>
  <c r="S20" i="18"/>
  <c r="W20" i="18"/>
  <c r="Q21" i="18"/>
  <c r="U21" i="18"/>
  <c r="O22" i="18"/>
  <c r="S22" i="18"/>
  <c r="W22" i="18"/>
  <c r="Q23" i="18"/>
  <c r="U23" i="18"/>
  <c r="O24" i="18"/>
  <c r="S24" i="18"/>
  <c r="W24" i="18"/>
  <c r="Q25" i="18"/>
  <c r="U25" i="18"/>
  <c r="O26" i="18"/>
  <c r="S26" i="18"/>
  <c r="W26" i="18"/>
  <c r="Q27" i="18"/>
  <c r="U27" i="18"/>
  <c r="O28" i="18"/>
  <c r="S28" i="18"/>
  <c r="W28" i="18"/>
  <c r="U3" i="19"/>
  <c r="D2" i="22" s="1"/>
  <c r="D2" i="25" s="1"/>
  <c r="Y3" i="19"/>
  <c r="H2" i="22" s="1"/>
  <c r="H2" i="25" s="1"/>
  <c r="AC3" i="19"/>
  <c r="L2" i="22" s="1"/>
  <c r="L2" i="25" s="1"/>
  <c r="V3" i="19"/>
  <c r="E2" i="22" s="1"/>
  <c r="E2" i="25" s="1"/>
  <c r="Z3" i="19"/>
  <c r="I2" i="22" s="1"/>
  <c r="I2" i="25" s="1"/>
  <c r="T3" i="19"/>
  <c r="C2" i="22" s="1"/>
  <c r="C2" i="25" s="1"/>
  <c r="W3" i="19"/>
  <c r="F2" i="22" s="1"/>
  <c r="F2" i="25" s="1"/>
  <c r="AA3" i="19"/>
  <c r="J2" i="22" s="1"/>
  <c r="J2" i="25" s="1"/>
  <c r="S3" i="19"/>
  <c r="AD3" i="19"/>
  <c r="M2" i="22" s="1"/>
  <c r="M2" i="25" s="1"/>
  <c r="X3" i="19"/>
  <c r="G2" i="22" s="1"/>
  <c r="G2" i="25" s="1"/>
  <c r="AB3" i="19"/>
  <c r="K2" i="22" s="1"/>
  <c r="K2" i="25" s="1"/>
  <c r="T34" i="19"/>
  <c r="X34" i="19"/>
  <c r="AB34" i="19"/>
  <c r="U34" i="19"/>
  <c r="Y34" i="19"/>
  <c r="AC34" i="19"/>
  <c r="V34" i="19"/>
  <c r="Z34" i="19"/>
  <c r="AD34" i="19"/>
  <c r="S34" i="19"/>
  <c r="W34" i="19"/>
  <c r="AA34" i="19"/>
  <c r="T30" i="19"/>
  <c r="X30" i="19"/>
  <c r="AB30" i="19"/>
  <c r="U30" i="19"/>
  <c r="Y30" i="19"/>
  <c r="AC30" i="19"/>
  <c r="Z30" i="19"/>
  <c r="S30" i="19"/>
  <c r="AA30" i="19"/>
  <c r="V30" i="19"/>
  <c r="AD30" i="19"/>
  <c r="W30" i="19"/>
  <c r="T26" i="19"/>
  <c r="X26" i="19"/>
  <c r="AB26" i="19"/>
  <c r="U26" i="19"/>
  <c r="Y26" i="19"/>
  <c r="AC26" i="19"/>
  <c r="V26" i="19"/>
  <c r="Z26" i="19"/>
  <c r="W26" i="19"/>
  <c r="AA26" i="19"/>
  <c r="AD26" i="19"/>
  <c r="S26" i="19"/>
  <c r="T22" i="19"/>
  <c r="X22" i="19"/>
  <c r="AB22" i="19"/>
  <c r="U22" i="19"/>
  <c r="Y22" i="19"/>
  <c r="AC22" i="19"/>
  <c r="V22" i="19"/>
  <c r="Z22" i="19"/>
  <c r="AD22" i="19"/>
  <c r="W22" i="19"/>
  <c r="AA22" i="19"/>
  <c r="S22" i="19"/>
  <c r="T18" i="19"/>
  <c r="X18" i="19"/>
  <c r="AB18" i="19"/>
  <c r="U18" i="19"/>
  <c r="Y18" i="19"/>
  <c r="AC18" i="19"/>
  <c r="V18" i="19"/>
  <c r="Z18" i="19"/>
  <c r="AD18" i="19"/>
  <c r="W18" i="19"/>
  <c r="AA18" i="19"/>
  <c r="S18" i="19"/>
  <c r="T14" i="19"/>
  <c r="X14" i="19"/>
  <c r="AB14" i="19"/>
  <c r="U14" i="19"/>
  <c r="Y14" i="19"/>
  <c r="AC14" i="19"/>
  <c r="V14" i="19"/>
  <c r="Z14" i="19"/>
  <c r="AD14" i="19"/>
  <c r="W14" i="19"/>
  <c r="AA14" i="19"/>
  <c r="S14" i="19"/>
  <c r="T10" i="19"/>
  <c r="X10" i="19"/>
  <c r="AB10" i="19"/>
  <c r="U10" i="19"/>
  <c r="Y10" i="19"/>
  <c r="AC10" i="19"/>
  <c r="V10" i="19"/>
  <c r="Z10" i="19"/>
  <c r="AD10" i="19"/>
  <c r="W10" i="19"/>
  <c r="AA10" i="19"/>
  <c r="S10" i="19"/>
  <c r="U4" i="19"/>
  <c r="D3" i="22" s="1"/>
  <c r="D3" i="25" s="1"/>
  <c r="Y4" i="19"/>
  <c r="H3" i="22" s="1"/>
  <c r="H3" i="25" s="1"/>
  <c r="AC4" i="19"/>
  <c r="L3" i="22" s="1"/>
  <c r="L3" i="25" s="1"/>
  <c r="V4" i="19"/>
  <c r="E3" i="22" s="1"/>
  <c r="E3" i="25" s="1"/>
  <c r="Z4" i="19"/>
  <c r="I3" i="22" s="1"/>
  <c r="I3" i="25" s="1"/>
  <c r="T4" i="19"/>
  <c r="C3" i="22" s="1"/>
  <c r="C3" i="25" s="1"/>
  <c r="W4" i="19"/>
  <c r="F3" i="22" s="1"/>
  <c r="F3" i="25" s="1"/>
  <c r="AA4" i="19"/>
  <c r="J3" i="22" s="1"/>
  <c r="J3" i="25" s="1"/>
  <c r="S4" i="19"/>
  <c r="AD4" i="19"/>
  <c r="M3" i="22" s="1"/>
  <c r="M3" i="25" s="1"/>
  <c r="X4" i="19"/>
  <c r="G3" i="22" s="1"/>
  <c r="G3" i="25" s="1"/>
  <c r="AB4" i="19"/>
  <c r="K3" i="22" s="1"/>
  <c r="K3" i="25" s="1"/>
  <c r="C34" i="17"/>
  <c r="E34" i="17"/>
  <c r="D17" i="17"/>
  <c r="D34" i="17"/>
  <c r="C17" i="17"/>
  <c r="E17" i="17"/>
  <c r="F17" i="17"/>
  <c r="G17" i="17"/>
  <c r="G34" i="17"/>
  <c r="B17" i="17"/>
  <c r="F34" i="17"/>
  <c r="B34" i="17"/>
  <c r="D12" i="17"/>
  <c r="F12" i="17"/>
  <c r="D29" i="17"/>
  <c r="C12" i="17"/>
  <c r="E12" i="17"/>
  <c r="C29" i="17"/>
  <c r="E29" i="17"/>
  <c r="G29" i="17"/>
  <c r="B12" i="17"/>
  <c r="B29" i="17"/>
  <c r="F29" i="17"/>
  <c r="G12" i="17"/>
  <c r="D170" i="17"/>
  <c r="D179" i="17"/>
  <c r="C170" i="17"/>
  <c r="E170" i="17"/>
  <c r="C179" i="17"/>
  <c r="G179" i="17"/>
  <c r="E179" i="17"/>
  <c r="F170" i="17"/>
  <c r="B170" i="17"/>
  <c r="F179" i="17"/>
  <c r="B179" i="17"/>
  <c r="G170" i="17"/>
  <c r="D234" i="17"/>
  <c r="D243" i="17"/>
  <c r="C234" i="17"/>
  <c r="E234" i="17"/>
  <c r="C243" i="17"/>
  <c r="G243" i="17"/>
  <c r="F234" i="17"/>
  <c r="B234" i="17"/>
  <c r="F243" i="17"/>
  <c r="B243" i="17"/>
  <c r="E243" i="17"/>
  <c r="G234" i="17"/>
  <c r="D86" i="17"/>
  <c r="D103" i="17"/>
  <c r="C86" i="17"/>
  <c r="E86" i="17"/>
  <c r="C103" i="17"/>
  <c r="G103" i="17"/>
  <c r="E103" i="17"/>
  <c r="F86" i="17"/>
  <c r="B86" i="17"/>
  <c r="F103" i="17"/>
  <c r="B103" i="17"/>
  <c r="G86" i="17"/>
  <c r="D299" i="17"/>
  <c r="C299" i="17"/>
  <c r="G299" i="17"/>
  <c r="E299" i="17"/>
  <c r="F299" i="17"/>
  <c r="B299" i="17"/>
  <c r="D421" i="17"/>
  <c r="C421" i="17"/>
  <c r="G421" i="17"/>
  <c r="E421" i="17"/>
  <c r="F421" i="17"/>
  <c r="B421" i="17"/>
  <c r="E12" i="21"/>
  <c r="I12" i="21"/>
  <c r="E14" i="21"/>
  <c r="I14" i="21"/>
  <c r="E15" i="21"/>
  <c r="I15" i="21"/>
  <c r="E16" i="21"/>
  <c r="I16" i="21"/>
  <c r="E17" i="21"/>
  <c r="I17" i="21"/>
  <c r="E24" i="21"/>
  <c r="I24" i="21"/>
  <c r="E29" i="21"/>
  <c r="I29" i="21"/>
  <c r="E31" i="21"/>
  <c r="I31" i="21"/>
  <c r="E32" i="21"/>
  <c r="I32" i="21"/>
  <c r="E33" i="21"/>
  <c r="E34" i="21"/>
  <c r="I34" i="21"/>
  <c r="E41" i="21"/>
  <c r="I41" i="21"/>
  <c r="E51" i="21"/>
  <c r="E75" i="21"/>
  <c r="I75" i="21"/>
  <c r="E76" i="21"/>
  <c r="I76" i="21"/>
  <c r="E83" i="21"/>
  <c r="I83" i="21"/>
  <c r="E86" i="21"/>
  <c r="I86" i="21"/>
  <c r="E92" i="21"/>
  <c r="E93" i="21"/>
  <c r="I93" i="21"/>
  <c r="E100" i="21"/>
  <c r="I100" i="21"/>
  <c r="E103" i="21"/>
  <c r="I103" i="21"/>
  <c r="E106" i="21"/>
  <c r="I106" i="21"/>
  <c r="E107" i="21"/>
  <c r="I107" i="21"/>
  <c r="E115" i="21"/>
  <c r="E116" i="21"/>
  <c r="I116" i="21"/>
  <c r="E144" i="21"/>
  <c r="I144" i="21"/>
  <c r="E161" i="21"/>
  <c r="E166" i="21"/>
  <c r="I166" i="21"/>
  <c r="E169" i="21"/>
  <c r="I169" i="21"/>
  <c r="E170" i="21"/>
  <c r="I170" i="21"/>
  <c r="E175" i="21"/>
  <c r="I175" i="21"/>
  <c r="E178" i="21"/>
  <c r="I178" i="21"/>
  <c r="E179" i="21"/>
  <c r="I179" i="21"/>
  <c r="E198" i="21"/>
  <c r="I198" i="21"/>
  <c r="E205" i="21"/>
  <c r="I205" i="21"/>
  <c r="E215" i="21"/>
  <c r="E222" i="21"/>
  <c r="I222" i="21"/>
  <c r="E229" i="21"/>
  <c r="I229" i="21"/>
  <c r="E234" i="21"/>
  <c r="I234" i="21"/>
  <c r="E238" i="21"/>
  <c r="I238" i="21"/>
  <c r="E243" i="21"/>
  <c r="I243" i="21"/>
  <c r="E298" i="21"/>
  <c r="I298" i="21"/>
  <c r="E299" i="21"/>
  <c r="I299" i="21"/>
  <c r="E359" i="21"/>
  <c r="E360" i="21"/>
  <c r="I360" i="21"/>
  <c r="E420" i="21"/>
  <c r="I420" i="21"/>
  <c r="E421" i="21"/>
  <c r="I421" i="21"/>
  <c r="C14" i="14"/>
  <c r="G14" i="14"/>
  <c r="C51" i="17"/>
  <c r="E51" i="17"/>
  <c r="D51" i="17"/>
  <c r="F51" i="17"/>
  <c r="B51" i="17"/>
  <c r="G51" i="17"/>
  <c r="T3" i="18"/>
  <c r="R5" i="18"/>
  <c r="V5" i="18"/>
  <c r="P6" i="18"/>
  <c r="T6" i="18"/>
  <c r="X6" i="18"/>
  <c r="R7" i="18"/>
  <c r="V7" i="18"/>
  <c r="P8" i="18"/>
  <c r="T8" i="18"/>
  <c r="X8" i="18"/>
  <c r="R9" i="18"/>
  <c r="V9" i="18"/>
  <c r="P10" i="18"/>
  <c r="T10" i="18"/>
  <c r="X10" i="18"/>
  <c r="R11" i="18"/>
  <c r="V11" i="18"/>
  <c r="P12" i="18"/>
  <c r="T12" i="18"/>
  <c r="X12" i="18"/>
  <c r="R13" i="18"/>
  <c r="V13" i="18"/>
  <c r="P14" i="18"/>
  <c r="T14" i="18"/>
  <c r="X14" i="18"/>
  <c r="R15" i="18"/>
  <c r="V15" i="18"/>
  <c r="P16" i="18"/>
  <c r="T16" i="18"/>
  <c r="X16" i="18"/>
  <c r="R17" i="18"/>
  <c r="V17" i="18"/>
  <c r="P18" i="18"/>
  <c r="T18" i="18"/>
  <c r="X18" i="18"/>
  <c r="R19" i="18"/>
  <c r="V19" i="18"/>
  <c r="P20" i="18"/>
  <c r="T20" i="18"/>
  <c r="X20" i="18"/>
  <c r="R21" i="18"/>
  <c r="V21" i="18"/>
  <c r="P22" i="18"/>
  <c r="T22" i="18"/>
  <c r="X22" i="18"/>
  <c r="R23" i="18"/>
  <c r="V23" i="18"/>
  <c r="P24" i="18"/>
  <c r="T24" i="18"/>
  <c r="X24" i="18"/>
  <c r="R25" i="18"/>
  <c r="V25" i="18"/>
  <c r="P26" i="18"/>
  <c r="T26" i="18"/>
  <c r="X26" i="18"/>
  <c r="R27" i="18"/>
  <c r="V27" i="18"/>
  <c r="P28" i="18"/>
  <c r="T28" i="18"/>
  <c r="X28" i="18"/>
  <c r="T37" i="19"/>
  <c r="C61" i="22" s="1"/>
  <c r="C61" i="25" s="1"/>
  <c r="X37" i="19"/>
  <c r="G61" i="22" s="1"/>
  <c r="G61" i="25" s="1"/>
  <c r="AB37" i="19"/>
  <c r="K61" i="22" s="1"/>
  <c r="K61" i="25" s="1"/>
  <c r="U37" i="19"/>
  <c r="D61" i="22" s="1"/>
  <c r="D61" i="25" s="1"/>
  <c r="Y37" i="19"/>
  <c r="H61" i="22" s="1"/>
  <c r="H61" i="25" s="1"/>
  <c r="AC37" i="19"/>
  <c r="L61" i="22" s="1"/>
  <c r="L61" i="25" s="1"/>
  <c r="V37" i="19"/>
  <c r="E61" i="22" s="1"/>
  <c r="E61" i="25" s="1"/>
  <c r="Z37" i="19"/>
  <c r="I61" i="22" s="1"/>
  <c r="I61" i="25" s="1"/>
  <c r="AD37" i="19"/>
  <c r="M61" i="22" s="1"/>
  <c r="M61" i="25" s="1"/>
  <c r="S37" i="19"/>
  <c r="W37" i="19"/>
  <c r="F61" i="22" s="1"/>
  <c r="F61" i="25" s="1"/>
  <c r="AA37" i="19"/>
  <c r="J61" i="22" s="1"/>
  <c r="J61" i="25" s="1"/>
  <c r="T33" i="19"/>
  <c r="X33" i="19"/>
  <c r="AB33" i="19"/>
  <c r="U33" i="19"/>
  <c r="Y33" i="19"/>
  <c r="AC33" i="19"/>
  <c r="V33" i="19"/>
  <c r="Z33" i="19"/>
  <c r="AD33" i="19"/>
  <c r="S33" i="19"/>
  <c r="W33" i="19"/>
  <c r="AA33" i="19"/>
  <c r="T29" i="19"/>
  <c r="X29" i="19"/>
  <c r="AB29" i="19"/>
  <c r="U29" i="19"/>
  <c r="Y29" i="19"/>
  <c r="AC29" i="19"/>
  <c r="V29" i="19"/>
  <c r="AD29" i="19"/>
  <c r="W29" i="19"/>
  <c r="Z29" i="19"/>
  <c r="S29" i="19"/>
  <c r="AA29" i="19"/>
  <c r="T25" i="19"/>
  <c r="X25" i="19"/>
  <c r="AB25" i="19"/>
  <c r="U25" i="19"/>
  <c r="Y25" i="19"/>
  <c r="AC25" i="19"/>
  <c r="V25" i="19"/>
  <c r="Z25" i="19"/>
  <c r="AD25" i="19"/>
  <c r="S25" i="19"/>
  <c r="W25" i="19"/>
  <c r="AA25" i="19"/>
  <c r="T21" i="19"/>
  <c r="X21" i="19"/>
  <c r="AB21" i="19"/>
  <c r="U21" i="19"/>
  <c r="Y21" i="19"/>
  <c r="AC21" i="19"/>
  <c r="V21" i="19"/>
  <c r="Z21" i="19"/>
  <c r="AD21" i="19"/>
  <c r="S21" i="19"/>
  <c r="W21" i="19"/>
  <c r="AA21" i="19"/>
  <c r="T17" i="19"/>
  <c r="X17" i="19"/>
  <c r="AB17" i="19"/>
  <c r="U17" i="19"/>
  <c r="Y17" i="19"/>
  <c r="AC17" i="19"/>
  <c r="V17" i="19"/>
  <c r="Z17" i="19"/>
  <c r="AD17" i="19"/>
  <c r="S17" i="19"/>
  <c r="W17" i="19"/>
  <c r="AA17" i="19"/>
  <c r="T13" i="19"/>
  <c r="X13" i="19"/>
  <c r="AB13" i="19"/>
  <c r="U13" i="19"/>
  <c r="Y13" i="19"/>
  <c r="AC13" i="19"/>
  <c r="V13" i="19"/>
  <c r="Z13" i="19"/>
  <c r="AD13" i="19"/>
  <c r="S13" i="19"/>
  <c r="W13" i="19"/>
  <c r="AA13" i="19"/>
  <c r="T7" i="19"/>
  <c r="C5" i="22" s="1"/>
  <c r="C5" i="25" s="1"/>
  <c r="X7" i="19"/>
  <c r="G5" i="22" s="1"/>
  <c r="G5" i="25" s="1"/>
  <c r="AB7" i="19"/>
  <c r="K5" i="22" s="1"/>
  <c r="K5" i="25" s="1"/>
  <c r="U7" i="19"/>
  <c r="D5" i="22" s="1"/>
  <c r="D5" i="25" s="1"/>
  <c r="Y7" i="19"/>
  <c r="H5" i="22" s="1"/>
  <c r="H5" i="25" s="1"/>
  <c r="AC7" i="19"/>
  <c r="L5" i="22" s="1"/>
  <c r="L5" i="25" s="1"/>
  <c r="E83" i="15" s="1"/>
  <c r="V7" i="19"/>
  <c r="E5" i="22" s="1"/>
  <c r="E5" i="25" s="1"/>
  <c r="Z7" i="19"/>
  <c r="I5" i="22" s="1"/>
  <c r="I5" i="25" s="1"/>
  <c r="AD7" i="19"/>
  <c r="M5" i="22" s="1"/>
  <c r="M5" i="25" s="1"/>
  <c r="AA7" i="19"/>
  <c r="J5" i="22" s="1"/>
  <c r="J5" i="25" s="1"/>
  <c r="S7" i="19"/>
  <c r="W7" i="19"/>
  <c r="F5" i="22" s="1"/>
  <c r="F5" i="25" s="1"/>
  <c r="D16" i="17"/>
  <c r="F16" i="17"/>
  <c r="D33" i="17"/>
  <c r="C16" i="17"/>
  <c r="E16" i="17"/>
  <c r="C33" i="17"/>
  <c r="E33" i="17"/>
  <c r="G33" i="17"/>
  <c r="B16" i="17"/>
  <c r="F33" i="17"/>
  <c r="B33" i="17"/>
  <c r="G16" i="17"/>
  <c r="C144" i="17"/>
  <c r="E144" i="17"/>
  <c r="C161" i="17"/>
  <c r="E161" i="17"/>
  <c r="D144" i="17"/>
  <c r="D161" i="17"/>
  <c r="F161" i="17"/>
  <c r="B161" i="17"/>
  <c r="G144" i="17"/>
  <c r="G161" i="17"/>
  <c r="F144" i="17"/>
  <c r="B144" i="17"/>
  <c r="D198" i="17"/>
  <c r="D215" i="17"/>
  <c r="C198" i="17"/>
  <c r="E198" i="17"/>
  <c r="C215" i="17"/>
  <c r="G215" i="17"/>
  <c r="F198" i="17"/>
  <c r="B198" i="17"/>
  <c r="F215" i="17"/>
  <c r="B215" i="17"/>
  <c r="E215" i="17"/>
  <c r="G198" i="17"/>
  <c r="C92" i="17"/>
  <c r="E92" i="17"/>
  <c r="D75" i="17"/>
  <c r="D92" i="17"/>
  <c r="C75" i="17"/>
  <c r="E75" i="17"/>
  <c r="G75" i="17"/>
  <c r="G92" i="17"/>
  <c r="F75" i="17"/>
  <c r="B75" i="17"/>
  <c r="F92" i="17"/>
  <c r="B92" i="17"/>
  <c r="D106" i="17"/>
  <c r="D115" i="17"/>
  <c r="C106" i="17"/>
  <c r="E106" i="17"/>
  <c r="C115" i="17"/>
  <c r="E115" i="17"/>
  <c r="G115" i="17"/>
  <c r="F106" i="17"/>
  <c r="B106" i="17"/>
  <c r="F115" i="17"/>
  <c r="B115" i="17"/>
  <c r="G106" i="17"/>
  <c r="D359" i="17"/>
  <c r="C359" i="17"/>
  <c r="E359" i="17"/>
  <c r="F359" i="17"/>
  <c r="B359" i="17"/>
  <c r="G359" i="17"/>
  <c r="B16" i="21"/>
  <c r="F16" i="21"/>
  <c r="B24" i="21"/>
  <c r="F24" i="21"/>
  <c r="B29" i="21"/>
  <c r="F29" i="21"/>
  <c r="B31" i="21"/>
  <c r="F31" i="21"/>
  <c r="B32" i="21"/>
  <c r="B33" i="21"/>
  <c r="F33" i="21"/>
  <c r="B34" i="21"/>
  <c r="F34" i="21"/>
  <c r="B41" i="21"/>
  <c r="F41" i="21"/>
  <c r="B51" i="21"/>
  <c r="F51" i="21"/>
  <c r="B75" i="21"/>
  <c r="F75" i="21"/>
  <c r="B76" i="21"/>
  <c r="F76" i="21"/>
  <c r="B83" i="21"/>
  <c r="F83" i="21"/>
  <c r="B86" i="21"/>
  <c r="F86" i="21"/>
  <c r="B92" i="21"/>
  <c r="F92" i="21"/>
  <c r="B93" i="21"/>
  <c r="B100" i="21"/>
  <c r="F100" i="21"/>
  <c r="B103" i="21"/>
  <c r="F103" i="21"/>
  <c r="B106" i="21"/>
  <c r="F106" i="21"/>
  <c r="B107" i="21"/>
  <c r="F107" i="21"/>
  <c r="B115" i="21"/>
  <c r="F115" i="21"/>
  <c r="B116" i="21"/>
  <c r="B144" i="21"/>
  <c r="F144" i="21"/>
  <c r="B161" i="21"/>
  <c r="F161" i="21"/>
  <c r="B166" i="21"/>
  <c r="F166" i="21"/>
  <c r="B169" i="21"/>
  <c r="F169" i="21"/>
  <c r="B170" i="21"/>
  <c r="F170" i="21"/>
  <c r="B175" i="21"/>
  <c r="B178" i="21"/>
  <c r="F178" i="21"/>
  <c r="B179" i="21"/>
  <c r="F179" i="21"/>
  <c r="B198" i="21"/>
  <c r="F198" i="21"/>
  <c r="B205" i="21"/>
  <c r="F205" i="21"/>
  <c r="B215" i="21"/>
  <c r="F215" i="21"/>
  <c r="B222" i="21"/>
  <c r="B229" i="21"/>
  <c r="F229" i="21"/>
  <c r="B234" i="21"/>
  <c r="F234" i="21"/>
  <c r="B238" i="21"/>
  <c r="F238" i="21"/>
  <c r="B243" i="21"/>
  <c r="F243" i="21"/>
  <c r="B298" i="21"/>
  <c r="F298" i="21"/>
  <c r="B299" i="21"/>
  <c r="F299" i="21"/>
  <c r="B359" i="21"/>
  <c r="F359" i="21"/>
  <c r="B360" i="21"/>
  <c r="B420" i="21"/>
  <c r="F420" i="21"/>
  <c r="B421" i="21"/>
  <c r="F421" i="21"/>
  <c r="V3" i="18"/>
  <c r="Q4" i="18"/>
  <c r="U4" i="18"/>
  <c r="O5" i="18"/>
  <c r="S5" i="18"/>
  <c r="W5" i="18"/>
  <c r="Q6" i="18"/>
  <c r="U6" i="18"/>
  <c r="O7" i="18"/>
  <c r="S7" i="18"/>
  <c r="W7" i="18"/>
  <c r="Q8" i="18"/>
  <c r="U8" i="18"/>
  <c r="O9" i="18"/>
  <c r="S9" i="18"/>
  <c r="W9" i="18"/>
  <c r="Q10" i="18"/>
  <c r="U10" i="18"/>
  <c r="O11" i="18"/>
  <c r="S11" i="18"/>
  <c r="W11" i="18"/>
  <c r="Q12" i="18"/>
  <c r="U12" i="18"/>
  <c r="O13" i="18"/>
  <c r="S13" i="18"/>
  <c r="W13" i="18"/>
  <c r="Q14" i="18"/>
  <c r="U14" i="18"/>
  <c r="O15" i="18"/>
  <c r="S15" i="18"/>
  <c r="W15" i="18"/>
  <c r="Q16" i="18"/>
  <c r="U16" i="18"/>
  <c r="O17" i="18"/>
  <c r="S17" i="18"/>
  <c r="W17" i="18"/>
  <c r="Q18" i="18"/>
  <c r="U18" i="18"/>
  <c r="O19" i="18"/>
  <c r="S19" i="18"/>
  <c r="W19" i="18"/>
  <c r="Q20" i="18"/>
  <c r="U20" i="18"/>
  <c r="O21" i="18"/>
  <c r="S21" i="18"/>
  <c r="W21" i="18"/>
  <c r="Q22" i="18"/>
  <c r="U22" i="18"/>
  <c r="O23" i="18"/>
  <c r="S23" i="18"/>
  <c r="W23" i="18"/>
  <c r="Q24" i="18"/>
  <c r="U24" i="18"/>
  <c r="O25" i="18"/>
  <c r="S25" i="18"/>
  <c r="W25" i="18"/>
  <c r="Q26" i="18"/>
  <c r="U26" i="18"/>
  <c r="O27" i="18"/>
  <c r="S27" i="18"/>
  <c r="W27" i="18"/>
  <c r="Q28" i="18"/>
  <c r="U28" i="18"/>
  <c r="T36" i="19"/>
  <c r="C60" i="22" s="1"/>
  <c r="C60" i="25" s="1"/>
  <c r="X36" i="19"/>
  <c r="G60" i="22" s="1"/>
  <c r="G60" i="25" s="1"/>
  <c r="AB36" i="19"/>
  <c r="K60" i="22" s="1"/>
  <c r="K60" i="25" s="1"/>
  <c r="U36" i="19"/>
  <c r="D60" i="22" s="1"/>
  <c r="D60" i="25" s="1"/>
  <c r="Y36" i="19"/>
  <c r="H60" i="22" s="1"/>
  <c r="H60" i="25" s="1"/>
  <c r="AC36" i="19"/>
  <c r="L60" i="22" s="1"/>
  <c r="L60" i="25" s="1"/>
  <c r="V36" i="19"/>
  <c r="E60" i="22" s="1"/>
  <c r="E60" i="25" s="1"/>
  <c r="Z36" i="19"/>
  <c r="I60" i="22" s="1"/>
  <c r="I60" i="25" s="1"/>
  <c r="AD36" i="19"/>
  <c r="M60" i="22" s="1"/>
  <c r="M60" i="25" s="1"/>
  <c r="S36" i="19"/>
  <c r="W36" i="19"/>
  <c r="F60" i="22" s="1"/>
  <c r="F60" i="25" s="1"/>
  <c r="AA36" i="19"/>
  <c r="J60" i="22" s="1"/>
  <c r="J60" i="25" s="1"/>
  <c r="T32" i="19"/>
  <c r="X32" i="19"/>
  <c r="AB32" i="19"/>
  <c r="U32" i="19"/>
  <c r="Y32" i="19"/>
  <c r="AC32" i="19"/>
  <c r="Z32" i="19"/>
  <c r="S32" i="19"/>
  <c r="AA32" i="19"/>
  <c r="V32" i="19"/>
  <c r="AD32" i="19"/>
  <c r="W32" i="19"/>
  <c r="T28" i="19"/>
  <c r="X28" i="19"/>
  <c r="AB28" i="19"/>
  <c r="U28" i="19"/>
  <c r="Y28" i="19"/>
  <c r="AC28" i="19"/>
  <c r="Z28" i="19"/>
  <c r="S28" i="19"/>
  <c r="AA28" i="19"/>
  <c r="V28" i="19"/>
  <c r="AD28" i="19"/>
  <c r="W28" i="19"/>
  <c r="T24" i="19"/>
  <c r="X24" i="19"/>
  <c r="AB24" i="19"/>
  <c r="U24" i="19"/>
  <c r="Y24" i="19"/>
  <c r="AC24" i="19"/>
  <c r="V24" i="19"/>
  <c r="Z24" i="19"/>
  <c r="AD24" i="19"/>
  <c r="S24" i="19"/>
  <c r="W24" i="19"/>
  <c r="AA24" i="19"/>
  <c r="T20" i="19"/>
  <c r="X20" i="19"/>
  <c r="AB20" i="19"/>
  <c r="U20" i="19"/>
  <c r="Y20" i="19"/>
  <c r="AC20" i="19"/>
  <c r="V20" i="19"/>
  <c r="Z20" i="19"/>
  <c r="AD20" i="19"/>
  <c r="S20" i="19"/>
  <c r="W20" i="19"/>
  <c r="AA20" i="19"/>
  <c r="T16" i="19"/>
  <c r="X16" i="19"/>
  <c r="AB16" i="19"/>
  <c r="U16" i="19"/>
  <c r="Y16" i="19"/>
  <c r="AC16" i="19"/>
  <c r="V16" i="19"/>
  <c r="Z16" i="19"/>
  <c r="AD16" i="19"/>
  <c r="S16" i="19"/>
  <c r="W16" i="19"/>
  <c r="AA16" i="19"/>
  <c r="T12" i="19"/>
  <c r="X12" i="19"/>
  <c r="AB12" i="19"/>
  <c r="U12" i="19"/>
  <c r="Y12" i="19"/>
  <c r="AC12" i="19"/>
  <c r="V12" i="19"/>
  <c r="Z12" i="19"/>
  <c r="AD12" i="19"/>
  <c r="S12" i="19"/>
  <c r="W12" i="19"/>
  <c r="AA12" i="19"/>
  <c r="T6" i="19"/>
  <c r="X6" i="19"/>
  <c r="AB6" i="19"/>
  <c r="U6" i="19"/>
  <c r="Y6" i="19"/>
  <c r="AC6" i="19"/>
  <c r="V6" i="19"/>
  <c r="Z6" i="19"/>
  <c r="AD6" i="19"/>
  <c r="W6" i="19"/>
  <c r="AA6" i="19"/>
  <c r="S6" i="19"/>
  <c r="D32" i="17"/>
  <c r="F32" i="17"/>
  <c r="C15" i="17"/>
  <c r="E15" i="17"/>
  <c r="C32" i="17"/>
  <c r="E32" i="17"/>
  <c r="D15" i="17"/>
  <c r="B15" i="17"/>
  <c r="B32" i="17"/>
  <c r="G15" i="17"/>
  <c r="F15" i="17"/>
  <c r="G32" i="17"/>
  <c r="D166" i="17"/>
  <c r="D175" i="17"/>
  <c r="C166" i="17"/>
  <c r="E166" i="17"/>
  <c r="C175" i="17"/>
  <c r="G175" i="17"/>
  <c r="F166" i="17"/>
  <c r="B166" i="17"/>
  <c r="E175" i="17"/>
  <c r="F175" i="17"/>
  <c r="B175" i="17"/>
  <c r="G166" i="17"/>
  <c r="D222" i="17"/>
  <c r="C205" i="17"/>
  <c r="E205" i="17"/>
  <c r="C222" i="17"/>
  <c r="E222" i="17"/>
  <c r="D205" i="17"/>
  <c r="F205" i="17"/>
  <c r="B205" i="17"/>
  <c r="F222" i="17"/>
  <c r="B222" i="17"/>
  <c r="G205" i="17"/>
  <c r="G222" i="17"/>
  <c r="C76" i="17"/>
  <c r="E76" i="17"/>
  <c r="C93" i="17"/>
  <c r="E93" i="17"/>
  <c r="D76" i="17"/>
  <c r="D93" i="17"/>
  <c r="F93" i="17"/>
  <c r="B93" i="17"/>
  <c r="G76" i="17"/>
  <c r="G93" i="17"/>
  <c r="F76" i="17"/>
  <c r="B76" i="17"/>
  <c r="C116" i="17"/>
  <c r="E116" i="17"/>
  <c r="D107" i="17"/>
  <c r="D116" i="17"/>
  <c r="C107" i="17"/>
  <c r="E107" i="17"/>
  <c r="G107" i="17"/>
  <c r="G116" i="17"/>
  <c r="F107" i="17"/>
  <c r="B107" i="17"/>
  <c r="F116" i="17"/>
  <c r="B116" i="17"/>
  <c r="D360" i="17"/>
  <c r="C360" i="17"/>
  <c r="G360" i="17"/>
  <c r="E360" i="17"/>
  <c r="F360" i="17"/>
  <c r="B360" i="17"/>
  <c r="C12" i="21"/>
  <c r="G12" i="21"/>
  <c r="C14" i="21"/>
  <c r="G14" i="21"/>
  <c r="C15" i="21"/>
  <c r="G15" i="21"/>
  <c r="C16" i="21"/>
  <c r="G16" i="21"/>
  <c r="C17" i="21"/>
  <c r="G17" i="21"/>
  <c r="C24" i="21"/>
  <c r="G24" i="21"/>
  <c r="C29" i="21"/>
  <c r="G29" i="21"/>
  <c r="C31" i="21"/>
  <c r="C32" i="21"/>
  <c r="G32" i="21"/>
  <c r="C33" i="21"/>
  <c r="G33" i="21"/>
  <c r="C34" i="21"/>
  <c r="G34" i="21"/>
  <c r="C41" i="21"/>
  <c r="C51" i="21"/>
  <c r="G51" i="21"/>
  <c r="C75" i="21"/>
  <c r="G75" i="21"/>
  <c r="C76" i="21"/>
  <c r="G76" i="21"/>
  <c r="C83" i="21"/>
  <c r="G83" i="21"/>
  <c r="C86" i="21"/>
  <c r="G86" i="21"/>
  <c r="C92" i="21"/>
  <c r="G92" i="21"/>
  <c r="C93" i="21"/>
  <c r="G93" i="21"/>
  <c r="C100" i="21"/>
  <c r="C103" i="21"/>
  <c r="G103" i="21"/>
  <c r="C106" i="21"/>
  <c r="G106" i="21"/>
  <c r="C107" i="21"/>
  <c r="G107" i="21"/>
  <c r="C115" i="21"/>
  <c r="G115" i="21"/>
  <c r="C116" i="21"/>
  <c r="G116" i="21"/>
  <c r="C144" i="21"/>
  <c r="G144" i="21"/>
  <c r="C161" i="21"/>
  <c r="G161" i="21"/>
  <c r="C166" i="21"/>
  <c r="G166" i="21"/>
  <c r="C169" i="21"/>
  <c r="G169" i="21"/>
  <c r="C170" i="21"/>
  <c r="G170" i="21"/>
  <c r="C175" i="21"/>
  <c r="G175" i="21"/>
  <c r="C178" i="21"/>
  <c r="C179" i="21"/>
  <c r="G179" i="21"/>
  <c r="C198" i="21"/>
  <c r="G198" i="21"/>
  <c r="C205" i="21"/>
  <c r="G205" i="21"/>
  <c r="C215" i="21"/>
  <c r="G215" i="21"/>
  <c r="C222" i="21"/>
  <c r="G222" i="21"/>
  <c r="C229" i="21"/>
  <c r="G229" i="21"/>
  <c r="C234" i="21"/>
  <c r="G234" i="21"/>
  <c r="C238" i="21"/>
  <c r="C243" i="21"/>
  <c r="G243" i="21"/>
  <c r="C298" i="21"/>
  <c r="C299" i="21"/>
  <c r="G299" i="21"/>
  <c r="C359" i="21"/>
  <c r="G359" i="21"/>
  <c r="C360" i="21"/>
  <c r="G360" i="21"/>
  <c r="C420" i="21"/>
  <c r="C421" i="21"/>
  <c r="G421" i="21"/>
  <c r="B5" i="14"/>
  <c r="F5" i="14"/>
  <c r="D6" i="14"/>
  <c r="B7" i="14"/>
  <c r="C13" i="14"/>
  <c r="G13" i="14"/>
  <c r="R4" i="18"/>
  <c r="P5" i="18"/>
  <c r="T5" i="18"/>
  <c r="R6" i="18"/>
  <c r="P7" i="18"/>
  <c r="T7" i="18"/>
  <c r="R8" i="18"/>
  <c r="P9" i="18"/>
  <c r="T9" i="18"/>
  <c r="R10" i="18"/>
  <c r="P11" i="18"/>
  <c r="T11" i="18"/>
  <c r="R12" i="18"/>
  <c r="P13" i="18"/>
  <c r="T13" i="18"/>
  <c r="R14" i="18"/>
  <c r="P15" i="18"/>
  <c r="T15" i="18"/>
  <c r="R16" i="18"/>
  <c r="P17" i="18"/>
  <c r="T17" i="18"/>
  <c r="R18" i="18"/>
  <c r="P19" i="18"/>
  <c r="T19" i="18"/>
  <c r="R20" i="18"/>
  <c r="P21" i="18"/>
  <c r="T21" i="18"/>
  <c r="R22" i="18"/>
  <c r="P23" i="18"/>
  <c r="T23" i="18"/>
  <c r="R24" i="18"/>
  <c r="P25" i="18"/>
  <c r="T25" i="18"/>
  <c r="R26" i="18"/>
  <c r="P27" i="18"/>
  <c r="T27" i="18"/>
  <c r="R28" i="18"/>
  <c r="T35" i="19"/>
  <c r="X35" i="19"/>
  <c r="AB35" i="19"/>
  <c r="U35" i="19"/>
  <c r="Y35" i="19"/>
  <c r="AC35" i="19"/>
  <c r="V35" i="19"/>
  <c r="Z35" i="19"/>
  <c r="AD35" i="19"/>
  <c r="S35" i="19"/>
  <c r="W35" i="19"/>
  <c r="AA35" i="19"/>
  <c r="T31" i="19"/>
  <c r="X31" i="19"/>
  <c r="AB31" i="19"/>
  <c r="U31" i="19"/>
  <c r="Y31" i="19"/>
  <c r="AC31" i="19"/>
  <c r="V31" i="19"/>
  <c r="AD31" i="19"/>
  <c r="W31" i="19"/>
  <c r="Z31" i="19"/>
  <c r="S31" i="19"/>
  <c r="AA31" i="19"/>
  <c r="T27" i="19"/>
  <c r="X27" i="19"/>
  <c r="AB27" i="19"/>
  <c r="U27" i="19"/>
  <c r="Y27" i="19"/>
  <c r="AC27" i="19"/>
  <c r="V27" i="19"/>
  <c r="AD27" i="19"/>
  <c r="W27" i="19"/>
  <c r="Z27" i="19"/>
  <c r="S27" i="19"/>
  <c r="AA27" i="19"/>
  <c r="T23" i="19"/>
  <c r="X23" i="19"/>
  <c r="AB23" i="19"/>
  <c r="U23" i="19"/>
  <c r="Y23" i="19"/>
  <c r="AC23" i="19"/>
  <c r="V23" i="19"/>
  <c r="Z23" i="19"/>
  <c r="AD23" i="19"/>
  <c r="AA23" i="19"/>
  <c r="S23" i="19"/>
  <c r="W23" i="19"/>
  <c r="T19" i="19"/>
  <c r="X19" i="19"/>
  <c r="AB19" i="19"/>
  <c r="U19" i="19"/>
  <c r="Y19" i="19"/>
  <c r="AC19" i="19"/>
  <c r="V19" i="19"/>
  <c r="Z19" i="19"/>
  <c r="AD19" i="19"/>
  <c r="AA19" i="19"/>
  <c r="S19" i="19"/>
  <c r="W19" i="19"/>
  <c r="T15" i="19"/>
  <c r="X15" i="19"/>
  <c r="AB15" i="19"/>
  <c r="U15" i="19"/>
  <c r="Y15" i="19"/>
  <c r="AC15" i="19"/>
  <c r="V15" i="19"/>
  <c r="Z15" i="19"/>
  <c r="AD15" i="19"/>
  <c r="AA15" i="19"/>
  <c r="S15" i="19"/>
  <c r="W15" i="19"/>
  <c r="T11" i="19"/>
  <c r="X11" i="19"/>
  <c r="AB11" i="19"/>
  <c r="U11" i="19"/>
  <c r="Y11" i="19"/>
  <c r="AC11" i="19"/>
  <c r="V11" i="19"/>
  <c r="Z11" i="19"/>
  <c r="AD11" i="19"/>
  <c r="AA11" i="19"/>
  <c r="S11" i="19"/>
  <c r="W11" i="19"/>
  <c r="T5" i="19"/>
  <c r="C4" i="22" s="1"/>
  <c r="C4" i="25" s="1"/>
  <c r="X5" i="19"/>
  <c r="G4" i="22" s="1"/>
  <c r="G4" i="25" s="1"/>
  <c r="AB5" i="19"/>
  <c r="K4" i="22" s="1"/>
  <c r="K4" i="25" s="1"/>
  <c r="U5" i="19"/>
  <c r="D4" i="22" s="1"/>
  <c r="D4" i="25" s="1"/>
  <c r="Y5" i="19"/>
  <c r="H4" i="22" s="1"/>
  <c r="H4" i="25" s="1"/>
  <c r="AC5" i="19"/>
  <c r="L4" i="22" s="1"/>
  <c r="L4" i="25" s="1"/>
  <c r="V5" i="19"/>
  <c r="E4" i="22" s="1"/>
  <c r="E4" i="25" s="1"/>
  <c r="Z5" i="19"/>
  <c r="I4" i="22" s="1"/>
  <c r="I4" i="25" s="1"/>
  <c r="AD5" i="19"/>
  <c r="M4" i="22" s="1"/>
  <c r="M4" i="25" s="1"/>
  <c r="S5" i="19"/>
  <c r="W5" i="19"/>
  <c r="F4" i="22" s="1"/>
  <c r="F4" i="25" s="1"/>
  <c r="AA5" i="19"/>
  <c r="J4" i="22" s="1"/>
  <c r="J4" i="25" s="1"/>
  <c r="D24" i="17"/>
  <c r="F24" i="17"/>
  <c r="D41" i="17"/>
  <c r="C24" i="17"/>
  <c r="E24" i="17"/>
  <c r="C41" i="17"/>
  <c r="E41" i="17"/>
  <c r="G41" i="17"/>
  <c r="B24" i="17"/>
  <c r="F41" i="17"/>
  <c r="B41" i="17"/>
  <c r="G24" i="17"/>
  <c r="C14" i="17"/>
  <c r="E14" i="17"/>
  <c r="C31" i="17"/>
  <c r="E31" i="17"/>
  <c r="D14" i="17"/>
  <c r="D31" i="17"/>
  <c r="B31" i="17"/>
  <c r="F31" i="17"/>
  <c r="G14" i="17"/>
  <c r="F14" i="17"/>
  <c r="G31" i="17"/>
  <c r="B14" i="17"/>
  <c r="D178" i="17"/>
  <c r="C169" i="17"/>
  <c r="E169" i="17"/>
  <c r="C178" i="17"/>
  <c r="E178" i="17"/>
  <c r="D169" i="17"/>
  <c r="F169" i="17"/>
  <c r="B169" i="17"/>
  <c r="F178" i="17"/>
  <c r="B178" i="17"/>
  <c r="G169" i="17"/>
  <c r="G178" i="17"/>
  <c r="D238" i="17"/>
  <c r="C229" i="17"/>
  <c r="E229" i="17"/>
  <c r="C238" i="17"/>
  <c r="E238" i="17"/>
  <c r="D229" i="17"/>
  <c r="F229" i="17"/>
  <c r="B229" i="17"/>
  <c r="F238" i="17"/>
  <c r="B238" i="17"/>
  <c r="G229" i="17"/>
  <c r="G238" i="17"/>
  <c r="C100" i="17"/>
  <c r="E100" i="17"/>
  <c r="D83" i="17"/>
  <c r="D100" i="17"/>
  <c r="C83" i="17"/>
  <c r="G83" i="17"/>
  <c r="E83" i="17"/>
  <c r="G100" i="17"/>
  <c r="F83" i="17"/>
  <c r="B83" i="17"/>
  <c r="F100" i="17"/>
  <c r="B100" i="17"/>
  <c r="D298" i="17"/>
  <c r="C298" i="17"/>
  <c r="E298" i="17"/>
  <c r="F298" i="17"/>
  <c r="B298" i="17"/>
  <c r="G298" i="17"/>
  <c r="D420" i="17"/>
  <c r="C420" i="17"/>
  <c r="E420" i="17"/>
  <c r="F420" i="17"/>
  <c r="B420" i="17"/>
  <c r="G420" i="17"/>
  <c r="D12" i="21"/>
  <c r="H12" i="21"/>
  <c r="D14" i="21"/>
  <c r="H14" i="21"/>
  <c r="D15" i="21"/>
  <c r="H15" i="21"/>
  <c r="D16" i="21"/>
  <c r="H16" i="21"/>
  <c r="D17" i="21"/>
  <c r="H17" i="21"/>
  <c r="D24" i="21"/>
  <c r="H24" i="21"/>
  <c r="D29" i="21"/>
  <c r="H29" i="21"/>
  <c r="D31" i="21"/>
  <c r="H31" i="21"/>
  <c r="D32" i="21"/>
  <c r="H32" i="21"/>
  <c r="D33" i="21"/>
  <c r="H33" i="21"/>
  <c r="D34" i="21"/>
  <c r="H34" i="21"/>
  <c r="D41" i="21"/>
  <c r="H41" i="21"/>
  <c r="D51" i="21"/>
  <c r="H51" i="21"/>
  <c r="D75" i="21"/>
  <c r="H75" i="21"/>
  <c r="D76" i="21"/>
  <c r="H76" i="21"/>
  <c r="D83" i="21"/>
  <c r="H83" i="21"/>
  <c r="D86" i="21"/>
  <c r="H86" i="21"/>
  <c r="D92" i="21"/>
  <c r="H92" i="21"/>
  <c r="D93" i="21"/>
  <c r="H93" i="21"/>
  <c r="D100" i="21"/>
  <c r="H100" i="21"/>
  <c r="D103" i="21"/>
  <c r="H103" i="21"/>
  <c r="D106" i="21"/>
  <c r="H106" i="21"/>
  <c r="D107" i="21"/>
  <c r="H107" i="21"/>
  <c r="D115" i="21"/>
  <c r="H115" i="21"/>
  <c r="D116" i="21"/>
  <c r="H116" i="21"/>
  <c r="D144" i="21"/>
  <c r="H144" i="21"/>
  <c r="D161" i="21"/>
  <c r="H161" i="21"/>
  <c r="D166" i="21"/>
  <c r="H166" i="21"/>
  <c r="D169" i="21"/>
  <c r="H169" i="21"/>
  <c r="D170" i="21"/>
  <c r="H170" i="21"/>
  <c r="D175" i="21"/>
  <c r="H175" i="21"/>
  <c r="D178" i="21"/>
  <c r="H178" i="21"/>
  <c r="D179" i="21"/>
  <c r="H179" i="21"/>
  <c r="D198" i="21"/>
  <c r="H198" i="21"/>
  <c r="D205" i="21"/>
  <c r="H205" i="21"/>
  <c r="D215" i="21"/>
  <c r="H215" i="21"/>
  <c r="D222" i="21"/>
  <c r="H222" i="21"/>
  <c r="D229" i="21"/>
  <c r="H229" i="21"/>
  <c r="D234" i="21"/>
  <c r="H234" i="21"/>
  <c r="D238" i="21"/>
  <c r="H238" i="21"/>
  <c r="D243" i="21"/>
  <c r="H243" i="21"/>
  <c r="D298" i="21"/>
  <c r="H298" i="21"/>
  <c r="D299" i="21"/>
  <c r="H299" i="21"/>
  <c r="D359" i="21"/>
  <c r="H359" i="21"/>
  <c r="D360" i="21"/>
  <c r="H360" i="21"/>
  <c r="D420" i="21"/>
  <c r="H420" i="21"/>
  <c r="D421" i="21"/>
  <c r="H421" i="21"/>
  <c r="T9" i="19"/>
  <c r="C7" i="22" s="1"/>
  <c r="C7" i="25" s="1"/>
  <c r="X9" i="19"/>
  <c r="G7" i="22" s="1"/>
  <c r="G7" i="25" s="1"/>
  <c r="AB9" i="19"/>
  <c r="K7" i="22" s="1"/>
  <c r="K7" i="25" s="1"/>
  <c r="U9" i="19"/>
  <c r="D7" i="22" s="1"/>
  <c r="D7" i="25" s="1"/>
  <c r="Y9" i="19"/>
  <c r="H7" i="22" s="1"/>
  <c r="H7" i="25" s="1"/>
  <c r="AC9" i="19"/>
  <c r="L7" i="22" s="1"/>
  <c r="L7" i="25" s="1"/>
  <c r="V9" i="19"/>
  <c r="E7" i="22" s="1"/>
  <c r="E7" i="25" s="1"/>
  <c r="Z9" i="19"/>
  <c r="I7" i="22" s="1"/>
  <c r="I7" i="25" s="1"/>
  <c r="AD9" i="19"/>
  <c r="M7" i="22" s="1"/>
  <c r="M7" i="25" s="1"/>
  <c r="S9" i="19"/>
  <c r="W9" i="19"/>
  <c r="F7" i="22" s="1"/>
  <c r="F7" i="25" s="1"/>
  <c r="AA9" i="19"/>
  <c r="J7" i="22" s="1"/>
  <c r="J7" i="25" s="1"/>
  <c r="E84" i="15"/>
  <c r="E306" i="24" l="1"/>
  <c r="E304" i="24"/>
  <c r="E302" i="24"/>
  <c r="E300" i="24"/>
  <c r="E298" i="24"/>
  <c r="E296" i="24"/>
  <c r="E294" i="24"/>
  <c r="E292" i="24"/>
  <c r="E290" i="24"/>
  <c r="E288" i="24"/>
  <c r="E286" i="24"/>
  <c r="E284" i="24"/>
  <c r="E282" i="24"/>
  <c r="E280" i="24"/>
  <c r="E278" i="24"/>
  <c r="E276" i="24"/>
  <c r="E274" i="24"/>
  <c r="E272" i="24"/>
  <c r="E270" i="24"/>
  <c r="E305" i="24"/>
  <c r="E303" i="24"/>
  <c r="E301" i="24"/>
  <c r="E297" i="24"/>
  <c r="E295" i="24"/>
  <c r="E293" i="24"/>
  <c r="E291" i="24"/>
  <c r="E289" i="24"/>
  <c r="E287" i="24"/>
  <c r="E285" i="24"/>
  <c r="E283" i="24"/>
  <c r="E281" i="24"/>
  <c r="E279" i="24"/>
  <c r="E277" i="24"/>
  <c r="E275" i="24"/>
  <c r="E273" i="24"/>
  <c r="E271" i="24"/>
  <c r="E269" i="24"/>
  <c r="E267" i="24"/>
  <c r="E265" i="24"/>
  <c r="E263" i="24"/>
  <c r="E261" i="24"/>
  <c r="E259" i="24"/>
  <c r="E262" i="24"/>
  <c r="E255" i="24"/>
  <c r="E251" i="24"/>
  <c r="E247" i="24"/>
  <c r="E264" i="24"/>
  <c r="E256" i="24"/>
  <c r="E252" i="24"/>
  <c r="E248" i="24"/>
  <c r="E266" i="24"/>
  <c r="E257" i="24"/>
  <c r="E253" i="24"/>
  <c r="E249" i="24"/>
  <c r="E268" i="24"/>
  <c r="E260" i="24"/>
  <c r="E258" i="24"/>
  <c r="E254" i="24"/>
  <c r="E250" i="24"/>
  <c r="E288" i="23"/>
  <c r="E290" i="23"/>
  <c r="E292" i="23"/>
  <c r="E294" i="23"/>
  <c r="E296" i="23"/>
  <c r="E298" i="23"/>
  <c r="E300" i="23"/>
  <c r="E302" i="23"/>
  <c r="E304" i="23"/>
  <c r="E306" i="23"/>
  <c r="E249" i="23"/>
  <c r="E251" i="23"/>
  <c r="E253" i="23"/>
  <c r="E255" i="23"/>
  <c r="E257" i="23"/>
  <c r="E259" i="23"/>
  <c r="E261" i="23"/>
  <c r="E263" i="23"/>
  <c r="E265" i="23"/>
  <c r="E267" i="23"/>
  <c r="E269" i="23"/>
  <c r="E271" i="23"/>
  <c r="E273" i="23"/>
  <c r="E275" i="23"/>
  <c r="E277" i="23"/>
  <c r="E279" i="23"/>
  <c r="E281" i="23"/>
  <c r="E283" i="23"/>
  <c r="E285" i="23"/>
  <c r="E287" i="23"/>
  <c r="E289" i="23"/>
  <c r="E291" i="23"/>
  <c r="E293" i="23"/>
  <c r="E295" i="23"/>
  <c r="E297" i="23"/>
  <c r="E301" i="23"/>
  <c r="E303" i="23"/>
  <c r="E305" i="23"/>
  <c r="E248" i="23"/>
  <c r="E250" i="23"/>
  <c r="E252" i="23"/>
  <c r="E254" i="23"/>
  <c r="E256" i="23"/>
  <c r="E258" i="23"/>
  <c r="E260" i="23"/>
  <c r="E262" i="23"/>
  <c r="E264" i="23"/>
  <c r="E266" i="23"/>
  <c r="E268" i="23"/>
  <c r="E270" i="23"/>
  <c r="E272" i="23"/>
  <c r="E276" i="23"/>
  <c r="E280" i="23"/>
  <c r="E284" i="23"/>
  <c r="E278" i="23"/>
  <c r="E282" i="23"/>
  <c r="E286" i="23"/>
  <c r="E274" i="23"/>
  <c r="E247" i="23"/>
  <c r="D83" i="24"/>
  <c r="D83" i="23"/>
  <c r="E229" i="24"/>
  <c r="E229" i="23"/>
  <c r="E169" i="24"/>
  <c r="E169" i="23"/>
  <c r="C31" i="24"/>
  <c r="C31" i="23"/>
  <c r="D41" i="24"/>
  <c r="D41" i="23"/>
  <c r="E9" i="22"/>
  <c r="E9" i="25" s="1"/>
  <c r="E26" i="22"/>
  <c r="E26" i="25" s="1"/>
  <c r="B13" i="22"/>
  <c r="B13" i="25" s="1"/>
  <c r="B30" i="22"/>
  <c r="B30" i="25" s="1"/>
  <c r="AE15" i="19"/>
  <c r="K13" i="22"/>
  <c r="K13" i="25" s="1"/>
  <c r="K30" i="22"/>
  <c r="K30" i="25" s="1"/>
  <c r="B17" i="22"/>
  <c r="B17" i="25" s="1"/>
  <c r="B34" i="22"/>
  <c r="B34" i="25" s="1"/>
  <c r="AE19" i="19"/>
  <c r="K34" i="22"/>
  <c r="K34" i="25" s="1"/>
  <c r="K17" i="22"/>
  <c r="K17" i="25" s="1"/>
  <c r="B21" i="22"/>
  <c r="B21" i="25" s="1"/>
  <c r="B38" i="22"/>
  <c r="B38" i="25" s="1"/>
  <c r="AE23" i="19"/>
  <c r="E21" i="22"/>
  <c r="E21" i="25" s="1"/>
  <c r="E38" i="22"/>
  <c r="E38" i="25" s="1"/>
  <c r="B42" i="22"/>
  <c r="B42" i="25" s="1"/>
  <c r="B51" i="22"/>
  <c r="B51" i="25" s="1"/>
  <c r="AE27" i="19"/>
  <c r="E51" i="22"/>
  <c r="E51" i="25" s="1"/>
  <c r="E42" i="22"/>
  <c r="E42" i="25" s="1"/>
  <c r="K51" i="22"/>
  <c r="K51" i="25" s="1"/>
  <c r="K42" i="22"/>
  <c r="K42" i="25" s="1"/>
  <c r="B46" i="22"/>
  <c r="B46" i="25" s="1"/>
  <c r="B55" i="22"/>
  <c r="B55" i="25" s="1"/>
  <c r="AE31" i="19"/>
  <c r="E46" i="22"/>
  <c r="E46" i="25" s="1"/>
  <c r="E55" i="22"/>
  <c r="E55" i="25" s="1"/>
  <c r="K55" i="22"/>
  <c r="K55" i="25" s="1"/>
  <c r="K46" i="22"/>
  <c r="K46" i="25" s="1"/>
  <c r="F50" i="22"/>
  <c r="F50" i="25" s="1"/>
  <c r="F59" i="22"/>
  <c r="F59" i="25" s="1"/>
  <c r="E50" i="22"/>
  <c r="E50" i="25" s="1"/>
  <c r="E59" i="22"/>
  <c r="E59" i="25" s="1"/>
  <c r="K50" i="22"/>
  <c r="K50" i="25" s="1"/>
  <c r="K59" i="22"/>
  <c r="K59" i="25" s="1"/>
  <c r="G360" i="24"/>
  <c r="G360" i="23"/>
  <c r="F116" i="24"/>
  <c r="F116" i="23"/>
  <c r="G107" i="24"/>
  <c r="G107" i="23"/>
  <c r="D107" i="24"/>
  <c r="D107" i="23"/>
  <c r="F76" i="24"/>
  <c r="F76" i="23"/>
  <c r="F93" i="24"/>
  <c r="F93" i="23"/>
  <c r="C93" i="24"/>
  <c r="C93" i="23"/>
  <c r="G205" i="24"/>
  <c r="G205" i="23"/>
  <c r="F205" i="24"/>
  <c r="F205" i="23"/>
  <c r="E205" i="24"/>
  <c r="E205" i="23"/>
  <c r="B175" i="24"/>
  <c r="B175" i="23"/>
  <c r="F166" i="24"/>
  <c r="F166" i="23"/>
  <c r="C166" i="24"/>
  <c r="C166" i="23"/>
  <c r="F15" i="24"/>
  <c r="F15" i="23"/>
  <c r="D15" i="24"/>
  <c r="D15" i="23"/>
  <c r="C15" i="24"/>
  <c r="C15" i="23"/>
  <c r="F10" i="22"/>
  <c r="F10" i="25" s="1"/>
  <c r="F27" i="22"/>
  <c r="F27" i="25" s="1"/>
  <c r="E10" i="22"/>
  <c r="E10" i="25" s="1"/>
  <c r="E27" i="22"/>
  <c r="E27" i="25" s="1"/>
  <c r="K10" i="22"/>
  <c r="K10" i="25" s="1"/>
  <c r="K27" i="22"/>
  <c r="K27" i="25" s="1"/>
  <c r="F14" i="22"/>
  <c r="F14" i="25" s="1"/>
  <c r="F31" i="22"/>
  <c r="F31" i="25" s="1"/>
  <c r="E14" i="22"/>
  <c r="E14" i="25" s="1"/>
  <c r="E31" i="22"/>
  <c r="E31" i="25" s="1"/>
  <c r="K14" i="22"/>
  <c r="K14" i="25" s="1"/>
  <c r="K31" i="22"/>
  <c r="K31" i="25" s="1"/>
  <c r="F18" i="22"/>
  <c r="F18" i="25" s="1"/>
  <c r="F35" i="22"/>
  <c r="F35" i="25" s="1"/>
  <c r="E18" i="22"/>
  <c r="E18" i="25" s="1"/>
  <c r="E35" i="22"/>
  <c r="E35" i="25" s="1"/>
  <c r="K35" i="22"/>
  <c r="K35" i="25" s="1"/>
  <c r="K18" i="22"/>
  <c r="K18" i="25" s="1"/>
  <c r="F22" i="22"/>
  <c r="F22" i="25" s="1"/>
  <c r="F39" i="22"/>
  <c r="F39" i="25" s="1"/>
  <c r="E22" i="22"/>
  <c r="E22" i="25" s="1"/>
  <c r="E39" i="22"/>
  <c r="E39" i="25" s="1"/>
  <c r="K22" i="22"/>
  <c r="K22" i="25" s="1"/>
  <c r="K39" i="22"/>
  <c r="K39" i="25" s="1"/>
  <c r="M52" i="22"/>
  <c r="M52" i="25" s="1"/>
  <c r="M43" i="22"/>
  <c r="M43" i="25" s="1"/>
  <c r="I52" i="22"/>
  <c r="I52" i="25" s="1"/>
  <c r="I43" i="22"/>
  <c r="I43" i="25" s="1"/>
  <c r="K52" i="22"/>
  <c r="K52" i="25" s="1"/>
  <c r="K43" i="22"/>
  <c r="K43" i="25" s="1"/>
  <c r="M47" i="22"/>
  <c r="M47" i="25" s="1"/>
  <c r="M56" i="22"/>
  <c r="M56" i="25" s="1"/>
  <c r="I47" i="22"/>
  <c r="I47" i="25" s="1"/>
  <c r="I56" i="22"/>
  <c r="I56" i="25" s="1"/>
  <c r="K47" i="22"/>
  <c r="K47" i="25" s="1"/>
  <c r="K56" i="22"/>
  <c r="K56" i="25" s="1"/>
  <c r="Y25" i="18"/>
  <c r="Y17" i="18"/>
  <c r="Y9" i="18"/>
  <c r="F367" i="24"/>
  <c r="F365" i="24"/>
  <c r="F363" i="24"/>
  <c r="F366" i="24"/>
  <c r="F364" i="24"/>
  <c r="F362" i="24"/>
  <c r="F359" i="24"/>
  <c r="F355" i="24"/>
  <c r="F356" i="24"/>
  <c r="F352" i="24"/>
  <c r="F351" i="24"/>
  <c r="F348" i="24"/>
  <c r="F346" i="24"/>
  <c r="F344" i="24"/>
  <c r="F342" i="24"/>
  <c r="F340" i="24"/>
  <c r="F338" i="24"/>
  <c r="F336" i="24"/>
  <c r="F334" i="24"/>
  <c r="F332" i="24"/>
  <c r="F330" i="24"/>
  <c r="F328" i="24"/>
  <c r="F326" i="24"/>
  <c r="F324" i="24"/>
  <c r="F322" i="24"/>
  <c r="F320" i="24"/>
  <c r="F318" i="24"/>
  <c r="F316" i="24"/>
  <c r="F314" i="24"/>
  <c r="F312" i="24"/>
  <c r="F310" i="24"/>
  <c r="F308" i="24"/>
  <c r="F361" i="24"/>
  <c r="F357" i="24"/>
  <c r="F353" i="24"/>
  <c r="F350" i="24"/>
  <c r="F358" i="24"/>
  <c r="F354" i="24"/>
  <c r="F349" i="24"/>
  <c r="F347" i="24"/>
  <c r="F345" i="24"/>
  <c r="F343" i="24"/>
  <c r="F341" i="24"/>
  <c r="F339" i="24"/>
  <c r="F337" i="24"/>
  <c r="F335" i="24"/>
  <c r="F333" i="24"/>
  <c r="F331" i="24"/>
  <c r="F329" i="24"/>
  <c r="F327" i="24"/>
  <c r="F325" i="24"/>
  <c r="F323" i="24"/>
  <c r="F321" i="24"/>
  <c r="F319" i="24"/>
  <c r="F317" i="24"/>
  <c r="F315" i="24"/>
  <c r="F313" i="24"/>
  <c r="F311" i="24"/>
  <c r="F309" i="24"/>
  <c r="F357" i="23"/>
  <c r="F359" i="23"/>
  <c r="F361" i="23"/>
  <c r="F363" i="23"/>
  <c r="F365" i="23"/>
  <c r="F367" i="23"/>
  <c r="F330" i="23"/>
  <c r="F332" i="23"/>
  <c r="F334" i="23"/>
  <c r="F336" i="23"/>
  <c r="F338" i="23"/>
  <c r="F340" i="23"/>
  <c r="F342" i="23"/>
  <c r="F344" i="23"/>
  <c r="F346" i="23"/>
  <c r="F348" i="23"/>
  <c r="F350" i="23"/>
  <c r="F352" i="23"/>
  <c r="F354" i="23"/>
  <c r="F356" i="23"/>
  <c r="F310" i="23"/>
  <c r="F312" i="23"/>
  <c r="F314" i="23"/>
  <c r="F316" i="23"/>
  <c r="F318" i="23"/>
  <c r="F320" i="23"/>
  <c r="F322" i="23"/>
  <c r="F324" i="23"/>
  <c r="F326" i="23"/>
  <c r="F328" i="23"/>
  <c r="F308" i="23"/>
  <c r="F358" i="23"/>
  <c r="F362" i="23"/>
  <c r="F364" i="23"/>
  <c r="F366" i="23"/>
  <c r="F329" i="23"/>
  <c r="F331" i="23"/>
  <c r="F333" i="23"/>
  <c r="F335" i="23"/>
  <c r="F337" i="23"/>
  <c r="F339" i="23"/>
  <c r="F341" i="23"/>
  <c r="F343" i="23"/>
  <c r="F345" i="23"/>
  <c r="F347" i="23"/>
  <c r="F349" i="23"/>
  <c r="F351" i="23"/>
  <c r="F353" i="23"/>
  <c r="F355" i="23"/>
  <c r="F309" i="23"/>
  <c r="F311" i="23"/>
  <c r="F313" i="23"/>
  <c r="F315" i="23"/>
  <c r="F317" i="23"/>
  <c r="F319" i="23"/>
  <c r="F321" i="23"/>
  <c r="F323" i="23"/>
  <c r="F325" i="23"/>
  <c r="F327" i="23"/>
  <c r="G106" i="24"/>
  <c r="G106" i="23"/>
  <c r="F106" i="24"/>
  <c r="F106" i="23"/>
  <c r="E106" i="24"/>
  <c r="E106" i="23"/>
  <c r="B92" i="24"/>
  <c r="B92" i="23"/>
  <c r="G92" i="24"/>
  <c r="G92" i="23"/>
  <c r="D92" i="24"/>
  <c r="D92" i="23"/>
  <c r="G244" i="24"/>
  <c r="G242" i="24"/>
  <c r="G241" i="24"/>
  <c r="G239" i="24"/>
  <c r="G237" i="24"/>
  <c r="G235" i="24"/>
  <c r="G233" i="24"/>
  <c r="G231" i="24"/>
  <c r="G227" i="24"/>
  <c r="G225" i="24"/>
  <c r="G223" i="24"/>
  <c r="G221" i="24"/>
  <c r="G219" i="24"/>
  <c r="G217" i="24"/>
  <c r="G213" i="24"/>
  <c r="G211" i="24"/>
  <c r="G209" i="24"/>
  <c r="G207" i="24"/>
  <c r="G203" i="24"/>
  <c r="G201" i="24"/>
  <c r="G199" i="24"/>
  <c r="G197" i="24"/>
  <c r="G195" i="24"/>
  <c r="G193" i="24"/>
  <c r="G191" i="24"/>
  <c r="G189" i="24"/>
  <c r="G187" i="24"/>
  <c r="G245" i="24"/>
  <c r="G240" i="24"/>
  <c r="G236" i="24"/>
  <c r="G232" i="24"/>
  <c r="G230" i="24"/>
  <c r="G228" i="24"/>
  <c r="G226" i="24"/>
  <c r="G224" i="24"/>
  <c r="G220" i="24"/>
  <c r="G218" i="24"/>
  <c r="G216" i="24"/>
  <c r="G214" i="24"/>
  <c r="G212" i="24"/>
  <c r="G210" i="24"/>
  <c r="G208" i="24"/>
  <c r="G206" i="24"/>
  <c r="G204" i="24"/>
  <c r="G202" i="24"/>
  <c r="G200" i="24"/>
  <c r="G198" i="24"/>
  <c r="G196" i="24"/>
  <c r="G194" i="24"/>
  <c r="G192" i="24"/>
  <c r="G190" i="24"/>
  <c r="G188" i="24"/>
  <c r="G186" i="24"/>
  <c r="G221" i="23"/>
  <c r="G223" i="23"/>
  <c r="G225" i="23"/>
  <c r="G227" i="23"/>
  <c r="G226" i="23"/>
  <c r="G231" i="23"/>
  <c r="G233" i="23"/>
  <c r="G235" i="23"/>
  <c r="G237" i="23"/>
  <c r="G239" i="23"/>
  <c r="G241" i="23"/>
  <c r="G245" i="23"/>
  <c r="G188" i="23"/>
  <c r="G190" i="23"/>
  <c r="G192" i="23"/>
  <c r="G194" i="23"/>
  <c r="G196" i="23"/>
  <c r="G198" i="23"/>
  <c r="G200" i="23"/>
  <c r="G202" i="23"/>
  <c r="G204" i="23"/>
  <c r="G206" i="23"/>
  <c r="G208" i="23"/>
  <c r="G210" i="23"/>
  <c r="G212" i="23"/>
  <c r="G214" i="23"/>
  <c r="G216" i="23"/>
  <c r="G218" i="23"/>
  <c r="G220" i="23"/>
  <c r="G224" i="23"/>
  <c r="G228" i="23"/>
  <c r="G186" i="23"/>
  <c r="G230" i="23"/>
  <c r="G232" i="23"/>
  <c r="G236" i="23"/>
  <c r="G240" i="23"/>
  <c r="G242" i="23"/>
  <c r="G244" i="23"/>
  <c r="G187" i="23"/>
  <c r="G189" i="23"/>
  <c r="G191" i="23"/>
  <c r="G193" i="23"/>
  <c r="G195" i="23"/>
  <c r="G197" i="23"/>
  <c r="G199" i="23"/>
  <c r="G201" i="23"/>
  <c r="G203" i="23"/>
  <c r="G207" i="23"/>
  <c r="G209" i="23"/>
  <c r="G211" i="23"/>
  <c r="G213" i="23"/>
  <c r="G217" i="23"/>
  <c r="G219" i="23"/>
  <c r="B244" i="24"/>
  <c r="B242" i="24"/>
  <c r="B240" i="24"/>
  <c r="B236" i="24"/>
  <c r="B232" i="24"/>
  <c r="B230" i="24"/>
  <c r="B228" i="24"/>
  <c r="B226" i="24"/>
  <c r="B224" i="24"/>
  <c r="B220" i="24"/>
  <c r="B218" i="24"/>
  <c r="B216" i="24"/>
  <c r="B214" i="24"/>
  <c r="B212" i="24"/>
  <c r="B210" i="24"/>
  <c r="B208" i="24"/>
  <c r="B206" i="24"/>
  <c r="B204" i="24"/>
  <c r="B202" i="24"/>
  <c r="B200" i="24"/>
  <c r="B198" i="24"/>
  <c r="B196" i="24"/>
  <c r="B194" i="24"/>
  <c r="B192" i="24"/>
  <c r="B190" i="24"/>
  <c r="B188" i="24"/>
  <c r="B186" i="24"/>
  <c r="B241" i="24"/>
  <c r="B239" i="24"/>
  <c r="B237" i="24"/>
  <c r="B235" i="24"/>
  <c r="B233" i="24"/>
  <c r="B231" i="24"/>
  <c r="B227" i="24"/>
  <c r="B225" i="24"/>
  <c r="B223" i="24"/>
  <c r="B221" i="24"/>
  <c r="B219" i="24"/>
  <c r="B217" i="24"/>
  <c r="B213" i="24"/>
  <c r="B211" i="24"/>
  <c r="B209" i="24"/>
  <c r="B207" i="24"/>
  <c r="B203" i="24"/>
  <c r="B201" i="24"/>
  <c r="B199" i="24"/>
  <c r="B197" i="24"/>
  <c r="B195" i="24"/>
  <c r="B193" i="24"/>
  <c r="B191" i="24"/>
  <c r="B189" i="24"/>
  <c r="B187" i="24"/>
  <c r="B245" i="24"/>
  <c r="B221" i="23"/>
  <c r="B223" i="23"/>
  <c r="B225" i="23"/>
  <c r="B227" i="23"/>
  <c r="B231" i="23"/>
  <c r="B233" i="23"/>
  <c r="B235" i="23"/>
  <c r="B237" i="23"/>
  <c r="B239" i="23"/>
  <c r="B241" i="23"/>
  <c r="B245" i="23"/>
  <c r="B188" i="23"/>
  <c r="B190" i="23"/>
  <c r="B192" i="23"/>
  <c r="B194" i="23"/>
  <c r="B196" i="23"/>
  <c r="B198" i="23"/>
  <c r="B200" i="23"/>
  <c r="B202" i="23"/>
  <c r="B204" i="23"/>
  <c r="B206" i="23"/>
  <c r="B208" i="23"/>
  <c r="B210" i="23"/>
  <c r="B212" i="23"/>
  <c r="B214" i="23"/>
  <c r="B216" i="23"/>
  <c r="B218" i="23"/>
  <c r="B220" i="23"/>
  <c r="B226" i="23"/>
  <c r="B230" i="23"/>
  <c r="B232" i="23"/>
  <c r="B236" i="23"/>
  <c r="B240" i="23"/>
  <c r="B242" i="23"/>
  <c r="B244" i="23"/>
  <c r="B187" i="23"/>
  <c r="B189" i="23"/>
  <c r="B191" i="23"/>
  <c r="B193" i="23"/>
  <c r="B195" i="23"/>
  <c r="B197" i="23"/>
  <c r="B199" i="23"/>
  <c r="B201" i="23"/>
  <c r="B203" i="23"/>
  <c r="B207" i="23"/>
  <c r="B209" i="23"/>
  <c r="B211" i="23"/>
  <c r="B213" i="23"/>
  <c r="B217" i="23"/>
  <c r="B219" i="23"/>
  <c r="B224" i="23"/>
  <c r="B228" i="23"/>
  <c r="B186" i="23"/>
  <c r="E245" i="24"/>
  <c r="E244" i="24"/>
  <c r="E240" i="24"/>
  <c r="E236" i="24"/>
  <c r="E232" i="24"/>
  <c r="E230" i="24"/>
  <c r="E228" i="24"/>
  <c r="E226" i="24"/>
  <c r="E224" i="24"/>
  <c r="E220" i="24"/>
  <c r="E218" i="24"/>
  <c r="E216" i="24"/>
  <c r="E214" i="24"/>
  <c r="E212" i="24"/>
  <c r="E210" i="24"/>
  <c r="E208" i="24"/>
  <c r="E206" i="24"/>
  <c r="E204" i="24"/>
  <c r="E202" i="24"/>
  <c r="E200" i="24"/>
  <c r="E198" i="24"/>
  <c r="E196" i="24"/>
  <c r="E194" i="24"/>
  <c r="E192" i="24"/>
  <c r="E190" i="24"/>
  <c r="E188" i="24"/>
  <c r="E186" i="24"/>
  <c r="E242" i="24"/>
  <c r="E241" i="24"/>
  <c r="E239" i="24"/>
  <c r="E237" i="24"/>
  <c r="E235" i="24"/>
  <c r="E233" i="24"/>
  <c r="E231" i="24"/>
  <c r="E227" i="24"/>
  <c r="E225" i="24"/>
  <c r="E223" i="24"/>
  <c r="E221" i="24"/>
  <c r="E219" i="24"/>
  <c r="E217" i="24"/>
  <c r="E213" i="24"/>
  <c r="E211" i="24"/>
  <c r="E209" i="24"/>
  <c r="E207" i="24"/>
  <c r="E203" i="24"/>
  <c r="E201" i="24"/>
  <c r="E199" i="24"/>
  <c r="E197" i="24"/>
  <c r="E195" i="24"/>
  <c r="E193" i="24"/>
  <c r="E191" i="24"/>
  <c r="E189" i="24"/>
  <c r="E187" i="24"/>
  <c r="E224" i="23"/>
  <c r="E226" i="23"/>
  <c r="E228" i="23"/>
  <c r="E221" i="23"/>
  <c r="E225" i="23"/>
  <c r="E186" i="23"/>
  <c r="E230" i="23"/>
  <c r="E232" i="23"/>
  <c r="E236" i="23"/>
  <c r="E240" i="23"/>
  <c r="E242" i="23"/>
  <c r="E244" i="23"/>
  <c r="E187" i="23"/>
  <c r="E189" i="23"/>
  <c r="E191" i="23"/>
  <c r="E193" i="23"/>
  <c r="E195" i="23"/>
  <c r="E197" i="23"/>
  <c r="E199" i="23"/>
  <c r="E201" i="23"/>
  <c r="E203" i="23"/>
  <c r="E207" i="23"/>
  <c r="E209" i="23"/>
  <c r="E211" i="23"/>
  <c r="E213" i="23"/>
  <c r="E217" i="23"/>
  <c r="E219" i="23"/>
  <c r="E223" i="23"/>
  <c r="E227" i="23"/>
  <c r="E231" i="23"/>
  <c r="E233" i="23"/>
  <c r="E235" i="23"/>
  <c r="E237" i="23"/>
  <c r="E239" i="23"/>
  <c r="E241" i="23"/>
  <c r="E245" i="23"/>
  <c r="E188" i="23"/>
  <c r="E190" i="23"/>
  <c r="E192" i="23"/>
  <c r="E194" i="23"/>
  <c r="E196" i="23"/>
  <c r="E198" i="23"/>
  <c r="E200" i="23"/>
  <c r="E202" i="23"/>
  <c r="E204" i="23"/>
  <c r="E206" i="23"/>
  <c r="E208" i="23"/>
  <c r="E210" i="23"/>
  <c r="E212" i="23"/>
  <c r="E214" i="23"/>
  <c r="E216" i="23"/>
  <c r="E218" i="23"/>
  <c r="E220" i="23"/>
  <c r="B183" i="24"/>
  <c r="B181" i="24"/>
  <c r="B177" i="24"/>
  <c r="B173" i="24"/>
  <c r="B171" i="24"/>
  <c r="B167" i="24"/>
  <c r="B165" i="24"/>
  <c r="B163" i="24"/>
  <c r="B159" i="24"/>
  <c r="B157" i="24"/>
  <c r="B155" i="24"/>
  <c r="B153" i="24"/>
  <c r="B151" i="24"/>
  <c r="B149" i="24"/>
  <c r="B147" i="24"/>
  <c r="B145" i="24"/>
  <c r="B143" i="24"/>
  <c r="B141" i="24"/>
  <c r="B139" i="24"/>
  <c r="B137" i="24"/>
  <c r="B135" i="24"/>
  <c r="B133" i="24"/>
  <c r="B131" i="24"/>
  <c r="B129" i="24"/>
  <c r="B127" i="24"/>
  <c r="B125" i="24"/>
  <c r="B184" i="24"/>
  <c r="B182" i="24"/>
  <c r="B180" i="24"/>
  <c r="B176" i="24"/>
  <c r="B174" i="24"/>
  <c r="B172" i="24"/>
  <c r="B168" i="24"/>
  <c r="B164" i="24"/>
  <c r="B162" i="24"/>
  <c r="B160" i="24"/>
  <c r="B158" i="24"/>
  <c r="B156" i="24"/>
  <c r="B154" i="24"/>
  <c r="B152" i="24"/>
  <c r="B150" i="24"/>
  <c r="B148" i="24"/>
  <c r="B146" i="24"/>
  <c r="B144" i="24"/>
  <c r="B142" i="24"/>
  <c r="B140" i="24"/>
  <c r="B138" i="24"/>
  <c r="B136" i="24"/>
  <c r="B134" i="24"/>
  <c r="B132" i="24"/>
  <c r="B130" i="24"/>
  <c r="B128" i="24"/>
  <c r="B126" i="24"/>
  <c r="B171" i="23"/>
  <c r="B173" i="23"/>
  <c r="B177" i="23"/>
  <c r="B181" i="23"/>
  <c r="B183" i="23"/>
  <c r="B126" i="23"/>
  <c r="B128" i="23"/>
  <c r="B130" i="23"/>
  <c r="B132" i="23"/>
  <c r="B134" i="23"/>
  <c r="B136" i="23"/>
  <c r="B138" i="23"/>
  <c r="B140" i="23"/>
  <c r="B142" i="23"/>
  <c r="B144" i="23"/>
  <c r="B146" i="23"/>
  <c r="B148" i="23"/>
  <c r="B150" i="23"/>
  <c r="B152" i="23"/>
  <c r="B154" i="23"/>
  <c r="B156" i="23"/>
  <c r="B158" i="23"/>
  <c r="B160" i="23"/>
  <c r="B162" i="23"/>
  <c r="B164" i="23"/>
  <c r="B168" i="23"/>
  <c r="B172" i="23"/>
  <c r="B174" i="23"/>
  <c r="B176" i="23"/>
  <c r="B180" i="23"/>
  <c r="B182" i="23"/>
  <c r="B184" i="23"/>
  <c r="B127" i="23"/>
  <c r="B129" i="23"/>
  <c r="B131" i="23"/>
  <c r="B133" i="23"/>
  <c r="B135" i="23"/>
  <c r="B137" i="23"/>
  <c r="B139" i="23"/>
  <c r="B141" i="23"/>
  <c r="B143" i="23"/>
  <c r="B145" i="23"/>
  <c r="B147" i="23"/>
  <c r="B149" i="23"/>
  <c r="B151" i="23"/>
  <c r="B153" i="23"/>
  <c r="B155" i="23"/>
  <c r="B157" i="23"/>
  <c r="B159" i="23"/>
  <c r="B163" i="23"/>
  <c r="B165" i="23"/>
  <c r="B167" i="23"/>
  <c r="B125" i="23"/>
  <c r="B161" i="24"/>
  <c r="B161" i="23"/>
  <c r="E161" i="24"/>
  <c r="E161" i="23"/>
  <c r="G16" i="24"/>
  <c r="G16" i="23"/>
  <c r="G33" i="24"/>
  <c r="G33" i="23"/>
  <c r="C16" i="24"/>
  <c r="C16" i="23"/>
  <c r="J11" i="22"/>
  <c r="J11" i="25" s="1"/>
  <c r="J28" i="22"/>
  <c r="J28" i="25" s="1"/>
  <c r="I11" i="22"/>
  <c r="I11" i="25" s="1"/>
  <c r="I28" i="22"/>
  <c r="I28" i="25" s="1"/>
  <c r="D11" i="22"/>
  <c r="D11" i="25" s="1"/>
  <c r="D28" i="22"/>
  <c r="D28" i="25" s="1"/>
  <c r="J15" i="22"/>
  <c r="J15" i="25" s="1"/>
  <c r="J32" i="22"/>
  <c r="J32" i="25" s="1"/>
  <c r="I15" i="22"/>
  <c r="I15" i="25" s="1"/>
  <c r="I32" i="22"/>
  <c r="I32" i="25" s="1"/>
  <c r="D15" i="22"/>
  <c r="D15" i="25" s="1"/>
  <c r="D32" i="22"/>
  <c r="D32" i="25" s="1"/>
  <c r="J19" i="22"/>
  <c r="J19" i="25" s="1"/>
  <c r="J36" i="22"/>
  <c r="J36" i="25" s="1"/>
  <c r="I19" i="22"/>
  <c r="I19" i="25" s="1"/>
  <c r="I36" i="22"/>
  <c r="I36" i="25" s="1"/>
  <c r="D19" i="22"/>
  <c r="D19" i="25" s="1"/>
  <c r="D36" i="22"/>
  <c r="D36" i="25" s="1"/>
  <c r="J23" i="22"/>
  <c r="J23" i="25" s="1"/>
  <c r="J40" i="22"/>
  <c r="J40" i="25" s="1"/>
  <c r="I23" i="22"/>
  <c r="I23" i="25" s="1"/>
  <c r="I40" i="22"/>
  <c r="I40" i="25" s="1"/>
  <c r="D23" i="22"/>
  <c r="D23" i="25" s="1"/>
  <c r="D40" i="22"/>
  <c r="D40" i="25" s="1"/>
  <c r="J44" i="22"/>
  <c r="J44" i="25" s="1"/>
  <c r="J53" i="22"/>
  <c r="J53" i="25" s="1"/>
  <c r="M53" i="22"/>
  <c r="M53" i="25" s="1"/>
  <c r="M44" i="22"/>
  <c r="M44" i="25" s="1"/>
  <c r="D44" i="22"/>
  <c r="D44" i="25" s="1"/>
  <c r="D53" i="22"/>
  <c r="D53" i="25" s="1"/>
  <c r="J48" i="22"/>
  <c r="J48" i="25" s="1"/>
  <c r="J57" i="22"/>
  <c r="J57" i="25" s="1"/>
  <c r="I48" i="22"/>
  <c r="I48" i="25" s="1"/>
  <c r="I57" i="22"/>
  <c r="I57" i="25" s="1"/>
  <c r="D48" i="22"/>
  <c r="D48" i="25" s="1"/>
  <c r="D57" i="22"/>
  <c r="D57" i="25" s="1"/>
  <c r="D51" i="24"/>
  <c r="D51" i="23"/>
  <c r="B421" i="24"/>
  <c r="B421" i="23"/>
  <c r="C421" i="24"/>
  <c r="C421" i="23"/>
  <c r="E299" i="24"/>
  <c r="E299" i="23"/>
  <c r="G86" i="24"/>
  <c r="G86" i="23"/>
  <c r="F86" i="24"/>
  <c r="F86" i="23"/>
  <c r="E86" i="24"/>
  <c r="E86" i="23"/>
  <c r="G234" i="24"/>
  <c r="G234" i="23"/>
  <c r="B234" i="24"/>
  <c r="B234" i="23"/>
  <c r="E234" i="24"/>
  <c r="E234" i="23"/>
  <c r="G170" i="24"/>
  <c r="G170" i="23"/>
  <c r="F170" i="24"/>
  <c r="F170" i="23"/>
  <c r="E170" i="24"/>
  <c r="E170" i="23"/>
  <c r="G429" i="17"/>
  <c r="G62" i="24"/>
  <c r="G60" i="24"/>
  <c r="G58" i="24"/>
  <c r="G56" i="24"/>
  <c r="G54" i="24"/>
  <c r="G52" i="24"/>
  <c r="G50" i="24"/>
  <c r="G48" i="24"/>
  <c r="G46" i="24"/>
  <c r="G44" i="24"/>
  <c r="G42" i="24"/>
  <c r="G40" i="24"/>
  <c r="G38" i="24"/>
  <c r="G36" i="24"/>
  <c r="G30" i="24"/>
  <c r="G28" i="24"/>
  <c r="G26" i="24"/>
  <c r="G61" i="24"/>
  <c r="G59" i="24"/>
  <c r="G57" i="24"/>
  <c r="G55" i="24"/>
  <c r="G53" i="24"/>
  <c r="G49" i="24"/>
  <c r="G47" i="24"/>
  <c r="G45" i="24"/>
  <c r="G43" i="24"/>
  <c r="G39" i="24"/>
  <c r="G37" i="24"/>
  <c r="G35" i="24"/>
  <c r="G27" i="24"/>
  <c r="G25" i="24"/>
  <c r="G23" i="24"/>
  <c r="G22" i="24"/>
  <c r="G20" i="24"/>
  <c r="G18" i="24"/>
  <c r="G12" i="24"/>
  <c r="G10" i="24"/>
  <c r="G8" i="24"/>
  <c r="G6" i="24"/>
  <c r="G4" i="24"/>
  <c r="G21" i="24"/>
  <c r="G19" i="24"/>
  <c r="G13" i="24"/>
  <c r="G11" i="24"/>
  <c r="G9" i="24"/>
  <c r="G7" i="24"/>
  <c r="G5" i="24"/>
  <c r="G3" i="24"/>
  <c r="G40" i="23"/>
  <c r="G42" i="23"/>
  <c r="G44" i="23"/>
  <c r="G46" i="23"/>
  <c r="G48" i="23"/>
  <c r="G50" i="23"/>
  <c r="G52" i="23"/>
  <c r="G54" i="23"/>
  <c r="G56" i="23"/>
  <c r="G58" i="23"/>
  <c r="G60" i="23"/>
  <c r="G62" i="23"/>
  <c r="G5" i="23"/>
  <c r="G7" i="23"/>
  <c r="G9" i="23"/>
  <c r="G11" i="23"/>
  <c r="G13" i="23"/>
  <c r="G19" i="23"/>
  <c r="G21" i="23"/>
  <c r="G23" i="23"/>
  <c r="G55" i="23"/>
  <c r="G59" i="23"/>
  <c r="G4" i="23"/>
  <c r="G8" i="23"/>
  <c r="G12" i="23"/>
  <c r="G20" i="23"/>
  <c r="G25" i="23"/>
  <c r="G27" i="23"/>
  <c r="G35" i="23"/>
  <c r="G37" i="23"/>
  <c r="G39" i="23"/>
  <c r="G47" i="23"/>
  <c r="G3" i="23"/>
  <c r="G45" i="23"/>
  <c r="G49" i="23"/>
  <c r="G53" i="23"/>
  <c r="G57" i="23"/>
  <c r="G61" i="23"/>
  <c r="G6" i="23"/>
  <c r="G10" i="23"/>
  <c r="G18" i="23"/>
  <c r="G22" i="23"/>
  <c r="G26" i="23"/>
  <c r="G28" i="23"/>
  <c r="G30" i="23"/>
  <c r="G36" i="23"/>
  <c r="G38" i="23"/>
  <c r="G43" i="23"/>
  <c r="G29" i="24"/>
  <c r="G29" i="23"/>
  <c r="C429" i="17"/>
  <c r="C62" i="24"/>
  <c r="C60" i="24"/>
  <c r="C58" i="24"/>
  <c r="C56" i="24"/>
  <c r="C54" i="24"/>
  <c r="C52" i="24"/>
  <c r="C50" i="24"/>
  <c r="C48" i="24"/>
  <c r="C46" i="24"/>
  <c r="C44" i="24"/>
  <c r="C42" i="24"/>
  <c r="C40" i="24"/>
  <c r="C38" i="24"/>
  <c r="C36" i="24"/>
  <c r="C30" i="24"/>
  <c r="C28" i="24"/>
  <c r="C26" i="24"/>
  <c r="C61" i="24"/>
  <c r="C59" i="24"/>
  <c r="C57" i="24"/>
  <c r="C55" i="24"/>
  <c r="C53" i="24"/>
  <c r="C49" i="24"/>
  <c r="C47" i="24"/>
  <c r="C45" i="24"/>
  <c r="C43" i="24"/>
  <c r="C39" i="24"/>
  <c r="C37" i="24"/>
  <c r="C35" i="24"/>
  <c r="C27" i="24"/>
  <c r="C25" i="24"/>
  <c r="C22" i="24"/>
  <c r="C20" i="24"/>
  <c r="C18" i="24"/>
  <c r="C12" i="24"/>
  <c r="C10" i="24"/>
  <c r="C8" i="24"/>
  <c r="C6" i="24"/>
  <c r="C4" i="24"/>
  <c r="C23" i="24"/>
  <c r="C21" i="24"/>
  <c r="C19" i="24"/>
  <c r="C13" i="24"/>
  <c r="C11" i="24"/>
  <c r="C9" i="24"/>
  <c r="C7" i="24"/>
  <c r="C5" i="24"/>
  <c r="C3" i="24"/>
  <c r="C40" i="23"/>
  <c r="C42" i="23"/>
  <c r="C44" i="23"/>
  <c r="C46" i="23"/>
  <c r="C48" i="23"/>
  <c r="C50" i="23"/>
  <c r="C52" i="23"/>
  <c r="C54" i="23"/>
  <c r="C56" i="23"/>
  <c r="C58" i="23"/>
  <c r="C60" i="23"/>
  <c r="C62" i="23"/>
  <c r="C5" i="23"/>
  <c r="C7" i="23"/>
  <c r="C9" i="23"/>
  <c r="C11" i="23"/>
  <c r="C13" i="23"/>
  <c r="C19" i="23"/>
  <c r="C21" i="23"/>
  <c r="C23" i="23"/>
  <c r="C25" i="23"/>
  <c r="C47" i="23"/>
  <c r="C49" i="23"/>
  <c r="C53" i="23"/>
  <c r="C57" i="23"/>
  <c r="C61" i="23"/>
  <c r="C6" i="23"/>
  <c r="C10" i="23"/>
  <c r="C18" i="23"/>
  <c r="C22" i="23"/>
  <c r="C27" i="23"/>
  <c r="C35" i="23"/>
  <c r="C37" i="23"/>
  <c r="C39" i="23"/>
  <c r="C45" i="23"/>
  <c r="C3" i="23"/>
  <c r="C43" i="23"/>
  <c r="C55" i="23"/>
  <c r="C59" i="23"/>
  <c r="C4" i="23"/>
  <c r="C8" i="23"/>
  <c r="C12" i="23"/>
  <c r="C20" i="23"/>
  <c r="C26" i="23"/>
  <c r="C28" i="23"/>
  <c r="C30" i="23"/>
  <c r="C36" i="23"/>
  <c r="C38" i="23"/>
  <c r="B34" i="24"/>
  <c r="B34" i="23"/>
  <c r="G17" i="24"/>
  <c r="G17" i="23"/>
  <c r="D34" i="24"/>
  <c r="D34" i="23"/>
  <c r="B8" i="22"/>
  <c r="B8" i="25" s="1"/>
  <c r="B25" i="22"/>
  <c r="B25" i="25" s="1"/>
  <c r="AE10" i="19"/>
  <c r="I8" i="22"/>
  <c r="I8" i="25" s="1"/>
  <c r="I25" i="22"/>
  <c r="I25" i="25" s="1"/>
  <c r="D8" i="22"/>
  <c r="D8" i="25" s="1"/>
  <c r="D25" i="22"/>
  <c r="D25" i="25" s="1"/>
  <c r="B12" i="22"/>
  <c r="B12" i="25" s="1"/>
  <c r="B29" i="22"/>
  <c r="B29" i="25" s="1"/>
  <c r="AE14" i="19"/>
  <c r="I12" i="22"/>
  <c r="I12" i="25" s="1"/>
  <c r="I29" i="22"/>
  <c r="I29" i="25" s="1"/>
  <c r="D12" i="22"/>
  <c r="D12" i="25" s="1"/>
  <c r="D29" i="22"/>
  <c r="D29" i="25" s="1"/>
  <c r="B16" i="22"/>
  <c r="B16" i="25" s="1"/>
  <c r="B33" i="22"/>
  <c r="B33" i="25" s="1"/>
  <c r="AE18" i="19"/>
  <c r="I16" i="22"/>
  <c r="I16" i="25" s="1"/>
  <c r="I33" i="22"/>
  <c r="I33" i="25" s="1"/>
  <c r="D16" i="22"/>
  <c r="D16" i="25" s="1"/>
  <c r="D33" i="22"/>
  <c r="D33" i="25" s="1"/>
  <c r="B20" i="22"/>
  <c r="B20" i="25" s="1"/>
  <c r="B37" i="22"/>
  <c r="B37" i="25" s="1"/>
  <c r="AE22" i="19"/>
  <c r="I20" i="22"/>
  <c r="I20" i="25" s="1"/>
  <c r="I37" i="22"/>
  <c r="I37" i="25" s="1"/>
  <c r="D20" i="22"/>
  <c r="D20" i="25" s="1"/>
  <c r="D37" i="22"/>
  <c r="D37" i="25" s="1"/>
  <c r="B24" i="22"/>
  <c r="B24" i="25" s="1"/>
  <c r="B41" i="22"/>
  <c r="B41" i="25" s="1"/>
  <c r="AE26" i="19"/>
  <c r="I24" i="22"/>
  <c r="I24" i="25" s="1"/>
  <c r="I41" i="22"/>
  <c r="I41" i="25" s="1"/>
  <c r="D24" i="22"/>
  <c r="D24" i="25" s="1"/>
  <c r="D41" i="22"/>
  <c r="D41" i="25" s="1"/>
  <c r="F45" i="22"/>
  <c r="F45" i="25" s="1"/>
  <c r="F54" i="22"/>
  <c r="F54" i="25" s="1"/>
  <c r="B45" i="22"/>
  <c r="B45" i="25" s="1"/>
  <c r="B54" i="22"/>
  <c r="B54" i="25" s="1"/>
  <c r="AE30" i="19"/>
  <c r="D45" i="22"/>
  <c r="D45" i="25" s="1"/>
  <c r="D54" i="22"/>
  <c r="D54" i="25" s="1"/>
  <c r="J49" i="22"/>
  <c r="J49" i="25" s="1"/>
  <c r="J58" i="22"/>
  <c r="J58" i="25" s="1"/>
  <c r="I49" i="22"/>
  <c r="I49" i="25" s="1"/>
  <c r="I58" i="22"/>
  <c r="I58" i="25" s="1"/>
  <c r="D49" i="22"/>
  <c r="D49" i="25" s="1"/>
  <c r="D58" i="22"/>
  <c r="D58" i="25" s="1"/>
  <c r="Y24" i="18"/>
  <c r="Y16" i="18"/>
  <c r="Y8" i="18"/>
  <c r="B428" i="24"/>
  <c r="B426" i="24"/>
  <c r="B424" i="24"/>
  <c r="B422" i="24"/>
  <c r="B420" i="24"/>
  <c r="B418" i="24"/>
  <c r="B416" i="24"/>
  <c r="B414" i="24"/>
  <c r="B412" i="24"/>
  <c r="B410" i="24"/>
  <c r="B408" i="24"/>
  <c r="B406" i="24"/>
  <c r="B404" i="24"/>
  <c r="B402" i="24"/>
  <c r="B400" i="24"/>
  <c r="B398" i="24"/>
  <c r="B396" i="24"/>
  <c r="B394" i="24"/>
  <c r="B392" i="24"/>
  <c r="B390" i="24"/>
  <c r="B388" i="24"/>
  <c r="B386" i="24"/>
  <c r="B384" i="24"/>
  <c r="B382" i="24"/>
  <c r="B380" i="24"/>
  <c r="B378" i="24"/>
  <c r="B376" i="24"/>
  <c r="B374" i="24"/>
  <c r="B372" i="24"/>
  <c r="B370" i="24"/>
  <c r="B427" i="24"/>
  <c r="B425" i="24"/>
  <c r="B423" i="24"/>
  <c r="B419" i="24"/>
  <c r="B417" i="24"/>
  <c r="B415" i="24"/>
  <c r="B413" i="24"/>
  <c r="B411" i="24"/>
  <c r="B409" i="24"/>
  <c r="B407" i="24"/>
  <c r="B405" i="24"/>
  <c r="B403" i="24"/>
  <c r="B401" i="24"/>
  <c r="B399" i="24"/>
  <c r="B397" i="24"/>
  <c r="B395" i="24"/>
  <c r="B393" i="24"/>
  <c r="B391" i="24"/>
  <c r="B389" i="24"/>
  <c r="B387" i="24"/>
  <c r="B385" i="24"/>
  <c r="B383" i="24"/>
  <c r="B381" i="24"/>
  <c r="B379" i="24"/>
  <c r="B377" i="24"/>
  <c r="B375" i="24"/>
  <c r="B373" i="24"/>
  <c r="B371" i="24"/>
  <c r="B369" i="24"/>
  <c r="B399" i="23"/>
  <c r="B401" i="23"/>
  <c r="B403" i="23"/>
  <c r="B405" i="23"/>
  <c r="B407" i="23"/>
  <c r="B409" i="23"/>
  <c r="B411" i="23"/>
  <c r="B413" i="23"/>
  <c r="B415" i="23"/>
  <c r="B417" i="23"/>
  <c r="B419" i="23"/>
  <c r="B423" i="23"/>
  <c r="B425" i="23"/>
  <c r="B427" i="23"/>
  <c r="B370" i="23"/>
  <c r="B372" i="23"/>
  <c r="B374" i="23"/>
  <c r="B376" i="23"/>
  <c r="B378" i="23"/>
  <c r="B380" i="23"/>
  <c r="B382" i="23"/>
  <c r="B384" i="23"/>
  <c r="B386" i="23"/>
  <c r="B388" i="23"/>
  <c r="B390" i="23"/>
  <c r="B392" i="23"/>
  <c r="B394" i="23"/>
  <c r="B396" i="23"/>
  <c r="B398" i="23"/>
  <c r="B369" i="23"/>
  <c r="B400" i="23"/>
  <c r="B402" i="23"/>
  <c r="B404" i="23"/>
  <c r="B406" i="23"/>
  <c r="B408" i="23"/>
  <c r="B410" i="23"/>
  <c r="B412" i="23"/>
  <c r="B414" i="23"/>
  <c r="B416" i="23"/>
  <c r="B418" i="23"/>
  <c r="B420" i="23"/>
  <c r="B422" i="23"/>
  <c r="B424" i="23"/>
  <c r="B426" i="23"/>
  <c r="B428" i="23"/>
  <c r="B371" i="23"/>
  <c r="B373" i="23"/>
  <c r="B375" i="23"/>
  <c r="B377" i="23"/>
  <c r="B379" i="23"/>
  <c r="B381" i="23"/>
  <c r="B383" i="23"/>
  <c r="B385" i="23"/>
  <c r="B387" i="23"/>
  <c r="B389" i="23"/>
  <c r="B391" i="23"/>
  <c r="B393" i="23"/>
  <c r="B395" i="23"/>
  <c r="B397" i="23"/>
  <c r="F100" i="24"/>
  <c r="F100" i="23"/>
  <c r="G229" i="24"/>
  <c r="G229" i="23"/>
  <c r="G169" i="24"/>
  <c r="G169" i="23"/>
  <c r="G31" i="24"/>
  <c r="G31" i="23"/>
  <c r="B41" i="24"/>
  <c r="B41" i="23"/>
  <c r="E41" i="24"/>
  <c r="E41" i="23"/>
  <c r="B9" i="22"/>
  <c r="B9" i="25" s="1"/>
  <c r="B26" i="22"/>
  <c r="B26" i="25" s="1"/>
  <c r="AE11" i="19"/>
  <c r="K9" i="22"/>
  <c r="K9" i="25" s="1"/>
  <c r="K26" i="22"/>
  <c r="K26" i="25" s="1"/>
  <c r="E13" i="22"/>
  <c r="E13" i="25" s="1"/>
  <c r="E30" i="22"/>
  <c r="E30" i="25" s="1"/>
  <c r="K38" i="22"/>
  <c r="K38" i="25" s="1"/>
  <c r="K21" i="22"/>
  <c r="K21" i="25" s="1"/>
  <c r="F428" i="24"/>
  <c r="F426" i="24"/>
  <c r="F424" i="24"/>
  <c r="F422" i="24"/>
  <c r="F420" i="24"/>
  <c r="F418" i="24"/>
  <c r="F416" i="24"/>
  <c r="F414" i="24"/>
  <c r="F412" i="24"/>
  <c r="F410" i="24"/>
  <c r="F408" i="24"/>
  <c r="F406" i="24"/>
  <c r="F404" i="24"/>
  <c r="F402" i="24"/>
  <c r="F400" i="24"/>
  <c r="F398" i="24"/>
  <c r="F396" i="24"/>
  <c r="F394" i="24"/>
  <c r="F392" i="24"/>
  <c r="F390" i="24"/>
  <c r="F388" i="24"/>
  <c r="F386" i="24"/>
  <c r="F384" i="24"/>
  <c r="F382" i="24"/>
  <c r="F380" i="24"/>
  <c r="F378" i="24"/>
  <c r="F376" i="24"/>
  <c r="F374" i="24"/>
  <c r="F372" i="24"/>
  <c r="F370" i="24"/>
  <c r="F427" i="24"/>
  <c r="F425" i="24"/>
  <c r="F423" i="24"/>
  <c r="F419" i="24"/>
  <c r="F417" i="24"/>
  <c r="F415" i="24"/>
  <c r="F413" i="24"/>
  <c r="F411" i="24"/>
  <c r="F409" i="24"/>
  <c r="F407" i="24"/>
  <c r="F405" i="24"/>
  <c r="F403" i="24"/>
  <c r="F401" i="24"/>
  <c r="F399" i="24"/>
  <c r="F397" i="24"/>
  <c r="F395" i="24"/>
  <c r="F393" i="24"/>
  <c r="F391" i="24"/>
  <c r="F389" i="24"/>
  <c r="F387" i="24"/>
  <c r="F385" i="24"/>
  <c r="F383" i="24"/>
  <c r="F381" i="24"/>
  <c r="F379" i="24"/>
  <c r="F377" i="24"/>
  <c r="F375" i="24"/>
  <c r="F373" i="24"/>
  <c r="F371" i="24"/>
  <c r="F369" i="24"/>
  <c r="F399" i="23"/>
  <c r="F401" i="23"/>
  <c r="F403" i="23"/>
  <c r="F405" i="23"/>
  <c r="F407" i="23"/>
  <c r="F409" i="23"/>
  <c r="F411" i="23"/>
  <c r="F413" i="23"/>
  <c r="F415" i="23"/>
  <c r="F417" i="23"/>
  <c r="F419" i="23"/>
  <c r="F423" i="23"/>
  <c r="F425" i="23"/>
  <c r="F427" i="23"/>
  <c r="F370" i="23"/>
  <c r="F372" i="23"/>
  <c r="F374" i="23"/>
  <c r="F376" i="23"/>
  <c r="F378" i="23"/>
  <c r="F380" i="23"/>
  <c r="F382" i="23"/>
  <c r="F384" i="23"/>
  <c r="F386" i="23"/>
  <c r="F388" i="23"/>
  <c r="F390" i="23"/>
  <c r="F392" i="23"/>
  <c r="F394" i="23"/>
  <c r="F396" i="23"/>
  <c r="F398" i="23"/>
  <c r="F400" i="23"/>
  <c r="F402" i="23"/>
  <c r="F404" i="23"/>
  <c r="F406" i="23"/>
  <c r="F408" i="23"/>
  <c r="F410" i="23"/>
  <c r="F412" i="23"/>
  <c r="F414" i="23"/>
  <c r="F416" i="23"/>
  <c r="F418" i="23"/>
  <c r="F420" i="23"/>
  <c r="F422" i="23"/>
  <c r="F424" i="23"/>
  <c r="F426" i="23"/>
  <c r="F428" i="23"/>
  <c r="F371" i="23"/>
  <c r="F373" i="23"/>
  <c r="F375" i="23"/>
  <c r="F377" i="23"/>
  <c r="F379" i="23"/>
  <c r="F381" i="23"/>
  <c r="F383" i="23"/>
  <c r="F385" i="23"/>
  <c r="F387" i="23"/>
  <c r="F389" i="23"/>
  <c r="F391" i="23"/>
  <c r="F393" i="23"/>
  <c r="F395" i="23"/>
  <c r="F397" i="23"/>
  <c r="F369" i="23"/>
  <c r="G305" i="24"/>
  <c r="G303" i="24"/>
  <c r="G301" i="24"/>
  <c r="G297" i="24"/>
  <c r="G295" i="24"/>
  <c r="G293" i="24"/>
  <c r="G291" i="24"/>
  <c r="G289" i="24"/>
  <c r="G287" i="24"/>
  <c r="G285" i="24"/>
  <c r="G283" i="24"/>
  <c r="G281" i="24"/>
  <c r="G279" i="24"/>
  <c r="G277" i="24"/>
  <c r="G275" i="24"/>
  <c r="G273" i="24"/>
  <c r="G271" i="24"/>
  <c r="G269" i="24"/>
  <c r="G306" i="24"/>
  <c r="G304" i="24"/>
  <c r="G302" i="24"/>
  <c r="G300" i="24"/>
  <c r="G298" i="24"/>
  <c r="G296" i="24"/>
  <c r="G294" i="24"/>
  <c r="G292" i="24"/>
  <c r="G290" i="24"/>
  <c r="G288" i="24"/>
  <c r="G286" i="24"/>
  <c r="G284" i="24"/>
  <c r="G282" i="24"/>
  <c r="G280" i="24"/>
  <c r="G278" i="24"/>
  <c r="G276" i="24"/>
  <c r="G274" i="24"/>
  <c r="G272" i="24"/>
  <c r="G270" i="24"/>
  <c r="G268" i="24"/>
  <c r="G266" i="24"/>
  <c r="G264" i="24"/>
  <c r="G262" i="24"/>
  <c r="G260" i="24"/>
  <c r="G267" i="24"/>
  <c r="G259" i="24"/>
  <c r="G256" i="24"/>
  <c r="G252" i="24"/>
  <c r="G248" i="24"/>
  <c r="G261" i="24"/>
  <c r="G257" i="24"/>
  <c r="G253" i="24"/>
  <c r="G249" i="24"/>
  <c r="G263" i="24"/>
  <c r="G258" i="24"/>
  <c r="G254" i="24"/>
  <c r="G250" i="24"/>
  <c r="G265" i="24"/>
  <c r="G255" i="24"/>
  <c r="G251" i="24"/>
  <c r="G247" i="24"/>
  <c r="G247" i="23"/>
  <c r="G287" i="23"/>
  <c r="G289" i="23"/>
  <c r="G291" i="23"/>
  <c r="G293" i="23"/>
  <c r="G295" i="23"/>
  <c r="G297" i="23"/>
  <c r="G301" i="23"/>
  <c r="G303" i="23"/>
  <c r="G305" i="23"/>
  <c r="G248" i="23"/>
  <c r="G250" i="23"/>
  <c r="G252" i="23"/>
  <c r="G254" i="23"/>
  <c r="G256" i="23"/>
  <c r="G258" i="23"/>
  <c r="G260" i="23"/>
  <c r="G262" i="23"/>
  <c r="G264" i="23"/>
  <c r="G266" i="23"/>
  <c r="G268" i="23"/>
  <c r="G270" i="23"/>
  <c r="G272" i="23"/>
  <c r="G274" i="23"/>
  <c r="G276" i="23"/>
  <c r="G278" i="23"/>
  <c r="G280" i="23"/>
  <c r="G282" i="23"/>
  <c r="G284" i="23"/>
  <c r="G286" i="23"/>
  <c r="G288" i="23"/>
  <c r="G290" i="23"/>
  <c r="G292" i="23"/>
  <c r="G294" i="23"/>
  <c r="G296" i="23"/>
  <c r="G298" i="23"/>
  <c r="G300" i="23"/>
  <c r="G302" i="23"/>
  <c r="G304" i="23"/>
  <c r="G306" i="23"/>
  <c r="G249" i="23"/>
  <c r="G251" i="23"/>
  <c r="G253" i="23"/>
  <c r="G255" i="23"/>
  <c r="G257" i="23"/>
  <c r="G259" i="23"/>
  <c r="G261" i="23"/>
  <c r="G263" i="23"/>
  <c r="G265" i="23"/>
  <c r="G267" i="23"/>
  <c r="G269" i="23"/>
  <c r="G277" i="23"/>
  <c r="G281" i="23"/>
  <c r="G285" i="23"/>
  <c r="G273" i="23"/>
  <c r="G275" i="23"/>
  <c r="G279" i="23"/>
  <c r="G283" i="23"/>
  <c r="G271" i="23"/>
  <c r="C305" i="24"/>
  <c r="C303" i="24"/>
  <c r="C301" i="24"/>
  <c r="C297" i="24"/>
  <c r="C295" i="24"/>
  <c r="C293" i="24"/>
  <c r="C291" i="24"/>
  <c r="C289" i="24"/>
  <c r="C287" i="24"/>
  <c r="C285" i="24"/>
  <c r="C283" i="24"/>
  <c r="C281" i="24"/>
  <c r="C279" i="24"/>
  <c r="C277" i="24"/>
  <c r="C275" i="24"/>
  <c r="C273" i="24"/>
  <c r="C271" i="24"/>
  <c r="C306" i="24"/>
  <c r="C304" i="24"/>
  <c r="C302" i="24"/>
  <c r="C300" i="24"/>
  <c r="C298" i="24"/>
  <c r="C296" i="24"/>
  <c r="C294" i="24"/>
  <c r="C292" i="24"/>
  <c r="C290" i="24"/>
  <c r="C288" i="24"/>
  <c r="C286" i="24"/>
  <c r="C284" i="24"/>
  <c r="C282" i="24"/>
  <c r="C280" i="24"/>
  <c r="C278" i="24"/>
  <c r="C276" i="24"/>
  <c r="C274" i="24"/>
  <c r="C272" i="24"/>
  <c r="C270" i="24"/>
  <c r="C268" i="24"/>
  <c r="C266" i="24"/>
  <c r="C264" i="24"/>
  <c r="C262" i="24"/>
  <c r="C260" i="24"/>
  <c r="C265" i="24"/>
  <c r="C258" i="24"/>
  <c r="C254" i="24"/>
  <c r="C250" i="24"/>
  <c r="C267" i="24"/>
  <c r="C259" i="24"/>
  <c r="C255" i="24"/>
  <c r="C251" i="24"/>
  <c r="C269" i="24"/>
  <c r="C261" i="24"/>
  <c r="C256" i="24"/>
  <c r="C252" i="24"/>
  <c r="C248" i="24"/>
  <c r="C247" i="24"/>
  <c r="C263" i="24"/>
  <c r="C257" i="24"/>
  <c r="C253" i="24"/>
  <c r="C249" i="24"/>
  <c r="C287" i="23"/>
  <c r="C289" i="23"/>
  <c r="C291" i="23"/>
  <c r="C293" i="23"/>
  <c r="C295" i="23"/>
  <c r="C297" i="23"/>
  <c r="C301" i="23"/>
  <c r="C303" i="23"/>
  <c r="C305" i="23"/>
  <c r="C248" i="23"/>
  <c r="C250" i="23"/>
  <c r="C252" i="23"/>
  <c r="C254" i="23"/>
  <c r="C256" i="23"/>
  <c r="C258" i="23"/>
  <c r="C260" i="23"/>
  <c r="C262" i="23"/>
  <c r="C264" i="23"/>
  <c r="C266" i="23"/>
  <c r="C268" i="23"/>
  <c r="C270" i="23"/>
  <c r="C272" i="23"/>
  <c r="C274" i="23"/>
  <c r="C276" i="23"/>
  <c r="C278" i="23"/>
  <c r="C280" i="23"/>
  <c r="C282" i="23"/>
  <c r="C284" i="23"/>
  <c r="C286" i="23"/>
  <c r="C288" i="23"/>
  <c r="C290" i="23"/>
  <c r="C292" i="23"/>
  <c r="C294" i="23"/>
  <c r="C296" i="23"/>
  <c r="C298" i="23"/>
  <c r="C300" i="23"/>
  <c r="C302" i="23"/>
  <c r="C304" i="23"/>
  <c r="C306" i="23"/>
  <c r="C249" i="23"/>
  <c r="C251" i="23"/>
  <c r="C253" i="23"/>
  <c r="C255" i="23"/>
  <c r="C257" i="23"/>
  <c r="C259" i="23"/>
  <c r="C261" i="23"/>
  <c r="C263" i="23"/>
  <c r="C265" i="23"/>
  <c r="C267" i="23"/>
  <c r="C269" i="23"/>
  <c r="C275" i="23"/>
  <c r="C279" i="23"/>
  <c r="C283" i="23"/>
  <c r="C273" i="23"/>
  <c r="C247" i="23"/>
  <c r="C271" i="23"/>
  <c r="C277" i="23"/>
  <c r="C281" i="23"/>
  <c r="C285" i="23"/>
  <c r="B83" i="24"/>
  <c r="B83" i="23"/>
  <c r="G83" i="24"/>
  <c r="G83" i="23"/>
  <c r="E100" i="24"/>
  <c r="E100" i="23"/>
  <c r="B238" i="24"/>
  <c r="B238" i="23"/>
  <c r="D229" i="24"/>
  <c r="D229" i="23"/>
  <c r="C229" i="24"/>
  <c r="C229" i="23"/>
  <c r="B178" i="24"/>
  <c r="B178" i="23"/>
  <c r="D169" i="24"/>
  <c r="D169" i="23"/>
  <c r="C169" i="24"/>
  <c r="C169" i="23"/>
  <c r="F14" i="24"/>
  <c r="F14" i="23"/>
  <c r="D31" i="24"/>
  <c r="D31" i="23"/>
  <c r="E14" i="24"/>
  <c r="E14" i="23"/>
  <c r="F41" i="24"/>
  <c r="F41" i="23"/>
  <c r="C41" i="24"/>
  <c r="C41" i="23"/>
  <c r="F24" i="24"/>
  <c r="F24" i="23"/>
  <c r="B4" i="22"/>
  <c r="B4" i="25" s="1"/>
  <c r="AE5" i="19"/>
  <c r="J9" i="22"/>
  <c r="J9" i="25" s="1"/>
  <c r="J26" i="22"/>
  <c r="J26" i="25" s="1"/>
  <c r="L9" i="22"/>
  <c r="L9" i="25" s="1"/>
  <c r="L26" i="22"/>
  <c r="L26" i="25" s="1"/>
  <c r="G9" i="22"/>
  <c r="G9" i="25" s="1"/>
  <c r="G26" i="22"/>
  <c r="G26" i="25" s="1"/>
  <c r="J13" i="22"/>
  <c r="J13" i="25" s="1"/>
  <c r="J30" i="22"/>
  <c r="J30" i="25" s="1"/>
  <c r="L13" i="22"/>
  <c r="L13" i="25" s="1"/>
  <c r="L30" i="22"/>
  <c r="L30" i="25" s="1"/>
  <c r="G13" i="22"/>
  <c r="G13" i="25" s="1"/>
  <c r="G30" i="22"/>
  <c r="G30" i="25" s="1"/>
  <c r="J17" i="22"/>
  <c r="J17" i="25" s="1"/>
  <c r="J34" i="22"/>
  <c r="J34" i="25" s="1"/>
  <c r="L17" i="22"/>
  <c r="L17" i="25" s="1"/>
  <c r="L34" i="22"/>
  <c r="L34" i="25" s="1"/>
  <c r="G34" i="22"/>
  <c r="G34" i="25" s="1"/>
  <c r="G17" i="22"/>
  <c r="G17" i="25" s="1"/>
  <c r="J21" i="22"/>
  <c r="J21" i="25" s="1"/>
  <c r="J38" i="22"/>
  <c r="J38" i="25" s="1"/>
  <c r="L21" i="22"/>
  <c r="L21" i="25" s="1"/>
  <c r="L38" i="22"/>
  <c r="L38" i="25" s="1"/>
  <c r="G21" i="22"/>
  <c r="G21" i="25" s="1"/>
  <c r="G38" i="22"/>
  <c r="G38" i="25" s="1"/>
  <c r="I51" i="22"/>
  <c r="I51" i="25" s="1"/>
  <c r="I42" i="22"/>
  <c r="I42" i="25" s="1"/>
  <c r="L42" i="22"/>
  <c r="L42" i="25" s="1"/>
  <c r="L51" i="22"/>
  <c r="L51" i="25" s="1"/>
  <c r="G51" i="22"/>
  <c r="G51" i="25" s="1"/>
  <c r="G42" i="22"/>
  <c r="G42" i="25" s="1"/>
  <c r="I55" i="22"/>
  <c r="I55" i="25" s="1"/>
  <c r="I46" i="22"/>
  <c r="I46" i="25" s="1"/>
  <c r="L46" i="22"/>
  <c r="L46" i="25" s="1"/>
  <c r="L55" i="22"/>
  <c r="L55" i="25" s="1"/>
  <c r="G55" i="22"/>
  <c r="G55" i="25" s="1"/>
  <c r="G46" i="22"/>
  <c r="G46" i="25" s="1"/>
  <c r="B50" i="22"/>
  <c r="B50" i="25" s="1"/>
  <c r="B59" i="22"/>
  <c r="B59" i="25" s="1"/>
  <c r="AE35" i="19"/>
  <c r="L50" i="22"/>
  <c r="L50" i="25" s="1"/>
  <c r="L59" i="22"/>
  <c r="L59" i="25" s="1"/>
  <c r="G50" i="22"/>
  <c r="G50" i="25" s="1"/>
  <c r="G59" i="22"/>
  <c r="G59" i="25" s="1"/>
  <c r="B360" i="24"/>
  <c r="B360" i="23"/>
  <c r="C360" i="24"/>
  <c r="C360" i="23"/>
  <c r="B107" i="24"/>
  <c r="B107" i="23"/>
  <c r="E107" i="24"/>
  <c r="E107" i="23"/>
  <c r="E116" i="24"/>
  <c r="E116" i="23"/>
  <c r="G93" i="24"/>
  <c r="G93" i="23"/>
  <c r="D93" i="24"/>
  <c r="D93" i="23"/>
  <c r="E76" i="24"/>
  <c r="E76" i="23"/>
  <c r="B222" i="24"/>
  <c r="B222" i="23"/>
  <c r="D205" i="24"/>
  <c r="D205" i="23"/>
  <c r="C205" i="24"/>
  <c r="C205" i="23"/>
  <c r="F175" i="24"/>
  <c r="F175" i="23"/>
  <c r="G175" i="24"/>
  <c r="G175" i="23"/>
  <c r="D175" i="24"/>
  <c r="D175" i="23"/>
  <c r="G15" i="24"/>
  <c r="G15" i="23"/>
  <c r="E32" i="24"/>
  <c r="E32" i="23"/>
  <c r="F32" i="24"/>
  <c r="F32" i="23"/>
  <c r="B10" i="22"/>
  <c r="B10" i="25" s="1"/>
  <c r="B27" i="22"/>
  <c r="B27" i="25" s="1"/>
  <c r="AE12" i="19"/>
  <c r="L10" i="22"/>
  <c r="L10" i="25" s="1"/>
  <c r="L27" i="22"/>
  <c r="L27" i="25" s="1"/>
  <c r="G10" i="22"/>
  <c r="G10" i="25" s="1"/>
  <c r="G27" i="22"/>
  <c r="G27" i="25" s="1"/>
  <c r="B14" i="22"/>
  <c r="B14" i="25" s="1"/>
  <c r="B31" i="22"/>
  <c r="B31" i="25" s="1"/>
  <c r="AE16" i="19"/>
  <c r="L14" i="22"/>
  <c r="L14" i="25" s="1"/>
  <c r="L31" i="22"/>
  <c r="L31" i="25" s="1"/>
  <c r="G14" i="22"/>
  <c r="G14" i="25" s="1"/>
  <c r="G31" i="22"/>
  <c r="G31" i="25" s="1"/>
  <c r="B18" i="22"/>
  <c r="B18" i="25" s="1"/>
  <c r="B35" i="22"/>
  <c r="B35" i="25" s="1"/>
  <c r="AE20" i="19"/>
  <c r="L18" i="22"/>
  <c r="L18" i="25" s="1"/>
  <c r="L35" i="22"/>
  <c r="L35" i="25" s="1"/>
  <c r="G18" i="22"/>
  <c r="G18" i="25" s="1"/>
  <c r="G35" i="22"/>
  <c r="G35" i="25" s="1"/>
  <c r="B22" i="22"/>
  <c r="B22" i="25" s="1"/>
  <c r="B39" i="22"/>
  <c r="B39" i="25" s="1"/>
  <c r="AE24" i="19"/>
  <c r="L22" i="22"/>
  <c r="L22" i="25" s="1"/>
  <c r="L39" i="22"/>
  <c r="L39" i="25" s="1"/>
  <c r="G39" i="22"/>
  <c r="G39" i="25" s="1"/>
  <c r="G22" i="22"/>
  <c r="G22" i="25" s="1"/>
  <c r="E52" i="22"/>
  <c r="E52" i="25" s="1"/>
  <c r="E43" i="22"/>
  <c r="E43" i="25" s="1"/>
  <c r="L43" i="22"/>
  <c r="L43" i="25" s="1"/>
  <c r="L52" i="22"/>
  <c r="L52" i="25" s="1"/>
  <c r="G52" i="22"/>
  <c r="G52" i="25" s="1"/>
  <c r="G43" i="22"/>
  <c r="G43" i="25" s="1"/>
  <c r="E47" i="22"/>
  <c r="E47" i="25" s="1"/>
  <c r="E56" i="22"/>
  <c r="E56" i="25" s="1"/>
  <c r="L47" i="22"/>
  <c r="L47" i="25" s="1"/>
  <c r="L56" i="22"/>
  <c r="L56" i="25" s="1"/>
  <c r="G47" i="22"/>
  <c r="G47" i="25" s="1"/>
  <c r="G56" i="22"/>
  <c r="G56" i="25" s="1"/>
  <c r="B60" i="22"/>
  <c r="B60" i="25" s="1"/>
  <c r="AE36" i="19"/>
  <c r="Y23" i="18"/>
  <c r="Y15" i="18"/>
  <c r="Y7" i="18"/>
  <c r="E367" i="24"/>
  <c r="E365" i="24"/>
  <c r="E363" i="24"/>
  <c r="E361" i="24"/>
  <c r="E359" i="24"/>
  <c r="E357" i="24"/>
  <c r="E355" i="24"/>
  <c r="E353" i="24"/>
  <c r="E366" i="24"/>
  <c r="E364" i="24"/>
  <c r="E362" i="24"/>
  <c r="E358" i="24"/>
  <c r="E356" i="24"/>
  <c r="E354" i="24"/>
  <c r="E352" i="24"/>
  <c r="E350" i="24"/>
  <c r="E349" i="24"/>
  <c r="E347" i="24"/>
  <c r="E345" i="24"/>
  <c r="E343" i="24"/>
  <c r="E341" i="24"/>
  <c r="E339" i="24"/>
  <c r="E337" i="24"/>
  <c r="E335" i="24"/>
  <c r="E333" i="24"/>
  <c r="E331" i="24"/>
  <c r="E329" i="24"/>
  <c r="E327" i="24"/>
  <c r="E325" i="24"/>
  <c r="E323" i="24"/>
  <c r="E321" i="24"/>
  <c r="E319" i="24"/>
  <c r="E317" i="24"/>
  <c r="E315" i="24"/>
  <c r="E313" i="24"/>
  <c r="E311" i="24"/>
  <c r="E309" i="24"/>
  <c r="E351" i="24"/>
  <c r="E348" i="24"/>
  <c r="E346" i="24"/>
  <c r="E344" i="24"/>
  <c r="E342" i="24"/>
  <c r="E340" i="24"/>
  <c r="E338" i="24"/>
  <c r="E336" i="24"/>
  <c r="E334" i="24"/>
  <c r="E332" i="24"/>
  <c r="E330" i="24"/>
  <c r="E328" i="24"/>
  <c r="E326" i="24"/>
  <c r="E324" i="24"/>
  <c r="E322" i="24"/>
  <c r="E320" i="24"/>
  <c r="E318" i="24"/>
  <c r="E316" i="24"/>
  <c r="E314" i="24"/>
  <c r="E312" i="24"/>
  <c r="E310" i="24"/>
  <c r="E308" i="24"/>
  <c r="E308" i="23"/>
  <c r="E358" i="23"/>
  <c r="E362" i="23"/>
  <c r="E364" i="23"/>
  <c r="E366" i="23"/>
  <c r="E329" i="23"/>
  <c r="E331" i="23"/>
  <c r="E333" i="23"/>
  <c r="E335" i="23"/>
  <c r="E337" i="23"/>
  <c r="E339" i="23"/>
  <c r="E341" i="23"/>
  <c r="E343" i="23"/>
  <c r="E345" i="23"/>
  <c r="E347" i="23"/>
  <c r="E349" i="23"/>
  <c r="E351" i="23"/>
  <c r="E353" i="23"/>
  <c r="E355" i="23"/>
  <c r="E309" i="23"/>
  <c r="E311" i="23"/>
  <c r="E313" i="23"/>
  <c r="E315" i="23"/>
  <c r="E317" i="23"/>
  <c r="E319" i="23"/>
  <c r="E321" i="23"/>
  <c r="E323" i="23"/>
  <c r="E325" i="23"/>
  <c r="E327" i="23"/>
  <c r="E357" i="23"/>
  <c r="E359" i="23"/>
  <c r="E361" i="23"/>
  <c r="E363" i="23"/>
  <c r="E365" i="23"/>
  <c r="E367" i="23"/>
  <c r="E330" i="23"/>
  <c r="E332" i="23"/>
  <c r="E334" i="23"/>
  <c r="E336" i="23"/>
  <c r="E338" i="23"/>
  <c r="E340" i="23"/>
  <c r="E342" i="23"/>
  <c r="E344" i="23"/>
  <c r="E346" i="23"/>
  <c r="E348" i="23"/>
  <c r="E350" i="23"/>
  <c r="E352" i="23"/>
  <c r="E354" i="23"/>
  <c r="E356" i="23"/>
  <c r="E310" i="23"/>
  <c r="E312" i="23"/>
  <c r="E314" i="23"/>
  <c r="E316" i="23"/>
  <c r="E318" i="23"/>
  <c r="E320" i="23"/>
  <c r="E322" i="23"/>
  <c r="E324" i="23"/>
  <c r="E326" i="23"/>
  <c r="E328" i="23"/>
  <c r="B115" i="24"/>
  <c r="B115" i="23"/>
  <c r="G115" i="24"/>
  <c r="G115" i="23"/>
  <c r="C106" i="24"/>
  <c r="C106" i="23"/>
  <c r="F92" i="24"/>
  <c r="F92" i="23"/>
  <c r="G123" i="24"/>
  <c r="G121" i="24"/>
  <c r="G119" i="24"/>
  <c r="G117" i="24"/>
  <c r="G113" i="24"/>
  <c r="G111" i="24"/>
  <c r="G109" i="24"/>
  <c r="G105" i="24"/>
  <c r="G101" i="24"/>
  <c r="G99" i="24"/>
  <c r="G97" i="24"/>
  <c r="G95" i="24"/>
  <c r="G91" i="24"/>
  <c r="G89" i="24"/>
  <c r="G87" i="24"/>
  <c r="G85" i="24"/>
  <c r="G81" i="24"/>
  <c r="G79" i="24"/>
  <c r="G77" i="24"/>
  <c r="G75" i="24"/>
  <c r="G73" i="24"/>
  <c r="G71" i="24"/>
  <c r="G69" i="24"/>
  <c r="G67" i="24"/>
  <c r="G65" i="24"/>
  <c r="G122" i="24"/>
  <c r="G120" i="24"/>
  <c r="G118" i="24"/>
  <c r="G114" i="24"/>
  <c r="G112" i="24"/>
  <c r="G110" i="24"/>
  <c r="G108" i="24"/>
  <c r="G104" i="24"/>
  <c r="G102" i="24"/>
  <c r="G98" i="24"/>
  <c r="G96" i="24"/>
  <c r="G94" i="24"/>
  <c r="G90" i="24"/>
  <c r="G88" i="24"/>
  <c r="G84" i="24"/>
  <c r="G82" i="24"/>
  <c r="G80" i="24"/>
  <c r="G78" i="24"/>
  <c r="G74" i="24"/>
  <c r="G72" i="24"/>
  <c r="G70" i="24"/>
  <c r="G68" i="24"/>
  <c r="G66" i="24"/>
  <c r="G64" i="24"/>
  <c r="G102" i="23"/>
  <c r="G104" i="23"/>
  <c r="G108" i="23"/>
  <c r="G110" i="23"/>
  <c r="G112" i="23"/>
  <c r="G114" i="23"/>
  <c r="G118" i="23"/>
  <c r="G120" i="23"/>
  <c r="G122" i="23"/>
  <c r="G65" i="23"/>
  <c r="G67" i="23"/>
  <c r="G69" i="23"/>
  <c r="G71" i="23"/>
  <c r="G73" i="23"/>
  <c r="G75" i="23"/>
  <c r="G77" i="23"/>
  <c r="G79" i="23"/>
  <c r="G81" i="23"/>
  <c r="G85" i="23"/>
  <c r="G87" i="23"/>
  <c r="G89" i="23"/>
  <c r="G91" i="23"/>
  <c r="G95" i="23"/>
  <c r="G97" i="23"/>
  <c r="G99" i="23"/>
  <c r="G64" i="23"/>
  <c r="G101" i="23"/>
  <c r="G105" i="23"/>
  <c r="G109" i="23"/>
  <c r="G111" i="23"/>
  <c r="G113" i="23"/>
  <c r="G117" i="23"/>
  <c r="G119" i="23"/>
  <c r="G121" i="23"/>
  <c r="G123" i="23"/>
  <c r="G66" i="23"/>
  <c r="G68" i="23"/>
  <c r="G70" i="23"/>
  <c r="G72" i="23"/>
  <c r="G74" i="23"/>
  <c r="G78" i="23"/>
  <c r="G80" i="23"/>
  <c r="G82" i="23"/>
  <c r="G84" i="23"/>
  <c r="G88" i="23"/>
  <c r="G90" i="23"/>
  <c r="G94" i="23"/>
  <c r="G96" i="23"/>
  <c r="G98" i="23"/>
  <c r="D123" i="24"/>
  <c r="D121" i="24"/>
  <c r="D119" i="24"/>
  <c r="D117" i="24"/>
  <c r="D113" i="24"/>
  <c r="D111" i="24"/>
  <c r="D109" i="24"/>
  <c r="D105" i="24"/>
  <c r="D101" i="24"/>
  <c r="D99" i="24"/>
  <c r="D97" i="24"/>
  <c r="D95" i="24"/>
  <c r="D91" i="24"/>
  <c r="D89" i="24"/>
  <c r="D87" i="24"/>
  <c r="D85" i="24"/>
  <c r="D81" i="24"/>
  <c r="D79" i="24"/>
  <c r="D77" i="24"/>
  <c r="D75" i="24"/>
  <c r="D73" i="24"/>
  <c r="D71" i="24"/>
  <c r="D69" i="24"/>
  <c r="D67" i="24"/>
  <c r="D65" i="24"/>
  <c r="D122" i="24"/>
  <c r="D120" i="24"/>
  <c r="D118" i="24"/>
  <c r="D114" i="24"/>
  <c r="D112" i="24"/>
  <c r="D110" i="24"/>
  <c r="D108" i="24"/>
  <c r="D104" i="24"/>
  <c r="D102" i="24"/>
  <c r="D98" i="24"/>
  <c r="D96" i="24"/>
  <c r="D94" i="24"/>
  <c r="D90" i="24"/>
  <c r="D88" i="24"/>
  <c r="D84" i="24"/>
  <c r="D82" i="24"/>
  <c r="D80" i="24"/>
  <c r="D78" i="24"/>
  <c r="D74" i="24"/>
  <c r="D72" i="24"/>
  <c r="D70" i="24"/>
  <c r="D68" i="24"/>
  <c r="D66" i="24"/>
  <c r="D64" i="24"/>
  <c r="D101" i="23"/>
  <c r="D105" i="23"/>
  <c r="D109" i="23"/>
  <c r="D111" i="23"/>
  <c r="D113" i="23"/>
  <c r="D117" i="23"/>
  <c r="D119" i="23"/>
  <c r="D121" i="23"/>
  <c r="D123" i="23"/>
  <c r="D66" i="23"/>
  <c r="D68" i="23"/>
  <c r="D70" i="23"/>
  <c r="D72" i="23"/>
  <c r="D74" i="23"/>
  <c r="D78" i="23"/>
  <c r="D80" i="23"/>
  <c r="D82" i="23"/>
  <c r="D84" i="23"/>
  <c r="D88" i="23"/>
  <c r="D90" i="23"/>
  <c r="D94" i="23"/>
  <c r="D96" i="23"/>
  <c r="D98" i="23"/>
  <c r="D102" i="23"/>
  <c r="D104" i="23"/>
  <c r="D108" i="23"/>
  <c r="D110" i="23"/>
  <c r="D112" i="23"/>
  <c r="D114" i="23"/>
  <c r="D118" i="23"/>
  <c r="D120" i="23"/>
  <c r="D122" i="23"/>
  <c r="D65" i="23"/>
  <c r="D67" i="23"/>
  <c r="D69" i="23"/>
  <c r="D71" i="23"/>
  <c r="D73" i="23"/>
  <c r="D75" i="23"/>
  <c r="D77" i="23"/>
  <c r="D79" i="23"/>
  <c r="D81" i="23"/>
  <c r="D85" i="23"/>
  <c r="D87" i="23"/>
  <c r="D89" i="23"/>
  <c r="D91" i="23"/>
  <c r="D95" i="23"/>
  <c r="D97" i="23"/>
  <c r="D99" i="23"/>
  <c r="D64" i="23"/>
  <c r="E215" i="24"/>
  <c r="E215" i="23"/>
  <c r="F244" i="24"/>
  <c r="F242" i="24"/>
  <c r="F245" i="24"/>
  <c r="F240" i="24"/>
  <c r="F236" i="24"/>
  <c r="F232" i="24"/>
  <c r="F230" i="24"/>
  <c r="F228" i="24"/>
  <c r="F226" i="24"/>
  <c r="F224" i="24"/>
  <c r="F220" i="24"/>
  <c r="F218" i="24"/>
  <c r="F216" i="24"/>
  <c r="F214" i="24"/>
  <c r="F212" i="24"/>
  <c r="F210" i="24"/>
  <c r="F208" i="24"/>
  <c r="F206" i="24"/>
  <c r="F204" i="24"/>
  <c r="F202" i="24"/>
  <c r="F200" i="24"/>
  <c r="F198" i="24"/>
  <c r="F196" i="24"/>
  <c r="F194" i="24"/>
  <c r="F192" i="24"/>
  <c r="F190" i="24"/>
  <c r="F188" i="24"/>
  <c r="F186" i="24"/>
  <c r="F241" i="24"/>
  <c r="F239" i="24"/>
  <c r="F237" i="24"/>
  <c r="F235" i="24"/>
  <c r="F233" i="24"/>
  <c r="F231" i="24"/>
  <c r="F227" i="24"/>
  <c r="F225" i="24"/>
  <c r="F223" i="24"/>
  <c r="F221" i="24"/>
  <c r="F219" i="24"/>
  <c r="F217" i="24"/>
  <c r="F213" i="24"/>
  <c r="F211" i="24"/>
  <c r="F209" i="24"/>
  <c r="F207" i="24"/>
  <c r="F203" i="24"/>
  <c r="F201" i="24"/>
  <c r="F199" i="24"/>
  <c r="F197" i="24"/>
  <c r="F195" i="24"/>
  <c r="F193" i="24"/>
  <c r="F191" i="24"/>
  <c r="F189" i="24"/>
  <c r="F187" i="24"/>
  <c r="F221" i="23"/>
  <c r="F223" i="23"/>
  <c r="F225" i="23"/>
  <c r="F227" i="23"/>
  <c r="F231" i="23"/>
  <c r="F233" i="23"/>
  <c r="F235" i="23"/>
  <c r="F237" i="23"/>
  <c r="F239" i="23"/>
  <c r="F241" i="23"/>
  <c r="F245" i="23"/>
  <c r="F188" i="23"/>
  <c r="F190" i="23"/>
  <c r="F192" i="23"/>
  <c r="F194" i="23"/>
  <c r="F196" i="23"/>
  <c r="F198" i="23"/>
  <c r="F200" i="23"/>
  <c r="F202" i="23"/>
  <c r="F204" i="23"/>
  <c r="F206" i="23"/>
  <c r="F208" i="23"/>
  <c r="F210" i="23"/>
  <c r="F212" i="23"/>
  <c r="F214" i="23"/>
  <c r="F216" i="23"/>
  <c r="F218" i="23"/>
  <c r="F220" i="23"/>
  <c r="F224" i="23"/>
  <c r="F228" i="23"/>
  <c r="F186" i="23"/>
  <c r="F230" i="23"/>
  <c r="F232" i="23"/>
  <c r="F236" i="23"/>
  <c r="F240" i="23"/>
  <c r="F242" i="23"/>
  <c r="F244" i="23"/>
  <c r="F187" i="23"/>
  <c r="F189" i="23"/>
  <c r="F191" i="23"/>
  <c r="F193" i="23"/>
  <c r="F195" i="23"/>
  <c r="F197" i="23"/>
  <c r="F199" i="23"/>
  <c r="F201" i="23"/>
  <c r="F203" i="23"/>
  <c r="F207" i="23"/>
  <c r="F209" i="23"/>
  <c r="F211" i="23"/>
  <c r="F213" i="23"/>
  <c r="F217" i="23"/>
  <c r="F219" i="23"/>
  <c r="F226" i="23"/>
  <c r="C242" i="24"/>
  <c r="C241" i="24"/>
  <c r="C239" i="24"/>
  <c r="C237" i="24"/>
  <c r="C235" i="24"/>
  <c r="C233" i="24"/>
  <c r="C231" i="24"/>
  <c r="C227" i="24"/>
  <c r="C225" i="24"/>
  <c r="C223" i="24"/>
  <c r="C221" i="24"/>
  <c r="C219" i="24"/>
  <c r="C217" i="24"/>
  <c r="C213" i="24"/>
  <c r="C211" i="24"/>
  <c r="C209" i="24"/>
  <c r="C207" i="24"/>
  <c r="C203" i="24"/>
  <c r="C201" i="24"/>
  <c r="C199" i="24"/>
  <c r="C197" i="24"/>
  <c r="C195" i="24"/>
  <c r="C193" i="24"/>
  <c r="C191" i="24"/>
  <c r="C189" i="24"/>
  <c r="C187" i="24"/>
  <c r="C245" i="24"/>
  <c r="C244" i="24"/>
  <c r="C240" i="24"/>
  <c r="C236" i="24"/>
  <c r="C232" i="24"/>
  <c r="C230" i="24"/>
  <c r="C228" i="24"/>
  <c r="C226" i="24"/>
  <c r="C224" i="24"/>
  <c r="C220" i="24"/>
  <c r="C218" i="24"/>
  <c r="C216" i="24"/>
  <c r="C214" i="24"/>
  <c r="C212" i="24"/>
  <c r="C210" i="24"/>
  <c r="C208" i="24"/>
  <c r="C206" i="24"/>
  <c r="C204" i="24"/>
  <c r="C202" i="24"/>
  <c r="C200" i="24"/>
  <c r="C198" i="24"/>
  <c r="C196" i="24"/>
  <c r="C194" i="24"/>
  <c r="C192" i="24"/>
  <c r="C190" i="24"/>
  <c r="C188" i="24"/>
  <c r="C186" i="24"/>
  <c r="C221" i="23"/>
  <c r="C223" i="23"/>
  <c r="C225" i="23"/>
  <c r="C227" i="23"/>
  <c r="C224" i="23"/>
  <c r="C228" i="23"/>
  <c r="C231" i="23"/>
  <c r="C233" i="23"/>
  <c r="C235" i="23"/>
  <c r="C237" i="23"/>
  <c r="C239" i="23"/>
  <c r="C241" i="23"/>
  <c r="C245" i="23"/>
  <c r="C188" i="23"/>
  <c r="C190" i="23"/>
  <c r="C192" i="23"/>
  <c r="C194" i="23"/>
  <c r="C196" i="23"/>
  <c r="C198" i="23"/>
  <c r="C200" i="23"/>
  <c r="C202" i="23"/>
  <c r="C204" i="23"/>
  <c r="C206" i="23"/>
  <c r="C208" i="23"/>
  <c r="C210" i="23"/>
  <c r="C212" i="23"/>
  <c r="C214" i="23"/>
  <c r="C216" i="23"/>
  <c r="C218" i="23"/>
  <c r="C220" i="23"/>
  <c r="C226" i="23"/>
  <c r="C186" i="23"/>
  <c r="C230" i="23"/>
  <c r="C232" i="23"/>
  <c r="C236" i="23"/>
  <c r="C240" i="23"/>
  <c r="C242" i="23"/>
  <c r="C244" i="23"/>
  <c r="C187" i="23"/>
  <c r="C189" i="23"/>
  <c r="C191" i="23"/>
  <c r="C193" i="23"/>
  <c r="C195" i="23"/>
  <c r="C197" i="23"/>
  <c r="C199" i="23"/>
  <c r="C201" i="23"/>
  <c r="C203" i="23"/>
  <c r="C207" i="23"/>
  <c r="C209" i="23"/>
  <c r="C211" i="23"/>
  <c r="C213" i="23"/>
  <c r="C217" i="23"/>
  <c r="C219" i="23"/>
  <c r="F183" i="24"/>
  <c r="F181" i="24"/>
  <c r="F177" i="24"/>
  <c r="F173" i="24"/>
  <c r="F171" i="24"/>
  <c r="F167" i="24"/>
  <c r="F165" i="24"/>
  <c r="F163" i="24"/>
  <c r="F159" i="24"/>
  <c r="F157" i="24"/>
  <c r="F155" i="24"/>
  <c r="F153" i="24"/>
  <c r="F151" i="24"/>
  <c r="F149" i="24"/>
  <c r="F147" i="24"/>
  <c r="F145" i="24"/>
  <c r="F143" i="24"/>
  <c r="F141" i="24"/>
  <c r="F139" i="24"/>
  <c r="F137" i="24"/>
  <c r="F135" i="24"/>
  <c r="F133" i="24"/>
  <c r="F131" i="24"/>
  <c r="F129" i="24"/>
  <c r="F127" i="24"/>
  <c r="F125" i="24"/>
  <c r="F184" i="24"/>
  <c r="F182" i="24"/>
  <c r="F180" i="24"/>
  <c r="F176" i="24"/>
  <c r="F174" i="24"/>
  <c r="F172" i="24"/>
  <c r="F168" i="24"/>
  <c r="F164" i="24"/>
  <c r="F162" i="24"/>
  <c r="F160" i="24"/>
  <c r="F158" i="24"/>
  <c r="F156" i="24"/>
  <c r="F154" i="24"/>
  <c r="F152" i="24"/>
  <c r="F150" i="24"/>
  <c r="F148" i="24"/>
  <c r="F146" i="24"/>
  <c r="F144" i="24"/>
  <c r="F142" i="24"/>
  <c r="F140" i="24"/>
  <c r="F138" i="24"/>
  <c r="F136" i="24"/>
  <c r="F134" i="24"/>
  <c r="F132" i="24"/>
  <c r="F130" i="24"/>
  <c r="F128" i="24"/>
  <c r="F126" i="24"/>
  <c r="F171" i="23"/>
  <c r="F173" i="23"/>
  <c r="F177" i="23"/>
  <c r="F181" i="23"/>
  <c r="F183" i="23"/>
  <c r="F126" i="23"/>
  <c r="F128" i="23"/>
  <c r="F130" i="23"/>
  <c r="F132" i="23"/>
  <c r="F134" i="23"/>
  <c r="F136" i="23"/>
  <c r="F138" i="23"/>
  <c r="F140" i="23"/>
  <c r="F142" i="23"/>
  <c r="F144" i="23"/>
  <c r="F146" i="23"/>
  <c r="F148" i="23"/>
  <c r="F150" i="23"/>
  <c r="F152" i="23"/>
  <c r="F154" i="23"/>
  <c r="F156" i="23"/>
  <c r="F158" i="23"/>
  <c r="F160" i="23"/>
  <c r="F162" i="23"/>
  <c r="F164" i="23"/>
  <c r="F168" i="23"/>
  <c r="F125" i="23"/>
  <c r="F172" i="23"/>
  <c r="F174" i="23"/>
  <c r="F176" i="23"/>
  <c r="F180" i="23"/>
  <c r="F182" i="23"/>
  <c r="F184" i="23"/>
  <c r="F127" i="23"/>
  <c r="F129" i="23"/>
  <c r="F131" i="23"/>
  <c r="F133" i="23"/>
  <c r="F135" i="23"/>
  <c r="F137" i="23"/>
  <c r="F139" i="23"/>
  <c r="F141" i="23"/>
  <c r="F143" i="23"/>
  <c r="F145" i="23"/>
  <c r="F147" i="23"/>
  <c r="F149" i="23"/>
  <c r="F151" i="23"/>
  <c r="F153" i="23"/>
  <c r="F155" i="23"/>
  <c r="F157" i="23"/>
  <c r="F159" i="23"/>
  <c r="F163" i="23"/>
  <c r="F165" i="23"/>
  <c r="F167" i="23"/>
  <c r="F161" i="24"/>
  <c r="F161" i="23"/>
  <c r="C161" i="24"/>
  <c r="C161" i="23"/>
  <c r="B33" i="24"/>
  <c r="B33" i="23"/>
  <c r="E33" i="24"/>
  <c r="E33" i="23"/>
  <c r="D33" i="24"/>
  <c r="D33" i="23"/>
  <c r="B5" i="22"/>
  <c r="B5" i="25" s="1"/>
  <c r="AE7" i="19"/>
  <c r="F11" i="22"/>
  <c r="F11" i="25" s="1"/>
  <c r="F28" i="22"/>
  <c r="F28" i="25" s="1"/>
  <c r="E11" i="22"/>
  <c r="E11" i="25" s="1"/>
  <c r="E28" i="22"/>
  <c r="E28" i="25" s="1"/>
  <c r="K11" i="22"/>
  <c r="K11" i="25" s="1"/>
  <c r="K28" i="22"/>
  <c r="K28" i="25" s="1"/>
  <c r="F15" i="22"/>
  <c r="F15" i="25" s="1"/>
  <c r="F32" i="22"/>
  <c r="F32" i="25" s="1"/>
  <c r="E15" i="22"/>
  <c r="E15" i="25" s="1"/>
  <c r="E32" i="22"/>
  <c r="E32" i="25" s="1"/>
  <c r="K15" i="22"/>
  <c r="K15" i="25" s="1"/>
  <c r="K32" i="22"/>
  <c r="K32" i="25" s="1"/>
  <c r="F19" i="22"/>
  <c r="F19" i="25" s="1"/>
  <c r="F36" i="22"/>
  <c r="F36" i="25" s="1"/>
  <c r="E19" i="22"/>
  <c r="E19" i="25" s="1"/>
  <c r="E36" i="22"/>
  <c r="E36" i="25" s="1"/>
  <c r="K19" i="22"/>
  <c r="K19" i="25" s="1"/>
  <c r="K36" i="22"/>
  <c r="K36" i="25" s="1"/>
  <c r="F23" i="22"/>
  <c r="F23" i="25" s="1"/>
  <c r="F40" i="22"/>
  <c r="F40" i="25" s="1"/>
  <c r="E23" i="22"/>
  <c r="E23" i="25" s="1"/>
  <c r="E40" i="22"/>
  <c r="E40" i="25" s="1"/>
  <c r="K40" i="22"/>
  <c r="K40" i="25" s="1"/>
  <c r="K23" i="22"/>
  <c r="K23" i="25" s="1"/>
  <c r="B44" i="22"/>
  <c r="B44" i="25" s="1"/>
  <c r="B53" i="22"/>
  <c r="B53" i="25" s="1"/>
  <c r="AE29" i="19"/>
  <c r="E53" i="22"/>
  <c r="E53" i="25" s="1"/>
  <c r="E44" i="22"/>
  <c r="E44" i="25" s="1"/>
  <c r="K53" i="22"/>
  <c r="K53" i="25" s="1"/>
  <c r="K44" i="22"/>
  <c r="K44" i="25" s="1"/>
  <c r="F48" i="22"/>
  <c r="F48" i="25" s="1"/>
  <c r="F57" i="22"/>
  <c r="F57" i="25" s="1"/>
  <c r="E48" i="22"/>
  <c r="E48" i="25" s="1"/>
  <c r="E57" i="22"/>
  <c r="E57" i="25" s="1"/>
  <c r="K48" i="22"/>
  <c r="K48" i="25" s="1"/>
  <c r="K57" i="22"/>
  <c r="K57" i="25" s="1"/>
  <c r="G51" i="24"/>
  <c r="G51" i="23"/>
  <c r="E51" i="24"/>
  <c r="E51" i="23"/>
  <c r="F421" i="24"/>
  <c r="F421" i="23"/>
  <c r="D421" i="24"/>
  <c r="D421" i="23"/>
  <c r="G299" i="24"/>
  <c r="G299" i="23"/>
  <c r="B103" i="24"/>
  <c r="B103" i="23"/>
  <c r="E103" i="24"/>
  <c r="E103" i="23"/>
  <c r="C86" i="24"/>
  <c r="C86" i="23"/>
  <c r="E243" i="24"/>
  <c r="E243" i="23"/>
  <c r="F234" i="24"/>
  <c r="F234" i="23"/>
  <c r="C234" i="24"/>
  <c r="C234" i="23"/>
  <c r="B179" i="24"/>
  <c r="B179" i="23"/>
  <c r="E179" i="24"/>
  <c r="E179" i="23"/>
  <c r="C170" i="24"/>
  <c r="C170" i="23"/>
  <c r="F29" i="24"/>
  <c r="F29" i="23"/>
  <c r="E29" i="24"/>
  <c r="E29" i="23"/>
  <c r="D29" i="24"/>
  <c r="D29" i="23"/>
  <c r="F34" i="24"/>
  <c r="F34" i="23"/>
  <c r="F17" i="24"/>
  <c r="F17" i="23"/>
  <c r="D17" i="24"/>
  <c r="D17" i="23"/>
  <c r="J8" i="22"/>
  <c r="J8" i="25" s="1"/>
  <c r="J25" i="22"/>
  <c r="J25" i="25" s="1"/>
  <c r="E8" i="22"/>
  <c r="E8" i="25" s="1"/>
  <c r="E25" i="22"/>
  <c r="E25" i="25" s="1"/>
  <c r="K8" i="22"/>
  <c r="K8" i="25" s="1"/>
  <c r="K25" i="22"/>
  <c r="K25" i="25" s="1"/>
  <c r="J12" i="22"/>
  <c r="J12" i="25" s="1"/>
  <c r="J29" i="22"/>
  <c r="J29" i="25" s="1"/>
  <c r="E12" i="22"/>
  <c r="E12" i="25" s="1"/>
  <c r="E29" i="22"/>
  <c r="E29" i="25" s="1"/>
  <c r="K12" i="22"/>
  <c r="K12" i="25" s="1"/>
  <c r="K29" i="22"/>
  <c r="K29" i="25" s="1"/>
  <c r="J16" i="22"/>
  <c r="J16" i="25" s="1"/>
  <c r="J33" i="22"/>
  <c r="J33" i="25" s="1"/>
  <c r="E16" i="22"/>
  <c r="E16" i="25" s="1"/>
  <c r="E33" i="22"/>
  <c r="E33" i="25" s="1"/>
  <c r="K16" i="22"/>
  <c r="K16" i="25" s="1"/>
  <c r="K33" i="22"/>
  <c r="K33" i="25" s="1"/>
  <c r="J20" i="22"/>
  <c r="J20" i="25" s="1"/>
  <c r="J37" i="22"/>
  <c r="J37" i="25" s="1"/>
  <c r="E20" i="22"/>
  <c r="E20" i="25" s="1"/>
  <c r="E37" i="22"/>
  <c r="E37" i="25" s="1"/>
  <c r="K20" i="22"/>
  <c r="K20" i="25" s="1"/>
  <c r="K37" i="22"/>
  <c r="K37" i="25" s="1"/>
  <c r="M24" i="22"/>
  <c r="M24" i="25" s="1"/>
  <c r="M41" i="22"/>
  <c r="M41" i="25" s="1"/>
  <c r="E24" i="22"/>
  <c r="E24" i="25" s="1"/>
  <c r="E41" i="22"/>
  <c r="E41" i="25" s="1"/>
  <c r="K24" i="22"/>
  <c r="K24" i="25" s="1"/>
  <c r="K41" i="22"/>
  <c r="K41" i="25" s="1"/>
  <c r="M54" i="22"/>
  <c r="M54" i="25" s="1"/>
  <c r="M45" i="22"/>
  <c r="M45" i="25" s="1"/>
  <c r="I54" i="22"/>
  <c r="I54" i="25" s="1"/>
  <c r="I45" i="22"/>
  <c r="I45" i="25" s="1"/>
  <c r="K54" i="22"/>
  <c r="K54" i="25" s="1"/>
  <c r="K45" i="22"/>
  <c r="K45" i="25" s="1"/>
  <c r="F49" i="22"/>
  <c r="F49" i="25" s="1"/>
  <c r="F58" i="22"/>
  <c r="F58" i="25" s="1"/>
  <c r="E49" i="22"/>
  <c r="E49" i="25" s="1"/>
  <c r="E58" i="22"/>
  <c r="E58" i="25" s="1"/>
  <c r="K49" i="22"/>
  <c r="K49" i="25" s="1"/>
  <c r="K58" i="22"/>
  <c r="K58" i="25" s="1"/>
  <c r="Y22" i="18"/>
  <c r="Y14" i="18"/>
  <c r="Y6" i="18"/>
  <c r="D427" i="24"/>
  <c r="D425" i="24"/>
  <c r="D423" i="24"/>
  <c r="D419" i="24"/>
  <c r="D417" i="24"/>
  <c r="D415" i="24"/>
  <c r="D413" i="24"/>
  <c r="D411" i="24"/>
  <c r="D409" i="24"/>
  <c r="D407" i="24"/>
  <c r="D405" i="24"/>
  <c r="D403" i="24"/>
  <c r="D401" i="24"/>
  <c r="D399" i="24"/>
  <c r="D397" i="24"/>
  <c r="D395" i="24"/>
  <c r="D393" i="24"/>
  <c r="D391" i="24"/>
  <c r="D389" i="24"/>
  <c r="D387" i="24"/>
  <c r="D385" i="24"/>
  <c r="D383" i="24"/>
  <c r="D381" i="24"/>
  <c r="D379" i="24"/>
  <c r="D377" i="24"/>
  <c r="D375" i="24"/>
  <c r="D373" i="24"/>
  <c r="D371" i="24"/>
  <c r="D369" i="24"/>
  <c r="D428" i="24"/>
  <c r="D426" i="24"/>
  <c r="D424" i="24"/>
  <c r="D422" i="24"/>
  <c r="D420" i="24"/>
  <c r="D418" i="24"/>
  <c r="D416" i="24"/>
  <c r="D414" i="24"/>
  <c r="D412" i="24"/>
  <c r="D410" i="24"/>
  <c r="D408" i="24"/>
  <c r="D406" i="24"/>
  <c r="D404" i="24"/>
  <c r="D402" i="24"/>
  <c r="D400" i="24"/>
  <c r="D398" i="24"/>
  <c r="D396" i="24"/>
  <c r="D394" i="24"/>
  <c r="D392" i="24"/>
  <c r="D390" i="24"/>
  <c r="D388" i="24"/>
  <c r="D386" i="24"/>
  <c r="D384" i="24"/>
  <c r="D382" i="24"/>
  <c r="D380" i="24"/>
  <c r="D378" i="24"/>
  <c r="D376" i="24"/>
  <c r="D374" i="24"/>
  <c r="D372" i="24"/>
  <c r="D370" i="24"/>
  <c r="D400" i="23"/>
  <c r="D402" i="23"/>
  <c r="D404" i="23"/>
  <c r="D406" i="23"/>
  <c r="D408" i="23"/>
  <c r="D410" i="23"/>
  <c r="D412" i="23"/>
  <c r="D414" i="23"/>
  <c r="D416" i="23"/>
  <c r="D418" i="23"/>
  <c r="D420" i="23"/>
  <c r="D422" i="23"/>
  <c r="D424" i="23"/>
  <c r="D426" i="23"/>
  <c r="D428" i="23"/>
  <c r="D371" i="23"/>
  <c r="D373" i="23"/>
  <c r="D375" i="23"/>
  <c r="D377" i="23"/>
  <c r="D379" i="23"/>
  <c r="D381" i="23"/>
  <c r="D383" i="23"/>
  <c r="D385" i="23"/>
  <c r="D387" i="23"/>
  <c r="D389" i="23"/>
  <c r="D391" i="23"/>
  <c r="D393" i="23"/>
  <c r="D395" i="23"/>
  <c r="D397" i="23"/>
  <c r="D399" i="23"/>
  <c r="D401" i="23"/>
  <c r="D403" i="23"/>
  <c r="D405" i="23"/>
  <c r="D407" i="23"/>
  <c r="D409" i="23"/>
  <c r="D411" i="23"/>
  <c r="D413" i="23"/>
  <c r="D415" i="23"/>
  <c r="D417" i="23"/>
  <c r="D419" i="23"/>
  <c r="D423" i="23"/>
  <c r="D425" i="23"/>
  <c r="D427" i="23"/>
  <c r="D370" i="23"/>
  <c r="D372" i="23"/>
  <c r="D374" i="23"/>
  <c r="D376" i="23"/>
  <c r="D378" i="23"/>
  <c r="D380" i="23"/>
  <c r="D382" i="23"/>
  <c r="D384" i="23"/>
  <c r="D386" i="23"/>
  <c r="D388" i="23"/>
  <c r="D390" i="23"/>
  <c r="D392" i="23"/>
  <c r="D394" i="23"/>
  <c r="D396" i="23"/>
  <c r="D398" i="23"/>
  <c r="D369" i="23"/>
  <c r="E83" i="24"/>
  <c r="E83" i="23"/>
  <c r="F229" i="24"/>
  <c r="F229" i="23"/>
  <c r="F169" i="24"/>
  <c r="F169" i="23"/>
  <c r="B31" i="24"/>
  <c r="B31" i="23"/>
  <c r="E17" i="22"/>
  <c r="E17" i="25" s="1"/>
  <c r="E34" i="22"/>
  <c r="E34" i="25" s="1"/>
  <c r="E428" i="24"/>
  <c r="E426" i="24"/>
  <c r="E424" i="24"/>
  <c r="E422" i="24"/>
  <c r="E420" i="24"/>
  <c r="E418" i="24"/>
  <c r="E416" i="24"/>
  <c r="E414" i="24"/>
  <c r="E412" i="24"/>
  <c r="E410" i="24"/>
  <c r="E408" i="24"/>
  <c r="E406" i="24"/>
  <c r="E404" i="24"/>
  <c r="E402" i="24"/>
  <c r="E400" i="24"/>
  <c r="E398" i="24"/>
  <c r="E396" i="24"/>
  <c r="E394" i="24"/>
  <c r="E392" i="24"/>
  <c r="E390" i="24"/>
  <c r="E388" i="24"/>
  <c r="E386" i="24"/>
  <c r="E384" i="24"/>
  <c r="E382" i="24"/>
  <c r="E380" i="24"/>
  <c r="E378" i="24"/>
  <c r="E376" i="24"/>
  <c r="E374" i="24"/>
  <c r="E372" i="24"/>
  <c r="E370" i="24"/>
  <c r="E427" i="24"/>
  <c r="E425" i="24"/>
  <c r="E423" i="24"/>
  <c r="E419" i="24"/>
  <c r="E417" i="24"/>
  <c r="E415" i="24"/>
  <c r="E413" i="24"/>
  <c r="E411" i="24"/>
  <c r="E409" i="24"/>
  <c r="E407" i="24"/>
  <c r="E405" i="24"/>
  <c r="E403" i="24"/>
  <c r="E401" i="24"/>
  <c r="E399" i="24"/>
  <c r="E397" i="24"/>
  <c r="E395" i="24"/>
  <c r="E393" i="24"/>
  <c r="E391" i="24"/>
  <c r="E389" i="24"/>
  <c r="E387" i="24"/>
  <c r="E385" i="24"/>
  <c r="E383" i="24"/>
  <c r="E381" i="24"/>
  <c r="E379" i="24"/>
  <c r="E377" i="24"/>
  <c r="E375" i="24"/>
  <c r="E373" i="24"/>
  <c r="E371" i="24"/>
  <c r="E369" i="24"/>
  <c r="E400" i="23"/>
  <c r="E402" i="23"/>
  <c r="E404" i="23"/>
  <c r="E406" i="23"/>
  <c r="E408" i="23"/>
  <c r="E410" i="23"/>
  <c r="E412" i="23"/>
  <c r="E414" i="23"/>
  <c r="E416" i="23"/>
  <c r="E418" i="23"/>
  <c r="E420" i="23"/>
  <c r="E422" i="23"/>
  <c r="E424" i="23"/>
  <c r="E426" i="23"/>
  <c r="E428" i="23"/>
  <c r="E371" i="23"/>
  <c r="E373" i="23"/>
  <c r="E375" i="23"/>
  <c r="E377" i="23"/>
  <c r="E379" i="23"/>
  <c r="E381" i="23"/>
  <c r="E383" i="23"/>
  <c r="E385" i="23"/>
  <c r="E387" i="23"/>
  <c r="E389" i="23"/>
  <c r="E391" i="23"/>
  <c r="E393" i="23"/>
  <c r="E395" i="23"/>
  <c r="E397" i="23"/>
  <c r="E369" i="23"/>
  <c r="E399" i="23"/>
  <c r="E401" i="23"/>
  <c r="E403" i="23"/>
  <c r="E405" i="23"/>
  <c r="E407" i="23"/>
  <c r="E409" i="23"/>
  <c r="E411" i="23"/>
  <c r="E413" i="23"/>
  <c r="E415" i="23"/>
  <c r="E417" i="23"/>
  <c r="E419" i="23"/>
  <c r="E423" i="23"/>
  <c r="E425" i="23"/>
  <c r="E427" i="23"/>
  <c r="E370" i="23"/>
  <c r="E372" i="23"/>
  <c r="E374" i="23"/>
  <c r="E376" i="23"/>
  <c r="E378" i="23"/>
  <c r="E380" i="23"/>
  <c r="E382" i="23"/>
  <c r="E384" i="23"/>
  <c r="E386" i="23"/>
  <c r="E388" i="23"/>
  <c r="E390" i="23"/>
  <c r="E392" i="23"/>
  <c r="E394" i="23"/>
  <c r="E396" i="23"/>
  <c r="E398" i="23"/>
  <c r="B305" i="24"/>
  <c r="B303" i="24"/>
  <c r="B301" i="24"/>
  <c r="B297" i="24"/>
  <c r="B295" i="24"/>
  <c r="B293" i="24"/>
  <c r="B291" i="24"/>
  <c r="B289" i="24"/>
  <c r="B287" i="24"/>
  <c r="B285" i="24"/>
  <c r="B283" i="24"/>
  <c r="B281" i="24"/>
  <c r="B279" i="24"/>
  <c r="B277" i="24"/>
  <c r="B275" i="24"/>
  <c r="B273" i="24"/>
  <c r="B271" i="24"/>
  <c r="B269" i="24"/>
  <c r="B267" i="24"/>
  <c r="B265" i="24"/>
  <c r="B263" i="24"/>
  <c r="B261" i="24"/>
  <c r="B259" i="24"/>
  <c r="B257" i="24"/>
  <c r="B255" i="24"/>
  <c r="B253" i="24"/>
  <c r="B251" i="24"/>
  <c r="B249" i="24"/>
  <c r="B247" i="24"/>
  <c r="B306" i="24"/>
  <c r="B304" i="24"/>
  <c r="B302" i="24"/>
  <c r="B300" i="24"/>
  <c r="B298" i="24"/>
  <c r="B296" i="24"/>
  <c r="B294" i="24"/>
  <c r="B292" i="24"/>
  <c r="B290" i="24"/>
  <c r="B288" i="24"/>
  <c r="B286" i="24"/>
  <c r="B284" i="24"/>
  <c r="B282" i="24"/>
  <c r="B280" i="24"/>
  <c r="B278" i="24"/>
  <c r="B276" i="24"/>
  <c r="B274" i="24"/>
  <c r="B272" i="24"/>
  <c r="B270" i="24"/>
  <c r="B268" i="24"/>
  <c r="B266" i="24"/>
  <c r="B264" i="24"/>
  <c r="B262" i="24"/>
  <c r="B260" i="24"/>
  <c r="B258" i="24"/>
  <c r="B256" i="24"/>
  <c r="B254" i="24"/>
  <c r="B252" i="24"/>
  <c r="B250" i="24"/>
  <c r="B248" i="24"/>
  <c r="B287" i="23"/>
  <c r="B289" i="23"/>
  <c r="B291" i="23"/>
  <c r="B293" i="23"/>
  <c r="B295" i="23"/>
  <c r="B297" i="23"/>
  <c r="B301" i="23"/>
  <c r="B303" i="23"/>
  <c r="B305" i="23"/>
  <c r="B248" i="23"/>
  <c r="B250" i="23"/>
  <c r="B252" i="23"/>
  <c r="B254" i="23"/>
  <c r="B256" i="23"/>
  <c r="B258" i="23"/>
  <c r="B260" i="23"/>
  <c r="B262" i="23"/>
  <c r="B264" i="23"/>
  <c r="B266" i="23"/>
  <c r="B268" i="23"/>
  <c r="B270" i="23"/>
  <c r="B272" i="23"/>
  <c r="B274" i="23"/>
  <c r="B276" i="23"/>
  <c r="B278" i="23"/>
  <c r="B280" i="23"/>
  <c r="B282" i="23"/>
  <c r="B284" i="23"/>
  <c r="B286" i="23"/>
  <c r="B247" i="23"/>
  <c r="B288" i="23"/>
  <c r="B290" i="23"/>
  <c r="B292" i="23"/>
  <c r="B294" i="23"/>
  <c r="B296" i="23"/>
  <c r="B298" i="23"/>
  <c r="B300" i="23"/>
  <c r="B302" i="23"/>
  <c r="B304" i="23"/>
  <c r="B306" i="23"/>
  <c r="B249" i="23"/>
  <c r="B251" i="23"/>
  <c r="B253" i="23"/>
  <c r="B255" i="23"/>
  <c r="B257" i="23"/>
  <c r="B259" i="23"/>
  <c r="B261" i="23"/>
  <c r="B263" i="23"/>
  <c r="B265" i="23"/>
  <c r="B267" i="23"/>
  <c r="B269" i="23"/>
  <c r="B271" i="23"/>
  <c r="B273" i="23"/>
  <c r="B275" i="23"/>
  <c r="B277" i="23"/>
  <c r="B281" i="23"/>
  <c r="B285" i="23"/>
  <c r="B279" i="23"/>
  <c r="B283" i="23"/>
  <c r="D306" i="24"/>
  <c r="D304" i="24"/>
  <c r="D302" i="24"/>
  <c r="D300" i="24"/>
  <c r="D298" i="24"/>
  <c r="D296" i="24"/>
  <c r="D294" i="24"/>
  <c r="D292" i="24"/>
  <c r="D290" i="24"/>
  <c r="D288" i="24"/>
  <c r="D286" i="24"/>
  <c r="D284" i="24"/>
  <c r="D282" i="24"/>
  <c r="D280" i="24"/>
  <c r="D278" i="24"/>
  <c r="D276" i="24"/>
  <c r="D274" i="24"/>
  <c r="D272" i="24"/>
  <c r="D270" i="24"/>
  <c r="D268" i="24"/>
  <c r="D266" i="24"/>
  <c r="D264" i="24"/>
  <c r="D262" i="24"/>
  <c r="D260" i="24"/>
  <c r="D258" i="24"/>
  <c r="D256" i="24"/>
  <c r="D254" i="24"/>
  <c r="D252" i="24"/>
  <c r="D250" i="24"/>
  <c r="D248" i="24"/>
  <c r="D305" i="24"/>
  <c r="D303" i="24"/>
  <c r="D301" i="24"/>
  <c r="D297" i="24"/>
  <c r="D295" i="24"/>
  <c r="D293" i="24"/>
  <c r="D291" i="24"/>
  <c r="D289" i="24"/>
  <c r="D287" i="24"/>
  <c r="D285" i="24"/>
  <c r="D283" i="24"/>
  <c r="D281" i="24"/>
  <c r="D279" i="24"/>
  <c r="D277" i="24"/>
  <c r="D275" i="24"/>
  <c r="D273" i="24"/>
  <c r="D271" i="24"/>
  <c r="D269" i="24"/>
  <c r="D267" i="24"/>
  <c r="D265" i="24"/>
  <c r="D263" i="24"/>
  <c r="D261" i="24"/>
  <c r="D259" i="24"/>
  <c r="D257" i="24"/>
  <c r="D255" i="24"/>
  <c r="D253" i="24"/>
  <c r="D251" i="24"/>
  <c r="D249" i="24"/>
  <c r="D247" i="24"/>
  <c r="D288" i="23"/>
  <c r="D290" i="23"/>
  <c r="D292" i="23"/>
  <c r="D294" i="23"/>
  <c r="D296" i="23"/>
  <c r="D298" i="23"/>
  <c r="D300" i="23"/>
  <c r="D302" i="23"/>
  <c r="D304" i="23"/>
  <c r="D306" i="23"/>
  <c r="D249" i="23"/>
  <c r="D251" i="23"/>
  <c r="D253" i="23"/>
  <c r="D255" i="23"/>
  <c r="D257" i="23"/>
  <c r="D259" i="23"/>
  <c r="D261" i="23"/>
  <c r="D263" i="23"/>
  <c r="D265" i="23"/>
  <c r="D267" i="23"/>
  <c r="D269" i="23"/>
  <c r="D271" i="23"/>
  <c r="D273" i="23"/>
  <c r="D275" i="23"/>
  <c r="D277" i="23"/>
  <c r="D279" i="23"/>
  <c r="D281" i="23"/>
  <c r="D283" i="23"/>
  <c r="D285" i="23"/>
  <c r="D287" i="23"/>
  <c r="D289" i="23"/>
  <c r="D291" i="23"/>
  <c r="D293" i="23"/>
  <c r="D295" i="23"/>
  <c r="D297" i="23"/>
  <c r="D301" i="23"/>
  <c r="D303" i="23"/>
  <c r="D305" i="23"/>
  <c r="D248" i="23"/>
  <c r="D250" i="23"/>
  <c r="D252" i="23"/>
  <c r="D254" i="23"/>
  <c r="D256" i="23"/>
  <c r="D258" i="23"/>
  <c r="D260" i="23"/>
  <c r="D262" i="23"/>
  <c r="D264" i="23"/>
  <c r="D266" i="23"/>
  <c r="D268" i="23"/>
  <c r="D270" i="23"/>
  <c r="D272" i="23"/>
  <c r="D274" i="23"/>
  <c r="D278" i="23"/>
  <c r="D282" i="23"/>
  <c r="D286" i="23"/>
  <c r="D247" i="23"/>
  <c r="D276" i="23"/>
  <c r="D280" i="23"/>
  <c r="D284" i="23"/>
  <c r="F83" i="24"/>
  <c r="F83" i="23"/>
  <c r="C83" i="24"/>
  <c r="C83" i="23"/>
  <c r="C100" i="24"/>
  <c r="C100" i="23"/>
  <c r="F238" i="24"/>
  <c r="F238" i="23"/>
  <c r="E238" i="24"/>
  <c r="E238" i="23"/>
  <c r="D238" i="24"/>
  <c r="D238" i="23"/>
  <c r="F178" i="24"/>
  <c r="F178" i="23"/>
  <c r="E178" i="24"/>
  <c r="E178" i="23"/>
  <c r="D178" i="24"/>
  <c r="D178" i="23"/>
  <c r="G14" i="24"/>
  <c r="G14" i="23"/>
  <c r="D14" i="24"/>
  <c r="D14" i="23"/>
  <c r="C14" i="24"/>
  <c r="C14" i="23"/>
  <c r="B24" i="24"/>
  <c r="B24" i="23"/>
  <c r="E24" i="24"/>
  <c r="E24" i="23"/>
  <c r="D24" i="24"/>
  <c r="D24" i="23"/>
  <c r="M9" i="22"/>
  <c r="M9" i="25" s="1"/>
  <c r="M26" i="22"/>
  <c r="M26" i="25" s="1"/>
  <c r="H9" i="22"/>
  <c r="H9" i="25" s="1"/>
  <c r="H26" i="22"/>
  <c r="H26" i="25" s="1"/>
  <c r="C9" i="22"/>
  <c r="C9" i="25" s="1"/>
  <c r="C26" i="22"/>
  <c r="C26" i="25" s="1"/>
  <c r="M13" i="22"/>
  <c r="M13" i="25" s="1"/>
  <c r="M30" i="22"/>
  <c r="M30" i="25" s="1"/>
  <c r="H13" i="22"/>
  <c r="H13" i="25" s="1"/>
  <c r="H30" i="22"/>
  <c r="H30" i="25" s="1"/>
  <c r="C13" i="22"/>
  <c r="C13" i="25" s="1"/>
  <c r="C30" i="22"/>
  <c r="C30" i="25" s="1"/>
  <c r="M17" i="22"/>
  <c r="M17" i="25" s="1"/>
  <c r="M34" i="22"/>
  <c r="M34" i="25" s="1"/>
  <c r="H17" i="22"/>
  <c r="H17" i="25" s="1"/>
  <c r="H34" i="22"/>
  <c r="H34" i="25" s="1"/>
  <c r="C17" i="22"/>
  <c r="C17" i="25" s="1"/>
  <c r="C34" i="22"/>
  <c r="C34" i="25" s="1"/>
  <c r="M21" i="22"/>
  <c r="M21" i="25" s="1"/>
  <c r="M38" i="22"/>
  <c r="M38" i="25" s="1"/>
  <c r="H21" i="22"/>
  <c r="H21" i="25" s="1"/>
  <c r="H38" i="22"/>
  <c r="H38" i="25" s="1"/>
  <c r="C38" i="22"/>
  <c r="C38" i="25" s="1"/>
  <c r="C21" i="22"/>
  <c r="C21" i="25" s="1"/>
  <c r="F42" i="22"/>
  <c r="F42" i="25" s="1"/>
  <c r="F51" i="22"/>
  <c r="F51" i="25" s="1"/>
  <c r="H42" i="22"/>
  <c r="H42" i="25" s="1"/>
  <c r="H51" i="22"/>
  <c r="H51" i="25" s="1"/>
  <c r="C51" i="22"/>
  <c r="C51" i="25" s="1"/>
  <c r="C42" i="22"/>
  <c r="C42" i="25" s="1"/>
  <c r="F46" i="22"/>
  <c r="F46" i="25" s="1"/>
  <c r="F55" i="22"/>
  <c r="F55" i="25" s="1"/>
  <c r="H46" i="22"/>
  <c r="H46" i="25" s="1"/>
  <c r="H55" i="22"/>
  <c r="H55" i="25" s="1"/>
  <c r="C55" i="22"/>
  <c r="C55" i="25" s="1"/>
  <c r="C46" i="22"/>
  <c r="C46" i="25" s="1"/>
  <c r="M50" i="22"/>
  <c r="M50" i="25" s="1"/>
  <c r="M59" i="22"/>
  <c r="M59" i="25" s="1"/>
  <c r="H50" i="22"/>
  <c r="H50" i="25" s="1"/>
  <c r="H59" i="22"/>
  <c r="H59" i="25" s="1"/>
  <c r="C50" i="22"/>
  <c r="C50" i="25" s="1"/>
  <c r="C59" i="22"/>
  <c r="C59" i="25" s="1"/>
  <c r="F360" i="24"/>
  <c r="F360" i="23"/>
  <c r="D360" i="24"/>
  <c r="D360" i="23"/>
  <c r="F107" i="24"/>
  <c r="F107" i="23"/>
  <c r="C107" i="24"/>
  <c r="C107" i="23"/>
  <c r="C116" i="24"/>
  <c r="C116" i="23"/>
  <c r="G76" i="24"/>
  <c r="G76" i="23"/>
  <c r="D76" i="24"/>
  <c r="D76" i="23"/>
  <c r="C76" i="24"/>
  <c r="C76" i="23"/>
  <c r="F222" i="24"/>
  <c r="F222" i="23"/>
  <c r="E222" i="24"/>
  <c r="E222" i="23"/>
  <c r="D222" i="24"/>
  <c r="D222" i="23"/>
  <c r="E175" i="24"/>
  <c r="E175" i="23"/>
  <c r="C175" i="24"/>
  <c r="C175" i="23"/>
  <c r="D166" i="24"/>
  <c r="D166" i="23"/>
  <c r="B32" i="24"/>
  <c r="B32" i="23"/>
  <c r="C32" i="24"/>
  <c r="C32" i="23"/>
  <c r="D32" i="24"/>
  <c r="D32" i="23"/>
  <c r="M10" i="22"/>
  <c r="M10" i="25" s="1"/>
  <c r="M27" i="22"/>
  <c r="M27" i="25" s="1"/>
  <c r="H10" i="22"/>
  <c r="H10" i="25" s="1"/>
  <c r="H27" i="22"/>
  <c r="H27" i="25" s="1"/>
  <c r="C10" i="22"/>
  <c r="C10" i="25" s="1"/>
  <c r="C27" i="22"/>
  <c r="C27" i="25" s="1"/>
  <c r="M14" i="22"/>
  <c r="M14" i="25" s="1"/>
  <c r="M31" i="22"/>
  <c r="M31" i="25" s="1"/>
  <c r="H14" i="22"/>
  <c r="H14" i="25" s="1"/>
  <c r="H31" i="22"/>
  <c r="H31" i="25" s="1"/>
  <c r="C14" i="22"/>
  <c r="C14" i="25" s="1"/>
  <c r="C31" i="22"/>
  <c r="C31" i="25" s="1"/>
  <c r="M18" i="22"/>
  <c r="M18" i="25" s="1"/>
  <c r="M35" i="22"/>
  <c r="M35" i="25" s="1"/>
  <c r="H18" i="22"/>
  <c r="H18" i="25" s="1"/>
  <c r="H35" i="22"/>
  <c r="H35" i="25" s="1"/>
  <c r="C18" i="22"/>
  <c r="C18" i="25" s="1"/>
  <c r="C35" i="22"/>
  <c r="C35" i="25" s="1"/>
  <c r="M22" i="22"/>
  <c r="M22" i="25" s="1"/>
  <c r="M39" i="22"/>
  <c r="M39" i="25" s="1"/>
  <c r="H22" i="22"/>
  <c r="H22" i="25" s="1"/>
  <c r="H39" i="22"/>
  <c r="H39" i="25" s="1"/>
  <c r="C22" i="22"/>
  <c r="C22" i="25" s="1"/>
  <c r="C39" i="22"/>
  <c r="C39" i="25" s="1"/>
  <c r="J43" i="22"/>
  <c r="J43" i="25" s="1"/>
  <c r="J52" i="22"/>
  <c r="J52" i="25" s="1"/>
  <c r="H43" i="22"/>
  <c r="H43" i="25" s="1"/>
  <c r="H52" i="22"/>
  <c r="H52" i="25" s="1"/>
  <c r="C52" i="22"/>
  <c r="C52" i="25" s="1"/>
  <c r="C43" i="22"/>
  <c r="C43" i="25" s="1"/>
  <c r="J47" i="22"/>
  <c r="J47" i="25" s="1"/>
  <c r="J56" i="22"/>
  <c r="J56" i="25" s="1"/>
  <c r="H47" i="22"/>
  <c r="H47" i="25" s="1"/>
  <c r="H56" i="22"/>
  <c r="H56" i="25" s="1"/>
  <c r="C47" i="22"/>
  <c r="C47" i="25" s="1"/>
  <c r="C56" i="22"/>
  <c r="C56" i="25" s="1"/>
  <c r="Y21" i="18"/>
  <c r="Y13" i="18"/>
  <c r="Y5" i="18"/>
  <c r="G366" i="24"/>
  <c r="G364" i="24"/>
  <c r="G362" i="24"/>
  <c r="G358" i="24"/>
  <c r="G356" i="24"/>
  <c r="G354" i="24"/>
  <c r="G352" i="24"/>
  <c r="G367" i="24"/>
  <c r="G365" i="24"/>
  <c r="G363" i="24"/>
  <c r="G361" i="24"/>
  <c r="G359" i="24"/>
  <c r="G357" i="24"/>
  <c r="G355" i="24"/>
  <c r="G353" i="24"/>
  <c r="G351" i="24"/>
  <c r="G348" i="24"/>
  <c r="G346" i="24"/>
  <c r="G344" i="24"/>
  <c r="G342" i="24"/>
  <c r="G340" i="24"/>
  <c r="G338" i="24"/>
  <c r="G336" i="24"/>
  <c r="G334" i="24"/>
  <c r="G332" i="24"/>
  <c r="G330" i="24"/>
  <c r="G328" i="24"/>
  <c r="G326" i="24"/>
  <c r="G324" i="24"/>
  <c r="G322" i="24"/>
  <c r="G320" i="24"/>
  <c r="G318" i="24"/>
  <c r="G316" i="24"/>
  <c r="G314" i="24"/>
  <c r="G312" i="24"/>
  <c r="G310" i="24"/>
  <c r="G308" i="24"/>
  <c r="G350" i="24"/>
  <c r="G349" i="24"/>
  <c r="G347" i="24"/>
  <c r="G345" i="24"/>
  <c r="G343" i="24"/>
  <c r="G341" i="24"/>
  <c r="G339" i="24"/>
  <c r="G337" i="24"/>
  <c r="G335" i="24"/>
  <c r="G333" i="24"/>
  <c r="G331" i="24"/>
  <c r="G329" i="24"/>
  <c r="G327" i="24"/>
  <c r="G325" i="24"/>
  <c r="G323" i="24"/>
  <c r="G321" i="24"/>
  <c r="G319" i="24"/>
  <c r="G317" i="24"/>
  <c r="G315" i="24"/>
  <c r="G313" i="24"/>
  <c r="G311" i="24"/>
  <c r="G309" i="24"/>
  <c r="G357" i="23"/>
  <c r="G359" i="23"/>
  <c r="G361" i="23"/>
  <c r="G363" i="23"/>
  <c r="G365" i="23"/>
  <c r="G367" i="23"/>
  <c r="G330" i="23"/>
  <c r="G332" i="23"/>
  <c r="G334" i="23"/>
  <c r="G336" i="23"/>
  <c r="G338" i="23"/>
  <c r="G340" i="23"/>
  <c r="G342" i="23"/>
  <c r="G344" i="23"/>
  <c r="G346" i="23"/>
  <c r="G348" i="23"/>
  <c r="G350" i="23"/>
  <c r="G352" i="23"/>
  <c r="G354" i="23"/>
  <c r="G356" i="23"/>
  <c r="G310" i="23"/>
  <c r="G312" i="23"/>
  <c r="G314" i="23"/>
  <c r="G316" i="23"/>
  <c r="G318" i="23"/>
  <c r="G320" i="23"/>
  <c r="G322" i="23"/>
  <c r="G324" i="23"/>
  <c r="G326" i="23"/>
  <c r="G328" i="23"/>
  <c r="G308" i="23"/>
  <c r="G358" i="23"/>
  <c r="G362" i="23"/>
  <c r="G364" i="23"/>
  <c r="G366" i="23"/>
  <c r="G329" i="23"/>
  <c r="G331" i="23"/>
  <c r="G333" i="23"/>
  <c r="G335" i="23"/>
  <c r="G337" i="23"/>
  <c r="G339" i="23"/>
  <c r="G341" i="23"/>
  <c r="G343" i="23"/>
  <c r="G345" i="23"/>
  <c r="G347" i="23"/>
  <c r="G349" i="23"/>
  <c r="G351" i="23"/>
  <c r="G353" i="23"/>
  <c r="G355" i="23"/>
  <c r="G309" i="23"/>
  <c r="G311" i="23"/>
  <c r="G313" i="23"/>
  <c r="G315" i="23"/>
  <c r="G317" i="23"/>
  <c r="G319" i="23"/>
  <c r="G321" i="23"/>
  <c r="G323" i="23"/>
  <c r="G325" i="23"/>
  <c r="G327" i="23"/>
  <c r="C366" i="24"/>
  <c r="C364" i="24"/>
  <c r="C362" i="24"/>
  <c r="C358" i="24"/>
  <c r="C356" i="24"/>
  <c r="C354" i="24"/>
  <c r="C367" i="24"/>
  <c r="C365" i="24"/>
  <c r="C363" i="24"/>
  <c r="C361" i="24"/>
  <c r="C359" i="24"/>
  <c r="C357" i="24"/>
  <c r="C355" i="24"/>
  <c r="C353" i="24"/>
  <c r="C351" i="24"/>
  <c r="C350" i="24"/>
  <c r="C348" i="24"/>
  <c r="C346" i="24"/>
  <c r="C344" i="24"/>
  <c r="C342" i="24"/>
  <c r="C340" i="24"/>
  <c r="C338" i="24"/>
  <c r="C336" i="24"/>
  <c r="C334" i="24"/>
  <c r="C332" i="24"/>
  <c r="C330" i="24"/>
  <c r="C328" i="24"/>
  <c r="C326" i="24"/>
  <c r="C324" i="24"/>
  <c r="C322" i="24"/>
  <c r="C320" i="24"/>
  <c r="C318" i="24"/>
  <c r="C316" i="24"/>
  <c r="C314" i="24"/>
  <c r="C312" i="24"/>
  <c r="C310" i="24"/>
  <c r="C308" i="24"/>
  <c r="C349" i="24"/>
  <c r="C347" i="24"/>
  <c r="C345" i="24"/>
  <c r="C343" i="24"/>
  <c r="C341" i="24"/>
  <c r="C339" i="24"/>
  <c r="C337" i="24"/>
  <c r="C335" i="24"/>
  <c r="C333" i="24"/>
  <c r="C331" i="24"/>
  <c r="C329" i="24"/>
  <c r="C327" i="24"/>
  <c r="C325" i="24"/>
  <c r="C323" i="24"/>
  <c r="C321" i="24"/>
  <c r="C319" i="24"/>
  <c r="C317" i="24"/>
  <c r="C315" i="24"/>
  <c r="C313" i="24"/>
  <c r="C311" i="24"/>
  <c r="C309" i="24"/>
  <c r="C352" i="24"/>
  <c r="C357" i="23"/>
  <c r="C359" i="23"/>
  <c r="C361" i="23"/>
  <c r="C363" i="23"/>
  <c r="C365" i="23"/>
  <c r="C367" i="23"/>
  <c r="C330" i="23"/>
  <c r="C332" i="23"/>
  <c r="C334" i="23"/>
  <c r="C336" i="23"/>
  <c r="C338" i="23"/>
  <c r="C340" i="23"/>
  <c r="C342" i="23"/>
  <c r="C344" i="23"/>
  <c r="C346" i="23"/>
  <c r="C348" i="23"/>
  <c r="C350" i="23"/>
  <c r="C352" i="23"/>
  <c r="C354" i="23"/>
  <c r="C356" i="23"/>
  <c r="C310" i="23"/>
  <c r="C312" i="23"/>
  <c r="C314" i="23"/>
  <c r="C316" i="23"/>
  <c r="C318" i="23"/>
  <c r="C320" i="23"/>
  <c r="C322" i="23"/>
  <c r="C324" i="23"/>
  <c r="C326" i="23"/>
  <c r="C328" i="23"/>
  <c r="C358" i="23"/>
  <c r="C362" i="23"/>
  <c r="C364" i="23"/>
  <c r="C366" i="23"/>
  <c r="C329" i="23"/>
  <c r="C331" i="23"/>
  <c r="C333" i="23"/>
  <c r="C335" i="23"/>
  <c r="C337" i="23"/>
  <c r="C339" i="23"/>
  <c r="C341" i="23"/>
  <c r="C343" i="23"/>
  <c r="C345" i="23"/>
  <c r="C347" i="23"/>
  <c r="C349" i="23"/>
  <c r="C351" i="23"/>
  <c r="C353" i="23"/>
  <c r="C355" i="23"/>
  <c r="C309" i="23"/>
  <c r="C311" i="23"/>
  <c r="C313" i="23"/>
  <c r="C315" i="23"/>
  <c r="C317" i="23"/>
  <c r="C319" i="23"/>
  <c r="C321" i="23"/>
  <c r="C323" i="23"/>
  <c r="C325" i="23"/>
  <c r="C327" i="23"/>
  <c r="C308" i="23"/>
  <c r="F115" i="24"/>
  <c r="F115" i="23"/>
  <c r="E115" i="24"/>
  <c r="E115" i="23"/>
  <c r="D115" i="24"/>
  <c r="D115" i="23"/>
  <c r="B122" i="24"/>
  <c r="B120" i="24"/>
  <c r="B118" i="24"/>
  <c r="B114" i="24"/>
  <c r="B112" i="24"/>
  <c r="B110" i="24"/>
  <c r="B108" i="24"/>
  <c r="B104" i="24"/>
  <c r="B102" i="24"/>
  <c r="B98" i="24"/>
  <c r="B96" i="24"/>
  <c r="B94" i="24"/>
  <c r="B90" i="24"/>
  <c r="B88" i="24"/>
  <c r="B84" i="24"/>
  <c r="B82" i="24"/>
  <c r="B80" i="24"/>
  <c r="B78" i="24"/>
  <c r="B74" i="24"/>
  <c r="B72" i="24"/>
  <c r="B70" i="24"/>
  <c r="B68" i="24"/>
  <c r="B66" i="24"/>
  <c r="B123" i="24"/>
  <c r="B121" i="24"/>
  <c r="B119" i="24"/>
  <c r="B117" i="24"/>
  <c r="B113" i="24"/>
  <c r="B111" i="24"/>
  <c r="B109" i="24"/>
  <c r="B105" i="24"/>
  <c r="B101" i="24"/>
  <c r="B99" i="24"/>
  <c r="B97" i="24"/>
  <c r="B95" i="24"/>
  <c r="B91" i="24"/>
  <c r="B89" i="24"/>
  <c r="B87" i="24"/>
  <c r="B85" i="24"/>
  <c r="B81" i="24"/>
  <c r="B79" i="24"/>
  <c r="B77" i="24"/>
  <c r="B75" i="24"/>
  <c r="B73" i="24"/>
  <c r="B71" i="24"/>
  <c r="B69" i="24"/>
  <c r="B67" i="24"/>
  <c r="B65" i="24"/>
  <c r="B64" i="24"/>
  <c r="B102" i="23"/>
  <c r="B104" i="23"/>
  <c r="B108" i="23"/>
  <c r="B110" i="23"/>
  <c r="B112" i="23"/>
  <c r="B114" i="23"/>
  <c r="B118" i="23"/>
  <c r="B120" i="23"/>
  <c r="B122" i="23"/>
  <c r="B65" i="23"/>
  <c r="B67" i="23"/>
  <c r="B69" i="23"/>
  <c r="B71" i="23"/>
  <c r="B73" i="23"/>
  <c r="B75" i="23"/>
  <c r="B77" i="23"/>
  <c r="B79" i="23"/>
  <c r="B81" i="23"/>
  <c r="B85" i="23"/>
  <c r="B87" i="23"/>
  <c r="B89" i="23"/>
  <c r="B91" i="23"/>
  <c r="B95" i="23"/>
  <c r="B97" i="23"/>
  <c r="B99" i="23"/>
  <c r="B101" i="23"/>
  <c r="B105" i="23"/>
  <c r="B109" i="23"/>
  <c r="B111" i="23"/>
  <c r="B113" i="23"/>
  <c r="B117" i="23"/>
  <c r="B119" i="23"/>
  <c r="B121" i="23"/>
  <c r="B123" i="23"/>
  <c r="B66" i="23"/>
  <c r="B68" i="23"/>
  <c r="B70" i="23"/>
  <c r="B72" i="23"/>
  <c r="B74" i="23"/>
  <c r="B78" i="23"/>
  <c r="B80" i="23"/>
  <c r="B82" i="23"/>
  <c r="B84" i="23"/>
  <c r="B88" i="23"/>
  <c r="B90" i="23"/>
  <c r="B94" i="23"/>
  <c r="B96" i="23"/>
  <c r="B98" i="23"/>
  <c r="B64" i="23"/>
  <c r="E122" i="24"/>
  <c r="E120" i="24"/>
  <c r="E118" i="24"/>
  <c r="E114" i="24"/>
  <c r="E112" i="24"/>
  <c r="E110" i="24"/>
  <c r="E108" i="24"/>
  <c r="E104" i="24"/>
  <c r="E102" i="24"/>
  <c r="E98" i="24"/>
  <c r="E96" i="24"/>
  <c r="E94" i="24"/>
  <c r="E90" i="24"/>
  <c r="E88" i="24"/>
  <c r="E84" i="24"/>
  <c r="E82" i="24"/>
  <c r="E80" i="24"/>
  <c r="E78" i="24"/>
  <c r="E74" i="24"/>
  <c r="E72" i="24"/>
  <c r="E70" i="24"/>
  <c r="E68" i="24"/>
  <c r="E66" i="24"/>
  <c r="E64" i="24"/>
  <c r="E123" i="24"/>
  <c r="E121" i="24"/>
  <c r="E119" i="24"/>
  <c r="E117" i="24"/>
  <c r="E113" i="24"/>
  <c r="E111" i="24"/>
  <c r="E109" i="24"/>
  <c r="E105" i="24"/>
  <c r="E101" i="24"/>
  <c r="E99" i="24"/>
  <c r="E97" i="24"/>
  <c r="E95" i="24"/>
  <c r="E91" i="24"/>
  <c r="E89" i="24"/>
  <c r="E87" i="24"/>
  <c r="E85" i="24"/>
  <c r="E81" i="24"/>
  <c r="E79" i="24"/>
  <c r="E77" i="24"/>
  <c r="E75" i="24"/>
  <c r="E73" i="24"/>
  <c r="E71" i="24"/>
  <c r="E69" i="24"/>
  <c r="E67" i="24"/>
  <c r="E65" i="24"/>
  <c r="E64" i="23"/>
  <c r="E101" i="23"/>
  <c r="E105" i="23"/>
  <c r="E109" i="23"/>
  <c r="E111" i="23"/>
  <c r="E113" i="23"/>
  <c r="E117" i="23"/>
  <c r="E119" i="23"/>
  <c r="E121" i="23"/>
  <c r="E123" i="23"/>
  <c r="E66" i="23"/>
  <c r="E68" i="23"/>
  <c r="E70" i="23"/>
  <c r="E72" i="23"/>
  <c r="E74" i="23"/>
  <c r="E78" i="23"/>
  <c r="E80" i="23"/>
  <c r="E82" i="23"/>
  <c r="E84" i="23"/>
  <c r="E88" i="23"/>
  <c r="E90" i="23"/>
  <c r="E94" i="23"/>
  <c r="E96" i="23"/>
  <c r="E98" i="23"/>
  <c r="E102" i="23"/>
  <c r="E104" i="23"/>
  <c r="E108" i="23"/>
  <c r="E110" i="23"/>
  <c r="E112" i="23"/>
  <c r="E114" i="23"/>
  <c r="E118" i="23"/>
  <c r="E120" i="23"/>
  <c r="E122" i="23"/>
  <c r="E65" i="23"/>
  <c r="E67" i="23"/>
  <c r="E69" i="23"/>
  <c r="E71" i="23"/>
  <c r="E73" i="23"/>
  <c r="E75" i="23"/>
  <c r="E77" i="23"/>
  <c r="E79" i="23"/>
  <c r="E81" i="23"/>
  <c r="E85" i="23"/>
  <c r="E87" i="23"/>
  <c r="E89" i="23"/>
  <c r="E91" i="23"/>
  <c r="E95" i="23"/>
  <c r="E97" i="23"/>
  <c r="E99" i="23"/>
  <c r="E92" i="24"/>
  <c r="E92" i="23"/>
  <c r="B215" i="24"/>
  <c r="B215" i="23"/>
  <c r="G215" i="24"/>
  <c r="G215" i="23"/>
  <c r="D215" i="24"/>
  <c r="D215" i="23"/>
  <c r="G161" i="24"/>
  <c r="G161" i="23"/>
  <c r="D161" i="24"/>
  <c r="D161" i="23"/>
  <c r="E183" i="24"/>
  <c r="E181" i="24"/>
  <c r="E177" i="24"/>
  <c r="E173" i="24"/>
  <c r="E171" i="24"/>
  <c r="E167" i="24"/>
  <c r="E165" i="24"/>
  <c r="E163" i="24"/>
  <c r="E159" i="24"/>
  <c r="E157" i="24"/>
  <c r="E155" i="24"/>
  <c r="E153" i="24"/>
  <c r="E151" i="24"/>
  <c r="E149" i="24"/>
  <c r="E147" i="24"/>
  <c r="E145" i="24"/>
  <c r="E143" i="24"/>
  <c r="E141" i="24"/>
  <c r="E139" i="24"/>
  <c r="E137" i="24"/>
  <c r="E135" i="24"/>
  <c r="E133" i="24"/>
  <c r="E131" i="24"/>
  <c r="E129" i="24"/>
  <c r="E127" i="24"/>
  <c r="E125" i="24"/>
  <c r="E184" i="24"/>
  <c r="E182" i="24"/>
  <c r="E180" i="24"/>
  <c r="E176" i="24"/>
  <c r="E174" i="24"/>
  <c r="E172" i="24"/>
  <c r="E168" i="24"/>
  <c r="E164" i="24"/>
  <c r="E162" i="24"/>
  <c r="E160" i="24"/>
  <c r="E158" i="24"/>
  <c r="E156" i="24"/>
  <c r="E154" i="24"/>
  <c r="E152" i="24"/>
  <c r="E150" i="24"/>
  <c r="E148" i="24"/>
  <c r="E146" i="24"/>
  <c r="E144" i="24"/>
  <c r="E142" i="24"/>
  <c r="E140" i="24"/>
  <c r="E138" i="24"/>
  <c r="E136" i="24"/>
  <c r="E134" i="24"/>
  <c r="E132" i="24"/>
  <c r="E130" i="24"/>
  <c r="E128" i="24"/>
  <c r="E126" i="24"/>
  <c r="E125" i="23"/>
  <c r="E172" i="23"/>
  <c r="E174" i="23"/>
  <c r="E176" i="23"/>
  <c r="E180" i="23"/>
  <c r="E182" i="23"/>
  <c r="E184" i="23"/>
  <c r="E127" i="23"/>
  <c r="E129" i="23"/>
  <c r="E131" i="23"/>
  <c r="E133" i="23"/>
  <c r="E135" i="23"/>
  <c r="E137" i="23"/>
  <c r="E139" i="23"/>
  <c r="E141" i="23"/>
  <c r="E143" i="23"/>
  <c r="E145" i="23"/>
  <c r="E147" i="23"/>
  <c r="E149" i="23"/>
  <c r="E151" i="23"/>
  <c r="E153" i="23"/>
  <c r="E155" i="23"/>
  <c r="E157" i="23"/>
  <c r="E159" i="23"/>
  <c r="E163" i="23"/>
  <c r="E165" i="23"/>
  <c r="E167" i="23"/>
  <c r="E171" i="23"/>
  <c r="E173" i="23"/>
  <c r="E177" i="23"/>
  <c r="E181" i="23"/>
  <c r="E183" i="23"/>
  <c r="E126" i="23"/>
  <c r="E128" i="23"/>
  <c r="E130" i="23"/>
  <c r="E132" i="23"/>
  <c r="E134" i="23"/>
  <c r="E136" i="23"/>
  <c r="E138" i="23"/>
  <c r="E140" i="23"/>
  <c r="E142" i="23"/>
  <c r="E144" i="23"/>
  <c r="E146" i="23"/>
  <c r="E148" i="23"/>
  <c r="E150" i="23"/>
  <c r="E152" i="23"/>
  <c r="E154" i="23"/>
  <c r="E156" i="23"/>
  <c r="E158" i="23"/>
  <c r="E160" i="23"/>
  <c r="E162" i="23"/>
  <c r="E164" i="23"/>
  <c r="E168" i="23"/>
  <c r="F33" i="24"/>
  <c r="F33" i="23"/>
  <c r="C33" i="24"/>
  <c r="C33" i="23"/>
  <c r="F16" i="24"/>
  <c r="F16" i="23"/>
  <c r="B11" i="22"/>
  <c r="B11" i="25" s="1"/>
  <c r="B28" i="22"/>
  <c r="B28" i="25" s="1"/>
  <c r="AE13" i="19"/>
  <c r="L11" i="22"/>
  <c r="L11" i="25" s="1"/>
  <c r="L28" i="22"/>
  <c r="L28" i="25" s="1"/>
  <c r="G11" i="22"/>
  <c r="G11" i="25" s="1"/>
  <c r="G28" i="22"/>
  <c r="G28" i="25" s="1"/>
  <c r="B15" i="22"/>
  <c r="B15" i="25" s="1"/>
  <c r="B32" i="22"/>
  <c r="B32" i="25" s="1"/>
  <c r="AE17" i="19"/>
  <c r="L15" i="22"/>
  <c r="L15" i="25" s="1"/>
  <c r="L32" i="22"/>
  <c r="L32" i="25" s="1"/>
  <c r="G15" i="22"/>
  <c r="G15" i="25" s="1"/>
  <c r="G32" i="22"/>
  <c r="G32" i="25" s="1"/>
  <c r="B19" i="22"/>
  <c r="B19" i="25" s="1"/>
  <c r="B36" i="22"/>
  <c r="B36" i="25" s="1"/>
  <c r="AE21" i="19"/>
  <c r="L19" i="22"/>
  <c r="L19" i="25" s="1"/>
  <c r="L36" i="22"/>
  <c r="L36" i="25" s="1"/>
  <c r="G19" i="22"/>
  <c r="G19" i="25" s="1"/>
  <c r="G36" i="22"/>
  <c r="G36" i="25" s="1"/>
  <c r="B23" i="22"/>
  <c r="B23" i="25" s="1"/>
  <c r="B40" i="22"/>
  <c r="B40" i="25" s="1"/>
  <c r="AE25" i="19"/>
  <c r="L23" i="22"/>
  <c r="L23" i="25" s="1"/>
  <c r="L40" i="22"/>
  <c r="L40" i="25" s="1"/>
  <c r="G23" i="22"/>
  <c r="G23" i="25" s="1"/>
  <c r="G40" i="22"/>
  <c r="G40" i="25" s="1"/>
  <c r="I53" i="22"/>
  <c r="I53" i="25" s="1"/>
  <c r="I44" i="22"/>
  <c r="I44" i="25" s="1"/>
  <c r="L44" i="22"/>
  <c r="L44" i="25" s="1"/>
  <c r="L53" i="22"/>
  <c r="L53" i="25" s="1"/>
  <c r="G53" i="22"/>
  <c r="G53" i="25" s="1"/>
  <c r="G44" i="22"/>
  <c r="G44" i="25" s="1"/>
  <c r="B48" i="22"/>
  <c r="B48" i="25" s="1"/>
  <c r="B57" i="22"/>
  <c r="B57" i="25" s="1"/>
  <c r="AE33" i="19"/>
  <c r="L48" i="22"/>
  <c r="L48" i="25" s="1"/>
  <c r="L57" i="22"/>
  <c r="L57" i="25" s="1"/>
  <c r="G48" i="22"/>
  <c r="G48" i="25" s="1"/>
  <c r="G57" i="22"/>
  <c r="G57" i="25" s="1"/>
  <c r="B61" i="22"/>
  <c r="B61" i="25" s="1"/>
  <c r="AE37" i="19"/>
  <c r="B51" i="24"/>
  <c r="B51" i="23"/>
  <c r="C51" i="24"/>
  <c r="C51" i="23"/>
  <c r="E421" i="24"/>
  <c r="E421" i="23"/>
  <c r="B299" i="24"/>
  <c r="B299" i="23"/>
  <c r="C299" i="24"/>
  <c r="C299" i="23"/>
  <c r="F103" i="24"/>
  <c r="F103" i="23"/>
  <c r="G103" i="24"/>
  <c r="G103" i="23"/>
  <c r="D103" i="24"/>
  <c r="D103" i="23"/>
  <c r="B243" i="24"/>
  <c r="B243" i="23"/>
  <c r="G243" i="24"/>
  <c r="G243" i="23"/>
  <c r="D243" i="24"/>
  <c r="D243" i="23"/>
  <c r="F179" i="24"/>
  <c r="F179" i="23"/>
  <c r="G179" i="24"/>
  <c r="G179" i="23"/>
  <c r="D179" i="24"/>
  <c r="D179" i="23"/>
  <c r="B29" i="24"/>
  <c r="B29" i="23"/>
  <c r="C29" i="24"/>
  <c r="C29" i="23"/>
  <c r="F429" i="17"/>
  <c r="F62" i="24"/>
  <c r="F60" i="24"/>
  <c r="F58" i="24"/>
  <c r="F56" i="24"/>
  <c r="F54" i="24"/>
  <c r="F59" i="24"/>
  <c r="F47" i="24"/>
  <c r="F43" i="24"/>
  <c r="F39" i="24"/>
  <c r="F35" i="24"/>
  <c r="F27" i="24"/>
  <c r="F23" i="24"/>
  <c r="F61" i="24"/>
  <c r="F52" i="24"/>
  <c r="F48" i="24"/>
  <c r="F44" i="24"/>
  <c r="F40" i="24"/>
  <c r="F36" i="24"/>
  <c r="F28" i="24"/>
  <c r="F22" i="24"/>
  <c r="F20" i="24"/>
  <c r="F18" i="24"/>
  <c r="F12" i="24"/>
  <c r="F10" i="24"/>
  <c r="F8" i="24"/>
  <c r="F6" i="24"/>
  <c r="F4" i="24"/>
  <c r="F55" i="24"/>
  <c r="F53" i="24"/>
  <c r="F49" i="24"/>
  <c r="F45" i="24"/>
  <c r="F37" i="24"/>
  <c r="F25" i="24"/>
  <c r="F57" i="24"/>
  <c r="F50" i="24"/>
  <c r="F46" i="24"/>
  <c r="F42" i="24"/>
  <c r="F38" i="24"/>
  <c r="F30" i="24"/>
  <c r="F26" i="24"/>
  <c r="F21" i="24"/>
  <c r="F19" i="24"/>
  <c r="F13" i="24"/>
  <c r="F11" i="24"/>
  <c r="F9" i="24"/>
  <c r="F7" i="24"/>
  <c r="F5" i="24"/>
  <c r="F3" i="24"/>
  <c r="F40" i="23"/>
  <c r="F42" i="23"/>
  <c r="F44" i="23"/>
  <c r="F46" i="23"/>
  <c r="F48" i="23"/>
  <c r="F50" i="23"/>
  <c r="F52" i="23"/>
  <c r="F54" i="23"/>
  <c r="F56" i="23"/>
  <c r="F58" i="23"/>
  <c r="F60" i="23"/>
  <c r="F62" i="23"/>
  <c r="F5" i="23"/>
  <c r="F7" i="23"/>
  <c r="F9" i="23"/>
  <c r="F11" i="23"/>
  <c r="F13" i="23"/>
  <c r="F19" i="23"/>
  <c r="F21" i="23"/>
  <c r="F23" i="23"/>
  <c r="F43" i="23"/>
  <c r="F45" i="23"/>
  <c r="F47" i="23"/>
  <c r="F3" i="23"/>
  <c r="F49" i="23"/>
  <c r="F53" i="23"/>
  <c r="F57" i="23"/>
  <c r="F61" i="23"/>
  <c r="F6" i="23"/>
  <c r="F10" i="23"/>
  <c r="F18" i="23"/>
  <c r="F22" i="23"/>
  <c r="F26" i="23"/>
  <c r="F28" i="23"/>
  <c r="F30" i="23"/>
  <c r="F36" i="23"/>
  <c r="F38" i="23"/>
  <c r="F55" i="23"/>
  <c r="F59" i="23"/>
  <c r="F4" i="23"/>
  <c r="F8" i="23"/>
  <c r="F12" i="23"/>
  <c r="F20" i="23"/>
  <c r="F25" i="23"/>
  <c r="F27" i="23"/>
  <c r="F35" i="23"/>
  <c r="F37" i="23"/>
  <c r="F39" i="23"/>
  <c r="B17" i="24"/>
  <c r="B17" i="23"/>
  <c r="E17" i="24"/>
  <c r="E17" i="23"/>
  <c r="E34" i="24"/>
  <c r="E34" i="23"/>
  <c r="F8" i="22"/>
  <c r="F8" i="25" s="1"/>
  <c r="F25" i="22"/>
  <c r="F25" i="25" s="1"/>
  <c r="L8" i="22"/>
  <c r="L8" i="25" s="1"/>
  <c r="L25" i="22"/>
  <c r="L25" i="25" s="1"/>
  <c r="G8" i="22"/>
  <c r="G8" i="25" s="1"/>
  <c r="G25" i="22"/>
  <c r="G25" i="25" s="1"/>
  <c r="F12" i="22"/>
  <c r="F12" i="25" s="1"/>
  <c r="F29" i="22"/>
  <c r="F29" i="25" s="1"/>
  <c r="L12" i="22"/>
  <c r="L12" i="25" s="1"/>
  <c r="L29" i="22"/>
  <c r="L29" i="25" s="1"/>
  <c r="G12" i="22"/>
  <c r="G12" i="25" s="1"/>
  <c r="G29" i="22"/>
  <c r="G29" i="25" s="1"/>
  <c r="F16" i="22"/>
  <c r="F16" i="25" s="1"/>
  <c r="F33" i="22"/>
  <c r="F33" i="25" s="1"/>
  <c r="L16" i="22"/>
  <c r="L16" i="25" s="1"/>
  <c r="L33" i="22"/>
  <c r="L33" i="25" s="1"/>
  <c r="G16" i="22"/>
  <c r="G16" i="25" s="1"/>
  <c r="G33" i="22"/>
  <c r="G33" i="25" s="1"/>
  <c r="F20" i="22"/>
  <c r="F20" i="25" s="1"/>
  <c r="F37" i="22"/>
  <c r="F37" i="25" s="1"/>
  <c r="L20" i="22"/>
  <c r="L20" i="25" s="1"/>
  <c r="L37" i="22"/>
  <c r="L37" i="25" s="1"/>
  <c r="G20" i="22"/>
  <c r="G20" i="25" s="1"/>
  <c r="G37" i="22"/>
  <c r="G37" i="25" s="1"/>
  <c r="J24" i="22"/>
  <c r="J24" i="25" s="1"/>
  <c r="J41" i="22"/>
  <c r="J41" i="25" s="1"/>
  <c r="L24" i="22"/>
  <c r="L24" i="25" s="1"/>
  <c r="L41" i="22"/>
  <c r="L41" i="25" s="1"/>
  <c r="G41" i="22"/>
  <c r="G41" i="25" s="1"/>
  <c r="G24" i="22"/>
  <c r="G24" i="25" s="1"/>
  <c r="E54" i="22"/>
  <c r="E54" i="25" s="1"/>
  <c r="E45" i="22"/>
  <c r="E45" i="25" s="1"/>
  <c r="L45" i="22"/>
  <c r="L45" i="25" s="1"/>
  <c r="L54" i="22"/>
  <c r="L54" i="25" s="1"/>
  <c r="G54" i="22"/>
  <c r="G54" i="25" s="1"/>
  <c r="G45" i="22"/>
  <c r="G45" i="25" s="1"/>
  <c r="B49" i="22"/>
  <c r="B49" i="25" s="1"/>
  <c r="B58" i="22"/>
  <c r="B58" i="25" s="1"/>
  <c r="AE34" i="19"/>
  <c r="L49" i="22"/>
  <c r="L49" i="25" s="1"/>
  <c r="L58" i="22"/>
  <c r="L58" i="25" s="1"/>
  <c r="G49" i="22"/>
  <c r="G49" i="25" s="1"/>
  <c r="G58" i="22"/>
  <c r="G58" i="25" s="1"/>
  <c r="Y28" i="18"/>
  <c r="Y20" i="18"/>
  <c r="Y12" i="18"/>
  <c r="Y4" i="18"/>
  <c r="B6" i="22"/>
  <c r="B6" i="25" s="1"/>
  <c r="AE8" i="19"/>
  <c r="B7" i="22"/>
  <c r="B7" i="25" s="1"/>
  <c r="AE9" i="19"/>
  <c r="G428" i="24"/>
  <c r="G427" i="24"/>
  <c r="G425" i="24"/>
  <c r="G423" i="24"/>
  <c r="G419" i="24"/>
  <c r="G417" i="24"/>
  <c r="G415" i="24"/>
  <c r="G413" i="24"/>
  <c r="G411" i="24"/>
  <c r="G409" i="24"/>
  <c r="G407" i="24"/>
  <c r="G405" i="24"/>
  <c r="G403" i="24"/>
  <c r="G401" i="24"/>
  <c r="G399" i="24"/>
  <c r="G397" i="24"/>
  <c r="G395" i="24"/>
  <c r="G393" i="24"/>
  <c r="G391" i="24"/>
  <c r="G389" i="24"/>
  <c r="G387" i="24"/>
  <c r="G385" i="24"/>
  <c r="G383" i="24"/>
  <c r="G381" i="24"/>
  <c r="G379" i="24"/>
  <c r="G377" i="24"/>
  <c r="G375" i="24"/>
  <c r="G373" i="24"/>
  <c r="G371" i="24"/>
  <c r="G369" i="24"/>
  <c r="G426" i="24"/>
  <c r="G424" i="24"/>
  <c r="G422" i="24"/>
  <c r="G420" i="24"/>
  <c r="G418" i="24"/>
  <c r="G416" i="24"/>
  <c r="G414" i="24"/>
  <c r="G412" i="24"/>
  <c r="G410" i="24"/>
  <c r="G408" i="24"/>
  <c r="G406" i="24"/>
  <c r="G404" i="24"/>
  <c r="G402" i="24"/>
  <c r="G400" i="24"/>
  <c r="G398" i="24"/>
  <c r="G396" i="24"/>
  <c r="G394" i="24"/>
  <c r="G392" i="24"/>
  <c r="G390" i="24"/>
  <c r="G388" i="24"/>
  <c r="G386" i="24"/>
  <c r="G384" i="24"/>
  <c r="G382" i="24"/>
  <c r="G380" i="24"/>
  <c r="G378" i="24"/>
  <c r="G376" i="24"/>
  <c r="G374" i="24"/>
  <c r="G372" i="24"/>
  <c r="G370" i="24"/>
  <c r="G369" i="23"/>
  <c r="G399" i="23"/>
  <c r="G401" i="23"/>
  <c r="G403" i="23"/>
  <c r="G405" i="23"/>
  <c r="G407" i="23"/>
  <c r="G409" i="23"/>
  <c r="G411" i="23"/>
  <c r="G413" i="23"/>
  <c r="G415" i="23"/>
  <c r="G417" i="23"/>
  <c r="G419" i="23"/>
  <c r="G423" i="23"/>
  <c r="G425" i="23"/>
  <c r="G427" i="23"/>
  <c r="G370" i="23"/>
  <c r="G372" i="23"/>
  <c r="G374" i="23"/>
  <c r="G376" i="23"/>
  <c r="G378" i="23"/>
  <c r="G380" i="23"/>
  <c r="G382" i="23"/>
  <c r="G384" i="23"/>
  <c r="G386" i="23"/>
  <c r="G388" i="23"/>
  <c r="G390" i="23"/>
  <c r="G392" i="23"/>
  <c r="G394" i="23"/>
  <c r="G396" i="23"/>
  <c r="G398" i="23"/>
  <c r="G400" i="23"/>
  <c r="G402" i="23"/>
  <c r="G404" i="23"/>
  <c r="G406" i="23"/>
  <c r="G408" i="23"/>
  <c r="G410" i="23"/>
  <c r="G412" i="23"/>
  <c r="G414" i="23"/>
  <c r="G416" i="23"/>
  <c r="G418" i="23"/>
  <c r="G420" i="23"/>
  <c r="G422" i="23"/>
  <c r="G424" i="23"/>
  <c r="G426" i="23"/>
  <c r="G428" i="23"/>
  <c r="G371" i="23"/>
  <c r="G373" i="23"/>
  <c r="G375" i="23"/>
  <c r="G377" i="23"/>
  <c r="G379" i="23"/>
  <c r="G381" i="23"/>
  <c r="G383" i="23"/>
  <c r="G385" i="23"/>
  <c r="G387" i="23"/>
  <c r="G389" i="23"/>
  <c r="G391" i="23"/>
  <c r="G393" i="23"/>
  <c r="G395" i="23"/>
  <c r="G397" i="23"/>
  <c r="C427" i="24"/>
  <c r="C425" i="24"/>
  <c r="C423" i="24"/>
  <c r="C419" i="24"/>
  <c r="C417" i="24"/>
  <c r="C415" i="24"/>
  <c r="C413" i="24"/>
  <c r="C411" i="24"/>
  <c r="C409" i="24"/>
  <c r="C407" i="24"/>
  <c r="C405" i="24"/>
  <c r="C403" i="24"/>
  <c r="C401" i="24"/>
  <c r="C399" i="24"/>
  <c r="C397" i="24"/>
  <c r="C395" i="24"/>
  <c r="C393" i="24"/>
  <c r="C391" i="24"/>
  <c r="C389" i="24"/>
  <c r="C387" i="24"/>
  <c r="C385" i="24"/>
  <c r="C383" i="24"/>
  <c r="C381" i="24"/>
  <c r="C379" i="24"/>
  <c r="C377" i="24"/>
  <c r="C375" i="24"/>
  <c r="C373" i="24"/>
  <c r="C371" i="24"/>
  <c r="C369" i="24"/>
  <c r="C428" i="24"/>
  <c r="C426" i="24"/>
  <c r="C424" i="24"/>
  <c r="C422" i="24"/>
  <c r="C420" i="24"/>
  <c r="C418" i="24"/>
  <c r="C416" i="24"/>
  <c r="C414" i="24"/>
  <c r="C412" i="24"/>
  <c r="C410" i="24"/>
  <c r="C408" i="24"/>
  <c r="C406" i="24"/>
  <c r="C404" i="24"/>
  <c r="C402" i="24"/>
  <c r="C400" i="24"/>
  <c r="C398" i="24"/>
  <c r="C396" i="24"/>
  <c r="C394" i="24"/>
  <c r="C392" i="24"/>
  <c r="C390" i="24"/>
  <c r="C388" i="24"/>
  <c r="C386" i="24"/>
  <c r="C384" i="24"/>
  <c r="C382" i="24"/>
  <c r="C380" i="24"/>
  <c r="C378" i="24"/>
  <c r="C376" i="24"/>
  <c r="C374" i="24"/>
  <c r="C372" i="24"/>
  <c r="C370" i="24"/>
  <c r="C399" i="23"/>
  <c r="C401" i="23"/>
  <c r="C403" i="23"/>
  <c r="C405" i="23"/>
  <c r="C407" i="23"/>
  <c r="C409" i="23"/>
  <c r="C411" i="23"/>
  <c r="C413" i="23"/>
  <c r="C415" i="23"/>
  <c r="C417" i="23"/>
  <c r="C419" i="23"/>
  <c r="C423" i="23"/>
  <c r="C425" i="23"/>
  <c r="C427" i="23"/>
  <c r="C370" i="23"/>
  <c r="C372" i="23"/>
  <c r="C374" i="23"/>
  <c r="C376" i="23"/>
  <c r="C378" i="23"/>
  <c r="C380" i="23"/>
  <c r="C382" i="23"/>
  <c r="C384" i="23"/>
  <c r="C386" i="23"/>
  <c r="C388" i="23"/>
  <c r="C390" i="23"/>
  <c r="C392" i="23"/>
  <c r="C394" i="23"/>
  <c r="C396" i="23"/>
  <c r="C398" i="23"/>
  <c r="C369" i="23"/>
  <c r="C400" i="23"/>
  <c r="C402" i="23"/>
  <c r="C404" i="23"/>
  <c r="C406" i="23"/>
  <c r="C408" i="23"/>
  <c r="C410" i="23"/>
  <c r="C412" i="23"/>
  <c r="C414" i="23"/>
  <c r="C416" i="23"/>
  <c r="C418" i="23"/>
  <c r="C420" i="23"/>
  <c r="C422" i="23"/>
  <c r="C424" i="23"/>
  <c r="C426" i="23"/>
  <c r="C428" i="23"/>
  <c r="C371" i="23"/>
  <c r="C373" i="23"/>
  <c r="C375" i="23"/>
  <c r="C377" i="23"/>
  <c r="C379" i="23"/>
  <c r="C381" i="23"/>
  <c r="C383" i="23"/>
  <c r="C385" i="23"/>
  <c r="C387" i="23"/>
  <c r="C389" i="23"/>
  <c r="C391" i="23"/>
  <c r="C393" i="23"/>
  <c r="C395" i="23"/>
  <c r="C397" i="23"/>
  <c r="F305" i="24"/>
  <c r="F303" i="24"/>
  <c r="F301" i="24"/>
  <c r="F297" i="24"/>
  <c r="F295" i="24"/>
  <c r="F293" i="24"/>
  <c r="F291" i="24"/>
  <c r="F289" i="24"/>
  <c r="F287" i="24"/>
  <c r="F285" i="24"/>
  <c r="F283" i="24"/>
  <c r="F281" i="24"/>
  <c r="F279" i="24"/>
  <c r="F277" i="24"/>
  <c r="F275" i="24"/>
  <c r="F273" i="24"/>
  <c r="F271" i="24"/>
  <c r="F269" i="24"/>
  <c r="F267" i="24"/>
  <c r="F265" i="24"/>
  <c r="F263" i="24"/>
  <c r="F261" i="24"/>
  <c r="F259" i="24"/>
  <c r="F257" i="24"/>
  <c r="F255" i="24"/>
  <c r="F253" i="24"/>
  <c r="F251" i="24"/>
  <c r="F249" i="24"/>
  <c r="F247" i="24"/>
  <c r="F306" i="24"/>
  <c r="F304" i="24"/>
  <c r="F302" i="24"/>
  <c r="F300" i="24"/>
  <c r="F298" i="24"/>
  <c r="F296" i="24"/>
  <c r="F294" i="24"/>
  <c r="F292" i="24"/>
  <c r="F290" i="24"/>
  <c r="F288" i="24"/>
  <c r="F286" i="24"/>
  <c r="F284" i="24"/>
  <c r="F282" i="24"/>
  <c r="F280" i="24"/>
  <c r="F278" i="24"/>
  <c r="F276" i="24"/>
  <c r="F274" i="24"/>
  <c r="F272" i="24"/>
  <c r="F270" i="24"/>
  <c r="F268" i="24"/>
  <c r="F266" i="24"/>
  <c r="F264" i="24"/>
  <c r="F262" i="24"/>
  <c r="F260" i="24"/>
  <c r="F258" i="24"/>
  <c r="F256" i="24"/>
  <c r="F254" i="24"/>
  <c r="F252" i="24"/>
  <c r="F250" i="24"/>
  <c r="F248" i="24"/>
  <c r="F287" i="23"/>
  <c r="F289" i="23"/>
  <c r="F291" i="23"/>
  <c r="F293" i="23"/>
  <c r="F295" i="23"/>
  <c r="F297" i="23"/>
  <c r="F301" i="23"/>
  <c r="F303" i="23"/>
  <c r="F305" i="23"/>
  <c r="F248" i="23"/>
  <c r="F250" i="23"/>
  <c r="F252" i="23"/>
  <c r="F254" i="23"/>
  <c r="F256" i="23"/>
  <c r="F258" i="23"/>
  <c r="F260" i="23"/>
  <c r="F262" i="23"/>
  <c r="F264" i="23"/>
  <c r="F266" i="23"/>
  <c r="F268" i="23"/>
  <c r="F270" i="23"/>
  <c r="F272" i="23"/>
  <c r="F274" i="23"/>
  <c r="F276" i="23"/>
  <c r="F278" i="23"/>
  <c r="F280" i="23"/>
  <c r="F282" i="23"/>
  <c r="F284" i="23"/>
  <c r="F286" i="23"/>
  <c r="F288" i="23"/>
  <c r="F290" i="23"/>
  <c r="F292" i="23"/>
  <c r="F294" i="23"/>
  <c r="F296" i="23"/>
  <c r="F298" i="23"/>
  <c r="F300" i="23"/>
  <c r="F302" i="23"/>
  <c r="F304" i="23"/>
  <c r="F306" i="23"/>
  <c r="F249" i="23"/>
  <c r="F251" i="23"/>
  <c r="F253" i="23"/>
  <c r="F255" i="23"/>
  <c r="F257" i="23"/>
  <c r="F259" i="23"/>
  <c r="F261" i="23"/>
  <c r="F263" i="23"/>
  <c r="F265" i="23"/>
  <c r="F267" i="23"/>
  <c r="F269" i="23"/>
  <c r="F271" i="23"/>
  <c r="F273" i="23"/>
  <c r="F247" i="23"/>
  <c r="F275" i="23"/>
  <c r="F279" i="23"/>
  <c r="F283" i="23"/>
  <c r="F277" i="23"/>
  <c r="F281" i="23"/>
  <c r="F285" i="23"/>
  <c r="B100" i="24"/>
  <c r="B100" i="23"/>
  <c r="G100" i="24"/>
  <c r="G100" i="23"/>
  <c r="D100" i="24"/>
  <c r="D100" i="23"/>
  <c r="G238" i="24"/>
  <c r="G238" i="23"/>
  <c r="B229" i="24"/>
  <c r="B229" i="23"/>
  <c r="C238" i="24"/>
  <c r="C238" i="23"/>
  <c r="G178" i="24"/>
  <c r="G178" i="23"/>
  <c r="B169" i="24"/>
  <c r="B169" i="23"/>
  <c r="C178" i="24"/>
  <c r="C178" i="23"/>
  <c r="B14" i="24"/>
  <c r="B14" i="23"/>
  <c r="F31" i="24"/>
  <c r="F31" i="23"/>
  <c r="E31" i="24"/>
  <c r="E31" i="23"/>
  <c r="G24" i="24"/>
  <c r="G24" i="23"/>
  <c r="G41" i="24"/>
  <c r="G41" i="23"/>
  <c r="C24" i="24"/>
  <c r="C24" i="23"/>
  <c r="F9" i="22"/>
  <c r="F9" i="25" s="1"/>
  <c r="F26" i="22"/>
  <c r="F26" i="25" s="1"/>
  <c r="I9" i="22"/>
  <c r="I9" i="25" s="1"/>
  <c r="I26" i="22"/>
  <c r="I26" i="25" s="1"/>
  <c r="D9" i="22"/>
  <c r="D9" i="25" s="1"/>
  <c r="D26" i="22"/>
  <c r="D26" i="25" s="1"/>
  <c r="F13" i="22"/>
  <c r="F13" i="25" s="1"/>
  <c r="F30" i="22"/>
  <c r="F30" i="25" s="1"/>
  <c r="I13" i="22"/>
  <c r="I13" i="25" s="1"/>
  <c r="I30" i="22"/>
  <c r="I30" i="25" s="1"/>
  <c r="D13" i="22"/>
  <c r="D13" i="25" s="1"/>
  <c r="D30" i="22"/>
  <c r="D30" i="25" s="1"/>
  <c r="F17" i="22"/>
  <c r="F17" i="25" s="1"/>
  <c r="F34" i="22"/>
  <c r="F34" i="25" s="1"/>
  <c r="I17" i="22"/>
  <c r="I17" i="25" s="1"/>
  <c r="I34" i="22"/>
  <c r="I34" i="25" s="1"/>
  <c r="D17" i="22"/>
  <c r="D17" i="25" s="1"/>
  <c r="D34" i="22"/>
  <c r="D34" i="25" s="1"/>
  <c r="F21" i="22"/>
  <c r="F21" i="25" s="1"/>
  <c r="F38" i="22"/>
  <c r="F38" i="25" s="1"/>
  <c r="I21" i="22"/>
  <c r="I21" i="25" s="1"/>
  <c r="I38" i="22"/>
  <c r="I38" i="25" s="1"/>
  <c r="D21" i="22"/>
  <c r="D21" i="25" s="1"/>
  <c r="D38" i="22"/>
  <c r="D38" i="25" s="1"/>
  <c r="J42" i="22"/>
  <c r="J42" i="25" s="1"/>
  <c r="J51" i="22"/>
  <c r="J51" i="25" s="1"/>
  <c r="M51" i="22"/>
  <c r="M51" i="25" s="1"/>
  <c r="M42" i="22"/>
  <c r="M42" i="25" s="1"/>
  <c r="D42" i="22"/>
  <c r="D42" i="25" s="1"/>
  <c r="D51" i="22"/>
  <c r="D51" i="25" s="1"/>
  <c r="J46" i="22"/>
  <c r="J46" i="25" s="1"/>
  <c r="J55" i="22"/>
  <c r="J55" i="25" s="1"/>
  <c r="M46" i="22"/>
  <c r="M46" i="25" s="1"/>
  <c r="M55" i="22"/>
  <c r="M55" i="25" s="1"/>
  <c r="D46" i="22"/>
  <c r="D46" i="25" s="1"/>
  <c r="D55" i="22"/>
  <c r="D55" i="25" s="1"/>
  <c r="J50" i="22"/>
  <c r="J50" i="25" s="1"/>
  <c r="J59" i="22"/>
  <c r="J59" i="25" s="1"/>
  <c r="I50" i="22"/>
  <c r="I50" i="25" s="1"/>
  <c r="I59" i="22"/>
  <c r="I59" i="25" s="1"/>
  <c r="D50" i="22"/>
  <c r="D50" i="25" s="1"/>
  <c r="D59" i="22"/>
  <c r="D59" i="25" s="1"/>
  <c r="E360" i="24"/>
  <c r="E360" i="23"/>
  <c r="B116" i="24"/>
  <c r="B116" i="23"/>
  <c r="G116" i="24"/>
  <c r="G116" i="23"/>
  <c r="D116" i="24"/>
  <c r="D116" i="23"/>
  <c r="B76" i="24"/>
  <c r="B76" i="23"/>
  <c r="B93" i="24"/>
  <c r="B93" i="23"/>
  <c r="E93" i="24"/>
  <c r="E93" i="23"/>
  <c r="G222" i="24"/>
  <c r="G222" i="23"/>
  <c r="B205" i="24"/>
  <c r="B205" i="23"/>
  <c r="C222" i="24"/>
  <c r="C222" i="23"/>
  <c r="G166" i="24"/>
  <c r="G166" i="23"/>
  <c r="B166" i="24"/>
  <c r="B166" i="23"/>
  <c r="E166" i="24"/>
  <c r="E166" i="23"/>
  <c r="G32" i="24"/>
  <c r="G32" i="23"/>
  <c r="B15" i="24"/>
  <c r="B15" i="23"/>
  <c r="E15" i="24"/>
  <c r="E15" i="23"/>
  <c r="AE6" i="19"/>
  <c r="J10" i="22"/>
  <c r="J10" i="25" s="1"/>
  <c r="J27" i="22"/>
  <c r="J27" i="25" s="1"/>
  <c r="I10" i="22"/>
  <c r="I10" i="25" s="1"/>
  <c r="I27" i="22"/>
  <c r="I27" i="25" s="1"/>
  <c r="D10" i="22"/>
  <c r="D10" i="25" s="1"/>
  <c r="D27" i="22"/>
  <c r="D27" i="25" s="1"/>
  <c r="J14" i="22"/>
  <c r="J14" i="25" s="1"/>
  <c r="J31" i="22"/>
  <c r="J31" i="25" s="1"/>
  <c r="I14" i="22"/>
  <c r="I14" i="25" s="1"/>
  <c r="I31" i="22"/>
  <c r="I31" i="25" s="1"/>
  <c r="D14" i="22"/>
  <c r="D14" i="25" s="1"/>
  <c r="D31" i="22"/>
  <c r="D31" i="25" s="1"/>
  <c r="J18" i="22"/>
  <c r="J18" i="25" s="1"/>
  <c r="J35" i="22"/>
  <c r="J35" i="25" s="1"/>
  <c r="I18" i="22"/>
  <c r="I18" i="25" s="1"/>
  <c r="I35" i="22"/>
  <c r="I35" i="25" s="1"/>
  <c r="D18" i="22"/>
  <c r="D18" i="25" s="1"/>
  <c r="D35" i="22"/>
  <c r="D35" i="25" s="1"/>
  <c r="J22" i="22"/>
  <c r="J22" i="25" s="1"/>
  <c r="J39" i="22"/>
  <c r="J39" i="25" s="1"/>
  <c r="I22" i="22"/>
  <c r="I22" i="25" s="1"/>
  <c r="I39" i="22"/>
  <c r="I39" i="25" s="1"/>
  <c r="D22" i="22"/>
  <c r="D22" i="25" s="1"/>
  <c r="D39" i="22"/>
  <c r="D39" i="25" s="1"/>
  <c r="F43" i="22"/>
  <c r="F43" i="25" s="1"/>
  <c r="F52" i="22"/>
  <c r="F52" i="25" s="1"/>
  <c r="B43" i="22"/>
  <c r="B43" i="25" s="1"/>
  <c r="B52" i="22"/>
  <c r="B52" i="25" s="1"/>
  <c r="AE28" i="19"/>
  <c r="D43" i="22"/>
  <c r="D43" i="25" s="1"/>
  <c r="D52" i="22"/>
  <c r="D52" i="25" s="1"/>
  <c r="F47" i="22"/>
  <c r="F47" i="25" s="1"/>
  <c r="F56" i="22"/>
  <c r="F56" i="25" s="1"/>
  <c r="B47" i="22"/>
  <c r="B47" i="25" s="1"/>
  <c r="B56" i="22"/>
  <c r="B56" i="25" s="1"/>
  <c r="AE32" i="19"/>
  <c r="D47" i="22"/>
  <c r="D47" i="25" s="1"/>
  <c r="D56" i="22"/>
  <c r="D56" i="25" s="1"/>
  <c r="Y27" i="18"/>
  <c r="Y19" i="18"/>
  <c r="Y11" i="18"/>
  <c r="B367" i="24"/>
  <c r="B365" i="24"/>
  <c r="B363" i="24"/>
  <c r="B366" i="24"/>
  <c r="B361" i="24"/>
  <c r="B357" i="24"/>
  <c r="B353" i="24"/>
  <c r="B352" i="24"/>
  <c r="B351" i="24"/>
  <c r="B362" i="24"/>
  <c r="B358" i="24"/>
  <c r="B354" i="24"/>
  <c r="B350" i="24"/>
  <c r="B348" i="24"/>
  <c r="B346" i="24"/>
  <c r="B344" i="24"/>
  <c r="B342" i="24"/>
  <c r="B340" i="24"/>
  <c r="B338" i="24"/>
  <c r="B336" i="24"/>
  <c r="B334" i="24"/>
  <c r="B332" i="24"/>
  <c r="B330" i="24"/>
  <c r="B328" i="24"/>
  <c r="B326" i="24"/>
  <c r="B324" i="24"/>
  <c r="B322" i="24"/>
  <c r="B320" i="24"/>
  <c r="B318" i="24"/>
  <c r="B316" i="24"/>
  <c r="B314" i="24"/>
  <c r="B312" i="24"/>
  <c r="B310" i="24"/>
  <c r="B308" i="24"/>
  <c r="B364" i="24"/>
  <c r="B359" i="24"/>
  <c r="B355" i="24"/>
  <c r="B356" i="24"/>
  <c r="B349" i="24"/>
  <c r="B347" i="24"/>
  <c r="B345" i="24"/>
  <c r="B343" i="24"/>
  <c r="B341" i="24"/>
  <c r="B339" i="24"/>
  <c r="B337" i="24"/>
  <c r="B335" i="24"/>
  <c r="B333" i="24"/>
  <c r="B331" i="24"/>
  <c r="B329" i="24"/>
  <c r="B327" i="24"/>
  <c r="B325" i="24"/>
  <c r="B323" i="24"/>
  <c r="B321" i="24"/>
  <c r="B319" i="24"/>
  <c r="B317" i="24"/>
  <c r="B315" i="24"/>
  <c r="B313" i="24"/>
  <c r="B311" i="24"/>
  <c r="B309" i="24"/>
  <c r="B357" i="23"/>
  <c r="B359" i="23"/>
  <c r="B361" i="23"/>
  <c r="B363" i="23"/>
  <c r="B365" i="23"/>
  <c r="B367" i="23"/>
  <c r="B330" i="23"/>
  <c r="B332" i="23"/>
  <c r="B334" i="23"/>
  <c r="B336" i="23"/>
  <c r="B338" i="23"/>
  <c r="B340" i="23"/>
  <c r="B342" i="23"/>
  <c r="B344" i="23"/>
  <c r="B346" i="23"/>
  <c r="B348" i="23"/>
  <c r="B350" i="23"/>
  <c r="B352" i="23"/>
  <c r="B354" i="23"/>
  <c r="B356" i="23"/>
  <c r="B310" i="23"/>
  <c r="B312" i="23"/>
  <c r="B314" i="23"/>
  <c r="B316" i="23"/>
  <c r="B318" i="23"/>
  <c r="B320" i="23"/>
  <c r="B322" i="23"/>
  <c r="B324" i="23"/>
  <c r="B326" i="23"/>
  <c r="B328" i="23"/>
  <c r="B358" i="23"/>
  <c r="B362" i="23"/>
  <c r="B364" i="23"/>
  <c r="B366" i="23"/>
  <c r="B329" i="23"/>
  <c r="B331" i="23"/>
  <c r="B333" i="23"/>
  <c r="B335" i="23"/>
  <c r="B337" i="23"/>
  <c r="B339" i="23"/>
  <c r="B341" i="23"/>
  <c r="B343" i="23"/>
  <c r="B345" i="23"/>
  <c r="B347" i="23"/>
  <c r="B349" i="23"/>
  <c r="B351" i="23"/>
  <c r="B353" i="23"/>
  <c r="B355" i="23"/>
  <c r="B309" i="23"/>
  <c r="B311" i="23"/>
  <c r="B313" i="23"/>
  <c r="B315" i="23"/>
  <c r="B317" i="23"/>
  <c r="B319" i="23"/>
  <c r="B321" i="23"/>
  <c r="B323" i="23"/>
  <c r="B325" i="23"/>
  <c r="B327" i="23"/>
  <c r="B308" i="23"/>
  <c r="D366" i="24"/>
  <c r="D364" i="24"/>
  <c r="D362" i="24"/>
  <c r="D367" i="24"/>
  <c r="D365" i="24"/>
  <c r="D358" i="24"/>
  <c r="D354" i="24"/>
  <c r="D359" i="24"/>
  <c r="D355" i="24"/>
  <c r="D349" i="24"/>
  <c r="D347" i="24"/>
  <c r="D345" i="24"/>
  <c r="D343" i="24"/>
  <c r="D341" i="24"/>
  <c r="D339" i="24"/>
  <c r="D337" i="24"/>
  <c r="D335" i="24"/>
  <c r="D333" i="24"/>
  <c r="D331" i="24"/>
  <c r="D329" i="24"/>
  <c r="D327" i="24"/>
  <c r="D325" i="24"/>
  <c r="D323" i="24"/>
  <c r="D321" i="24"/>
  <c r="D319" i="24"/>
  <c r="D317" i="24"/>
  <c r="D315" i="24"/>
  <c r="D313" i="24"/>
  <c r="D311" i="24"/>
  <c r="D309" i="24"/>
  <c r="D356" i="24"/>
  <c r="D352" i="24"/>
  <c r="D363" i="24"/>
  <c r="D361" i="24"/>
  <c r="D357" i="24"/>
  <c r="D353" i="24"/>
  <c r="D351" i="24"/>
  <c r="D350" i="24"/>
  <c r="D348" i="24"/>
  <c r="D346" i="24"/>
  <c r="D344" i="24"/>
  <c r="D342" i="24"/>
  <c r="D340" i="24"/>
  <c r="D338" i="24"/>
  <c r="D336" i="24"/>
  <c r="D334" i="24"/>
  <c r="D332" i="24"/>
  <c r="D330" i="24"/>
  <c r="D328" i="24"/>
  <c r="D326" i="24"/>
  <c r="D324" i="24"/>
  <c r="D322" i="24"/>
  <c r="D320" i="24"/>
  <c r="D318" i="24"/>
  <c r="D316" i="24"/>
  <c r="D314" i="24"/>
  <c r="D312" i="24"/>
  <c r="D310" i="24"/>
  <c r="D308" i="24"/>
  <c r="D358" i="23"/>
  <c r="D362" i="23"/>
  <c r="D364" i="23"/>
  <c r="D366" i="23"/>
  <c r="D329" i="23"/>
  <c r="D331" i="23"/>
  <c r="D333" i="23"/>
  <c r="D335" i="23"/>
  <c r="D337" i="23"/>
  <c r="D339" i="23"/>
  <c r="D341" i="23"/>
  <c r="D343" i="23"/>
  <c r="D345" i="23"/>
  <c r="D347" i="23"/>
  <c r="D349" i="23"/>
  <c r="D351" i="23"/>
  <c r="D353" i="23"/>
  <c r="D355" i="23"/>
  <c r="D309" i="23"/>
  <c r="D311" i="23"/>
  <c r="D313" i="23"/>
  <c r="D315" i="23"/>
  <c r="D317" i="23"/>
  <c r="D319" i="23"/>
  <c r="D321" i="23"/>
  <c r="D323" i="23"/>
  <c r="D325" i="23"/>
  <c r="D327" i="23"/>
  <c r="D357" i="23"/>
  <c r="D359" i="23"/>
  <c r="D361" i="23"/>
  <c r="D363" i="23"/>
  <c r="D365" i="23"/>
  <c r="D367" i="23"/>
  <c r="D330" i="23"/>
  <c r="D332" i="23"/>
  <c r="D334" i="23"/>
  <c r="D336" i="23"/>
  <c r="D338" i="23"/>
  <c r="D340" i="23"/>
  <c r="D342" i="23"/>
  <c r="D344" i="23"/>
  <c r="D346" i="23"/>
  <c r="D348" i="23"/>
  <c r="D350" i="23"/>
  <c r="D352" i="23"/>
  <c r="D354" i="23"/>
  <c r="D356" i="23"/>
  <c r="D310" i="23"/>
  <c r="D312" i="23"/>
  <c r="D314" i="23"/>
  <c r="D316" i="23"/>
  <c r="D318" i="23"/>
  <c r="D320" i="23"/>
  <c r="D322" i="23"/>
  <c r="D324" i="23"/>
  <c r="D326" i="23"/>
  <c r="D328" i="23"/>
  <c r="D308" i="23"/>
  <c r="B106" i="24"/>
  <c r="B106" i="23"/>
  <c r="C115" i="24"/>
  <c r="C115" i="23"/>
  <c r="D106" i="24"/>
  <c r="D106" i="23"/>
  <c r="F122" i="24"/>
  <c r="F120" i="24"/>
  <c r="F118" i="24"/>
  <c r="F114" i="24"/>
  <c r="F112" i="24"/>
  <c r="F110" i="24"/>
  <c r="F108" i="24"/>
  <c r="F104" i="24"/>
  <c r="F102" i="24"/>
  <c r="F98" i="24"/>
  <c r="F96" i="24"/>
  <c r="F94" i="24"/>
  <c r="F90" i="24"/>
  <c r="F88" i="24"/>
  <c r="F84" i="24"/>
  <c r="F82" i="24"/>
  <c r="F80" i="24"/>
  <c r="F78" i="24"/>
  <c r="F74" i="24"/>
  <c r="F72" i="24"/>
  <c r="F70" i="24"/>
  <c r="F68" i="24"/>
  <c r="F66" i="24"/>
  <c r="F123" i="24"/>
  <c r="F121" i="24"/>
  <c r="F119" i="24"/>
  <c r="F117" i="24"/>
  <c r="F113" i="24"/>
  <c r="F111" i="24"/>
  <c r="F109" i="24"/>
  <c r="F105" i="24"/>
  <c r="F101" i="24"/>
  <c r="F99" i="24"/>
  <c r="F97" i="24"/>
  <c r="F95" i="24"/>
  <c r="F91" i="24"/>
  <c r="F89" i="24"/>
  <c r="F87" i="24"/>
  <c r="F85" i="24"/>
  <c r="F81" i="24"/>
  <c r="F79" i="24"/>
  <c r="F77" i="24"/>
  <c r="F75" i="24"/>
  <c r="F73" i="24"/>
  <c r="F71" i="24"/>
  <c r="F69" i="24"/>
  <c r="F67" i="24"/>
  <c r="F65" i="24"/>
  <c r="F64" i="24"/>
  <c r="F102" i="23"/>
  <c r="F104" i="23"/>
  <c r="F108" i="23"/>
  <c r="F110" i="23"/>
  <c r="F112" i="23"/>
  <c r="F114" i="23"/>
  <c r="F118" i="23"/>
  <c r="F120" i="23"/>
  <c r="F122" i="23"/>
  <c r="F65" i="23"/>
  <c r="F67" i="23"/>
  <c r="F69" i="23"/>
  <c r="F71" i="23"/>
  <c r="F73" i="23"/>
  <c r="F75" i="23"/>
  <c r="F77" i="23"/>
  <c r="F79" i="23"/>
  <c r="F81" i="23"/>
  <c r="F85" i="23"/>
  <c r="F87" i="23"/>
  <c r="F89" i="23"/>
  <c r="F91" i="23"/>
  <c r="F95" i="23"/>
  <c r="F97" i="23"/>
  <c r="F99" i="23"/>
  <c r="F64" i="23"/>
  <c r="F101" i="23"/>
  <c r="F105" i="23"/>
  <c r="F109" i="23"/>
  <c r="F111" i="23"/>
  <c r="F113" i="23"/>
  <c r="F117" i="23"/>
  <c r="F119" i="23"/>
  <c r="F121" i="23"/>
  <c r="F123" i="23"/>
  <c r="F66" i="23"/>
  <c r="F68" i="23"/>
  <c r="F70" i="23"/>
  <c r="F72" i="23"/>
  <c r="F74" i="23"/>
  <c r="F78" i="23"/>
  <c r="F80" i="23"/>
  <c r="F82" i="23"/>
  <c r="F84" i="23"/>
  <c r="F88" i="23"/>
  <c r="F90" i="23"/>
  <c r="F94" i="23"/>
  <c r="F96" i="23"/>
  <c r="F98" i="23"/>
  <c r="C123" i="24"/>
  <c r="C121" i="24"/>
  <c r="C119" i="24"/>
  <c r="C117" i="24"/>
  <c r="C113" i="24"/>
  <c r="C111" i="24"/>
  <c r="C109" i="24"/>
  <c r="C105" i="24"/>
  <c r="C101" i="24"/>
  <c r="C99" i="24"/>
  <c r="C97" i="24"/>
  <c r="C95" i="24"/>
  <c r="C91" i="24"/>
  <c r="C89" i="24"/>
  <c r="C87" i="24"/>
  <c r="C85" i="24"/>
  <c r="C81" i="24"/>
  <c r="C79" i="24"/>
  <c r="C77" i="24"/>
  <c r="C75" i="24"/>
  <c r="C73" i="24"/>
  <c r="C71" i="24"/>
  <c r="C69" i="24"/>
  <c r="C67" i="24"/>
  <c r="C65" i="24"/>
  <c r="C122" i="24"/>
  <c r="C120" i="24"/>
  <c r="C118" i="24"/>
  <c r="C114" i="24"/>
  <c r="C112" i="24"/>
  <c r="C110" i="24"/>
  <c r="C108" i="24"/>
  <c r="C104" i="24"/>
  <c r="C102" i="24"/>
  <c r="C98" i="24"/>
  <c r="C96" i="24"/>
  <c r="C94" i="24"/>
  <c r="C90" i="24"/>
  <c r="C88" i="24"/>
  <c r="C84" i="24"/>
  <c r="C82" i="24"/>
  <c r="C80" i="24"/>
  <c r="C78" i="24"/>
  <c r="C74" i="24"/>
  <c r="C72" i="24"/>
  <c r="C70" i="24"/>
  <c r="C68" i="24"/>
  <c r="C66" i="24"/>
  <c r="C64" i="24"/>
  <c r="C102" i="23"/>
  <c r="C104" i="23"/>
  <c r="C108" i="23"/>
  <c r="C110" i="23"/>
  <c r="C112" i="23"/>
  <c r="C114" i="23"/>
  <c r="C118" i="23"/>
  <c r="C120" i="23"/>
  <c r="C122" i="23"/>
  <c r="C65" i="23"/>
  <c r="C67" i="23"/>
  <c r="C69" i="23"/>
  <c r="C71" i="23"/>
  <c r="C73" i="23"/>
  <c r="C75" i="23"/>
  <c r="C77" i="23"/>
  <c r="C79" i="23"/>
  <c r="C81" i="23"/>
  <c r="C85" i="23"/>
  <c r="C87" i="23"/>
  <c r="C89" i="23"/>
  <c r="C91" i="23"/>
  <c r="C95" i="23"/>
  <c r="C97" i="23"/>
  <c r="C99" i="23"/>
  <c r="C64" i="23"/>
  <c r="C101" i="23"/>
  <c r="C105" i="23"/>
  <c r="C109" i="23"/>
  <c r="C111" i="23"/>
  <c r="C113" i="23"/>
  <c r="C117" i="23"/>
  <c r="C119" i="23"/>
  <c r="C121" i="23"/>
  <c r="C123" i="23"/>
  <c r="C66" i="23"/>
  <c r="C68" i="23"/>
  <c r="C70" i="23"/>
  <c r="C72" i="23"/>
  <c r="C74" i="23"/>
  <c r="C78" i="23"/>
  <c r="C80" i="23"/>
  <c r="C82" i="23"/>
  <c r="C84" i="23"/>
  <c r="C88" i="23"/>
  <c r="C90" i="23"/>
  <c r="C94" i="23"/>
  <c r="C96" i="23"/>
  <c r="C98" i="23"/>
  <c r="C92" i="24"/>
  <c r="C92" i="23"/>
  <c r="F215" i="24"/>
  <c r="F215" i="23"/>
  <c r="C215" i="24"/>
  <c r="C215" i="23"/>
  <c r="D245" i="24"/>
  <c r="D241" i="24"/>
  <c r="D239" i="24"/>
  <c r="D237" i="24"/>
  <c r="D235" i="24"/>
  <c r="D233" i="24"/>
  <c r="D231" i="24"/>
  <c r="D227" i="24"/>
  <c r="D225" i="24"/>
  <c r="D223" i="24"/>
  <c r="D221" i="24"/>
  <c r="D219" i="24"/>
  <c r="D217" i="24"/>
  <c r="D213" i="24"/>
  <c r="D211" i="24"/>
  <c r="D209" i="24"/>
  <c r="D207" i="24"/>
  <c r="D203" i="24"/>
  <c r="D201" i="24"/>
  <c r="D199" i="24"/>
  <c r="D197" i="24"/>
  <c r="D195" i="24"/>
  <c r="D193" i="24"/>
  <c r="D191" i="24"/>
  <c r="D189" i="24"/>
  <c r="D187" i="24"/>
  <c r="D244" i="24"/>
  <c r="D240" i="24"/>
  <c r="D236" i="24"/>
  <c r="D232" i="24"/>
  <c r="D230" i="24"/>
  <c r="D228" i="24"/>
  <c r="D226" i="24"/>
  <c r="D224" i="24"/>
  <c r="D220" i="24"/>
  <c r="D218" i="24"/>
  <c r="D216" i="24"/>
  <c r="D214" i="24"/>
  <c r="D212" i="24"/>
  <c r="D210" i="24"/>
  <c r="D208" i="24"/>
  <c r="D206" i="24"/>
  <c r="D204" i="24"/>
  <c r="D202" i="24"/>
  <c r="D200" i="24"/>
  <c r="D198" i="24"/>
  <c r="D196" i="24"/>
  <c r="D194" i="24"/>
  <c r="D192" i="24"/>
  <c r="D190" i="24"/>
  <c r="D188" i="24"/>
  <c r="D186" i="24"/>
  <c r="D242" i="24"/>
  <c r="D224" i="23"/>
  <c r="D226" i="23"/>
  <c r="D228" i="23"/>
  <c r="D230" i="23"/>
  <c r="D232" i="23"/>
  <c r="D236" i="23"/>
  <c r="D240" i="23"/>
  <c r="D242" i="23"/>
  <c r="D244" i="23"/>
  <c r="D187" i="23"/>
  <c r="D189" i="23"/>
  <c r="D191" i="23"/>
  <c r="D193" i="23"/>
  <c r="D195" i="23"/>
  <c r="D197" i="23"/>
  <c r="D199" i="23"/>
  <c r="D201" i="23"/>
  <c r="D203" i="23"/>
  <c r="D207" i="23"/>
  <c r="D209" i="23"/>
  <c r="D211" i="23"/>
  <c r="D213" i="23"/>
  <c r="D217" i="23"/>
  <c r="D219" i="23"/>
  <c r="D223" i="23"/>
  <c r="D227" i="23"/>
  <c r="D231" i="23"/>
  <c r="D233" i="23"/>
  <c r="D235" i="23"/>
  <c r="D237" i="23"/>
  <c r="D239" i="23"/>
  <c r="D241" i="23"/>
  <c r="D245" i="23"/>
  <c r="D188" i="23"/>
  <c r="D190" i="23"/>
  <c r="D192" i="23"/>
  <c r="D194" i="23"/>
  <c r="D196" i="23"/>
  <c r="D198" i="23"/>
  <c r="D200" i="23"/>
  <c r="D202" i="23"/>
  <c r="D204" i="23"/>
  <c r="D206" i="23"/>
  <c r="D208" i="23"/>
  <c r="D210" i="23"/>
  <c r="D212" i="23"/>
  <c r="D214" i="23"/>
  <c r="D216" i="23"/>
  <c r="D218" i="23"/>
  <c r="D220" i="23"/>
  <c r="D221" i="23"/>
  <c r="D225" i="23"/>
  <c r="D186" i="23"/>
  <c r="G184" i="24"/>
  <c r="G182" i="24"/>
  <c r="G180" i="24"/>
  <c r="G176" i="24"/>
  <c r="G174" i="24"/>
  <c r="G172" i="24"/>
  <c r="G168" i="24"/>
  <c r="G164" i="24"/>
  <c r="G162" i="24"/>
  <c r="G160" i="24"/>
  <c r="G158" i="24"/>
  <c r="G156" i="24"/>
  <c r="G154" i="24"/>
  <c r="G152" i="24"/>
  <c r="G150" i="24"/>
  <c r="G148" i="24"/>
  <c r="G146" i="24"/>
  <c r="G144" i="24"/>
  <c r="G142" i="24"/>
  <c r="G140" i="24"/>
  <c r="G138" i="24"/>
  <c r="G136" i="24"/>
  <c r="G134" i="24"/>
  <c r="G132" i="24"/>
  <c r="G130" i="24"/>
  <c r="G128" i="24"/>
  <c r="G126" i="24"/>
  <c r="G183" i="24"/>
  <c r="G181" i="24"/>
  <c r="G177" i="24"/>
  <c r="G173" i="24"/>
  <c r="G171" i="24"/>
  <c r="G167" i="24"/>
  <c r="G165" i="24"/>
  <c r="G163" i="24"/>
  <c r="G159" i="24"/>
  <c r="G157" i="24"/>
  <c r="G155" i="24"/>
  <c r="G153" i="24"/>
  <c r="G151" i="24"/>
  <c r="G149" i="24"/>
  <c r="G147" i="24"/>
  <c r="G145" i="24"/>
  <c r="G143" i="24"/>
  <c r="G141" i="24"/>
  <c r="G139" i="24"/>
  <c r="G137" i="24"/>
  <c r="G135" i="24"/>
  <c r="G133" i="24"/>
  <c r="G131" i="24"/>
  <c r="G129" i="24"/>
  <c r="G127" i="24"/>
  <c r="G125" i="24"/>
  <c r="G171" i="23"/>
  <c r="G173" i="23"/>
  <c r="G177" i="23"/>
  <c r="G181" i="23"/>
  <c r="G183" i="23"/>
  <c r="G126" i="23"/>
  <c r="G128" i="23"/>
  <c r="G130" i="23"/>
  <c r="G132" i="23"/>
  <c r="G134" i="23"/>
  <c r="G136" i="23"/>
  <c r="G138" i="23"/>
  <c r="G140" i="23"/>
  <c r="G142" i="23"/>
  <c r="G144" i="23"/>
  <c r="G146" i="23"/>
  <c r="G148" i="23"/>
  <c r="G150" i="23"/>
  <c r="G152" i="23"/>
  <c r="G154" i="23"/>
  <c r="G156" i="23"/>
  <c r="G158" i="23"/>
  <c r="G160" i="23"/>
  <c r="G162" i="23"/>
  <c r="G164" i="23"/>
  <c r="G168" i="23"/>
  <c r="G125" i="23"/>
  <c r="G172" i="23"/>
  <c r="G174" i="23"/>
  <c r="G176" i="23"/>
  <c r="G180" i="23"/>
  <c r="G182" i="23"/>
  <c r="G184" i="23"/>
  <c r="G127" i="23"/>
  <c r="G129" i="23"/>
  <c r="G131" i="23"/>
  <c r="G133" i="23"/>
  <c r="G135" i="23"/>
  <c r="G137" i="23"/>
  <c r="G139" i="23"/>
  <c r="G141" i="23"/>
  <c r="G143" i="23"/>
  <c r="G145" i="23"/>
  <c r="G147" i="23"/>
  <c r="G149" i="23"/>
  <c r="G151" i="23"/>
  <c r="G153" i="23"/>
  <c r="G155" i="23"/>
  <c r="G157" i="23"/>
  <c r="G159" i="23"/>
  <c r="G163" i="23"/>
  <c r="G165" i="23"/>
  <c r="G167" i="23"/>
  <c r="D184" i="24"/>
  <c r="D182" i="24"/>
  <c r="D180" i="24"/>
  <c r="D176" i="24"/>
  <c r="D174" i="24"/>
  <c r="D172" i="24"/>
  <c r="D168" i="24"/>
  <c r="D164" i="24"/>
  <c r="D162" i="24"/>
  <c r="D160" i="24"/>
  <c r="D158" i="24"/>
  <c r="D156" i="24"/>
  <c r="D154" i="24"/>
  <c r="D152" i="24"/>
  <c r="D150" i="24"/>
  <c r="D148" i="24"/>
  <c r="D146" i="24"/>
  <c r="D144" i="24"/>
  <c r="D142" i="24"/>
  <c r="D140" i="24"/>
  <c r="D138" i="24"/>
  <c r="D136" i="24"/>
  <c r="D134" i="24"/>
  <c r="D132" i="24"/>
  <c r="D130" i="24"/>
  <c r="D128" i="24"/>
  <c r="D126" i="24"/>
  <c r="D183" i="24"/>
  <c r="D181" i="24"/>
  <c r="D177" i="24"/>
  <c r="D173" i="24"/>
  <c r="D171" i="24"/>
  <c r="D167" i="24"/>
  <c r="D165" i="24"/>
  <c r="D163" i="24"/>
  <c r="D159" i="24"/>
  <c r="D157" i="24"/>
  <c r="D155" i="24"/>
  <c r="D153" i="24"/>
  <c r="D151" i="24"/>
  <c r="D149" i="24"/>
  <c r="D147" i="24"/>
  <c r="D145" i="24"/>
  <c r="D143" i="24"/>
  <c r="D141" i="24"/>
  <c r="D139" i="24"/>
  <c r="D137" i="24"/>
  <c r="D135" i="24"/>
  <c r="D133" i="24"/>
  <c r="D131" i="24"/>
  <c r="D129" i="24"/>
  <c r="D127" i="24"/>
  <c r="D125" i="24"/>
  <c r="D172" i="23"/>
  <c r="D174" i="23"/>
  <c r="D176" i="23"/>
  <c r="D180" i="23"/>
  <c r="D182" i="23"/>
  <c r="D184" i="23"/>
  <c r="D127" i="23"/>
  <c r="D129" i="23"/>
  <c r="D131" i="23"/>
  <c r="D133" i="23"/>
  <c r="D135" i="23"/>
  <c r="D137" i="23"/>
  <c r="D139" i="23"/>
  <c r="D141" i="23"/>
  <c r="D143" i="23"/>
  <c r="D145" i="23"/>
  <c r="D147" i="23"/>
  <c r="D149" i="23"/>
  <c r="D151" i="23"/>
  <c r="D153" i="23"/>
  <c r="D155" i="23"/>
  <c r="D157" i="23"/>
  <c r="D159" i="23"/>
  <c r="D163" i="23"/>
  <c r="D165" i="23"/>
  <c r="D167" i="23"/>
  <c r="D171" i="23"/>
  <c r="D173" i="23"/>
  <c r="D177" i="23"/>
  <c r="D181" i="23"/>
  <c r="D183" i="23"/>
  <c r="D126" i="23"/>
  <c r="D128" i="23"/>
  <c r="D130" i="23"/>
  <c r="D132" i="23"/>
  <c r="D134" i="23"/>
  <c r="D136" i="23"/>
  <c r="D138" i="23"/>
  <c r="D140" i="23"/>
  <c r="D142" i="23"/>
  <c r="D144" i="23"/>
  <c r="D146" i="23"/>
  <c r="D148" i="23"/>
  <c r="D150" i="23"/>
  <c r="D152" i="23"/>
  <c r="D154" i="23"/>
  <c r="D156" i="23"/>
  <c r="D158" i="23"/>
  <c r="D160" i="23"/>
  <c r="D162" i="23"/>
  <c r="D164" i="23"/>
  <c r="D168" i="23"/>
  <c r="D125" i="23"/>
  <c r="C184" i="24"/>
  <c r="C182" i="24"/>
  <c r="C180" i="24"/>
  <c r="C176" i="24"/>
  <c r="C174" i="24"/>
  <c r="C172" i="24"/>
  <c r="C168" i="24"/>
  <c r="C164" i="24"/>
  <c r="C162" i="24"/>
  <c r="C160" i="24"/>
  <c r="C158" i="24"/>
  <c r="C156" i="24"/>
  <c r="C154" i="24"/>
  <c r="C152" i="24"/>
  <c r="C150" i="24"/>
  <c r="C148" i="24"/>
  <c r="C146" i="24"/>
  <c r="C144" i="24"/>
  <c r="C142" i="24"/>
  <c r="C140" i="24"/>
  <c r="C138" i="24"/>
  <c r="C136" i="24"/>
  <c r="C134" i="24"/>
  <c r="C132" i="24"/>
  <c r="C130" i="24"/>
  <c r="C128" i="24"/>
  <c r="C126" i="24"/>
  <c r="C183" i="24"/>
  <c r="C181" i="24"/>
  <c r="C177" i="24"/>
  <c r="C173" i="24"/>
  <c r="C171" i="24"/>
  <c r="C167" i="24"/>
  <c r="C165" i="24"/>
  <c r="C163" i="24"/>
  <c r="C159" i="24"/>
  <c r="C157" i="24"/>
  <c r="C155" i="24"/>
  <c r="C153" i="24"/>
  <c r="C151" i="24"/>
  <c r="C149" i="24"/>
  <c r="C147" i="24"/>
  <c r="C145" i="24"/>
  <c r="C143" i="24"/>
  <c r="C141" i="24"/>
  <c r="C139" i="24"/>
  <c r="C137" i="24"/>
  <c r="C135" i="24"/>
  <c r="C133" i="24"/>
  <c r="C131" i="24"/>
  <c r="C129" i="24"/>
  <c r="C127" i="24"/>
  <c r="C125" i="24"/>
  <c r="C171" i="23"/>
  <c r="C173" i="23"/>
  <c r="C177" i="23"/>
  <c r="C181" i="23"/>
  <c r="C183" i="23"/>
  <c r="C126" i="23"/>
  <c r="C128" i="23"/>
  <c r="C130" i="23"/>
  <c r="C132" i="23"/>
  <c r="C134" i="23"/>
  <c r="C136" i="23"/>
  <c r="C138" i="23"/>
  <c r="C140" i="23"/>
  <c r="C142" i="23"/>
  <c r="C144" i="23"/>
  <c r="C146" i="23"/>
  <c r="C148" i="23"/>
  <c r="C150" i="23"/>
  <c r="C152" i="23"/>
  <c r="C154" i="23"/>
  <c r="C156" i="23"/>
  <c r="C158" i="23"/>
  <c r="C160" i="23"/>
  <c r="C162" i="23"/>
  <c r="C164" i="23"/>
  <c r="C168" i="23"/>
  <c r="C125" i="23"/>
  <c r="C172" i="23"/>
  <c r="C174" i="23"/>
  <c r="C176" i="23"/>
  <c r="C180" i="23"/>
  <c r="C182" i="23"/>
  <c r="C184" i="23"/>
  <c r="C127" i="23"/>
  <c r="C129" i="23"/>
  <c r="C131" i="23"/>
  <c r="C133" i="23"/>
  <c r="C135" i="23"/>
  <c r="C137" i="23"/>
  <c r="C139" i="23"/>
  <c r="C141" i="23"/>
  <c r="C143" i="23"/>
  <c r="C145" i="23"/>
  <c r="C147" i="23"/>
  <c r="C149" i="23"/>
  <c r="C151" i="23"/>
  <c r="C153" i="23"/>
  <c r="C155" i="23"/>
  <c r="C157" i="23"/>
  <c r="C159" i="23"/>
  <c r="C163" i="23"/>
  <c r="C165" i="23"/>
  <c r="C167" i="23"/>
  <c r="B16" i="24"/>
  <c r="B16" i="23"/>
  <c r="E16" i="24"/>
  <c r="E16" i="23"/>
  <c r="D16" i="24"/>
  <c r="D16" i="23"/>
  <c r="M11" i="22"/>
  <c r="M11" i="25" s="1"/>
  <c r="M28" i="22"/>
  <c r="M28" i="25" s="1"/>
  <c r="H11" i="22"/>
  <c r="H11" i="25" s="1"/>
  <c r="H28" i="22"/>
  <c r="H28" i="25" s="1"/>
  <c r="C11" i="22"/>
  <c r="C11" i="25" s="1"/>
  <c r="C28" i="22"/>
  <c r="C28" i="25" s="1"/>
  <c r="M15" i="22"/>
  <c r="M15" i="25" s="1"/>
  <c r="M32" i="22"/>
  <c r="M32" i="25" s="1"/>
  <c r="H15" i="22"/>
  <c r="H15" i="25" s="1"/>
  <c r="H32" i="22"/>
  <c r="H32" i="25" s="1"/>
  <c r="C15" i="22"/>
  <c r="C15" i="25" s="1"/>
  <c r="C32" i="22"/>
  <c r="C32" i="25" s="1"/>
  <c r="M19" i="22"/>
  <c r="M19" i="25" s="1"/>
  <c r="M36" i="22"/>
  <c r="M36" i="25" s="1"/>
  <c r="H19" i="22"/>
  <c r="H19" i="25" s="1"/>
  <c r="H36" i="22"/>
  <c r="H36" i="25" s="1"/>
  <c r="C36" i="22"/>
  <c r="C36" i="25" s="1"/>
  <c r="C19" i="22"/>
  <c r="C19" i="25" s="1"/>
  <c r="M23" i="22"/>
  <c r="M23" i="25" s="1"/>
  <c r="M40" i="22"/>
  <c r="M40" i="25" s="1"/>
  <c r="H23" i="22"/>
  <c r="H23" i="25" s="1"/>
  <c r="H40" i="22"/>
  <c r="H40" i="25" s="1"/>
  <c r="C40" i="22"/>
  <c r="C40" i="25" s="1"/>
  <c r="C23" i="22"/>
  <c r="C23" i="25" s="1"/>
  <c r="F44" i="22"/>
  <c r="F44" i="25" s="1"/>
  <c r="F53" i="22"/>
  <c r="F53" i="25" s="1"/>
  <c r="H44" i="22"/>
  <c r="H44" i="25" s="1"/>
  <c r="H53" i="22"/>
  <c r="H53" i="25" s="1"/>
  <c r="C53" i="22"/>
  <c r="C53" i="25" s="1"/>
  <c r="C44" i="22"/>
  <c r="C44" i="25" s="1"/>
  <c r="M48" i="22"/>
  <c r="M48" i="25" s="1"/>
  <c r="M57" i="22"/>
  <c r="M57" i="25" s="1"/>
  <c r="H48" i="22"/>
  <c r="H48" i="25" s="1"/>
  <c r="H57" i="22"/>
  <c r="H57" i="25" s="1"/>
  <c r="C48" i="22"/>
  <c r="C48" i="25" s="1"/>
  <c r="C57" i="22"/>
  <c r="C57" i="25" s="1"/>
  <c r="F51" i="24"/>
  <c r="F51" i="23"/>
  <c r="G421" i="24"/>
  <c r="G421" i="23"/>
  <c r="F299" i="24"/>
  <c r="F299" i="23"/>
  <c r="D299" i="24"/>
  <c r="D299" i="23"/>
  <c r="B86" i="24"/>
  <c r="B86" i="23"/>
  <c r="C103" i="24"/>
  <c r="C103" i="23"/>
  <c r="D86" i="24"/>
  <c r="D86" i="23"/>
  <c r="F243" i="24"/>
  <c r="F243" i="23"/>
  <c r="C243" i="24"/>
  <c r="C243" i="23"/>
  <c r="D234" i="24"/>
  <c r="D234" i="23"/>
  <c r="B170" i="24"/>
  <c r="B170" i="23"/>
  <c r="C179" i="24"/>
  <c r="C179" i="23"/>
  <c r="D170" i="24"/>
  <c r="D170" i="23"/>
  <c r="B429" i="17"/>
  <c r="B62" i="24"/>
  <c r="B60" i="24"/>
  <c r="B58" i="24"/>
  <c r="B56" i="24"/>
  <c r="B57" i="24"/>
  <c r="B53" i="24"/>
  <c r="B49" i="24"/>
  <c r="B45" i="24"/>
  <c r="B37" i="24"/>
  <c r="B25" i="24"/>
  <c r="B59" i="24"/>
  <c r="B54" i="24"/>
  <c r="B50" i="24"/>
  <c r="B46" i="24"/>
  <c r="B42" i="24"/>
  <c r="B38" i="24"/>
  <c r="B30" i="24"/>
  <c r="B26" i="24"/>
  <c r="B22" i="24"/>
  <c r="B20" i="24"/>
  <c r="B18" i="24"/>
  <c r="B12" i="24"/>
  <c r="B10" i="24"/>
  <c r="B8" i="24"/>
  <c r="B6" i="24"/>
  <c r="B4" i="24"/>
  <c r="B61" i="24"/>
  <c r="B47" i="24"/>
  <c r="B43" i="24"/>
  <c r="B39" i="24"/>
  <c r="B35" i="24"/>
  <c r="B27" i="24"/>
  <c r="B55" i="24"/>
  <c r="B52" i="24"/>
  <c r="B48" i="24"/>
  <c r="B44" i="24"/>
  <c r="B40" i="24"/>
  <c r="B36" i="24"/>
  <c r="B28" i="24"/>
  <c r="B23" i="24"/>
  <c r="B21" i="24"/>
  <c r="B19" i="24"/>
  <c r="B13" i="24"/>
  <c r="B11" i="24"/>
  <c r="B9" i="24"/>
  <c r="B7" i="24"/>
  <c r="B5" i="24"/>
  <c r="B3" i="24"/>
  <c r="B40" i="23"/>
  <c r="B42" i="23"/>
  <c r="B44" i="23"/>
  <c r="B46" i="23"/>
  <c r="B48" i="23"/>
  <c r="B50" i="23"/>
  <c r="B52" i="23"/>
  <c r="B54" i="23"/>
  <c r="B56" i="23"/>
  <c r="B58" i="23"/>
  <c r="B60" i="23"/>
  <c r="B62" i="23"/>
  <c r="B5" i="23"/>
  <c r="B7" i="23"/>
  <c r="B9" i="23"/>
  <c r="B11" i="23"/>
  <c r="B13" i="23"/>
  <c r="B19" i="23"/>
  <c r="B21" i="23"/>
  <c r="B23" i="23"/>
  <c r="B25" i="23"/>
  <c r="B43" i="23"/>
  <c r="B45" i="23"/>
  <c r="B47" i="23"/>
  <c r="B55" i="23"/>
  <c r="B59" i="23"/>
  <c r="B4" i="23"/>
  <c r="B8" i="23"/>
  <c r="B12" i="23"/>
  <c r="B20" i="23"/>
  <c r="B26" i="23"/>
  <c r="B28" i="23"/>
  <c r="B30" i="23"/>
  <c r="B36" i="23"/>
  <c r="B38" i="23"/>
  <c r="B3" i="23"/>
  <c r="B49" i="23"/>
  <c r="B53" i="23"/>
  <c r="B57" i="23"/>
  <c r="B61" i="23"/>
  <c r="B6" i="23"/>
  <c r="B10" i="23"/>
  <c r="B18" i="23"/>
  <c r="B22" i="23"/>
  <c r="B27" i="23"/>
  <c r="B35" i="23"/>
  <c r="B37" i="23"/>
  <c r="B39" i="23"/>
  <c r="E429" i="17"/>
  <c r="E61" i="24"/>
  <c r="E59" i="24"/>
  <c r="E57" i="24"/>
  <c r="E55" i="24"/>
  <c r="E53" i="24"/>
  <c r="E49" i="24"/>
  <c r="E47" i="24"/>
  <c r="E45" i="24"/>
  <c r="E43" i="24"/>
  <c r="E39" i="24"/>
  <c r="E37" i="24"/>
  <c r="E35" i="24"/>
  <c r="E27" i="24"/>
  <c r="E25" i="24"/>
  <c r="E23" i="24"/>
  <c r="E62" i="24"/>
  <c r="E60" i="24"/>
  <c r="E58" i="24"/>
  <c r="E56" i="24"/>
  <c r="E54" i="24"/>
  <c r="E52" i="24"/>
  <c r="E50" i="24"/>
  <c r="E48" i="24"/>
  <c r="E46" i="24"/>
  <c r="E44" i="24"/>
  <c r="E42" i="24"/>
  <c r="E40" i="24"/>
  <c r="E38" i="24"/>
  <c r="E36" i="24"/>
  <c r="E30" i="24"/>
  <c r="E28" i="24"/>
  <c r="E26" i="24"/>
  <c r="E21" i="24"/>
  <c r="E19" i="24"/>
  <c r="E13" i="24"/>
  <c r="E11" i="24"/>
  <c r="E9" i="24"/>
  <c r="E7" i="24"/>
  <c r="E5" i="24"/>
  <c r="E3" i="24"/>
  <c r="E22" i="24"/>
  <c r="E20" i="24"/>
  <c r="E18" i="24"/>
  <c r="E12" i="24"/>
  <c r="E10" i="24"/>
  <c r="E8" i="24"/>
  <c r="E6" i="24"/>
  <c r="E4" i="24"/>
  <c r="E43" i="23"/>
  <c r="E45" i="23"/>
  <c r="E47" i="23"/>
  <c r="E49" i="23"/>
  <c r="E53" i="23"/>
  <c r="E55" i="23"/>
  <c r="E57" i="23"/>
  <c r="E59" i="23"/>
  <c r="E61" i="23"/>
  <c r="E4" i="23"/>
  <c r="E6" i="23"/>
  <c r="E8" i="23"/>
  <c r="E10" i="23"/>
  <c r="E12" i="23"/>
  <c r="E18" i="23"/>
  <c r="E20" i="23"/>
  <c r="E22" i="23"/>
  <c r="E40" i="23"/>
  <c r="E42" i="23"/>
  <c r="E44" i="23"/>
  <c r="E50" i="23"/>
  <c r="E54" i="23"/>
  <c r="E58" i="23"/>
  <c r="E62" i="23"/>
  <c r="E7" i="23"/>
  <c r="E11" i="23"/>
  <c r="E19" i="23"/>
  <c r="E23" i="23"/>
  <c r="E26" i="23"/>
  <c r="E28" i="23"/>
  <c r="E30" i="23"/>
  <c r="E36" i="23"/>
  <c r="E38" i="23"/>
  <c r="E48" i="23"/>
  <c r="E52" i="23"/>
  <c r="E56" i="23"/>
  <c r="E60" i="23"/>
  <c r="E5" i="23"/>
  <c r="E9" i="23"/>
  <c r="E13" i="23"/>
  <c r="E21" i="23"/>
  <c r="E25" i="23"/>
  <c r="E27" i="23"/>
  <c r="E35" i="23"/>
  <c r="E37" i="23"/>
  <c r="E39" i="23"/>
  <c r="E46" i="23"/>
  <c r="E3" i="23"/>
  <c r="D429" i="17"/>
  <c r="D61" i="24"/>
  <c r="D59" i="24"/>
  <c r="D57" i="24"/>
  <c r="D55" i="24"/>
  <c r="D62" i="24"/>
  <c r="D54" i="24"/>
  <c r="D50" i="24"/>
  <c r="D46" i="24"/>
  <c r="D42" i="24"/>
  <c r="D38" i="24"/>
  <c r="D30" i="24"/>
  <c r="D26" i="24"/>
  <c r="D56" i="24"/>
  <c r="D47" i="24"/>
  <c r="D43" i="24"/>
  <c r="D39" i="24"/>
  <c r="D35" i="24"/>
  <c r="D27" i="24"/>
  <c r="D23" i="24"/>
  <c r="D21" i="24"/>
  <c r="D19" i="24"/>
  <c r="D13" i="24"/>
  <c r="D11" i="24"/>
  <c r="D9" i="24"/>
  <c r="D7" i="24"/>
  <c r="D5" i="24"/>
  <c r="D3" i="24"/>
  <c r="D58" i="24"/>
  <c r="D52" i="24"/>
  <c r="D48" i="24"/>
  <c r="D44" i="24"/>
  <c r="D40" i="24"/>
  <c r="D36" i="24"/>
  <c r="D28" i="24"/>
  <c r="D60" i="24"/>
  <c r="D53" i="24"/>
  <c r="D49" i="24"/>
  <c r="D45" i="24"/>
  <c r="D37" i="24"/>
  <c r="D25" i="24"/>
  <c r="D22" i="24"/>
  <c r="D20" i="24"/>
  <c r="D18" i="24"/>
  <c r="D12" i="24"/>
  <c r="D10" i="24"/>
  <c r="D8" i="24"/>
  <c r="D6" i="24"/>
  <c r="D4" i="24"/>
  <c r="D43" i="23"/>
  <c r="D45" i="23"/>
  <c r="D47" i="23"/>
  <c r="D49" i="23"/>
  <c r="D53" i="23"/>
  <c r="D55" i="23"/>
  <c r="D57" i="23"/>
  <c r="D59" i="23"/>
  <c r="D61" i="23"/>
  <c r="D4" i="23"/>
  <c r="D6" i="23"/>
  <c r="D8" i="23"/>
  <c r="D10" i="23"/>
  <c r="D12" i="23"/>
  <c r="D18" i="23"/>
  <c r="D20" i="23"/>
  <c r="D22" i="23"/>
  <c r="D40" i="23"/>
  <c r="D42" i="23"/>
  <c r="D44" i="23"/>
  <c r="D46" i="23"/>
  <c r="D48" i="23"/>
  <c r="D52" i="23"/>
  <c r="D56" i="23"/>
  <c r="D60" i="23"/>
  <c r="D5" i="23"/>
  <c r="D9" i="23"/>
  <c r="D13" i="23"/>
  <c r="D21" i="23"/>
  <c r="D25" i="23"/>
  <c r="D27" i="23"/>
  <c r="D35" i="23"/>
  <c r="D37" i="23"/>
  <c r="D39" i="23"/>
  <c r="D3" i="23"/>
  <c r="D50" i="23"/>
  <c r="D54" i="23"/>
  <c r="D58" i="23"/>
  <c r="D62" i="23"/>
  <c r="D7" i="23"/>
  <c r="D11" i="23"/>
  <c r="D19" i="23"/>
  <c r="D23" i="23"/>
  <c r="D26" i="23"/>
  <c r="D28" i="23"/>
  <c r="D30" i="23"/>
  <c r="D36" i="23"/>
  <c r="D38" i="23"/>
  <c r="G34" i="24"/>
  <c r="G34" i="23"/>
  <c r="C17" i="24"/>
  <c r="C17" i="23"/>
  <c r="C34" i="24"/>
  <c r="C34" i="23"/>
  <c r="B3" i="22"/>
  <c r="B3" i="25" s="1"/>
  <c r="AE4" i="19"/>
  <c r="M8" i="22"/>
  <c r="M8" i="25" s="1"/>
  <c r="M25" i="22"/>
  <c r="M25" i="25" s="1"/>
  <c r="H8" i="22"/>
  <c r="H8" i="25" s="1"/>
  <c r="H25" i="22"/>
  <c r="H25" i="25" s="1"/>
  <c r="C8" i="22"/>
  <c r="C8" i="25" s="1"/>
  <c r="C25" i="22"/>
  <c r="C25" i="25" s="1"/>
  <c r="M12" i="22"/>
  <c r="M12" i="25" s="1"/>
  <c r="M29" i="22"/>
  <c r="M29" i="25" s="1"/>
  <c r="H12" i="22"/>
  <c r="H12" i="25" s="1"/>
  <c r="H29" i="22"/>
  <c r="H29" i="25" s="1"/>
  <c r="C12" i="22"/>
  <c r="C12" i="25" s="1"/>
  <c r="C29" i="22"/>
  <c r="C29" i="25" s="1"/>
  <c r="M16" i="22"/>
  <c r="M16" i="25" s="1"/>
  <c r="M33" i="22"/>
  <c r="M33" i="25" s="1"/>
  <c r="H16" i="22"/>
  <c r="H16" i="25" s="1"/>
  <c r="H33" i="22"/>
  <c r="H33" i="25" s="1"/>
  <c r="C16" i="22"/>
  <c r="C16" i="25" s="1"/>
  <c r="C33" i="22"/>
  <c r="C33" i="25" s="1"/>
  <c r="M20" i="22"/>
  <c r="M20" i="25" s="1"/>
  <c r="M37" i="22"/>
  <c r="M37" i="25" s="1"/>
  <c r="H20" i="22"/>
  <c r="H20" i="25" s="1"/>
  <c r="H37" i="22"/>
  <c r="H37" i="25" s="1"/>
  <c r="C37" i="22"/>
  <c r="C37" i="25" s="1"/>
  <c r="C20" i="22"/>
  <c r="C20" i="25" s="1"/>
  <c r="F24" i="22"/>
  <c r="F24" i="25" s="1"/>
  <c r="F41" i="22"/>
  <c r="F41" i="25" s="1"/>
  <c r="H24" i="22"/>
  <c r="H24" i="25" s="1"/>
  <c r="H41" i="22"/>
  <c r="H41" i="25" s="1"/>
  <c r="C24" i="22"/>
  <c r="C24" i="25" s="1"/>
  <c r="C41" i="22"/>
  <c r="C41" i="25" s="1"/>
  <c r="J45" i="22"/>
  <c r="J45" i="25" s="1"/>
  <c r="J54" i="22"/>
  <c r="J54" i="25" s="1"/>
  <c r="H45" i="22"/>
  <c r="H45" i="25" s="1"/>
  <c r="H54" i="22"/>
  <c r="H54" i="25" s="1"/>
  <c r="C54" i="22"/>
  <c r="C54" i="25" s="1"/>
  <c r="C45" i="22"/>
  <c r="C45" i="25" s="1"/>
  <c r="M49" i="22"/>
  <c r="M49" i="25" s="1"/>
  <c r="M58" i="22"/>
  <c r="M58" i="25" s="1"/>
  <c r="H49" i="22"/>
  <c r="H49" i="25" s="1"/>
  <c r="H58" i="22"/>
  <c r="H58" i="25" s="1"/>
  <c r="C49" i="22"/>
  <c r="C49" i="25" s="1"/>
  <c r="C58" i="22"/>
  <c r="C58" i="25" s="1"/>
  <c r="B2" i="22"/>
  <c r="B2" i="25" s="1"/>
  <c r="AE3" i="19"/>
  <c r="Y26" i="18"/>
  <c r="Y18" i="18"/>
  <c r="Y10" i="18"/>
  <c r="Y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6" authorId="0" shapeId="0" xr:uid="{00000000-0006-0000-0E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http://www.alcotec.com/us/en/education/knowledge/qa/Are-the-4xxx-series-alloys-heat-treatable-or-non-heat-treatable-alloys.cfm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3" authorId="0" shapeId="0" xr:uid="{00000000-0006-0000-0F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for 1070, you have to have 99.7% min 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0" authorId="0" shapeId="0" xr:uid="{00000000-0006-0000-1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for 1070, you have to have 99.7% min Al</t>
        </r>
      </text>
    </comment>
    <comment ref="S10" authorId="0" shapeId="0" xr:uid="{00000000-0006-0000-10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for 1070, you have to have 99.7% min Al</t>
        </r>
      </text>
    </comment>
  </commentList>
</comments>
</file>

<file path=xl/sharedStrings.xml><?xml version="1.0" encoding="utf-8"?>
<sst xmlns="http://schemas.openxmlformats.org/spreadsheetml/2006/main" count="2580" uniqueCount="306">
  <si>
    <t>Secondary manufacturing</t>
  </si>
  <si>
    <t>HSS</t>
  </si>
  <si>
    <t>Mg</t>
  </si>
  <si>
    <t>Mild steel</t>
  </si>
  <si>
    <t>AHSS</t>
  </si>
  <si>
    <t>Other steel</t>
  </si>
  <si>
    <t>Cast Al</t>
  </si>
  <si>
    <t>Wrought Al</t>
  </si>
  <si>
    <t>Baseline</t>
  </si>
  <si>
    <t>AIV</t>
  </si>
  <si>
    <t>MgV</t>
  </si>
  <si>
    <t>BEV</t>
  </si>
  <si>
    <t>PHEV</t>
  </si>
  <si>
    <t>LW-BEV</t>
  </si>
  <si>
    <t>LW-PHEV</t>
  </si>
  <si>
    <t>Selected Materials</t>
  </si>
  <si>
    <t>Cathode</t>
  </si>
  <si>
    <t>&lt;--battery weight is not from Das et al., 2016, use BatPac 2017 version instead</t>
  </si>
  <si>
    <t xml:space="preserve">     For BEV, power=63 kW, driving distance=100 mi</t>
  </si>
  <si>
    <t xml:space="preserve">     For PHEV, power=7kW, driving distance=20 mi</t>
  </si>
  <si>
    <t>Al wrought (kg)</t>
  </si>
  <si>
    <t>Steel wrought (kg)</t>
  </si>
  <si>
    <t>NMC</t>
  </si>
  <si>
    <t>LMO</t>
  </si>
  <si>
    <t>Total weight</t>
  </si>
  <si>
    <t>LFP</t>
  </si>
  <si>
    <t>&lt;--individual metal data from "Recycle" tab of BatPac tool</t>
  </si>
  <si>
    <t>2) Summary of Energy Consumption and Emissions for Vehicle Materials: per-vehicle lifetime</t>
  </si>
  <si>
    <t>Vehicle Weight: lbs</t>
  </si>
  <si>
    <t>Weight by Materials: lbs, per-vehicle lifetime</t>
  </si>
  <si>
    <t>Copper/Brass</t>
  </si>
  <si>
    <t>Zinc</t>
  </si>
  <si>
    <t>Glass</t>
  </si>
  <si>
    <t>Average Plastic</t>
  </si>
  <si>
    <t>Rubber</t>
  </si>
  <si>
    <t>Carbon Fiber-Reinforced Plastic for General Use</t>
  </si>
  <si>
    <t>Carbon Fiber-Reinforced Plastic for High Pressure Vessels</t>
  </si>
  <si>
    <t>Glass Fiber-Reinforced Plastic</t>
  </si>
  <si>
    <t>Nickel</t>
  </si>
  <si>
    <t>PFSA (Nafion117 Sheet)</t>
  </si>
  <si>
    <t>Carbon Paper</t>
  </si>
  <si>
    <t xml:space="preserve">PTFE </t>
  </si>
  <si>
    <t>Carbon &amp; PFSA Suspension (Nafion Dry Polymer)</t>
  </si>
  <si>
    <t>Platinum</t>
  </si>
  <si>
    <t>Silicon</t>
  </si>
  <si>
    <t>Carbon</t>
  </si>
  <si>
    <t>Others</t>
  </si>
  <si>
    <t>Peak Battery Energy Output (High Energy Applications), kWh</t>
  </si>
  <si>
    <t>lb to kg</t>
  </si>
  <si>
    <t>Battery weight (lb/vehicle)</t>
  </si>
  <si>
    <t>Li battery ("Battery_sum" tab)</t>
  </si>
  <si>
    <t xml:space="preserve">    Active Material</t>
  </si>
  <si>
    <t xml:space="preserve">    Nickel</t>
  </si>
  <si>
    <t xml:space="preserve">    Cobalt</t>
  </si>
  <si>
    <t xml:space="preserve">    Manganese</t>
  </si>
  <si>
    <t xml:space="preserve">    Graphite/Carbon</t>
  </si>
  <si>
    <t xml:space="preserve">    Silicon</t>
  </si>
  <si>
    <t xml:space="preserve">    Binder</t>
  </si>
  <si>
    <t xml:space="preserve">    Copper</t>
  </si>
  <si>
    <t xml:space="preserve">    Wrought Aluminum</t>
  </si>
  <si>
    <t xml:space="preserve">    Cast Aluminum</t>
  </si>
  <si>
    <t xml:space="preserve">    Electrolyte: Ethylene Carbonate</t>
  </si>
  <si>
    <t xml:space="preserve">    Electrolyte: Dimethyl Carbonate</t>
  </si>
  <si>
    <t xml:space="preserve">    Plastic: Polypropylene</t>
    <phoneticPr fontId="3" type="noConversion"/>
  </si>
  <si>
    <t xml:space="preserve">    Plastic: Polyethylene</t>
  </si>
  <si>
    <t xml:space="preserve">    Plastic: Polyethylene Terephthalate</t>
  </si>
  <si>
    <t xml:space="preserve">    Steel</t>
  </si>
  <si>
    <t xml:space="preserve">    Thermal Insulation</t>
  </si>
  <si>
    <t xml:space="preserve">    Coolant: Glycol</t>
  </si>
  <si>
    <t xml:space="preserve">    Electronic Parts</t>
  </si>
  <si>
    <r>
      <t xml:space="preserve">    Electrolyte: LiPF</t>
    </r>
    <r>
      <rPr>
        <vertAlign val="subscript"/>
        <sz val="12"/>
        <rFont val="Calibri"/>
        <family val="2"/>
        <scheme val="minor"/>
      </rPr>
      <t>6</t>
    </r>
  </si>
  <si>
    <t>Series PHEV</t>
  </si>
  <si>
    <t>EV</t>
  </si>
  <si>
    <t>LCO</t>
  </si>
  <si>
    <t>Composition (% weight) of Li battery--&gt;</t>
  </si>
  <si>
    <r>
      <t xml:space="preserve">Composition (lb) of Li battery </t>
    </r>
    <r>
      <rPr>
        <b/>
        <sz val="12"/>
        <rFont val="Calibri"/>
        <family val="2"/>
        <scheme val="minor"/>
      </rPr>
      <t>(LMO)</t>
    </r>
  </si>
  <si>
    <r>
      <t xml:space="preserve">Composition (lb) of Li battery </t>
    </r>
    <r>
      <rPr>
        <b/>
        <sz val="12"/>
        <rFont val="Calibri"/>
        <family val="2"/>
        <scheme val="minor"/>
      </rPr>
      <t>(NMC)</t>
    </r>
  </si>
  <si>
    <t>"Vehi_Comp_Sum" tab, cell H39: exluding battery, fluids and fuel</t>
  </si>
  <si>
    <t>Energy_mix</t>
  </si>
  <si>
    <t>Primary manufacturing</t>
  </si>
  <si>
    <t>EoL</t>
  </si>
  <si>
    <t>Disposal</t>
  </si>
  <si>
    <t>Electricity</t>
  </si>
  <si>
    <t xml:space="preserve">  Coal</t>
  </si>
  <si>
    <t xml:space="preserve">  NG</t>
  </si>
  <si>
    <t xml:space="preserve">  Wind</t>
  </si>
  <si>
    <t xml:space="preserve">  Biomass</t>
  </si>
  <si>
    <t xml:space="preserve">  Hydro</t>
  </si>
  <si>
    <t>Steam</t>
  </si>
  <si>
    <t>(see GREET2 2017 for more)</t>
  </si>
  <si>
    <t>EF</t>
  </si>
  <si>
    <t>Steel stainless</t>
  </si>
  <si>
    <t>ICEV_conventional</t>
  </si>
  <si>
    <t>ICEV_lightweight</t>
  </si>
  <si>
    <t>PHEV_conventional</t>
  </si>
  <si>
    <t>PHEV_lightweight</t>
  </si>
  <si>
    <t>EV_conventional</t>
  </si>
  <si>
    <t>EV_lightweight</t>
  </si>
  <si>
    <t>Hot Rolled</t>
  </si>
  <si>
    <t>Cold Rolled</t>
  </si>
  <si>
    <t>Galvanized Rolled</t>
  </si>
  <si>
    <t>Extruded</t>
  </si>
  <si>
    <t>Cast Iron</t>
  </si>
  <si>
    <t>Forged Iron</t>
  </si>
  <si>
    <t>Iron forged</t>
  </si>
  <si>
    <t>Steel hot rolled stamped</t>
  </si>
  <si>
    <t>Steel cold rolled stamped</t>
  </si>
  <si>
    <t>Steel galvanized stamped</t>
  </si>
  <si>
    <t>Electrolytic Production</t>
  </si>
  <si>
    <t>Pidgeon</t>
  </si>
  <si>
    <t>Vrigin Steel--&gt;</t>
  </si>
  <si>
    <t>Virgin Iron--&gt;</t>
  </si>
  <si>
    <t>Virgin Mg</t>
  </si>
  <si>
    <t>Virgin Material</t>
  </si>
  <si>
    <t>Recycled Material</t>
  </si>
  <si>
    <t>Steel</t>
  </si>
  <si>
    <t>Wrought Aluminum</t>
  </si>
  <si>
    <t>Cast Aluminum</t>
  </si>
  <si>
    <t>Magnesium</t>
  </si>
  <si>
    <t>Iron</t>
  </si>
  <si>
    <t>Steel unspecified component (from secondary)</t>
  </si>
  <si>
    <t>default</t>
  </si>
  <si>
    <t>Aluminum hot rolled wrought (from secondary)</t>
  </si>
  <si>
    <t>Aluminum cold rolled wrought (from secondary)</t>
  </si>
  <si>
    <t>Virgin/recycled Al wrought--&gt;</t>
  </si>
  <si>
    <t>Aluminum hot rolled wrought</t>
  </si>
  <si>
    <t>Aluminum cold rolled wrought</t>
  </si>
  <si>
    <t>not built-in</t>
  </si>
  <si>
    <t>Virgin Mg--&gt;</t>
  </si>
  <si>
    <t>Re-arranged</t>
  </si>
  <si>
    <r>
      <t xml:space="preserve">Composition (lb) of Li battery </t>
    </r>
    <r>
      <rPr>
        <b/>
        <sz val="12"/>
        <rFont val="Calibri"/>
        <family val="2"/>
        <scheme val="minor"/>
      </rPr>
      <t>(LFP_hydro)</t>
    </r>
  </si>
  <si>
    <t>1070A</t>
  </si>
  <si>
    <t>5005A</t>
  </si>
  <si>
    <t>6181A</t>
  </si>
  <si>
    <t>A356.0</t>
  </si>
  <si>
    <t>A357.0</t>
  </si>
  <si>
    <t>A360.0</t>
  </si>
  <si>
    <t>B380.0</t>
  </si>
  <si>
    <t>B390.0</t>
  </si>
  <si>
    <t>Silafont36</t>
  </si>
  <si>
    <t>Body-in-white</t>
  </si>
  <si>
    <t>Closures</t>
  </si>
  <si>
    <t>Bumpers/clash boxes</t>
  </si>
  <si>
    <t>Heat shields</t>
  </si>
  <si>
    <t>Heat exchangers</t>
  </si>
  <si>
    <t>Eng.block/cyl. Heads</t>
  </si>
  <si>
    <t>Suspension frames</t>
  </si>
  <si>
    <t>Susp. Arms/steering</t>
  </si>
  <si>
    <t>Wheels</t>
  </si>
  <si>
    <t>Transmission/driveline</t>
  </si>
  <si>
    <t>Brake comp.</t>
  </si>
  <si>
    <t>Other engine comp.</t>
  </si>
  <si>
    <t>Other steer. Comp.</t>
  </si>
  <si>
    <t>Other comp.</t>
  </si>
  <si>
    <t>Alloys</t>
  </si>
  <si>
    <t>Body</t>
  </si>
  <si>
    <t xml:space="preserve">    Copper/Brass</t>
  </si>
  <si>
    <t xml:space="preserve">    Magnesium</t>
  </si>
  <si>
    <t xml:space="preserve">    Glass Fiber-Reinforced Plastic</t>
  </si>
  <si>
    <t xml:space="preserve">    Glass</t>
  </si>
  <si>
    <t xml:space="preserve">    Carbon Fiber-Reinforced Plastic</t>
  </si>
  <si>
    <t xml:space="preserve">    Average Plastic</t>
  </si>
  <si>
    <t xml:space="preserve">    Rubber</t>
  </si>
  <si>
    <t xml:space="preserve">    Others</t>
  </si>
  <si>
    <t>Powertrain System (Including BOP)</t>
  </si>
  <si>
    <t xml:space="preserve">    Stainless Steel</t>
  </si>
  <si>
    <t xml:space="preserve">    Cast iron</t>
  </si>
  <si>
    <t xml:space="preserve">    PFSA</t>
  </si>
  <si>
    <t xml:space="preserve">    Carbon Paper</t>
  </si>
  <si>
    <t xml:space="preserve">    PTFE</t>
  </si>
  <si>
    <t xml:space="preserve">    Carbon &amp; PFSA Suspension</t>
  </si>
  <si>
    <t xml:space="preserve">    Platinum</t>
  </si>
  <si>
    <t xml:space="preserve">    Carbon</t>
  </si>
  <si>
    <t>Transmission System/Gearbox</t>
  </si>
  <si>
    <t xml:space="preserve">    Cast Iron</t>
  </si>
  <si>
    <t>Chassis (w/o battery)</t>
  </si>
  <si>
    <t>Traction Motor</t>
  </si>
  <si>
    <t>Generator</t>
  </si>
  <si>
    <t>Electronic Controller</t>
  </si>
  <si>
    <t>ICEV: Conventional Material</t>
  </si>
  <si>
    <t>ICEV: Lightweight Material</t>
  </si>
  <si>
    <t>HEV: Conventional Material</t>
  </si>
  <si>
    <t>HEV: Lightweight Material</t>
  </si>
  <si>
    <t>PHEV: Conventional Material</t>
  </si>
  <si>
    <t>PHEV: Lightweight Material</t>
  </si>
  <si>
    <t>EV: Conventional Material</t>
  </si>
  <si>
    <t>EV: Lightweight Material</t>
  </si>
  <si>
    <t>Alloy names in current model</t>
  </si>
  <si>
    <t>Matching names from references</t>
  </si>
  <si>
    <t>Al</t>
  </si>
  <si>
    <t>Si</t>
  </si>
  <si>
    <t>Fe</t>
  </si>
  <si>
    <t>Cu</t>
  </si>
  <si>
    <t>Mn</t>
  </si>
  <si>
    <t>Cr</t>
  </si>
  <si>
    <t>Ni</t>
  </si>
  <si>
    <t>Zn</t>
  </si>
  <si>
    <t>Ti</t>
  </si>
  <si>
    <t>Mo</t>
  </si>
  <si>
    <t>C</t>
  </si>
  <si>
    <t>EAF-Other hot-rolled ordinary steel</t>
  </si>
  <si>
    <t>EAF-Cold-finished ordinary steel</t>
  </si>
  <si>
    <t>EAF-Other ordinary steel</t>
  </si>
  <si>
    <t>Steel unspecified component</t>
  </si>
  <si>
    <t>Iron cast</t>
  </si>
  <si>
    <t>Aluminum cast</t>
  </si>
  <si>
    <t>Magnesium cast (Electrolytic)</t>
  </si>
  <si>
    <t>AZ91</t>
  </si>
  <si>
    <t>Magnesium cast (Pigdeon)</t>
  </si>
  <si>
    <t>Al_low</t>
  </si>
  <si>
    <t>Si_high</t>
  </si>
  <si>
    <t>Fe_high</t>
  </si>
  <si>
    <t>Cu_high</t>
  </si>
  <si>
    <t>Mn_high</t>
  </si>
  <si>
    <t>Mg_high</t>
  </si>
  <si>
    <t>Cr_high</t>
  </si>
  <si>
    <t>Ni_high</t>
  </si>
  <si>
    <t>Zn_high</t>
  </si>
  <si>
    <t>Ti_high</t>
  </si>
  <si>
    <t>Sum</t>
  </si>
  <si>
    <t>ORIGINAL</t>
  </si>
  <si>
    <t>REBALANCED</t>
  </si>
  <si>
    <t>Further separation within wrought (cold vs hot)</t>
  </si>
  <si>
    <r>
      <rPr>
        <b/>
        <sz val="12"/>
        <color theme="1"/>
        <rFont val="Calibri"/>
        <family val="2"/>
        <scheme val="minor"/>
      </rPr>
      <t>source</t>
    </r>
    <r>
      <rPr>
        <sz val="12"/>
        <color theme="1"/>
        <rFont val="Calibri"/>
        <family val="2"/>
        <scheme val="minor"/>
      </rPr>
      <t>: http://www.aluminum.org/sites/default/files/Rolling_Aluminum_From_The_Mine_Through_The_Mill.pdf (chapter 2-5)</t>
    </r>
  </si>
  <si>
    <r>
      <rPr>
        <b/>
        <sz val="12"/>
        <color theme="1"/>
        <rFont val="Calibri"/>
        <family val="2"/>
        <scheme val="minor"/>
      </rPr>
      <t>source</t>
    </r>
    <r>
      <rPr>
        <sz val="12"/>
        <color theme="1"/>
        <rFont val="Calibri"/>
        <family val="2"/>
        <scheme val="minor"/>
      </rPr>
      <t>: https://www.esabna.com/us/en/education/blog/understanding-the-aluminum-alloy-designation-system.cfm</t>
    </r>
  </si>
  <si>
    <r>
      <rPr>
        <b/>
        <sz val="12"/>
        <color theme="1"/>
        <rFont val="Calibri"/>
        <family val="2"/>
        <scheme val="minor"/>
      </rPr>
      <t>source</t>
    </r>
    <r>
      <rPr>
        <sz val="12"/>
        <color theme="1"/>
        <rFont val="Calibri"/>
        <family val="2"/>
        <scheme val="minor"/>
      </rPr>
      <t>: https://www.esabna.com/us/en/education/blog/the-differences-between-heat-treatable-and-non-heat-treatable-aluminum-alloys.cfm</t>
    </r>
  </si>
  <si>
    <t>Separation between wrought and cast (extrusion also uses the same alloy ingots that are for casting)</t>
  </si>
  <si>
    <t>Aluminum cast (from secondary)</t>
  </si>
  <si>
    <t>Magnesium cast (from secondary)</t>
  </si>
  <si>
    <t>Aluminum extruded</t>
  </si>
  <si>
    <t>Aluminum extruded (from secondary)</t>
  </si>
  <si>
    <t>Aluminum hot/cold rolled wrought</t>
  </si>
  <si>
    <t>Aluminum cast/extruded</t>
  </si>
  <si>
    <t>EAF-Cr -Ni stainless steel</t>
  </si>
  <si>
    <t>Grey cast  iron</t>
  </si>
  <si>
    <t>Wrought iron </t>
  </si>
  <si>
    <t>*the value of "0.001%" is added to avoid potential issue of "division by zero"</t>
  </si>
  <si>
    <t>Original</t>
  </si>
  <si>
    <t>Rebalanced</t>
  </si>
  <si>
    <t xml:space="preserve"> cold rolled wrought</t>
  </si>
  <si>
    <t xml:space="preserve">Al </t>
  </si>
  <si>
    <t xml:space="preserve"> cast</t>
  </si>
  <si>
    <t xml:space="preserve"> hot rolled wrought</t>
  </si>
  <si>
    <t xml:space="preserve"> extruded</t>
  </si>
  <si>
    <t>Al 1070A hot rolled wrought</t>
  </si>
  <si>
    <t>Al 3003 hot rolled wrought</t>
  </si>
  <si>
    <t>Al 3103 hot rolled wrought</t>
  </si>
  <si>
    <t>Al 4043 hot rolled wrought</t>
  </si>
  <si>
    <t>Al 5005A hot rolled wrought</t>
  </si>
  <si>
    <t>Al 5182 hot rolled wrought</t>
  </si>
  <si>
    <t>Al 5754 hot rolled wrought</t>
  </si>
  <si>
    <t>Al 6008 hot rolled wrought</t>
  </si>
  <si>
    <t>Al 6014 hot rolled wrought</t>
  </si>
  <si>
    <t>Al 6016 hot rolled wrought</t>
  </si>
  <si>
    <t>Al 6060 hot rolled wrought</t>
  </si>
  <si>
    <t>Al 6061 hot rolled wrought</t>
  </si>
  <si>
    <t>Al 6063 hot rolled wrought</t>
  </si>
  <si>
    <t>Al 6082 hot rolled wrought</t>
  </si>
  <si>
    <t>Al 6111 hot rolled wrought</t>
  </si>
  <si>
    <t>Al 6181A hot rolled wrought</t>
  </si>
  <si>
    <t>Al 7020 hot rolled wrought</t>
  </si>
  <si>
    <t>Al 1070A cold rolled wrought</t>
  </si>
  <si>
    <t>Al 3003 cold rolled wrought</t>
  </si>
  <si>
    <t>Al 3103 cold rolled wrought</t>
  </si>
  <si>
    <t>Al 4043 cold rolled wrought</t>
  </si>
  <si>
    <t>Al 5005A cold rolled wrought</t>
  </si>
  <si>
    <t>Al 5182 cold rolled wrought</t>
  </si>
  <si>
    <t>Al 5754 cold rolled wrought</t>
  </si>
  <si>
    <t>Al 6008 cold rolled wrought</t>
  </si>
  <si>
    <t>Al 6014 cold rolled wrought</t>
  </si>
  <si>
    <t>Al 6016 cold rolled wrought</t>
  </si>
  <si>
    <t>Al 6060 cold rolled wrought</t>
  </si>
  <si>
    <t>Al 6061 cold rolled wrought</t>
  </si>
  <si>
    <t>Al 6063 cold rolled wrought</t>
  </si>
  <si>
    <t>Al 6082 cold rolled wrought</t>
  </si>
  <si>
    <t>Al 6111 cold rolled wrought</t>
  </si>
  <si>
    <t>Al 6181A cold rolled wrought</t>
  </si>
  <si>
    <t>Al 7020 cold rolled wrought</t>
  </si>
  <si>
    <t>Al 301 extruded</t>
  </si>
  <si>
    <t>Al 319 extruded</t>
  </si>
  <si>
    <t>Al 383 extruded</t>
  </si>
  <si>
    <t>Al A356.0 extruded</t>
  </si>
  <si>
    <t>Al A357.0 extruded</t>
  </si>
  <si>
    <t>Al A360.0 extruded</t>
  </si>
  <si>
    <t>Al B380.0 extruded</t>
  </si>
  <si>
    <t>Al B390.0 extruded</t>
  </si>
  <si>
    <t>Al Silafont36 extruded</t>
  </si>
  <si>
    <t>Al 301 cast</t>
  </si>
  <si>
    <t>Al 319 cast</t>
  </si>
  <si>
    <t>Al 383 cast</t>
  </si>
  <si>
    <t>Al A356.0 cast</t>
  </si>
  <si>
    <t>Al A357.0 cast</t>
  </si>
  <si>
    <t>Al A360.0 cast</t>
  </si>
  <si>
    <t>Al B380.0 cast</t>
  </si>
  <si>
    <t>Al B390.0 cast</t>
  </si>
  <si>
    <t>Al Silafont36 cast</t>
  </si>
  <si>
    <t>*matching is done</t>
  </si>
  <si>
    <t>Virgin Al--&gt;</t>
  </si>
  <si>
    <t>Hot Rolled Wrought</t>
  </si>
  <si>
    <t>Cold Rolled Wrought</t>
  </si>
  <si>
    <t>Relevant total:</t>
  </si>
  <si>
    <t>Al mass</t>
  </si>
  <si>
    <t>stainless steel</t>
  </si>
  <si>
    <t>C mass (mostly from cast iron)</t>
  </si>
  <si>
    <t>Mo mass (mostly from stainless steel)</t>
  </si>
  <si>
    <t>Ti mass (average of all Al alloys)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</si>
</sst>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%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8" fillId="0" borderId="0" xfId="0" applyFont="1" applyFill="1" applyBorder="1"/>
    <xf numFmtId="0" fontId="0" fillId="0" borderId="2" xfId="0" applyFont="1" applyBorder="1"/>
    <xf numFmtId="0" fontId="9" fillId="0" borderId="2" xfId="0" applyFont="1" applyBorder="1"/>
    <xf numFmtId="0" fontId="9" fillId="0" borderId="0" xfId="0" applyFont="1"/>
    <xf numFmtId="0" fontId="8" fillId="0" borderId="1" xfId="0" applyFont="1" applyBorder="1"/>
    <xf numFmtId="10" fontId="8" fillId="0" borderId="4" xfId="1" applyNumberFormat="1" applyFont="1" applyFill="1" applyBorder="1"/>
    <xf numFmtId="2" fontId="9" fillId="0" borderId="0" xfId="1" applyNumberFormat="1" applyFont="1" applyFill="1" applyBorder="1"/>
    <xf numFmtId="0" fontId="8" fillId="0" borderId="2" xfId="0" applyFont="1" applyBorder="1"/>
    <xf numFmtId="2" fontId="8" fillId="0" borderId="0" xfId="1" applyNumberFormat="1" applyFont="1" applyFill="1" applyBorder="1"/>
    <xf numFmtId="0" fontId="8" fillId="0" borderId="3" xfId="0" applyFont="1" applyBorder="1"/>
    <xf numFmtId="2" fontId="8" fillId="0" borderId="5" xfId="1" applyNumberFormat="1" applyFont="1" applyFill="1" applyBorder="1"/>
    <xf numFmtId="0" fontId="0" fillId="0" borderId="5" xfId="0" applyBorder="1"/>
    <xf numFmtId="0" fontId="0" fillId="0" borderId="3" xfId="0" applyBorder="1"/>
    <xf numFmtId="164" fontId="0" fillId="3" borderId="0" xfId="0" applyNumberFormat="1" applyFill="1" applyBorder="1"/>
    <xf numFmtId="164" fontId="0" fillId="3" borderId="2" xfId="0" applyNumberFormat="1" applyFill="1" applyBorder="1"/>
    <xf numFmtId="164" fontId="0" fillId="0" borderId="5" xfId="0" applyNumberFormat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 wrapText="1"/>
    </xf>
    <xf numFmtId="2" fontId="1" fillId="0" borderId="0" xfId="1" applyNumberFormat="1" applyFont="1" applyFill="1" applyBorder="1"/>
    <xf numFmtId="2" fontId="1" fillId="0" borderId="5" xfId="1" applyNumberFormat="1" applyFont="1" applyFill="1" applyBorder="1"/>
    <xf numFmtId="165" fontId="0" fillId="0" borderId="0" xfId="0" applyNumberFormat="1"/>
    <xf numFmtId="1" fontId="0" fillId="0" borderId="0" xfId="0" applyNumberFormat="1"/>
    <xf numFmtId="2" fontId="12" fillId="0" borderId="0" xfId="1" applyNumberFormat="1" applyFont="1" applyFill="1" applyBorder="1"/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166" fontId="0" fillId="0" borderId="3" xfId="0" applyNumberFormat="1" applyBorder="1"/>
    <xf numFmtId="166" fontId="0" fillId="0" borderId="7" xfId="0" applyNumberFormat="1" applyBorder="1"/>
    <xf numFmtId="0" fontId="0" fillId="0" borderId="1" xfId="0" applyFont="1" applyBorder="1"/>
    <xf numFmtId="0" fontId="0" fillId="0" borderId="6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0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7" xfId="0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0" xfId="0" applyNumberForma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4" fillId="0" borderId="0" xfId="0" applyFont="1" applyBorder="1"/>
    <xf numFmtId="164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5" xfId="1" applyNumberFormat="1" applyFont="1" applyBorder="1"/>
    <xf numFmtId="0" fontId="0" fillId="0" borderId="2" xfId="0" applyFill="1" applyBorder="1"/>
    <xf numFmtId="0" fontId="2" fillId="0" borderId="1" xfId="0" applyFont="1" applyBorder="1"/>
    <xf numFmtId="0" fontId="0" fillId="2" borderId="0" xfId="0" applyFont="1" applyFill="1"/>
    <xf numFmtId="2" fontId="0" fillId="2" borderId="0" xfId="0" applyNumberFormat="1" applyFont="1" applyFill="1"/>
    <xf numFmtId="10" fontId="0" fillId="0" borderId="0" xfId="0" applyNumberFormat="1"/>
    <xf numFmtId="0" fontId="16" fillId="0" borderId="0" xfId="0" applyFont="1" applyBorder="1" applyAlignment="1">
      <alignment vertical="center"/>
    </xf>
    <xf numFmtId="0" fontId="6" fillId="0" borderId="0" xfId="12" applyBorder="1" applyAlignment="1">
      <alignment vertical="center"/>
    </xf>
    <xf numFmtId="0" fontId="0" fillId="0" borderId="0" xfId="0" applyBorder="1" applyAlignment="1">
      <alignment vertical="center"/>
    </xf>
    <xf numFmtId="10" fontId="2" fillId="0" borderId="4" xfId="1" applyNumberFormat="1" applyFont="1" applyBorder="1"/>
    <xf numFmtId="10" fontId="3" fillId="0" borderId="6" xfId="1" applyNumberFormat="1" applyFont="1" applyBorder="1"/>
    <xf numFmtId="0" fontId="0" fillId="0" borderId="2" xfId="0" applyFont="1" applyFill="1" applyBorder="1"/>
    <xf numFmtId="10" fontId="0" fillId="0" borderId="0" xfId="1" applyNumberFormat="1" applyFont="1" applyBorder="1"/>
    <xf numFmtId="10" fontId="0" fillId="0" borderId="8" xfId="0" applyNumberFormat="1" applyBorder="1"/>
    <xf numFmtId="0" fontId="0" fillId="0" borderId="3" xfId="0" applyFill="1" applyBorder="1"/>
    <xf numFmtId="10" fontId="0" fillId="0" borderId="5" xfId="1" applyNumberFormat="1" applyFont="1" applyBorder="1"/>
    <xf numFmtId="10" fontId="0" fillId="0" borderId="7" xfId="0" applyNumberFormat="1" applyBorder="1"/>
    <xf numFmtId="0" fontId="2" fillId="3" borderId="0" xfId="0" applyFont="1" applyFill="1"/>
    <xf numFmtId="10" fontId="4" fillId="0" borderId="0" xfId="1" applyNumberFormat="1" applyFont="1" applyBorder="1"/>
    <xf numFmtId="167" fontId="4" fillId="0" borderId="0" xfId="1" applyNumberFormat="1" applyFont="1" applyBorder="1"/>
    <xf numFmtId="0" fontId="0" fillId="4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10" fontId="20" fillId="0" borderId="0" xfId="0" applyNumberFormat="1" applyFont="1" applyBorder="1" applyAlignment="1">
      <alignment horizontal="center" vertical="center"/>
    </xf>
    <xf numFmtId="9" fontId="20" fillId="0" borderId="0" xfId="0" applyNumberFormat="1" applyFont="1" applyBorder="1" applyAlignment="1">
      <alignment horizontal="center" vertical="center"/>
    </xf>
    <xf numFmtId="9" fontId="20" fillId="0" borderId="2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9" fontId="20" fillId="0" borderId="3" xfId="0" applyNumberFormat="1" applyFont="1" applyBorder="1" applyAlignment="1">
      <alignment horizontal="center" vertical="center"/>
    </xf>
    <xf numFmtId="10" fontId="20" fillId="0" borderId="5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3" xfId="0" applyFont="1" applyBorder="1" applyAlignment="1">
      <alignment vertical="center"/>
    </xf>
    <xf numFmtId="10" fontId="20" fillId="0" borderId="2" xfId="1" applyNumberFormat="1" applyFont="1" applyBorder="1" applyAlignment="1">
      <alignment horizontal="center"/>
    </xf>
    <xf numFmtId="10" fontId="20" fillId="0" borderId="0" xfId="1" applyNumberFormat="1" applyFont="1" applyBorder="1" applyAlignment="1">
      <alignment horizontal="center"/>
    </xf>
    <xf numFmtId="167" fontId="20" fillId="0" borderId="0" xfId="1" applyNumberFormat="1" applyFont="1" applyBorder="1" applyAlignment="1">
      <alignment horizontal="center"/>
    </xf>
    <xf numFmtId="10" fontId="20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0" fontId="20" fillId="0" borderId="8" xfId="0" applyNumberFormat="1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0" fontId="20" fillId="0" borderId="7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7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Fill="1" applyBorder="1"/>
    <xf numFmtId="0" fontId="24" fillId="0" borderId="0" xfId="0" applyFont="1" applyBorder="1"/>
    <xf numFmtId="0" fontId="0" fillId="5" borderId="2" xfId="0" applyFont="1" applyFill="1" applyBorder="1"/>
    <xf numFmtId="0" fontId="0" fillId="5" borderId="2" xfId="0" applyFill="1" applyBorder="1"/>
    <xf numFmtId="0" fontId="2" fillId="0" borderId="0" xfId="0" applyFont="1" applyFill="1" applyBorder="1" applyAlignment="1">
      <alignment horizontal="left" indent="2"/>
    </xf>
    <xf numFmtId="1" fontId="2" fillId="0" borderId="0" xfId="0" applyNumberFormat="1" applyFont="1"/>
    <xf numFmtId="0" fontId="2" fillId="0" borderId="12" xfId="0" applyFont="1" applyBorder="1"/>
    <xf numFmtId="0" fontId="2" fillId="0" borderId="13" xfId="0" applyFont="1" applyBorder="1"/>
    <xf numFmtId="0" fontId="22" fillId="0" borderId="13" xfId="0" applyFont="1" applyBorder="1"/>
    <xf numFmtId="0" fontId="22" fillId="0" borderId="14" xfId="0" applyFont="1" applyBorder="1"/>
    <xf numFmtId="0" fontId="15" fillId="5" borderId="15" xfId="0" applyFont="1" applyFill="1" applyBorder="1"/>
    <xf numFmtId="0" fontId="23" fillId="0" borderId="0" xfId="0" applyFont="1" applyBorder="1"/>
    <xf numFmtId="0" fontId="23" fillId="0" borderId="16" xfId="0" applyFont="1" applyBorder="1"/>
    <xf numFmtId="0" fontId="0" fillId="0" borderId="17" xfId="0" applyBorder="1" applyAlignment="1">
      <alignment horizontal="left" indent="2"/>
    </xf>
    <xf numFmtId="0" fontId="0" fillId="0" borderId="16" xfId="0" applyBorder="1"/>
    <xf numFmtId="0" fontId="0" fillId="0" borderId="18" xfId="0" applyBorder="1" applyAlignment="1">
      <alignment horizontal="left" indent="2"/>
    </xf>
    <xf numFmtId="0" fontId="0" fillId="0" borderId="17" xfId="0" applyFont="1" applyFill="1" applyBorder="1" applyAlignment="1">
      <alignment horizontal="left" indent="2"/>
    </xf>
    <xf numFmtId="0" fontId="0" fillId="0" borderId="17" xfId="0" applyFont="1" applyBorder="1" applyAlignment="1">
      <alignment horizontal="left" indent="2"/>
    </xf>
    <xf numFmtId="0" fontId="0" fillId="0" borderId="18" xfId="0" applyFill="1" applyBorder="1" applyAlignment="1">
      <alignment horizontal="left" indent="2"/>
    </xf>
    <xf numFmtId="0" fontId="0" fillId="0" borderId="17" xfId="0" applyFill="1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15" fillId="5" borderId="17" xfId="0" applyFont="1" applyFill="1" applyBorder="1"/>
    <xf numFmtId="0" fontId="0" fillId="0" borderId="20" xfId="0" applyBorder="1"/>
    <xf numFmtId="0" fontId="23" fillId="0" borderId="20" xfId="0" applyFont="1" applyBorder="1"/>
    <xf numFmtId="0" fontId="23" fillId="0" borderId="21" xfId="0" applyFont="1" applyBorder="1"/>
    <xf numFmtId="0" fontId="25" fillId="0" borderId="2" xfId="0" applyFont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10" fontId="0" fillId="0" borderId="5" xfId="0" applyNumberFormat="1" applyBorder="1"/>
    <xf numFmtId="9" fontId="0" fillId="0" borderId="0" xfId="0" applyNumberFormat="1"/>
    <xf numFmtId="11" fontId="0" fillId="0" borderId="0" xfId="0" applyNumberFormat="1"/>
    <xf numFmtId="9" fontId="0" fillId="0" borderId="0" xfId="0" applyNumberFormat="1" applyBorder="1"/>
    <xf numFmtId="0" fontId="19" fillId="0" borderId="0" xfId="0" applyFont="1" applyFill="1" applyBorder="1" applyAlignment="1">
      <alignment horizontal="center" vertical="center"/>
    </xf>
    <xf numFmtId="10" fontId="0" fillId="0" borderId="0" xfId="1" applyNumberFormat="1" applyFont="1"/>
    <xf numFmtId="0" fontId="15" fillId="6" borderId="1" xfId="0" applyFont="1" applyFill="1" applyBorder="1"/>
    <xf numFmtId="0" fontId="0" fillId="6" borderId="0" xfId="0" applyFill="1"/>
    <xf numFmtId="0" fontId="23" fillId="6" borderId="0" xfId="0" applyFont="1" applyFill="1"/>
    <xf numFmtId="0" fontId="15" fillId="6" borderId="2" xfId="0" applyFont="1" applyFill="1" applyBorder="1"/>
    <xf numFmtId="0" fontId="26" fillId="0" borderId="0" xfId="0" applyFont="1"/>
    <xf numFmtId="10" fontId="20" fillId="0" borderId="3" xfId="0" applyNumberFormat="1" applyFont="1" applyBorder="1" applyAlignment="1">
      <alignment horizontal="center" vertic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="80" zoomScaleNormal="80" zoomScalePageLayoutView="80" workbookViewId="0">
      <selection sqref="A1:A9"/>
    </sheetView>
  </sheetViews>
  <sheetFormatPr baseColWidth="10" defaultRowHeight="16" x14ac:dyDescent="0.2"/>
  <cols>
    <col min="2" max="2" width="20.33203125" bestFit="1" customWidth="1"/>
    <col min="3" max="3" width="22.33203125" bestFit="1" customWidth="1"/>
  </cols>
  <sheetData>
    <row r="1" spans="1:5" s="1" customFormat="1" x14ac:dyDescent="0.2">
      <c r="A1" s="1" t="s">
        <v>78</v>
      </c>
      <c r="B1" s="1" t="s">
        <v>79</v>
      </c>
      <c r="C1" s="1" t="s">
        <v>0</v>
      </c>
      <c r="D1" s="1" t="s">
        <v>80</v>
      </c>
      <c r="E1" s="1" t="s">
        <v>81</v>
      </c>
    </row>
    <row r="2" spans="1:5" x14ac:dyDescent="0.2">
      <c r="A2" t="s">
        <v>82</v>
      </c>
    </row>
    <row r="3" spans="1:5" x14ac:dyDescent="0.2">
      <c r="A3" t="s">
        <v>83</v>
      </c>
    </row>
    <row r="4" spans="1:5" x14ac:dyDescent="0.2">
      <c r="A4" t="s">
        <v>84</v>
      </c>
    </row>
    <row r="5" spans="1:5" x14ac:dyDescent="0.2">
      <c r="A5" t="s">
        <v>85</v>
      </c>
    </row>
    <row r="6" spans="1:5" x14ac:dyDescent="0.2">
      <c r="A6" t="s">
        <v>86</v>
      </c>
    </row>
    <row r="7" spans="1:5" x14ac:dyDescent="0.2">
      <c r="A7" t="s">
        <v>87</v>
      </c>
    </row>
    <row r="8" spans="1:5" x14ac:dyDescent="0.2">
      <c r="A8" t="s">
        <v>88</v>
      </c>
    </row>
    <row r="9" spans="1:5" x14ac:dyDescent="0.2">
      <c r="A9" s="1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29"/>
  <sheetViews>
    <sheetView topLeftCell="A549" zoomScale="70" zoomScaleNormal="70" zoomScalePageLayoutView="70" workbookViewId="0">
      <selection activeCell="D26" sqref="D26"/>
    </sheetView>
  </sheetViews>
  <sheetFormatPr baseColWidth="10" defaultRowHeight="16" x14ac:dyDescent="0.2"/>
  <cols>
    <col min="1" max="1" width="29.1640625" bestFit="1" customWidth="1"/>
    <col min="2" max="2" width="16.6640625" bestFit="1" customWidth="1"/>
    <col min="3" max="3" width="15.1640625" bestFit="1" customWidth="1"/>
    <col min="4" max="4" width="17.33203125" bestFit="1" customWidth="1"/>
    <col min="5" max="5" width="16" bestFit="1" customWidth="1"/>
    <col min="6" max="6" width="15" bestFit="1" customWidth="1"/>
    <col min="7" max="7" width="13.6640625" bestFit="1" customWidth="1"/>
  </cols>
  <sheetData>
    <row r="1" spans="1:7" ht="17" thickTop="1" x14ac:dyDescent="0.2">
      <c r="A1" s="135"/>
      <c r="B1" s="136" t="s">
        <v>92</v>
      </c>
      <c r="C1" s="136" t="s">
        <v>93</v>
      </c>
      <c r="D1" s="136" t="s">
        <v>94</v>
      </c>
      <c r="E1" s="136" t="s">
        <v>95</v>
      </c>
      <c r="F1" s="136" t="s">
        <v>96</v>
      </c>
      <c r="G1" s="136" t="s">
        <v>97</v>
      </c>
    </row>
    <row r="2" spans="1:7" x14ac:dyDescent="0.2">
      <c r="A2" s="139" t="s">
        <v>155</v>
      </c>
      <c r="B2" s="159"/>
      <c r="C2" s="54"/>
      <c r="D2" s="54"/>
      <c r="E2" s="54"/>
      <c r="F2" s="54"/>
      <c r="G2" s="54"/>
    </row>
    <row r="3" spans="1:7" x14ac:dyDescent="0.2">
      <c r="A3" s="142" t="s">
        <v>105</v>
      </c>
      <c r="B3" s="73">
        <f>IFERROR('Alloy_compnt_G&amp;L'!B3/SUM('Alloy_compnt_G&amp;L'!B$3:B$62),0)</f>
        <v>0.20873841251448433</v>
      </c>
      <c r="C3" s="73">
        <f>IFERROR('Alloy_compnt_G&amp;L'!C3/SUM('Alloy_compnt_G&amp;L'!C$3:C$62),0)</f>
        <v>3.5849748802948292E-2</v>
      </c>
      <c r="D3" s="73">
        <f>IFERROR('Alloy_compnt_G&amp;L'!D3/SUM('Alloy_compnt_G&amp;L'!D$3:D$62),0)</f>
        <v>0.20873841251448436</v>
      </c>
      <c r="E3" s="73">
        <f>IFERROR('Alloy_compnt_G&amp;L'!E3/SUM('Alloy_compnt_G&amp;L'!E$3:E$62),0)</f>
        <v>3.3603898889265703E-2</v>
      </c>
      <c r="F3" s="73">
        <f>IFERROR('Alloy_compnt_G&amp;L'!F3/SUM('Alloy_compnt_G&amp;L'!F$3:F$62),0)</f>
        <v>0.2087384125144843</v>
      </c>
      <c r="G3" s="73">
        <f>IFERROR('Alloy_compnt_G&amp;L'!G3/SUM('Alloy_compnt_G&amp;L'!G$3:G$62),0)</f>
        <v>3.2314260843601138E-2</v>
      </c>
    </row>
    <row r="4" spans="1:7" x14ac:dyDescent="0.2">
      <c r="A4" s="142" t="s">
        <v>106</v>
      </c>
      <c r="B4" s="73">
        <f>IFERROR('Alloy_compnt_G&amp;L'!B4/SUM('Alloy_compnt_G&amp;L'!B$3:B$62),0)</f>
        <v>0.18895278099652371</v>
      </c>
      <c r="C4" s="73">
        <f>IFERROR('Alloy_compnt_G&amp;L'!C4/SUM('Alloy_compnt_G&amp;L'!C$3:C$62),0)</f>
        <v>3.2451668347692531E-2</v>
      </c>
      <c r="D4" s="73">
        <f>IFERROR('Alloy_compnt_G&amp;L'!D4/SUM('Alloy_compnt_G&amp;L'!D$3:D$62),0)</f>
        <v>0.18895278099652377</v>
      </c>
      <c r="E4" s="73">
        <f>IFERROR('Alloy_compnt_G&amp;L'!E4/SUM('Alloy_compnt_G&amp;L'!E$3:E$62),0)</f>
        <v>3.0418695203079386E-2</v>
      </c>
      <c r="F4" s="73">
        <f>IFERROR('Alloy_compnt_G&amp;L'!F4/SUM('Alloy_compnt_G&amp;L'!F$3:F$62),0)</f>
        <v>0.18895278099652374</v>
      </c>
      <c r="G4" s="73">
        <f>IFERROR('Alloy_compnt_G&amp;L'!G4/SUM('Alloy_compnt_G&amp;L'!G$3:G$62),0)</f>
        <v>2.9251297730463591E-2</v>
      </c>
    </row>
    <row r="5" spans="1:7" x14ac:dyDescent="0.2">
      <c r="A5" s="142" t="s">
        <v>107</v>
      </c>
      <c r="B5" s="73">
        <f>IFERROR('Alloy_compnt_G&amp;L'!B5/SUM('Alloy_compnt_G&amp;L'!B$3:B$62),0)</f>
        <v>0.591590382387022</v>
      </c>
      <c r="C5" s="73">
        <f>IFERROR('Alloy_compnt_G&amp;L'!C5/SUM('Alloy_compnt_G&amp;L'!C$3:C$62),0)</f>
        <v>0.10160260561214732</v>
      </c>
      <c r="D5" s="73">
        <f>IFERROR('Alloy_compnt_G&amp;L'!D5/SUM('Alloy_compnt_G&amp;L'!D$3:D$62),0)</f>
        <v>0.59159038238702211</v>
      </c>
      <c r="E5" s="73">
        <f>IFERROR('Alloy_compnt_G&amp;L'!E5/SUM('Alloy_compnt_G&amp;L'!E$3:E$62),0)</f>
        <v>9.5237590216971077E-2</v>
      </c>
      <c r="F5" s="73">
        <f>IFERROR('Alloy_compnt_G&amp;L'!F5/SUM('Alloy_compnt_G&amp;L'!F$3:F$62),0)</f>
        <v>0.591590382387022</v>
      </c>
      <c r="G5" s="73">
        <f>IFERROR('Alloy_compnt_G&amp;L'!G5/SUM('Alloy_compnt_G&amp;L'!G$3:G$62),0)</f>
        <v>9.1582597082812717E-2</v>
      </c>
    </row>
    <row r="6" spans="1:7" x14ac:dyDescent="0.2">
      <c r="A6" s="142" t="s">
        <v>91</v>
      </c>
      <c r="B6" s="73">
        <f>IFERROR('Alloy_compnt_G&amp;L'!B6/SUM('Alloy_compnt_G&amp;L'!B$3:B$62),0)</f>
        <v>0</v>
      </c>
      <c r="C6" s="73">
        <f>IFERROR('Alloy_compnt_G&amp;L'!C6/SUM('Alloy_compnt_G&amp;L'!C$3:C$62),0)</f>
        <v>0</v>
      </c>
      <c r="D6" s="73">
        <f>IFERROR('Alloy_compnt_G&amp;L'!D6/SUM('Alloy_compnt_G&amp;L'!D$3:D$62),0)</f>
        <v>0</v>
      </c>
      <c r="E6" s="73">
        <f>IFERROR('Alloy_compnt_G&amp;L'!E6/SUM('Alloy_compnt_G&amp;L'!E$3:E$62),0)</f>
        <v>0</v>
      </c>
      <c r="F6" s="73">
        <f>IFERROR('Alloy_compnt_G&amp;L'!F6/SUM('Alloy_compnt_G&amp;L'!F$3:F$62),0)</f>
        <v>0</v>
      </c>
      <c r="G6" s="73">
        <f>IFERROR('Alloy_compnt_G&amp;L'!G6/SUM('Alloy_compnt_G&amp;L'!G$3:G$62),0)</f>
        <v>0</v>
      </c>
    </row>
    <row r="7" spans="1:7" x14ac:dyDescent="0.2">
      <c r="A7" s="142" t="s">
        <v>204</v>
      </c>
      <c r="B7" s="73">
        <f>IFERROR('Alloy_compnt_G&amp;L'!B7/SUM('Alloy_compnt_G&amp;L'!B$3:B$62),0)</f>
        <v>0</v>
      </c>
      <c r="C7" s="73">
        <f>IFERROR('Alloy_compnt_G&amp;L'!C7/SUM('Alloy_compnt_G&amp;L'!C$3:C$62),0)</f>
        <v>0</v>
      </c>
      <c r="D7" s="73">
        <f>IFERROR('Alloy_compnt_G&amp;L'!D7/SUM('Alloy_compnt_G&amp;L'!D$3:D$62),0)</f>
        <v>0</v>
      </c>
      <c r="E7" s="73">
        <f>IFERROR('Alloy_compnt_G&amp;L'!E7/SUM('Alloy_compnt_G&amp;L'!E$3:E$62),0)</f>
        <v>0</v>
      </c>
      <c r="F7" s="73">
        <f>IFERROR('Alloy_compnt_G&amp;L'!F7/SUM('Alloy_compnt_G&amp;L'!F$3:F$62),0)</f>
        <v>0</v>
      </c>
      <c r="G7" s="73">
        <f>IFERROR('Alloy_compnt_G&amp;L'!G7/SUM('Alloy_compnt_G&amp;L'!G$3:G$62),0)</f>
        <v>0</v>
      </c>
    </row>
    <row r="8" spans="1:7" x14ac:dyDescent="0.2">
      <c r="A8" s="144" t="s">
        <v>104</v>
      </c>
      <c r="B8" s="73">
        <f>IFERROR('Alloy_compnt_G&amp;L'!B8/SUM('Alloy_compnt_G&amp;L'!B$3:B$62),0)</f>
        <v>0</v>
      </c>
      <c r="C8" s="73">
        <f>IFERROR('Alloy_compnt_G&amp;L'!C8/SUM('Alloy_compnt_G&amp;L'!C$3:C$62),0)</f>
        <v>0</v>
      </c>
      <c r="D8" s="73">
        <f>IFERROR('Alloy_compnt_G&amp;L'!D8/SUM('Alloy_compnt_G&amp;L'!D$3:D$62),0)</f>
        <v>0</v>
      </c>
      <c r="E8" s="73">
        <f>IFERROR('Alloy_compnt_G&amp;L'!E8/SUM('Alloy_compnt_G&amp;L'!E$3:E$62),0)</f>
        <v>0</v>
      </c>
      <c r="F8" s="73">
        <f>IFERROR('Alloy_compnt_G&amp;L'!F8/SUM('Alloy_compnt_G&amp;L'!F$3:F$62),0)</f>
        <v>0</v>
      </c>
      <c r="G8" s="73">
        <f>IFERROR('Alloy_compnt_G&amp;L'!G8/SUM('Alloy_compnt_G&amp;L'!G$3:G$62),0)</f>
        <v>0</v>
      </c>
    </row>
    <row r="9" spans="1:7" x14ac:dyDescent="0.2">
      <c r="A9" s="145" t="s">
        <v>244</v>
      </c>
      <c r="B9" s="73">
        <f>IFERROR('Alloy_compnt_G&amp;L'!B9/SUM('Alloy_compnt_G&amp;L'!B$3:B$62),0)</f>
        <v>0</v>
      </c>
      <c r="C9" s="73">
        <f>IFERROR('Alloy_compnt_G&amp;L'!C9/SUM('Alloy_compnt_G&amp;L'!C$3:C$62),0)</f>
        <v>0</v>
      </c>
      <c r="D9" s="73">
        <f>IFERROR('Alloy_compnt_G&amp;L'!D9/SUM('Alloy_compnt_G&amp;L'!D$3:D$62),0)</f>
        <v>0</v>
      </c>
      <c r="E9" s="73">
        <f>IFERROR('Alloy_compnt_G&amp;L'!E9/SUM('Alloy_compnt_G&amp;L'!E$3:E$62),0)</f>
        <v>0</v>
      </c>
      <c r="F9" s="73">
        <f>IFERROR('Alloy_compnt_G&amp;L'!F9/SUM('Alloy_compnt_G&amp;L'!F$3:F$62),0)</f>
        <v>0</v>
      </c>
      <c r="G9" s="73">
        <f>IFERROR('Alloy_compnt_G&amp;L'!G9/SUM('Alloy_compnt_G&amp;L'!G$3:G$62),0)</f>
        <v>0</v>
      </c>
    </row>
    <row r="10" spans="1:7" x14ac:dyDescent="0.2">
      <c r="A10" s="145" t="s">
        <v>245</v>
      </c>
      <c r="B10" s="73">
        <f>IFERROR('Alloy_compnt_G&amp;L'!B10/SUM('Alloy_compnt_G&amp;L'!B$3:B$62),0)</f>
        <v>0</v>
      </c>
      <c r="C10" s="73">
        <f>IFERROR('Alloy_compnt_G&amp;L'!C10/SUM('Alloy_compnt_G&amp;L'!C$3:C$62),0)</f>
        <v>0</v>
      </c>
      <c r="D10" s="73">
        <f>IFERROR('Alloy_compnt_G&amp;L'!D10/SUM('Alloy_compnt_G&amp;L'!D$3:D$62),0)</f>
        <v>0</v>
      </c>
      <c r="E10" s="73">
        <f>IFERROR('Alloy_compnt_G&amp;L'!E10/SUM('Alloy_compnt_G&amp;L'!E$3:E$62),0)</f>
        <v>0</v>
      </c>
      <c r="F10" s="73">
        <f>IFERROR('Alloy_compnt_G&amp;L'!F10/SUM('Alloy_compnt_G&amp;L'!F$3:F$62),0)</f>
        <v>0</v>
      </c>
      <c r="G10" s="73">
        <f>IFERROR('Alloy_compnt_G&amp;L'!G10/SUM('Alloy_compnt_G&amp;L'!G$3:G$62),0)</f>
        <v>0</v>
      </c>
    </row>
    <row r="11" spans="1:7" x14ac:dyDescent="0.2">
      <c r="A11" s="145" t="s">
        <v>246</v>
      </c>
      <c r="B11" s="73">
        <f>IFERROR('Alloy_compnt_G&amp;L'!B11/SUM('Alloy_compnt_G&amp;L'!B$3:B$62),0)</f>
        <v>0</v>
      </c>
      <c r="C11" s="73">
        <f>IFERROR('Alloy_compnt_G&amp;L'!C11/SUM('Alloy_compnt_G&amp;L'!C$3:C$62),0)</f>
        <v>0</v>
      </c>
      <c r="D11" s="73">
        <f>IFERROR('Alloy_compnt_G&amp;L'!D11/SUM('Alloy_compnt_G&amp;L'!D$3:D$62),0)</f>
        <v>0</v>
      </c>
      <c r="E11" s="73">
        <f>IFERROR('Alloy_compnt_G&amp;L'!E11/SUM('Alloy_compnt_G&amp;L'!E$3:E$62),0)</f>
        <v>0</v>
      </c>
      <c r="F11" s="73">
        <f>IFERROR('Alloy_compnt_G&amp;L'!F11/SUM('Alloy_compnt_G&amp;L'!F$3:F$62),0)</f>
        <v>0</v>
      </c>
      <c r="G11" s="73">
        <f>IFERROR('Alloy_compnt_G&amp;L'!G11/SUM('Alloy_compnt_G&amp;L'!G$3:G$62),0)</f>
        <v>0</v>
      </c>
    </row>
    <row r="12" spans="1:7" x14ac:dyDescent="0.2">
      <c r="A12" s="145" t="s">
        <v>247</v>
      </c>
      <c r="B12" s="73">
        <f>IFERROR('Alloy_compnt_G&amp;L'!B12/SUM('Alloy_compnt_G&amp;L'!B$3:B$62),0)</f>
        <v>0</v>
      </c>
      <c r="C12" s="73">
        <f>IFERROR('Alloy_compnt_G&amp;L'!C12/SUM('Alloy_compnt_G&amp;L'!C$3:C$62),0)</f>
        <v>0</v>
      </c>
      <c r="D12" s="73">
        <f>IFERROR('Alloy_compnt_G&amp;L'!D12/SUM('Alloy_compnt_G&amp;L'!D$3:D$62),0)</f>
        <v>0</v>
      </c>
      <c r="E12" s="73">
        <f>IFERROR('Alloy_compnt_G&amp;L'!E12/SUM('Alloy_compnt_G&amp;L'!E$3:E$62),0)</f>
        <v>0</v>
      </c>
      <c r="F12" s="73">
        <f>IFERROR('Alloy_compnt_G&amp;L'!F12/SUM('Alloy_compnt_G&amp;L'!F$3:F$62),0)</f>
        <v>0</v>
      </c>
      <c r="G12" s="73">
        <f>IFERROR('Alloy_compnt_G&amp;L'!G12/SUM('Alloy_compnt_G&amp;L'!G$3:G$62),0)</f>
        <v>0</v>
      </c>
    </row>
    <row r="13" spans="1:7" x14ac:dyDescent="0.2">
      <c r="A13" s="145" t="s">
        <v>248</v>
      </c>
      <c r="B13" s="73">
        <f>IFERROR('Alloy_compnt_G&amp;L'!B13/SUM('Alloy_compnt_G&amp;L'!B$3:B$62),0)</f>
        <v>0</v>
      </c>
      <c r="C13" s="73">
        <f>IFERROR('Alloy_compnt_G&amp;L'!C13/SUM('Alloy_compnt_G&amp;L'!C$3:C$62),0)</f>
        <v>0</v>
      </c>
      <c r="D13" s="73">
        <f>IFERROR('Alloy_compnt_G&amp;L'!D13/SUM('Alloy_compnt_G&amp;L'!D$3:D$62),0)</f>
        <v>0</v>
      </c>
      <c r="E13" s="73">
        <f>IFERROR('Alloy_compnt_G&amp;L'!E13/SUM('Alloy_compnt_G&amp;L'!E$3:E$62),0)</f>
        <v>0</v>
      </c>
      <c r="F13" s="73">
        <f>IFERROR('Alloy_compnt_G&amp;L'!F13/SUM('Alloy_compnt_G&amp;L'!F$3:F$62),0)</f>
        <v>0</v>
      </c>
      <c r="G13" s="73">
        <f>IFERROR('Alloy_compnt_G&amp;L'!G13/SUM('Alloy_compnt_G&amp;L'!G$3:G$62),0)</f>
        <v>0</v>
      </c>
    </row>
    <row r="14" spans="1:7" x14ac:dyDescent="0.2">
      <c r="A14" s="145" t="s">
        <v>249</v>
      </c>
      <c r="B14" s="73">
        <f>IFERROR('Alloy_compnt_G&amp;L'!B14/SUM('Alloy_compnt_G&amp;L'!B$3:B$62),0)</f>
        <v>0</v>
      </c>
      <c r="C14" s="73">
        <f>IFERROR('Alloy_compnt_G&amp;L'!C14/SUM('Alloy_compnt_G&amp;L'!C$3:C$62),0)</f>
        <v>0</v>
      </c>
      <c r="D14" s="73">
        <f>IFERROR('Alloy_compnt_G&amp;L'!D14/SUM('Alloy_compnt_G&amp;L'!D$3:D$62),0)</f>
        <v>0</v>
      </c>
      <c r="E14" s="73">
        <f>IFERROR('Alloy_compnt_G&amp;L'!E14/SUM('Alloy_compnt_G&amp;L'!E$3:E$62),0)</f>
        <v>0</v>
      </c>
      <c r="F14" s="73">
        <f>IFERROR('Alloy_compnt_G&amp;L'!F14/SUM('Alloy_compnt_G&amp;L'!F$3:F$62),0)</f>
        <v>0</v>
      </c>
      <c r="G14" s="73">
        <f>IFERROR('Alloy_compnt_G&amp;L'!G14/SUM('Alloy_compnt_G&amp;L'!G$3:G$62),0)</f>
        <v>0</v>
      </c>
    </row>
    <row r="15" spans="1:7" x14ac:dyDescent="0.2">
      <c r="A15" s="145" t="s">
        <v>250</v>
      </c>
      <c r="B15" s="73">
        <f>IFERROR('Alloy_compnt_G&amp;L'!B15/SUM('Alloy_compnt_G&amp;L'!B$3:B$62),0)</f>
        <v>0</v>
      </c>
      <c r="C15" s="73">
        <f>IFERROR('Alloy_compnt_G&amp;L'!C15/SUM('Alloy_compnt_G&amp;L'!C$3:C$62),0)</f>
        <v>0</v>
      </c>
      <c r="D15" s="73">
        <f>IFERROR('Alloy_compnt_G&amp;L'!D15/SUM('Alloy_compnt_G&amp;L'!D$3:D$62),0)</f>
        <v>0</v>
      </c>
      <c r="E15" s="73">
        <f>IFERROR('Alloy_compnt_G&amp;L'!E15/SUM('Alloy_compnt_G&amp;L'!E$3:E$62),0)</f>
        <v>0</v>
      </c>
      <c r="F15" s="73">
        <f>IFERROR('Alloy_compnt_G&amp;L'!F15/SUM('Alloy_compnt_G&amp;L'!F$3:F$62),0)</f>
        <v>0</v>
      </c>
      <c r="G15" s="73">
        <f>IFERROR('Alloy_compnt_G&amp;L'!G15/SUM('Alloy_compnt_G&amp;L'!G$3:G$62),0)</f>
        <v>0</v>
      </c>
    </row>
    <row r="16" spans="1:7" x14ac:dyDescent="0.2">
      <c r="A16" s="145" t="s">
        <v>251</v>
      </c>
      <c r="B16" s="73">
        <f>IFERROR('Alloy_compnt_G&amp;L'!B16/SUM('Alloy_compnt_G&amp;L'!B$3:B$62),0)</f>
        <v>0</v>
      </c>
      <c r="C16" s="73">
        <f>IFERROR('Alloy_compnt_G&amp;L'!C16/SUM('Alloy_compnt_G&amp;L'!C$3:C$62),0)</f>
        <v>0</v>
      </c>
      <c r="D16" s="73">
        <f>IFERROR('Alloy_compnt_G&amp;L'!D16/SUM('Alloy_compnt_G&amp;L'!D$3:D$62),0)</f>
        <v>0</v>
      </c>
      <c r="E16" s="73">
        <f>IFERROR('Alloy_compnt_G&amp;L'!E16/SUM('Alloy_compnt_G&amp;L'!E$3:E$62),0)</f>
        <v>0</v>
      </c>
      <c r="F16" s="73">
        <f>IFERROR('Alloy_compnt_G&amp;L'!F16/SUM('Alloy_compnt_G&amp;L'!F$3:F$62),0)</f>
        <v>0</v>
      </c>
      <c r="G16" s="73">
        <f>IFERROR('Alloy_compnt_G&amp;L'!G16/SUM('Alloy_compnt_G&amp;L'!G$3:G$62),0)</f>
        <v>0</v>
      </c>
    </row>
    <row r="17" spans="1:7" x14ac:dyDescent="0.2">
      <c r="A17" s="145" t="s">
        <v>252</v>
      </c>
      <c r="B17" s="73">
        <f>IFERROR('Alloy_compnt_G&amp;L'!B17/SUM('Alloy_compnt_G&amp;L'!B$3:B$62),0)</f>
        <v>0</v>
      </c>
      <c r="C17" s="73">
        <f>IFERROR('Alloy_compnt_G&amp;L'!C17/SUM('Alloy_compnt_G&amp;L'!C$3:C$62),0)</f>
        <v>0</v>
      </c>
      <c r="D17" s="73">
        <f>IFERROR('Alloy_compnt_G&amp;L'!D17/SUM('Alloy_compnt_G&amp;L'!D$3:D$62),0)</f>
        <v>0</v>
      </c>
      <c r="E17" s="73">
        <f>IFERROR('Alloy_compnt_G&amp;L'!E17/SUM('Alloy_compnt_G&amp;L'!E$3:E$62),0)</f>
        <v>0</v>
      </c>
      <c r="F17" s="73">
        <f>IFERROR('Alloy_compnt_G&amp;L'!F17/SUM('Alloy_compnt_G&amp;L'!F$3:F$62),0)</f>
        <v>0</v>
      </c>
      <c r="G17" s="73">
        <f>IFERROR('Alloy_compnt_G&amp;L'!G17/SUM('Alloy_compnt_G&amp;L'!G$3:G$62),0)</f>
        <v>0</v>
      </c>
    </row>
    <row r="18" spans="1:7" x14ac:dyDescent="0.2">
      <c r="A18" s="145" t="s">
        <v>253</v>
      </c>
      <c r="B18" s="73">
        <f>IFERROR('Alloy_compnt_G&amp;L'!B18/SUM('Alloy_compnt_G&amp;L'!B$3:B$62),0)</f>
        <v>0</v>
      </c>
      <c r="C18" s="73">
        <f>IFERROR('Alloy_compnt_G&amp;L'!C18/SUM('Alloy_compnt_G&amp;L'!C$3:C$62),0)</f>
        <v>0</v>
      </c>
      <c r="D18" s="73">
        <f>IFERROR('Alloy_compnt_G&amp;L'!D18/SUM('Alloy_compnt_G&amp;L'!D$3:D$62),0)</f>
        <v>0</v>
      </c>
      <c r="E18" s="73">
        <f>IFERROR('Alloy_compnt_G&amp;L'!E18/SUM('Alloy_compnt_G&amp;L'!E$3:E$62),0)</f>
        <v>0</v>
      </c>
      <c r="F18" s="73">
        <f>IFERROR('Alloy_compnt_G&amp;L'!F18/SUM('Alloy_compnt_G&amp;L'!F$3:F$62),0)</f>
        <v>0</v>
      </c>
      <c r="G18" s="73">
        <f>IFERROR('Alloy_compnt_G&amp;L'!G18/SUM('Alloy_compnt_G&amp;L'!G$3:G$62),0)</f>
        <v>0</v>
      </c>
    </row>
    <row r="19" spans="1:7" x14ac:dyDescent="0.2">
      <c r="A19" s="145" t="s">
        <v>254</v>
      </c>
      <c r="B19" s="73">
        <f>IFERROR('Alloy_compnt_G&amp;L'!B19/SUM('Alloy_compnt_G&amp;L'!B$3:B$62),0)</f>
        <v>0</v>
      </c>
      <c r="C19" s="73">
        <f>IFERROR('Alloy_compnt_G&amp;L'!C19/SUM('Alloy_compnt_G&amp;L'!C$3:C$62),0)</f>
        <v>0</v>
      </c>
      <c r="D19" s="73">
        <f>IFERROR('Alloy_compnt_G&amp;L'!D19/SUM('Alloy_compnt_G&amp;L'!D$3:D$62),0)</f>
        <v>0</v>
      </c>
      <c r="E19" s="73">
        <f>IFERROR('Alloy_compnt_G&amp;L'!E19/SUM('Alloy_compnt_G&amp;L'!E$3:E$62),0)</f>
        <v>0</v>
      </c>
      <c r="F19" s="73">
        <f>IFERROR('Alloy_compnt_G&amp;L'!F19/SUM('Alloy_compnt_G&amp;L'!F$3:F$62),0)</f>
        <v>0</v>
      </c>
      <c r="G19" s="73">
        <f>IFERROR('Alloy_compnt_G&amp;L'!G19/SUM('Alloy_compnt_G&amp;L'!G$3:G$62),0)</f>
        <v>0</v>
      </c>
    </row>
    <row r="20" spans="1:7" x14ac:dyDescent="0.2">
      <c r="A20" s="146" t="s">
        <v>255</v>
      </c>
      <c r="B20" s="73">
        <f>IFERROR('Alloy_compnt_G&amp;L'!B20/SUM('Alloy_compnt_G&amp;L'!B$3:B$62),0)</f>
        <v>0</v>
      </c>
      <c r="C20" s="73">
        <f>IFERROR('Alloy_compnt_G&amp;L'!C20/SUM('Alloy_compnt_G&amp;L'!C$3:C$62),0)</f>
        <v>0</v>
      </c>
      <c r="D20" s="73">
        <f>IFERROR('Alloy_compnt_G&amp;L'!D20/SUM('Alloy_compnt_G&amp;L'!D$3:D$62),0)</f>
        <v>0</v>
      </c>
      <c r="E20" s="73">
        <f>IFERROR('Alloy_compnt_G&amp;L'!E20/SUM('Alloy_compnt_G&amp;L'!E$3:E$62),0)</f>
        <v>0</v>
      </c>
      <c r="F20" s="73">
        <f>IFERROR('Alloy_compnt_G&amp;L'!F20/SUM('Alloy_compnt_G&amp;L'!F$3:F$62),0)</f>
        <v>0</v>
      </c>
      <c r="G20" s="73">
        <f>IFERROR('Alloy_compnt_G&amp;L'!G20/SUM('Alloy_compnt_G&amp;L'!G$3:G$62),0)</f>
        <v>0</v>
      </c>
    </row>
    <row r="21" spans="1:7" x14ac:dyDescent="0.2">
      <c r="A21" s="145" t="s">
        <v>256</v>
      </c>
      <c r="B21" s="73">
        <f>IFERROR('Alloy_compnt_G&amp;L'!B21/SUM('Alloy_compnt_G&amp;L'!B$3:B$62),0)</f>
        <v>0</v>
      </c>
      <c r="C21" s="73">
        <f>IFERROR('Alloy_compnt_G&amp;L'!C21/SUM('Alloy_compnt_G&amp;L'!C$3:C$62),0)</f>
        <v>0</v>
      </c>
      <c r="D21" s="73">
        <f>IFERROR('Alloy_compnt_G&amp;L'!D21/SUM('Alloy_compnt_G&amp;L'!D$3:D$62),0)</f>
        <v>0</v>
      </c>
      <c r="E21" s="73">
        <f>IFERROR('Alloy_compnt_G&amp;L'!E21/SUM('Alloy_compnt_G&amp;L'!E$3:E$62),0)</f>
        <v>0</v>
      </c>
      <c r="F21" s="73">
        <f>IFERROR('Alloy_compnt_G&amp;L'!F21/SUM('Alloy_compnt_G&amp;L'!F$3:F$62),0)</f>
        <v>0</v>
      </c>
      <c r="G21" s="73">
        <f>IFERROR('Alloy_compnt_G&amp;L'!G21/SUM('Alloy_compnt_G&amp;L'!G$3:G$62),0)</f>
        <v>0</v>
      </c>
    </row>
    <row r="22" spans="1:7" x14ac:dyDescent="0.2">
      <c r="A22" s="145" t="s">
        <v>257</v>
      </c>
      <c r="B22" s="73">
        <f>IFERROR('Alloy_compnt_G&amp;L'!B22/SUM('Alloy_compnt_G&amp;L'!B$3:B$62),0)</f>
        <v>0</v>
      </c>
      <c r="C22" s="73">
        <f>IFERROR('Alloy_compnt_G&amp;L'!C22/SUM('Alloy_compnt_G&amp;L'!C$3:C$62),0)</f>
        <v>0</v>
      </c>
      <c r="D22" s="73">
        <f>IFERROR('Alloy_compnt_G&amp;L'!D22/SUM('Alloy_compnt_G&amp;L'!D$3:D$62),0)</f>
        <v>0</v>
      </c>
      <c r="E22" s="73">
        <f>IFERROR('Alloy_compnt_G&amp;L'!E22/SUM('Alloy_compnt_G&amp;L'!E$3:E$62),0)</f>
        <v>0</v>
      </c>
      <c r="F22" s="73">
        <f>IFERROR('Alloy_compnt_G&amp;L'!F22/SUM('Alloy_compnt_G&amp;L'!F$3:F$62),0)</f>
        <v>0</v>
      </c>
      <c r="G22" s="73">
        <f>IFERROR('Alloy_compnt_G&amp;L'!G22/SUM('Alloy_compnt_G&amp;L'!G$3:G$62),0)</f>
        <v>0</v>
      </c>
    </row>
    <row r="23" spans="1:7" x14ac:dyDescent="0.2">
      <c r="A23" s="145" t="s">
        <v>258</v>
      </c>
      <c r="B23" s="73">
        <f>IFERROR('Alloy_compnt_G&amp;L'!B23/SUM('Alloy_compnt_G&amp;L'!B$3:B$62),0)</f>
        <v>0</v>
      </c>
      <c r="C23" s="73">
        <f>IFERROR('Alloy_compnt_G&amp;L'!C23/SUM('Alloy_compnt_G&amp;L'!C$3:C$62),0)</f>
        <v>0</v>
      </c>
      <c r="D23" s="73">
        <f>IFERROR('Alloy_compnt_G&amp;L'!D23/SUM('Alloy_compnt_G&amp;L'!D$3:D$62),0)</f>
        <v>0</v>
      </c>
      <c r="E23" s="73">
        <f>IFERROR('Alloy_compnt_G&amp;L'!E23/SUM('Alloy_compnt_G&amp;L'!E$3:E$62),0)</f>
        <v>0</v>
      </c>
      <c r="F23" s="73">
        <f>IFERROR('Alloy_compnt_G&amp;L'!F23/SUM('Alloy_compnt_G&amp;L'!F$3:F$62),0)</f>
        <v>0</v>
      </c>
      <c r="G23" s="73">
        <f>IFERROR('Alloy_compnt_G&amp;L'!G23/SUM('Alloy_compnt_G&amp;L'!G$3:G$62),0)</f>
        <v>0</v>
      </c>
    </row>
    <row r="24" spans="1:7" x14ac:dyDescent="0.2">
      <c r="A24" s="142" t="s">
        <v>259</v>
      </c>
      <c r="B24" s="73">
        <f>IFERROR('Alloy_compnt_G&amp;L'!B24/SUM('Alloy_compnt_G&amp;L'!B$3:B$62),0)</f>
        <v>0</v>
      </c>
      <c r="C24" s="73">
        <f>IFERROR('Alloy_compnt_G&amp;L'!C24/SUM('Alloy_compnt_G&amp;L'!C$3:C$62),0)</f>
        <v>0</v>
      </c>
      <c r="D24" s="73">
        <f>IFERROR('Alloy_compnt_G&amp;L'!D24/SUM('Alloy_compnt_G&amp;L'!D$3:D$62),0)</f>
        <v>0</v>
      </c>
      <c r="E24" s="73">
        <f>IFERROR('Alloy_compnt_G&amp;L'!E24/SUM('Alloy_compnt_G&amp;L'!E$3:E$62),0)</f>
        <v>0</v>
      </c>
      <c r="F24" s="73">
        <f>IFERROR('Alloy_compnt_G&amp;L'!F24/SUM('Alloy_compnt_G&amp;L'!F$3:F$62),0)</f>
        <v>0</v>
      </c>
      <c r="G24" s="73">
        <f>IFERROR('Alloy_compnt_G&amp;L'!G24/SUM('Alloy_compnt_G&amp;L'!G$3:G$62),0)</f>
        <v>0</v>
      </c>
    </row>
    <row r="25" spans="1:7" x14ac:dyDescent="0.2">
      <c r="A25" s="147" t="s">
        <v>260</v>
      </c>
      <c r="B25" s="73">
        <f>IFERROR('Alloy_compnt_G&amp;L'!B25/SUM('Alloy_compnt_G&amp;L'!B$3:B$62),0)</f>
        <v>0</v>
      </c>
      <c r="C25" s="73">
        <f>IFERROR('Alloy_compnt_G&amp;L'!C25/SUM('Alloy_compnt_G&amp;L'!C$3:C$62),0)</f>
        <v>0</v>
      </c>
      <c r="D25" s="73">
        <f>IFERROR('Alloy_compnt_G&amp;L'!D25/SUM('Alloy_compnt_G&amp;L'!D$3:D$62),0)</f>
        <v>0</v>
      </c>
      <c r="E25" s="73">
        <f>IFERROR('Alloy_compnt_G&amp;L'!E25/SUM('Alloy_compnt_G&amp;L'!E$3:E$62),0)</f>
        <v>0</v>
      </c>
      <c r="F25" s="73">
        <f>IFERROR('Alloy_compnt_G&amp;L'!F25/SUM('Alloy_compnt_G&amp;L'!F$3:F$62),0)</f>
        <v>0</v>
      </c>
      <c r="G25" s="73">
        <f>IFERROR('Alloy_compnt_G&amp;L'!G25/SUM('Alloy_compnt_G&amp;L'!G$3:G$62),0)</f>
        <v>0</v>
      </c>
    </row>
    <row r="26" spans="1:7" x14ac:dyDescent="0.2">
      <c r="A26" s="142" t="s">
        <v>261</v>
      </c>
      <c r="B26" s="73">
        <f>IFERROR('Alloy_compnt_G&amp;L'!B26/SUM('Alloy_compnt_G&amp;L'!B$3:B$62),0)</f>
        <v>0</v>
      </c>
      <c r="C26" s="73">
        <f>IFERROR('Alloy_compnt_G&amp;L'!C26/SUM('Alloy_compnt_G&amp;L'!C$3:C$62),0)</f>
        <v>0</v>
      </c>
      <c r="D26" s="73">
        <f>IFERROR('Alloy_compnt_G&amp;L'!D26/SUM('Alloy_compnt_G&amp;L'!D$3:D$62),0)</f>
        <v>0</v>
      </c>
      <c r="E26" s="73">
        <f>IFERROR('Alloy_compnt_G&amp;L'!E26/SUM('Alloy_compnt_G&amp;L'!E$3:E$62),0)</f>
        <v>0</v>
      </c>
      <c r="F26" s="73">
        <f>IFERROR('Alloy_compnt_G&amp;L'!F26/SUM('Alloy_compnt_G&amp;L'!F$3:F$62),0)</f>
        <v>0</v>
      </c>
      <c r="G26" s="73">
        <f>IFERROR('Alloy_compnt_G&amp;L'!G26/SUM('Alloy_compnt_G&amp;L'!G$3:G$62),0)</f>
        <v>0</v>
      </c>
    </row>
    <row r="27" spans="1:7" x14ac:dyDescent="0.2">
      <c r="A27" s="142" t="s">
        <v>262</v>
      </c>
      <c r="B27" s="73">
        <f>IFERROR('Alloy_compnt_G&amp;L'!B27/SUM('Alloy_compnt_G&amp;L'!B$3:B$62),0)</f>
        <v>0</v>
      </c>
      <c r="C27" s="73">
        <f>IFERROR('Alloy_compnt_G&amp;L'!C27/SUM('Alloy_compnt_G&amp;L'!C$3:C$62),0)</f>
        <v>0</v>
      </c>
      <c r="D27" s="73">
        <f>IFERROR('Alloy_compnt_G&amp;L'!D27/SUM('Alloy_compnt_G&amp;L'!D$3:D$62),0)</f>
        <v>0</v>
      </c>
      <c r="E27" s="73">
        <f>IFERROR('Alloy_compnt_G&amp;L'!E27/SUM('Alloy_compnt_G&amp;L'!E$3:E$62),0)</f>
        <v>0</v>
      </c>
      <c r="F27" s="73">
        <f>IFERROR('Alloy_compnt_G&amp;L'!F27/SUM('Alloy_compnt_G&amp;L'!F$3:F$62),0)</f>
        <v>0</v>
      </c>
      <c r="G27" s="73">
        <f>IFERROR('Alloy_compnt_G&amp;L'!G27/SUM('Alloy_compnt_G&amp;L'!G$3:G$62),0)</f>
        <v>0</v>
      </c>
    </row>
    <row r="28" spans="1:7" x14ac:dyDescent="0.2">
      <c r="A28" s="142" t="s">
        <v>263</v>
      </c>
      <c r="B28" s="73">
        <f>IFERROR('Alloy_compnt_G&amp;L'!B28/SUM('Alloy_compnt_G&amp;L'!B$3:B$62),0)</f>
        <v>0</v>
      </c>
      <c r="C28" s="73">
        <f>IFERROR('Alloy_compnt_G&amp;L'!C28/SUM('Alloy_compnt_G&amp;L'!C$3:C$62),0)</f>
        <v>0</v>
      </c>
      <c r="D28" s="73">
        <f>IFERROR('Alloy_compnt_G&amp;L'!D28/SUM('Alloy_compnt_G&amp;L'!D$3:D$62),0)</f>
        <v>0</v>
      </c>
      <c r="E28" s="73">
        <f>IFERROR('Alloy_compnt_G&amp;L'!E28/SUM('Alloy_compnt_G&amp;L'!E$3:E$62),0)</f>
        <v>0</v>
      </c>
      <c r="F28" s="73">
        <f>IFERROR('Alloy_compnt_G&amp;L'!F28/SUM('Alloy_compnt_G&amp;L'!F$3:F$62),0)</f>
        <v>0</v>
      </c>
      <c r="G28" s="73">
        <f>IFERROR('Alloy_compnt_G&amp;L'!G28/SUM('Alloy_compnt_G&amp;L'!G$3:G$62),0)</f>
        <v>0</v>
      </c>
    </row>
    <row r="29" spans="1:7" x14ac:dyDescent="0.2">
      <c r="A29" s="142" t="s">
        <v>264</v>
      </c>
      <c r="B29" s="73">
        <f>IFERROR('Alloy_compnt_G&amp;L'!B29/SUM('Alloy_compnt_G&amp;L'!B$3:B$62),0)</f>
        <v>7.3226470966911283E-5</v>
      </c>
      <c r="C29" s="73">
        <f>IFERROR('Alloy_compnt_G&amp;L'!C29/SUM('Alloy_compnt_G&amp;L'!C$3:C$62),0)</f>
        <v>5.8956442667169699E-3</v>
      </c>
      <c r="D29" s="73">
        <f>IFERROR('Alloy_compnt_G&amp;L'!D29/SUM('Alloy_compnt_G&amp;L'!D$3:D$62),0)</f>
        <v>7.322647096691131E-5</v>
      </c>
      <c r="E29" s="73">
        <f>IFERROR('Alloy_compnt_G&amp;L'!E29/SUM('Alloy_compnt_G&amp;L'!E$3:E$62),0)</f>
        <v>5.9734201420825047E-3</v>
      </c>
      <c r="F29" s="73">
        <f>IFERROR('Alloy_compnt_G&amp;L'!F29/SUM('Alloy_compnt_G&amp;L'!F$3:F$62),0)</f>
        <v>7.3226470966911283E-5</v>
      </c>
      <c r="G29" s="73">
        <f>IFERROR('Alloy_compnt_G&amp;L'!G29/SUM('Alloy_compnt_G&amp;L'!G$3:G$62),0)</f>
        <v>6.0195053147982019E-3</v>
      </c>
    </row>
    <row r="30" spans="1:7" x14ac:dyDescent="0.2">
      <c r="A30" s="142" t="s">
        <v>265</v>
      </c>
      <c r="B30" s="73">
        <f>IFERROR('Alloy_compnt_G&amp;L'!B30/SUM('Alloy_compnt_G&amp;L'!B$3:B$62),0)</f>
        <v>0</v>
      </c>
      <c r="C30" s="73">
        <f>IFERROR('Alloy_compnt_G&amp;L'!C30/SUM('Alloy_compnt_G&amp;L'!C$3:C$62),0)</f>
        <v>0</v>
      </c>
      <c r="D30" s="73">
        <f>IFERROR('Alloy_compnt_G&amp;L'!D30/SUM('Alloy_compnt_G&amp;L'!D$3:D$62),0)</f>
        <v>0</v>
      </c>
      <c r="E30" s="73">
        <f>IFERROR('Alloy_compnt_G&amp;L'!E30/SUM('Alloy_compnt_G&amp;L'!E$3:E$62),0)</f>
        <v>0</v>
      </c>
      <c r="F30" s="73">
        <f>IFERROR('Alloy_compnt_G&amp;L'!F30/SUM('Alloy_compnt_G&amp;L'!F$3:F$62),0)</f>
        <v>0</v>
      </c>
      <c r="G30" s="73">
        <f>IFERROR('Alloy_compnt_G&amp;L'!G30/SUM('Alloy_compnt_G&amp;L'!G$3:G$62),0)</f>
        <v>0</v>
      </c>
    </row>
    <row r="31" spans="1:7" x14ac:dyDescent="0.2">
      <c r="A31" s="142" t="s">
        <v>266</v>
      </c>
      <c r="B31" s="73">
        <f>IFERROR('Alloy_compnt_G&amp;L'!B31/SUM('Alloy_compnt_G&amp;L'!B$3:B$62),0)</f>
        <v>1.4645294193382257E-4</v>
      </c>
      <c r="C31" s="73">
        <f>IFERROR('Alloy_compnt_G&amp;L'!C31/SUM('Alloy_compnt_G&amp;L'!C$3:C$62),0)</f>
        <v>1.179128853343394E-2</v>
      </c>
      <c r="D31" s="73">
        <f>IFERROR('Alloy_compnt_G&amp;L'!D31/SUM('Alloy_compnt_G&amp;L'!D$3:D$62),0)</f>
        <v>1.4645294193382262E-4</v>
      </c>
      <c r="E31" s="73">
        <f>IFERROR('Alloy_compnt_G&amp;L'!E31/SUM('Alloy_compnt_G&amp;L'!E$3:E$62),0)</f>
        <v>1.1946840284165009E-2</v>
      </c>
      <c r="F31" s="73">
        <f>IFERROR('Alloy_compnt_G&amp;L'!F31/SUM('Alloy_compnt_G&amp;L'!F$3:F$62),0)</f>
        <v>1.4645294193382257E-4</v>
      </c>
      <c r="G31" s="73">
        <f>IFERROR('Alloy_compnt_G&amp;L'!G31/SUM('Alloy_compnt_G&amp;L'!G$3:G$62),0)</f>
        <v>1.2039010629596404E-2</v>
      </c>
    </row>
    <row r="32" spans="1:7" x14ac:dyDescent="0.2">
      <c r="A32" s="142" t="s">
        <v>267</v>
      </c>
      <c r="B32" s="73">
        <f>IFERROR('Alloy_compnt_G&amp;L'!B32/SUM('Alloy_compnt_G&amp;L'!B$3:B$62),0)</f>
        <v>4.3935882580146762E-4</v>
      </c>
      <c r="C32" s="73">
        <f>IFERROR('Alloy_compnt_G&amp;L'!C32/SUM('Alloy_compnt_G&amp;L'!C$3:C$62),0)</f>
        <v>3.537386560030182E-2</v>
      </c>
      <c r="D32" s="73">
        <f>IFERROR('Alloy_compnt_G&amp;L'!D32/SUM('Alloy_compnt_G&amp;L'!D$3:D$62),0)</f>
        <v>4.3935882580146783E-4</v>
      </c>
      <c r="E32" s="73">
        <f>IFERROR('Alloy_compnt_G&amp;L'!E32/SUM('Alloy_compnt_G&amp;L'!E$3:E$62),0)</f>
        <v>3.584052085249502E-2</v>
      </c>
      <c r="F32" s="73">
        <f>IFERROR('Alloy_compnt_G&amp;L'!F32/SUM('Alloy_compnt_G&amp;L'!F$3:F$62),0)</f>
        <v>4.3935882580146762E-4</v>
      </c>
      <c r="G32" s="73">
        <f>IFERROR('Alloy_compnt_G&amp;L'!G32/SUM('Alloy_compnt_G&amp;L'!G$3:G$62),0)</f>
        <v>3.611703188878921E-2</v>
      </c>
    </row>
    <row r="33" spans="1:7" x14ac:dyDescent="0.2">
      <c r="A33" s="142" t="s">
        <v>268</v>
      </c>
      <c r="B33" s="73">
        <f>IFERROR('Alloy_compnt_G&amp;L'!B33/SUM('Alloy_compnt_G&amp;L'!B$3:B$62),0)</f>
        <v>1.4645294193382257E-4</v>
      </c>
      <c r="C33" s="73">
        <f>IFERROR('Alloy_compnt_G&amp;L'!C33/SUM('Alloy_compnt_G&amp;L'!C$3:C$62),0)</f>
        <v>1.179128853343394E-2</v>
      </c>
      <c r="D33" s="73">
        <f>IFERROR('Alloy_compnt_G&amp;L'!D33/SUM('Alloy_compnt_G&amp;L'!D$3:D$62),0)</f>
        <v>1.4645294193382262E-4</v>
      </c>
      <c r="E33" s="73">
        <f>IFERROR('Alloy_compnt_G&amp;L'!E33/SUM('Alloy_compnt_G&amp;L'!E$3:E$62),0)</f>
        <v>1.1946840284165009E-2</v>
      </c>
      <c r="F33" s="73">
        <f>IFERROR('Alloy_compnt_G&amp;L'!F33/SUM('Alloy_compnt_G&amp;L'!F$3:F$62),0)</f>
        <v>1.4645294193382257E-4</v>
      </c>
      <c r="G33" s="73">
        <f>IFERROR('Alloy_compnt_G&amp;L'!G33/SUM('Alloy_compnt_G&amp;L'!G$3:G$62),0)</f>
        <v>1.2039010629596404E-2</v>
      </c>
    </row>
    <row r="34" spans="1:7" x14ac:dyDescent="0.2">
      <c r="A34" s="142" t="s">
        <v>269</v>
      </c>
      <c r="B34" s="73">
        <f>IFERROR('Alloy_compnt_G&amp;L'!B34/SUM('Alloy_compnt_G&amp;L'!B$3:B$62),0)</f>
        <v>3.2951911935110074E-4</v>
      </c>
      <c r="C34" s="73">
        <f>IFERROR('Alloy_compnt_G&amp;L'!C34/SUM('Alloy_compnt_G&amp;L'!C$3:C$62),0)</f>
        <v>2.6530399200226366E-2</v>
      </c>
      <c r="D34" s="73">
        <f>IFERROR('Alloy_compnt_G&amp;L'!D34/SUM('Alloy_compnt_G&amp;L'!D$3:D$62),0)</f>
        <v>3.2951911935110085E-4</v>
      </c>
      <c r="E34" s="73">
        <f>IFERROR('Alloy_compnt_G&amp;L'!E34/SUM('Alloy_compnt_G&amp;L'!E$3:E$62),0)</f>
        <v>2.6880390639371268E-2</v>
      </c>
      <c r="F34" s="73">
        <f>IFERROR('Alloy_compnt_G&amp;L'!F34/SUM('Alloy_compnt_G&amp;L'!F$3:F$62),0)</f>
        <v>3.2951911935110074E-4</v>
      </c>
      <c r="G34" s="73">
        <f>IFERROR('Alloy_compnt_G&amp;L'!G34/SUM('Alloy_compnt_G&amp;L'!G$3:G$62),0)</f>
        <v>2.7087773916591906E-2</v>
      </c>
    </row>
    <row r="35" spans="1:7" x14ac:dyDescent="0.2">
      <c r="A35" s="142" t="s">
        <v>270</v>
      </c>
      <c r="B35" s="73">
        <f>IFERROR('Alloy_compnt_G&amp;L'!B35/SUM('Alloy_compnt_G&amp;L'!B$3:B$62),0)</f>
        <v>0</v>
      </c>
      <c r="C35" s="73">
        <f>IFERROR('Alloy_compnt_G&amp;L'!C35/SUM('Alloy_compnt_G&amp;L'!C$3:C$62),0)</f>
        <v>0</v>
      </c>
      <c r="D35" s="73">
        <f>IFERROR('Alloy_compnt_G&amp;L'!D35/SUM('Alloy_compnt_G&amp;L'!D$3:D$62),0)</f>
        <v>0</v>
      </c>
      <c r="E35" s="73">
        <f>IFERROR('Alloy_compnt_G&amp;L'!E35/SUM('Alloy_compnt_G&amp;L'!E$3:E$62),0)</f>
        <v>0</v>
      </c>
      <c r="F35" s="73">
        <f>IFERROR('Alloy_compnt_G&amp;L'!F35/SUM('Alloy_compnt_G&amp;L'!F$3:F$62),0)</f>
        <v>0</v>
      </c>
      <c r="G35" s="73">
        <f>IFERROR('Alloy_compnt_G&amp;L'!G35/SUM('Alloy_compnt_G&amp;L'!G$3:G$62),0)</f>
        <v>0</v>
      </c>
    </row>
    <row r="36" spans="1:7" x14ac:dyDescent="0.2">
      <c r="A36" s="142" t="s">
        <v>271</v>
      </c>
      <c r="B36" s="73">
        <f>IFERROR('Alloy_compnt_G&amp;L'!B36/SUM('Alloy_compnt_G&amp;L'!B$3:B$62),0)</f>
        <v>0</v>
      </c>
      <c r="C36" s="73">
        <f>IFERROR('Alloy_compnt_G&amp;L'!C36/SUM('Alloy_compnt_G&amp;L'!C$3:C$62),0)</f>
        <v>0</v>
      </c>
      <c r="D36" s="73">
        <f>IFERROR('Alloy_compnt_G&amp;L'!D36/SUM('Alloy_compnt_G&amp;L'!D$3:D$62),0)</f>
        <v>0</v>
      </c>
      <c r="E36" s="73">
        <f>IFERROR('Alloy_compnt_G&amp;L'!E36/SUM('Alloy_compnt_G&amp;L'!E$3:E$62),0)</f>
        <v>0</v>
      </c>
      <c r="F36" s="73">
        <f>IFERROR('Alloy_compnt_G&amp;L'!F36/SUM('Alloy_compnt_G&amp;L'!F$3:F$62),0)</f>
        <v>0</v>
      </c>
      <c r="G36" s="73">
        <f>IFERROR('Alloy_compnt_G&amp;L'!G36/SUM('Alloy_compnt_G&amp;L'!G$3:G$62),0)</f>
        <v>0</v>
      </c>
    </row>
    <row r="37" spans="1:7" x14ac:dyDescent="0.2">
      <c r="A37" s="142" t="s">
        <v>272</v>
      </c>
      <c r="B37" s="73">
        <f>IFERROR('Alloy_compnt_G&amp;L'!B37/SUM('Alloy_compnt_G&amp;L'!B$3:B$62),0)</f>
        <v>0</v>
      </c>
      <c r="C37" s="73">
        <f>IFERROR('Alloy_compnt_G&amp;L'!C37/SUM('Alloy_compnt_G&amp;L'!C$3:C$62),0)</f>
        <v>0</v>
      </c>
      <c r="D37" s="73">
        <f>IFERROR('Alloy_compnt_G&amp;L'!D37/SUM('Alloy_compnt_G&amp;L'!D$3:D$62),0)</f>
        <v>0</v>
      </c>
      <c r="E37" s="73">
        <f>IFERROR('Alloy_compnt_G&amp;L'!E37/SUM('Alloy_compnt_G&amp;L'!E$3:E$62),0)</f>
        <v>0</v>
      </c>
      <c r="F37" s="73">
        <f>IFERROR('Alloy_compnt_G&amp;L'!F37/SUM('Alloy_compnt_G&amp;L'!F$3:F$62),0)</f>
        <v>0</v>
      </c>
      <c r="G37" s="73">
        <f>IFERROR('Alloy_compnt_G&amp;L'!G37/SUM('Alloy_compnt_G&amp;L'!G$3:G$62),0)</f>
        <v>0</v>
      </c>
    </row>
    <row r="38" spans="1:7" x14ac:dyDescent="0.2">
      <c r="A38" s="142" t="s">
        <v>273</v>
      </c>
      <c r="B38" s="73">
        <f>IFERROR('Alloy_compnt_G&amp;L'!B38/SUM('Alloy_compnt_G&amp;L'!B$3:B$62),0)</f>
        <v>0</v>
      </c>
      <c r="C38" s="73">
        <f>IFERROR('Alloy_compnt_G&amp;L'!C38/SUM('Alloy_compnt_G&amp;L'!C$3:C$62),0)</f>
        <v>0</v>
      </c>
      <c r="D38" s="73">
        <f>IFERROR('Alloy_compnt_G&amp;L'!D38/SUM('Alloy_compnt_G&amp;L'!D$3:D$62),0)</f>
        <v>0</v>
      </c>
      <c r="E38" s="73">
        <f>IFERROR('Alloy_compnt_G&amp;L'!E38/SUM('Alloy_compnt_G&amp;L'!E$3:E$62),0)</f>
        <v>0</v>
      </c>
      <c r="F38" s="73">
        <f>IFERROR('Alloy_compnt_G&amp;L'!F38/SUM('Alloy_compnt_G&amp;L'!F$3:F$62),0)</f>
        <v>0</v>
      </c>
      <c r="G38" s="73">
        <f>IFERROR('Alloy_compnt_G&amp;L'!G38/SUM('Alloy_compnt_G&amp;L'!G$3:G$62),0)</f>
        <v>0</v>
      </c>
    </row>
    <row r="39" spans="1:7" x14ac:dyDescent="0.2">
      <c r="A39" s="142" t="s">
        <v>274</v>
      </c>
      <c r="B39" s="73">
        <f>IFERROR('Alloy_compnt_G&amp;L'!B39/SUM('Alloy_compnt_G&amp;L'!B$3:B$62),0)</f>
        <v>0</v>
      </c>
      <c r="C39" s="73">
        <f>IFERROR('Alloy_compnt_G&amp;L'!C39/SUM('Alloy_compnt_G&amp;L'!C$3:C$62),0)</f>
        <v>0</v>
      </c>
      <c r="D39" s="73">
        <f>IFERROR('Alloy_compnt_G&amp;L'!D39/SUM('Alloy_compnt_G&amp;L'!D$3:D$62),0)</f>
        <v>0</v>
      </c>
      <c r="E39" s="73">
        <f>IFERROR('Alloy_compnt_G&amp;L'!E39/SUM('Alloy_compnt_G&amp;L'!E$3:E$62),0)</f>
        <v>0</v>
      </c>
      <c r="F39" s="73">
        <f>IFERROR('Alloy_compnt_G&amp;L'!F39/SUM('Alloy_compnt_G&amp;L'!F$3:F$62),0)</f>
        <v>0</v>
      </c>
      <c r="G39" s="73">
        <f>IFERROR('Alloy_compnt_G&amp;L'!G39/SUM('Alloy_compnt_G&amp;L'!G$3:G$62),0)</f>
        <v>0</v>
      </c>
    </row>
    <row r="40" spans="1:7" x14ac:dyDescent="0.2">
      <c r="A40" s="142" t="s">
        <v>275</v>
      </c>
      <c r="B40" s="73">
        <f>IFERROR('Alloy_compnt_G&amp;L'!B40/SUM('Alloy_compnt_G&amp;L'!B$3:B$62),0)</f>
        <v>0</v>
      </c>
      <c r="C40" s="73">
        <f>IFERROR('Alloy_compnt_G&amp;L'!C40/SUM('Alloy_compnt_G&amp;L'!C$3:C$62),0)</f>
        <v>0</v>
      </c>
      <c r="D40" s="73">
        <f>IFERROR('Alloy_compnt_G&amp;L'!D40/SUM('Alloy_compnt_G&amp;L'!D$3:D$62),0)</f>
        <v>0</v>
      </c>
      <c r="E40" s="73">
        <f>IFERROR('Alloy_compnt_G&amp;L'!E40/SUM('Alloy_compnt_G&amp;L'!E$3:E$62),0)</f>
        <v>0</v>
      </c>
      <c r="F40" s="73">
        <f>IFERROR('Alloy_compnt_G&amp;L'!F40/SUM('Alloy_compnt_G&amp;L'!F$3:F$62),0)</f>
        <v>0</v>
      </c>
      <c r="G40" s="73">
        <f>IFERROR('Alloy_compnt_G&amp;L'!G40/SUM('Alloy_compnt_G&amp;L'!G$3:G$62),0)</f>
        <v>0</v>
      </c>
    </row>
    <row r="41" spans="1:7" x14ac:dyDescent="0.2">
      <c r="A41" s="142" t="s">
        <v>276</v>
      </c>
      <c r="B41" s="73">
        <f>IFERROR('Alloy_compnt_G&amp;L'!B41/SUM('Alloy_compnt_G&amp;L'!B$3:B$62),0)</f>
        <v>1.830661774172782E-4</v>
      </c>
      <c r="C41" s="73">
        <f>IFERROR('Alloy_compnt_G&amp;L'!C41/SUM('Alloy_compnt_G&amp;L'!C$3:C$62),0)</f>
        <v>1.4739110666792427E-2</v>
      </c>
      <c r="D41" s="73">
        <f>IFERROR('Alloy_compnt_G&amp;L'!D41/SUM('Alloy_compnt_G&amp;L'!D$3:D$62),0)</f>
        <v>1.8306617741727825E-4</v>
      </c>
      <c r="E41" s="73">
        <f>IFERROR('Alloy_compnt_G&amp;L'!E41/SUM('Alloy_compnt_G&amp;L'!E$3:E$62),0)</f>
        <v>1.4933550355206261E-2</v>
      </c>
      <c r="F41" s="73">
        <f>IFERROR('Alloy_compnt_G&amp;L'!F41/SUM('Alloy_compnt_G&amp;L'!F$3:F$62),0)</f>
        <v>1.830661774172782E-4</v>
      </c>
      <c r="G41" s="73">
        <f>IFERROR('Alloy_compnt_G&amp;L'!G41/SUM('Alloy_compnt_G&amp;L'!G$3:G$62),0)</f>
        <v>1.5048763286995505E-2</v>
      </c>
    </row>
    <row r="42" spans="1:7" x14ac:dyDescent="0.2">
      <c r="A42" s="144" t="s">
        <v>277</v>
      </c>
      <c r="B42" s="73">
        <f>IFERROR('Alloy_compnt_G&amp;L'!B42/SUM('Alloy_compnt_G&amp;L'!B$3:B$62),0)</f>
        <v>0</v>
      </c>
      <c r="C42" s="73">
        <f>IFERROR('Alloy_compnt_G&amp;L'!C42/SUM('Alloy_compnt_G&amp;L'!C$3:C$62),0)</f>
        <v>0</v>
      </c>
      <c r="D42" s="73">
        <f>IFERROR('Alloy_compnt_G&amp;L'!D42/SUM('Alloy_compnt_G&amp;L'!D$3:D$62),0)</f>
        <v>0</v>
      </c>
      <c r="E42" s="73">
        <f>IFERROR('Alloy_compnt_G&amp;L'!E42/SUM('Alloy_compnt_G&amp;L'!E$3:E$62),0)</f>
        <v>0</v>
      </c>
      <c r="F42" s="73">
        <f>IFERROR('Alloy_compnt_G&amp;L'!F42/SUM('Alloy_compnt_G&amp;L'!F$3:F$62),0)</f>
        <v>0</v>
      </c>
      <c r="G42" s="73">
        <f>IFERROR('Alloy_compnt_G&amp;L'!G42/SUM('Alloy_compnt_G&amp;L'!G$3:G$62),0)</f>
        <v>0</v>
      </c>
    </row>
    <row r="43" spans="1:7" x14ac:dyDescent="0.2">
      <c r="A43" s="148" t="s">
        <v>278</v>
      </c>
      <c r="B43" s="73">
        <f>IFERROR('Alloy_compnt_G&amp;L'!B43/SUM('Alloy_compnt_G&amp;L'!B$3:B$62),0)</f>
        <v>0</v>
      </c>
      <c r="C43" s="73">
        <f>IFERROR('Alloy_compnt_G&amp;L'!C43/SUM('Alloy_compnt_G&amp;L'!C$3:C$62),0)</f>
        <v>0</v>
      </c>
      <c r="D43" s="73">
        <f>IFERROR('Alloy_compnt_G&amp;L'!D43/SUM('Alloy_compnt_G&amp;L'!D$3:D$62),0)</f>
        <v>0</v>
      </c>
      <c r="E43" s="73">
        <f>IFERROR('Alloy_compnt_G&amp;L'!E43/SUM('Alloy_compnt_G&amp;L'!E$3:E$62),0)</f>
        <v>0</v>
      </c>
      <c r="F43" s="73">
        <f>IFERROR('Alloy_compnt_G&amp;L'!F43/SUM('Alloy_compnt_G&amp;L'!F$3:F$62),0)</f>
        <v>0</v>
      </c>
      <c r="G43" s="73">
        <f>IFERROR('Alloy_compnt_G&amp;L'!G43/SUM('Alloy_compnt_G&amp;L'!G$3:G$62),0)</f>
        <v>0</v>
      </c>
    </row>
    <row r="44" spans="1:7" x14ac:dyDescent="0.2">
      <c r="A44" s="148" t="s">
        <v>279</v>
      </c>
      <c r="B44" s="73">
        <f>IFERROR('Alloy_compnt_G&amp;L'!B44/SUM('Alloy_compnt_G&amp;L'!B$3:B$62),0)</f>
        <v>0</v>
      </c>
      <c r="C44" s="73">
        <f>IFERROR('Alloy_compnt_G&amp;L'!C44/SUM('Alloy_compnt_G&amp;L'!C$3:C$62),0)</f>
        <v>0</v>
      </c>
      <c r="D44" s="73">
        <f>IFERROR('Alloy_compnt_G&amp;L'!D44/SUM('Alloy_compnt_G&amp;L'!D$3:D$62),0)</f>
        <v>0</v>
      </c>
      <c r="E44" s="73">
        <f>IFERROR('Alloy_compnt_G&amp;L'!E44/SUM('Alloy_compnt_G&amp;L'!E$3:E$62),0)</f>
        <v>0</v>
      </c>
      <c r="F44" s="73">
        <f>IFERROR('Alloy_compnt_G&amp;L'!F44/SUM('Alloy_compnt_G&amp;L'!F$3:F$62),0)</f>
        <v>0</v>
      </c>
      <c r="G44" s="73">
        <f>IFERROR('Alloy_compnt_G&amp;L'!G44/SUM('Alloy_compnt_G&amp;L'!G$3:G$62),0)</f>
        <v>0</v>
      </c>
    </row>
    <row r="45" spans="1:7" x14ac:dyDescent="0.2">
      <c r="A45" s="148" t="s">
        <v>280</v>
      </c>
      <c r="B45" s="73">
        <f>IFERROR('Alloy_compnt_G&amp;L'!B45/SUM('Alloy_compnt_G&amp;L'!B$3:B$62),0)</f>
        <v>0</v>
      </c>
      <c r="C45" s="73">
        <f>IFERROR('Alloy_compnt_G&amp;L'!C45/SUM('Alloy_compnt_G&amp;L'!C$3:C$62),0)</f>
        <v>0</v>
      </c>
      <c r="D45" s="73">
        <f>IFERROR('Alloy_compnt_G&amp;L'!D45/SUM('Alloy_compnt_G&amp;L'!D$3:D$62),0)</f>
        <v>0</v>
      </c>
      <c r="E45" s="73">
        <f>IFERROR('Alloy_compnt_G&amp;L'!E45/SUM('Alloy_compnt_G&amp;L'!E$3:E$62),0)</f>
        <v>0</v>
      </c>
      <c r="F45" s="73">
        <f>IFERROR('Alloy_compnt_G&amp;L'!F45/SUM('Alloy_compnt_G&amp;L'!F$3:F$62),0)</f>
        <v>0</v>
      </c>
      <c r="G45" s="73">
        <f>IFERROR('Alloy_compnt_G&amp;L'!G45/SUM('Alloy_compnt_G&amp;L'!G$3:G$62),0)</f>
        <v>0</v>
      </c>
    </row>
    <row r="46" spans="1:7" x14ac:dyDescent="0.2">
      <c r="A46" s="148" t="s">
        <v>281</v>
      </c>
      <c r="B46" s="73">
        <f>IFERROR('Alloy_compnt_G&amp;L'!B46/SUM('Alloy_compnt_G&amp;L'!B$3:B$62),0)</f>
        <v>0</v>
      </c>
      <c r="C46" s="73">
        <f>IFERROR('Alloy_compnt_G&amp;L'!C46/SUM('Alloy_compnt_G&amp;L'!C$3:C$62),0)</f>
        <v>0</v>
      </c>
      <c r="D46" s="73">
        <f>IFERROR('Alloy_compnt_G&amp;L'!D46/SUM('Alloy_compnt_G&amp;L'!D$3:D$62),0)</f>
        <v>0</v>
      </c>
      <c r="E46" s="73">
        <f>IFERROR('Alloy_compnt_G&amp;L'!E46/SUM('Alloy_compnt_G&amp;L'!E$3:E$62),0)</f>
        <v>0</v>
      </c>
      <c r="F46" s="73">
        <f>IFERROR('Alloy_compnt_G&amp;L'!F46/SUM('Alloy_compnt_G&amp;L'!F$3:F$62),0)</f>
        <v>0</v>
      </c>
      <c r="G46" s="73">
        <f>IFERROR('Alloy_compnt_G&amp;L'!G46/SUM('Alloy_compnt_G&amp;L'!G$3:G$62),0)</f>
        <v>0</v>
      </c>
    </row>
    <row r="47" spans="1:7" x14ac:dyDescent="0.2">
      <c r="A47" s="148" t="s">
        <v>282</v>
      </c>
      <c r="B47" s="73">
        <f>IFERROR('Alloy_compnt_G&amp;L'!B47/SUM('Alloy_compnt_G&amp;L'!B$3:B$62),0)</f>
        <v>0</v>
      </c>
      <c r="C47" s="73">
        <f>IFERROR('Alloy_compnt_G&amp;L'!C47/SUM('Alloy_compnt_G&amp;L'!C$3:C$62),0)</f>
        <v>0</v>
      </c>
      <c r="D47" s="73">
        <f>IFERROR('Alloy_compnt_G&amp;L'!D47/SUM('Alloy_compnt_G&amp;L'!D$3:D$62),0)</f>
        <v>0</v>
      </c>
      <c r="E47" s="73">
        <f>IFERROR('Alloy_compnt_G&amp;L'!E47/SUM('Alloy_compnt_G&amp;L'!E$3:E$62),0)</f>
        <v>0</v>
      </c>
      <c r="F47" s="73">
        <f>IFERROR('Alloy_compnt_G&amp;L'!F47/SUM('Alloy_compnt_G&amp;L'!F$3:F$62),0)</f>
        <v>0</v>
      </c>
      <c r="G47" s="73">
        <f>IFERROR('Alloy_compnt_G&amp;L'!G47/SUM('Alloy_compnt_G&amp;L'!G$3:G$62),0)</f>
        <v>0</v>
      </c>
    </row>
    <row r="48" spans="1:7" x14ac:dyDescent="0.2">
      <c r="A48" s="148" t="s">
        <v>283</v>
      </c>
      <c r="B48" s="73">
        <f>IFERROR('Alloy_compnt_G&amp;L'!B48/SUM('Alloy_compnt_G&amp;L'!B$3:B$62),0)</f>
        <v>0</v>
      </c>
      <c r="C48" s="73">
        <f>IFERROR('Alloy_compnt_G&amp;L'!C48/SUM('Alloy_compnt_G&amp;L'!C$3:C$62),0)</f>
        <v>0</v>
      </c>
      <c r="D48" s="73">
        <f>IFERROR('Alloy_compnt_G&amp;L'!D48/SUM('Alloy_compnt_G&amp;L'!D$3:D$62),0)</f>
        <v>0</v>
      </c>
      <c r="E48" s="73">
        <f>IFERROR('Alloy_compnt_G&amp;L'!E48/SUM('Alloy_compnt_G&amp;L'!E$3:E$62),0)</f>
        <v>0</v>
      </c>
      <c r="F48" s="73">
        <f>IFERROR('Alloy_compnt_G&amp;L'!F48/SUM('Alloy_compnt_G&amp;L'!F$3:F$62),0)</f>
        <v>0</v>
      </c>
      <c r="G48" s="73">
        <f>IFERROR('Alloy_compnt_G&amp;L'!G48/SUM('Alloy_compnt_G&amp;L'!G$3:G$62),0)</f>
        <v>0</v>
      </c>
    </row>
    <row r="49" spans="1:7" x14ac:dyDescent="0.2">
      <c r="A49" s="148" t="s">
        <v>284</v>
      </c>
      <c r="B49" s="73">
        <f>IFERROR('Alloy_compnt_G&amp;L'!B49/SUM('Alloy_compnt_G&amp;L'!B$3:B$62),0)</f>
        <v>0</v>
      </c>
      <c r="C49" s="73">
        <f>IFERROR('Alloy_compnt_G&amp;L'!C49/SUM('Alloy_compnt_G&amp;L'!C$3:C$62),0)</f>
        <v>0</v>
      </c>
      <c r="D49" s="73">
        <f>IFERROR('Alloy_compnt_G&amp;L'!D49/SUM('Alloy_compnt_G&amp;L'!D$3:D$62),0)</f>
        <v>0</v>
      </c>
      <c r="E49" s="73">
        <f>IFERROR('Alloy_compnt_G&amp;L'!E49/SUM('Alloy_compnt_G&amp;L'!E$3:E$62),0)</f>
        <v>0</v>
      </c>
      <c r="F49" s="73">
        <f>IFERROR('Alloy_compnt_G&amp;L'!F49/SUM('Alloy_compnt_G&amp;L'!F$3:F$62),0)</f>
        <v>0</v>
      </c>
      <c r="G49" s="73">
        <f>IFERROR('Alloy_compnt_G&amp;L'!G49/SUM('Alloy_compnt_G&amp;L'!G$3:G$62),0)</f>
        <v>0</v>
      </c>
    </row>
    <row r="50" spans="1:7" x14ac:dyDescent="0.2">
      <c r="A50" s="148" t="s">
        <v>285</v>
      </c>
      <c r="B50" s="73">
        <f>IFERROR('Alloy_compnt_G&amp;L'!B50/SUM('Alloy_compnt_G&amp;L'!B$3:B$62),0)</f>
        <v>0</v>
      </c>
      <c r="C50" s="73">
        <f>IFERROR('Alloy_compnt_G&amp;L'!C50/SUM('Alloy_compnt_G&amp;L'!C$3:C$62),0)</f>
        <v>0</v>
      </c>
      <c r="D50" s="73">
        <f>IFERROR('Alloy_compnt_G&amp;L'!D50/SUM('Alloy_compnt_G&amp;L'!D$3:D$62),0)</f>
        <v>0</v>
      </c>
      <c r="E50" s="73">
        <f>IFERROR('Alloy_compnt_G&amp;L'!E50/SUM('Alloy_compnt_G&amp;L'!E$3:E$62),0)</f>
        <v>0</v>
      </c>
      <c r="F50" s="73">
        <f>IFERROR('Alloy_compnt_G&amp;L'!F50/SUM('Alloy_compnt_G&amp;L'!F$3:F$62),0)</f>
        <v>0</v>
      </c>
      <c r="G50" s="73">
        <f>IFERROR('Alloy_compnt_G&amp;L'!G50/SUM('Alloy_compnt_G&amp;L'!G$3:G$62),0)</f>
        <v>0</v>
      </c>
    </row>
    <row r="51" spans="1:7" x14ac:dyDescent="0.2">
      <c r="A51" s="147" t="s">
        <v>286</v>
      </c>
      <c r="B51" s="73">
        <f>IFERROR('Alloy_compnt_G&amp;L'!B51/SUM('Alloy_compnt_G&amp;L'!B$3:B$62),0)</f>
        <v>8.8209733487833123E-3</v>
      </c>
      <c r="C51" s="73">
        <f>IFERROR('Alloy_compnt_G&amp;L'!C51/SUM('Alloy_compnt_G&amp;L'!C$3:C$62),0)</f>
        <v>0.71019837859067492</v>
      </c>
      <c r="D51" s="73">
        <f>IFERROR('Alloy_compnt_G&amp;L'!D51/SUM('Alloy_compnt_G&amp;L'!D$3:D$62),0)</f>
        <v>8.820973348783314E-3</v>
      </c>
      <c r="E51" s="73">
        <f>IFERROR('Alloy_compnt_G&amp;L'!E51/SUM('Alloy_compnt_G&amp;L'!E$3:E$62),0)</f>
        <v>0.71956738019240019</v>
      </c>
      <c r="F51" s="73">
        <f>IFERROR('Alloy_compnt_G&amp;L'!F51/SUM('Alloy_compnt_G&amp;L'!F$3:F$62),0)</f>
        <v>8.8209733487833106E-3</v>
      </c>
      <c r="G51" s="73">
        <f>IFERROR('Alloy_compnt_G&amp;L'!G51/SUM('Alloy_compnt_G&amp;L'!G$3:G$62),0)</f>
        <v>0.72511887099799865</v>
      </c>
    </row>
    <row r="52" spans="1:7" x14ac:dyDescent="0.2">
      <c r="A52" s="142" t="s">
        <v>287</v>
      </c>
      <c r="B52" s="73">
        <f>IFERROR('Alloy_compnt_G&amp;L'!B52/SUM('Alloy_compnt_G&amp;L'!B$3:B$62),0)</f>
        <v>0</v>
      </c>
      <c r="C52" s="73">
        <f>IFERROR('Alloy_compnt_G&amp;L'!C52/SUM('Alloy_compnt_G&amp;L'!C$3:C$62),0)</f>
        <v>0</v>
      </c>
      <c r="D52" s="73">
        <f>IFERROR('Alloy_compnt_G&amp;L'!D52/SUM('Alloy_compnt_G&amp;L'!D$3:D$62),0)</f>
        <v>0</v>
      </c>
      <c r="E52" s="73">
        <f>IFERROR('Alloy_compnt_G&amp;L'!E52/SUM('Alloy_compnt_G&amp;L'!E$3:E$62),0)</f>
        <v>0</v>
      </c>
      <c r="F52" s="73">
        <f>IFERROR('Alloy_compnt_G&amp;L'!F52/SUM('Alloy_compnt_G&amp;L'!F$3:F$62),0)</f>
        <v>0</v>
      </c>
      <c r="G52" s="73">
        <f>IFERROR('Alloy_compnt_G&amp;L'!G52/SUM('Alloy_compnt_G&amp;L'!G$3:G$62),0)</f>
        <v>0</v>
      </c>
    </row>
    <row r="53" spans="1:7" x14ac:dyDescent="0.2">
      <c r="A53" s="142" t="s">
        <v>288</v>
      </c>
      <c r="B53" s="73">
        <f>IFERROR('Alloy_compnt_G&amp;L'!B53/SUM('Alloy_compnt_G&amp;L'!B$3:B$62),0)</f>
        <v>0</v>
      </c>
      <c r="C53" s="73">
        <f>IFERROR('Alloy_compnt_G&amp;L'!C53/SUM('Alloy_compnt_G&amp;L'!C$3:C$62),0)</f>
        <v>0</v>
      </c>
      <c r="D53" s="73">
        <f>IFERROR('Alloy_compnt_G&amp;L'!D53/SUM('Alloy_compnt_G&amp;L'!D$3:D$62),0)</f>
        <v>0</v>
      </c>
      <c r="E53" s="73">
        <f>IFERROR('Alloy_compnt_G&amp;L'!E53/SUM('Alloy_compnt_G&amp;L'!E$3:E$62),0)</f>
        <v>0</v>
      </c>
      <c r="F53" s="73">
        <f>IFERROR('Alloy_compnt_G&amp;L'!F53/SUM('Alloy_compnt_G&amp;L'!F$3:F$62),0)</f>
        <v>0</v>
      </c>
      <c r="G53" s="73">
        <f>IFERROR('Alloy_compnt_G&amp;L'!G53/SUM('Alloy_compnt_G&amp;L'!G$3:G$62),0)</f>
        <v>0</v>
      </c>
    </row>
    <row r="54" spans="1:7" x14ac:dyDescent="0.2">
      <c r="A54" s="142" t="s">
        <v>289</v>
      </c>
      <c r="B54" s="73">
        <f>IFERROR('Alloy_compnt_G&amp;L'!B54/SUM('Alloy_compnt_G&amp;L'!B$3:B$62),0)</f>
        <v>0</v>
      </c>
      <c r="C54" s="73">
        <f>IFERROR('Alloy_compnt_G&amp;L'!C54/SUM('Alloy_compnt_G&amp;L'!C$3:C$62),0)</f>
        <v>0</v>
      </c>
      <c r="D54" s="73">
        <f>IFERROR('Alloy_compnt_G&amp;L'!D54/SUM('Alloy_compnt_G&amp;L'!D$3:D$62),0)</f>
        <v>0</v>
      </c>
      <c r="E54" s="73">
        <f>IFERROR('Alloy_compnt_G&amp;L'!E54/SUM('Alloy_compnt_G&amp;L'!E$3:E$62),0)</f>
        <v>0</v>
      </c>
      <c r="F54" s="73">
        <f>IFERROR('Alloy_compnt_G&amp;L'!F54/SUM('Alloy_compnt_G&amp;L'!F$3:F$62),0)</f>
        <v>0</v>
      </c>
      <c r="G54" s="73">
        <f>IFERROR('Alloy_compnt_G&amp;L'!G54/SUM('Alloy_compnt_G&amp;L'!G$3:G$62),0)</f>
        <v>0</v>
      </c>
    </row>
    <row r="55" spans="1:7" x14ac:dyDescent="0.2">
      <c r="A55" s="142" t="s">
        <v>290</v>
      </c>
      <c r="B55" s="73">
        <f>IFERROR('Alloy_compnt_G&amp;L'!B55/SUM('Alloy_compnt_G&amp;L'!B$3:B$62),0)</f>
        <v>0</v>
      </c>
      <c r="C55" s="73">
        <f>IFERROR('Alloy_compnt_G&amp;L'!C55/SUM('Alloy_compnt_G&amp;L'!C$3:C$62),0)</f>
        <v>0</v>
      </c>
      <c r="D55" s="73">
        <f>IFERROR('Alloy_compnt_G&amp;L'!D55/SUM('Alloy_compnt_G&amp;L'!D$3:D$62),0)</f>
        <v>0</v>
      </c>
      <c r="E55" s="73">
        <f>IFERROR('Alloy_compnt_G&amp;L'!E55/SUM('Alloy_compnt_G&amp;L'!E$3:E$62),0)</f>
        <v>0</v>
      </c>
      <c r="F55" s="73">
        <f>IFERROR('Alloy_compnt_G&amp;L'!F55/SUM('Alloy_compnt_G&amp;L'!F$3:F$62),0)</f>
        <v>0</v>
      </c>
      <c r="G55" s="73">
        <f>IFERROR('Alloy_compnt_G&amp;L'!G55/SUM('Alloy_compnt_G&amp;L'!G$3:G$62),0)</f>
        <v>0</v>
      </c>
    </row>
    <row r="56" spans="1:7" x14ac:dyDescent="0.2">
      <c r="A56" s="142" t="s">
        <v>291</v>
      </c>
      <c r="B56" s="73">
        <f>IFERROR('Alloy_compnt_G&amp;L'!B56/SUM('Alloy_compnt_G&amp;L'!B$3:B$62),0)</f>
        <v>0</v>
      </c>
      <c r="C56" s="73">
        <f>IFERROR('Alloy_compnt_G&amp;L'!C56/SUM('Alloy_compnt_G&amp;L'!C$3:C$62),0)</f>
        <v>0</v>
      </c>
      <c r="D56" s="73">
        <f>IFERROR('Alloy_compnt_G&amp;L'!D56/SUM('Alloy_compnt_G&amp;L'!D$3:D$62),0)</f>
        <v>0</v>
      </c>
      <c r="E56" s="73">
        <f>IFERROR('Alloy_compnt_G&amp;L'!E56/SUM('Alloy_compnt_G&amp;L'!E$3:E$62),0)</f>
        <v>0</v>
      </c>
      <c r="F56" s="73">
        <f>IFERROR('Alloy_compnt_G&amp;L'!F56/SUM('Alloy_compnt_G&amp;L'!F$3:F$62),0)</f>
        <v>0</v>
      </c>
      <c r="G56" s="73">
        <f>IFERROR('Alloy_compnt_G&amp;L'!G56/SUM('Alloy_compnt_G&amp;L'!G$3:G$62),0)</f>
        <v>0</v>
      </c>
    </row>
    <row r="57" spans="1:7" x14ac:dyDescent="0.2">
      <c r="A57" s="142" t="s">
        <v>292</v>
      </c>
      <c r="B57" s="73">
        <f>IFERROR('Alloy_compnt_G&amp;L'!B57/SUM('Alloy_compnt_G&amp;L'!B$3:B$62),0)</f>
        <v>0</v>
      </c>
      <c r="C57" s="73">
        <f>IFERROR('Alloy_compnt_G&amp;L'!C57/SUM('Alloy_compnt_G&amp;L'!C$3:C$62),0)</f>
        <v>0</v>
      </c>
      <c r="D57" s="73">
        <f>IFERROR('Alloy_compnt_G&amp;L'!D57/SUM('Alloy_compnt_G&amp;L'!D$3:D$62),0)</f>
        <v>0</v>
      </c>
      <c r="E57" s="73">
        <f>IFERROR('Alloy_compnt_G&amp;L'!E57/SUM('Alloy_compnt_G&amp;L'!E$3:E$62),0)</f>
        <v>0</v>
      </c>
      <c r="F57" s="73">
        <f>IFERROR('Alloy_compnt_G&amp;L'!F57/SUM('Alloy_compnt_G&amp;L'!F$3:F$62),0)</f>
        <v>0</v>
      </c>
      <c r="G57" s="73">
        <f>IFERROR('Alloy_compnt_G&amp;L'!G57/SUM('Alloy_compnt_G&amp;L'!G$3:G$62),0)</f>
        <v>0</v>
      </c>
    </row>
    <row r="58" spans="1:7" x14ac:dyDescent="0.2">
      <c r="A58" s="142" t="s">
        <v>293</v>
      </c>
      <c r="B58" s="73">
        <f>IFERROR('Alloy_compnt_G&amp;L'!B58/SUM('Alloy_compnt_G&amp;L'!B$3:B$62),0)</f>
        <v>0</v>
      </c>
      <c r="C58" s="73">
        <f>IFERROR('Alloy_compnt_G&amp;L'!C58/SUM('Alloy_compnt_G&amp;L'!C$3:C$62),0)</f>
        <v>0</v>
      </c>
      <c r="D58" s="73">
        <f>IFERROR('Alloy_compnt_G&amp;L'!D58/SUM('Alloy_compnt_G&amp;L'!D$3:D$62),0)</f>
        <v>0</v>
      </c>
      <c r="E58" s="73">
        <f>IFERROR('Alloy_compnt_G&amp;L'!E58/SUM('Alloy_compnt_G&amp;L'!E$3:E$62),0)</f>
        <v>0</v>
      </c>
      <c r="F58" s="73">
        <f>IFERROR('Alloy_compnt_G&amp;L'!F58/SUM('Alloy_compnt_G&amp;L'!F$3:F$62),0)</f>
        <v>0</v>
      </c>
      <c r="G58" s="73">
        <f>IFERROR('Alloy_compnt_G&amp;L'!G58/SUM('Alloy_compnt_G&amp;L'!G$3:G$62),0)</f>
        <v>0</v>
      </c>
    </row>
    <row r="59" spans="1:7" x14ac:dyDescent="0.2">
      <c r="A59" s="142" t="s">
        <v>294</v>
      </c>
      <c r="B59" s="73">
        <f>IFERROR('Alloy_compnt_G&amp;L'!B59/SUM('Alloy_compnt_G&amp;L'!B$3:B$62),0)</f>
        <v>0</v>
      </c>
      <c r="C59" s="73">
        <f>IFERROR('Alloy_compnt_G&amp;L'!C59/SUM('Alloy_compnt_G&amp;L'!C$3:C$62),0)</f>
        <v>0</v>
      </c>
      <c r="D59" s="73">
        <f>IFERROR('Alloy_compnt_G&amp;L'!D59/SUM('Alloy_compnt_G&amp;L'!D$3:D$62),0)</f>
        <v>0</v>
      </c>
      <c r="E59" s="73">
        <f>IFERROR('Alloy_compnt_G&amp;L'!E59/SUM('Alloy_compnt_G&amp;L'!E$3:E$62),0)</f>
        <v>0</v>
      </c>
      <c r="F59" s="73">
        <f>IFERROR('Alloy_compnt_G&amp;L'!F59/SUM('Alloy_compnt_G&amp;L'!F$3:F$62),0)</f>
        <v>0</v>
      </c>
      <c r="G59" s="73">
        <f>IFERROR('Alloy_compnt_G&amp;L'!G59/SUM('Alloy_compnt_G&amp;L'!G$3:G$62),0)</f>
        <v>0</v>
      </c>
    </row>
    <row r="60" spans="1:7" x14ac:dyDescent="0.2">
      <c r="A60" s="144" t="s">
        <v>295</v>
      </c>
      <c r="B60" s="73">
        <f>IFERROR('Alloy_compnt_G&amp;L'!B60/SUM('Alloy_compnt_G&amp;L'!B$3:B$62),0)</f>
        <v>0</v>
      </c>
      <c r="C60" s="73">
        <f>IFERROR('Alloy_compnt_G&amp;L'!C60/SUM('Alloy_compnt_G&amp;L'!C$3:C$62),0)</f>
        <v>0</v>
      </c>
      <c r="D60" s="73">
        <f>IFERROR('Alloy_compnt_G&amp;L'!D60/SUM('Alloy_compnt_G&amp;L'!D$3:D$62),0)</f>
        <v>0</v>
      </c>
      <c r="E60" s="73">
        <f>IFERROR('Alloy_compnt_G&amp;L'!E60/SUM('Alloy_compnt_G&amp;L'!E$3:E$62),0)</f>
        <v>0</v>
      </c>
      <c r="F60" s="73">
        <f>IFERROR('Alloy_compnt_G&amp;L'!F60/SUM('Alloy_compnt_G&amp;L'!F$3:F$62),0)</f>
        <v>0</v>
      </c>
      <c r="G60" s="73">
        <f>IFERROR('Alloy_compnt_G&amp;L'!G60/SUM('Alloy_compnt_G&amp;L'!G$3:G$62),0)</f>
        <v>0</v>
      </c>
    </row>
    <row r="61" spans="1:7" x14ac:dyDescent="0.2">
      <c r="A61" s="142" t="s">
        <v>206</v>
      </c>
      <c r="B61" s="73">
        <f>IFERROR('Alloy_compnt_G&amp;L'!B61/SUM('Alloy_compnt_G&amp;L'!B$3:B$62),0)</f>
        <v>5.7937427578215526E-4</v>
      </c>
      <c r="C61" s="73">
        <f>IFERROR('Alloy_compnt_G&amp;L'!C61/SUM('Alloy_compnt_G&amp;L'!C$3:C$62),0)</f>
        <v>1.3776001845631486E-2</v>
      </c>
      <c r="D61" s="73">
        <f>IFERROR('Alloy_compnt_G&amp;L'!D61/SUM('Alloy_compnt_G&amp;L'!D$3:D$62),0)</f>
        <v>5.7937427578215526E-4</v>
      </c>
      <c r="E61" s="73">
        <f>IFERROR('Alloy_compnt_G&amp;L'!E61/SUM('Alloy_compnt_G&amp;L'!E$3:E$62),0)</f>
        <v>1.3650872940798532E-2</v>
      </c>
      <c r="F61" s="73">
        <f>IFERROR('Alloy_compnt_G&amp;L'!F61/SUM('Alloy_compnt_G&amp;L'!F$3:F$62),0)</f>
        <v>5.7937427578215505E-4</v>
      </c>
      <c r="G61" s="73">
        <f>IFERROR('Alloy_compnt_G&amp;L'!G61/SUM('Alloy_compnt_G&amp;L'!G$3:G$62),0)</f>
        <v>1.3381877678756265E-2</v>
      </c>
    </row>
    <row r="62" spans="1:7" ht="17" thickBot="1" x14ac:dyDescent="0.25">
      <c r="A62" s="149" t="s">
        <v>208</v>
      </c>
      <c r="B62" s="73">
        <f>IFERROR('Alloy_compnt_G&amp;L'!B62/SUM('Alloy_compnt_G&amp;L'!B$3:B$62),0)</f>
        <v>0</v>
      </c>
      <c r="C62" s="73">
        <f>IFERROR('Alloy_compnt_G&amp;L'!C62/SUM('Alloy_compnt_G&amp;L'!C$3:C$62),0)</f>
        <v>0</v>
      </c>
      <c r="D62" s="73">
        <f>IFERROR('Alloy_compnt_G&amp;L'!D62/SUM('Alloy_compnt_G&amp;L'!D$3:D$62),0)</f>
        <v>0</v>
      </c>
      <c r="E62" s="73">
        <f>IFERROR('Alloy_compnt_G&amp;L'!E62/SUM('Alloy_compnt_G&amp;L'!E$3:E$62),0)</f>
        <v>0</v>
      </c>
      <c r="F62" s="73">
        <f>IFERROR('Alloy_compnt_G&amp;L'!F62/SUM('Alloy_compnt_G&amp;L'!F$3:F$62),0)</f>
        <v>0</v>
      </c>
      <c r="G62" s="73">
        <f>IFERROR('Alloy_compnt_G&amp;L'!G62/SUM('Alloy_compnt_G&amp;L'!G$3:G$62),0)</f>
        <v>0</v>
      </c>
    </row>
    <row r="63" spans="1:7" ht="17" thickTop="1" x14ac:dyDescent="0.2">
      <c r="A63" s="150" t="s">
        <v>164</v>
      </c>
      <c r="B63" s="54"/>
      <c r="C63" s="54"/>
      <c r="D63" s="54"/>
      <c r="E63" s="54"/>
      <c r="F63" s="54"/>
      <c r="G63" s="54"/>
    </row>
    <row r="64" spans="1:7" x14ac:dyDescent="0.2">
      <c r="A64" s="142" t="s">
        <v>105</v>
      </c>
      <c r="B64" s="73">
        <f>IFERROR('Alloy_compnt_G&amp;L'!B64/SUM('Alloy_compnt_G&amp;L'!B$64:B$123),0)</f>
        <v>9.7822769953051641E-2</v>
      </c>
      <c r="C64" s="73">
        <f>IFERROR('Alloy_compnt_G&amp;L'!C64/SUM('Alloy_compnt_G&amp;L'!C$64:C$123),0)</f>
        <v>0.13880912364945977</v>
      </c>
      <c r="D64" s="73">
        <f>IFERROR('Alloy_compnt_G&amp;L'!D64/SUM('Alloy_compnt_G&amp;L'!D$64:D$123),0)</f>
        <v>0.12217070357554784</v>
      </c>
      <c r="E64" s="73">
        <f>IFERROR('Alloy_compnt_G&amp;L'!E64/SUM('Alloy_compnt_G&amp;L'!E$64:E$123),0)</f>
        <v>0.1494480746791132</v>
      </c>
      <c r="F64" s="73">
        <f>IFERROR('Alloy_compnt_G&amp;L'!F64/SUM('Alloy_compnt_G&amp;L'!F$64:F$123),0)</f>
        <v>0.21099999999999997</v>
      </c>
      <c r="G64" s="73">
        <f>IFERROR('Alloy_compnt_G&amp;L'!G64/SUM('Alloy_compnt_G&amp;L'!G$64:G$123),0)</f>
        <v>0</v>
      </c>
    </row>
    <row r="65" spans="1:7" x14ac:dyDescent="0.2">
      <c r="A65" s="142" t="s">
        <v>106</v>
      </c>
      <c r="B65" s="73">
        <f>IFERROR('Alloy_compnt_G&amp;L'!B65/SUM('Alloy_compnt_G&amp;L'!B$64:B$123),0)</f>
        <v>8.8550469483568067E-2</v>
      </c>
      <c r="C65" s="73">
        <f>IFERROR('Alloy_compnt_G&amp;L'!C65/SUM('Alloy_compnt_G&amp;L'!C$64:C$123),0)</f>
        <v>0.12565186074429771</v>
      </c>
      <c r="D65" s="73">
        <f>IFERROR('Alloy_compnt_G&amp;L'!D65/SUM('Alloy_compnt_G&amp;L'!D$64:D$123),0)</f>
        <v>0.1105905420991926</v>
      </c>
      <c r="E65" s="73">
        <f>IFERROR('Alloy_compnt_G&amp;L'!E65/SUM('Alloy_compnt_G&amp;L'!E$64:E$123),0)</f>
        <v>0.13528238039673279</v>
      </c>
      <c r="F65" s="73">
        <f>IFERROR('Alloy_compnt_G&amp;L'!F65/SUM('Alloy_compnt_G&amp;L'!F$64:F$123),0)</f>
        <v>0.19099999999999998</v>
      </c>
      <c r="G65" s="73">
        <f>IFERROR('Alloy_compnt_G&amp;L'!G65/SUM('Alloy_compnt_G&amp;L'!G$64:G$123),0)</f>
        <v>0</v>
      </c>
    </row>
    <row r="66" spans="1:7" x14ac:dyDescent="0.2">
      <c r="A66" s="142" t="s">
        <v>107</v>
      </c>
      <c r="B66" s="73">
        <f>IFERROR('Alloy_compnt_G&amp;L'!B66/SUM('Alloy_compnt_G&amp;L'!B$64:B$123),0)</f>
        <v>0.27724178403755873</v>
      </c>
      <c r="C66" s="73">
        <f>IFERROR('Alloy_compnt_G&amp;L'!C66/SUM('Alloy_compnt_G&amp;L'!C$64:C$123),0)</f>
        <v>0.39340216086434576</v>
      </c>
      <c r="D66" s="73">
        <f>IFERROR('Alloy_compnt_G&amp;L'!D66/SUM('Alloy_compnt_G&amp;L'!D$64:D$123),0)</f>
        <v>0.34624682814302188</v>
      </c>
      <c r="E66" s="73">
        <f>IFERROR('Alloy_compnt_G&amp;L'!E66/SUM('Alloy_compnt_G&amp;L'!E$64:E$123),0)</f>
        <v>0.4235542590431739</v>
      </c>
      <c r="F66" s="73">
        <f>IFERROR('Alloy_compnt_G&amp;L'!F66/SUM('Alloy_compnt_G&amp;L'!F$64:F$123),0)</f>
        <v>0.59800000000000009</v>
      </c>
      <c r="G66" s="73">
        <f>IFERROR('Alloy_compnt_G&amp;L'!G66/SUM('Alloy_compnt_G&amp;L'!G$64:G$123),0)</f>
        <v>0</v>
      </c>
    </row>
    <row r="67" spans="1:7" x14ac:dyDescent="0.2">
      <c r="A67" s="142" t="s">
        <v>91</v>
      </c>
      <c r="B67" s="73">
        <f>IFERROR('Alloy_compnt_G&amp;L'!B67/SUM('Alloy_compnt_G&amp;L'!B$64:B$123),0)</f>
        <v>0</v>
      </c>
      <c r="C67" s="73">
        <f>IFERROR('Alloy_compnt_G&amp;L'!C67/SUM('Alloy_compnt_G&amp;L'!C$64:C$123),0)</f>
        <v>4.3217286914765903E-2</v>
      </c>
      <c r="D67" s="73">
        <f>IFERROR('Alloy_compnt_G&amp;L'!D67/SUM('Alloy_compnt_G&amp;L'!D$64:D$123),0)</f>
        <v>0</v>
      </c>
      <c r="E67" s="73">
        <f>IFERROR('Alloy_compnt_G&amp;L'!E67/SUM('Alloy_compnt_G&amp;L'!E$64:E$123),0)</f>
        <v>3.5005834305717617E-2</v>
      </c>
      <c r="F67" s="73">
        <f>IFERROR('Alloy_compnt_G&amp;L'!F67/SUM('Alloy_compnt_G&amp;L'!F$64:F$123),0)</f>
        <v>0</v>
      </c>
      <c r="G67" s="73">
        <f>IFERROR('Alloy_compnt_G&amp;L'!G67/SUM('Alloy_compnt_G&amp;L'!G$64:G$123),0)</f>
        <v>0</v>
      </c>
    </row>
    <row r="68" spans="1:7" x14ac:dyDescent="0.2">
      <c r="A68" s="142" t="s">
        <v>204</v>
      </c>
      <c r="B68" s="73">
        <f>IFERROR('Alloy_compnt_G&amp;L'!B68/SUM('Alloy_compnt_G&amp;L'!B$64:B$123),0)</f>
        <v>0.2853286384976525</v>
      </c>
      <c r="C68" s="73">
        <f>IFERROR('Alloy_compnt_G&amp;L'!C68/SUM('Alloy_compnt_G&amp;L'!C$64:C$123),0)</f>
        <v>5.4081632653061214E-2</v>
      </c>
      <c r="D68" s="73">
        <f>IFERROR('Alloy_compnt_G&amp;L'!D68/SUM('Alloy_compnt_G&amp;L'!D$64:D$123),0)</f>
        <v>0.22352941176470581</v>
      </c>
      <c r="E68" s="73">
        <f>IFERROR('Alloy_compnt_G&amp;L'!E68/SUM('Alloy_compnt_G&amp;L'!E$64:E$123),0)</f>
        <v>4.3640606767794632E-2</v>
      </c>
      <c r="F68" s="73">
        <f>IFERROR('Alloy_compnt_G&amp;L'!F68/SUM('Alloy_compnt_G&amp;L'!F$64:F$123),0)</f>
        <v>0</v>
      </c>
      <c r="G68" s="73">
        <f>IFERROR('Alloy_compnt_G&amp;L'!G68/SUM('Alloy_compnt_G&amp;L'!G$64:G$123),0)</f>
        <v>0</v>
      </c>
    </row>
    <row r="69" spans="1:7" x14ac:dyDescent="0.2">
      <c r="A69" s="144" t="s">
        <v>104</v>
      </c>
      <c r="B69" s="73">
        <f>IFERROR('Alloy_compnt_G&amp;L'!B69/SUM('Alloy_compnt_G&amp;L'!B$64:B$123),0)</f>
        <v>5.0352112676056333E-2</v>
      </c>
      <c r="C69" s="73">
        <f>IFERROR('Alloy_compnt_G&amp;L'!C69/SUM('Alloy_compnt_G&amp;L'!C$64:C$123),0)</f>
        <v>9.5438175270108044E-3</v>
      </c>
      <c r="D69" s="73">
        <f>IFERROR('Alloy_compnt_G&amp;L'!D69/SUM('Alloy_compnt_G&amp;L'!D$64:D$123),0)</f>
        <v>3.9446366782006914E-2</v>
      </c>
      <c r="E69" s="73">
        <f>IFERROR('Alloy_compnt_G&amp;L'!E69/SUM('Alloy_compnt_G&amp;L'!E$64:E$123),0)</f>
        <v>7.7012835472578776E-3</v>
      </c>
      <c r="F69" s="73">
        <f>IFERROR('Alloy_compnt_G&amp;L'!F69/SUM('Alloy_compnt_G&amp;L'!F$64:F$123),0)</f>
        <v>0</v>
      </c>
      <c r="G69" s="73">
        <f>IFERROR('Alloy_compnt_G&amp;L'!G69/SUM('Alloy_compnt_G&amp;L'!G$64:G$123),0)</f>
        <v>0</v>
      </c>
    </row>
    <row r="70" spans="1:7" x14ac:dyDescent="0.2">
      <c r="A70" s="145" t="s">
        <v>244</v>
      </c>
      <c r="B70" s="73">
        <f>IFERROR('Alloy_compnt_G&amp;L'!B70/SUM('Alloy_compnt_G&amp;L'!B$64:B$123),0)</f>
        <v>0</v>
      </c>
      <c r="C70" s="73">
        <f>IFERROR('Alloy_compnt_G&amp;L'!C70/SUM('Alloy_compnt_G&amp;L'!C$64:C$123),0)</f>
        <v>0</v>
      </c>
      <c r="D70" s="73">
        <f>IFERROR('Alloy_compnt_G&amp;L'!D70/SUM('Alloy_compnt_G&amp;L'!D$64:D$123),0)</f>
        <v>0</v>
      </c>
      <c r="E70" s="73">
        <f>IFERROR('Alloy_compnt_G&amp;L'!E70/SUM('Alloy_compnt_G&amp;L'!E$64:E$123),0)</f>
        <v>0</v>
      </c>
      <c r="F70" s="73">
        <f>IFERROR('Alloy_compnt_G&amp;L'!F70/SUM('Alloy_compnt_G&amp;L'!F$64:F$123),0)</f>
        <v>0</v>
      </c>
      <c r="G70" s="73">
        <f>IFERROR('Alloy_compnt_G&amp;L'!G70/SUM('Alloy_compnt_G&amp;L'!G$64:G$123),0)</f>
        <v>0</v>
      </c>
    </row>
    <row r="71" spans="1:7" x14ac:dyDescent="0.2">
      <c r="A71" s="145" t="s">
        <v>245</v>
      </c>
      <c r="B71" s="73">
        <f>IFERROR('Alloy_compnt_G&amp;L'!B71/SUM('Alloy_compnt_G&amp;L'!B$64:B$123),0)</f>
        <v>0</v>
      </c>
      <c r="C71" s="73">
        <f>IFERROR('Alloy_compnt_G&amp;L'!C71/SUM('Alloy_compnt_G&amp;L'!C$64:C$123),0)</f>
        <v>0</v>
      </c>
      <c r="D71" s="73">
        <f>IFERROR('Alloy_compnt_G&amp;L'!D71/SUM('Alloy_compnt_G&amp;L'!D$64:D$123),0)</f>
        <v>0</v>
      </c>
      <c r="E71" s="73">
        <f>IFERROR('Alloy_compnt_G&amp;L'!E71/SUM('Alloy_compnt_G&amp;L'!E$64:E$123),0)</f>
        <v>0</v>
      </c>
      <c r="F71" s="73">
        <f>IFERROR('Alloy_compnt_G&amp;L'!F71/SUM('Alloy_compnt_G&amp;L'!F$64:F$123),0)</f>
        <v>0</v>
      </c>
      <c r="G71" s="73">
        <f>IFERROR('Alloy_compnt_G&amp;L'!G71/SUM('Alloy_compnt_G&amp;L'!G$64:G$123),0)</f>
        <v>0</v>
      </c>
    </row>
    <row r="72" spans="1:7" x14ac:dyDescent="0.2">
      <c r="A72" s="145" t="s">
        <v>246</v>
      </c>
      <c r="B72" s="73">
        <f>IFERROR('Alloy_compnt_G&amp;L'!B72/SUM('Alloy_compnt_G&amp;L'!B$64:B$123),0)</f>
        <v>0</v>
      </c>
      <c r="C72" s="73">
        <f>IFERROR('Alloy_compnt_G&amp;L'!C72/SUM('Alloy_compnt_G&amp;L'!C$64:C$123),0)</f>
        <v>0</v>
      </c>
      <c r="D72" s="73">
        <f>IFERROR('Alloy_compnt_G&amp;L'!D72/SUM('Alloy_compnt_G&amp;L'!D$64:D$123),0)</f>
        <v>0</v>
      </c>
      <c r="E72" s="73">
        <f>IFERROR('Alloy_compnt_G&amp;L'!E72/SUM('Alloy_compnt_G&amp;L'!E$64:E$123),0)</f>
        <v>0</v>
      </c>
      <c r="F72" s="73">
        <f>IFERROR('Alloy_compnt_G&amp;L'!F72/SUM('Alloy_compnt_G&amp;L'!F$64:F$123),0)</f>
        <v>0</v>
      </c>
      <c r="G72" s="73">
        <f>IFERROR('Alloy_compnt_G&amp;L'!G72/SUM('Alloy_compnt_G&amp;L'!G$64:G$123),0)</f>
        <v>0</v>
      </c>
    </row>
    <row r="73" spans="1:7" x14ac:dyDescent="0.2">
      <c r="A73" s="145" t="s">
        <v>247</v>
      </c>
      <c r="B73" s="73">
        <f>IFERROR('Alloy_compnt_G&amp;L'!B73/SUM('Alloy_compnt_G&amp;L'!B$64:B$123),0)</f>
        <v>0</v>
      </c>
      <c r="C73" s="73">
        <f>IFERROR('Alloy_compnt_G&amp;L'!C73/SUM('Alloy_compnt_G&amp;L'!C$64:C$123),0)</f>
        <v>0</v>
      </c>
      <c r="D73" s="73">
        <f>IFERROR('Alloy_compnt_G&amp;L'!D73/SUM('Alloy_compnt_G&amp;L'!D$64:D$123),0)</f>
        <v>0</v>
      </c>
      <c r="E73" s="73">
        <f>IFERROR('Alloy_compnt_G&amp;L'!E73/SUM('Alloy_compnt_G&amp;L'!E$64:E$123),0)</f>
        <v>0</v>
      </c>
      <c r="F73" s="73">
        <f>IFERROR('Alloy_compnt_G&amp;L'!F73/SUM('Alloy_compnt_G&amp;L'!F$64:F$123),0)</f>
        <v>0</v>
      </c>
      <c r="G73" s="73">
        <f>IFERROR('Alloy_compnt_G&amp;L'!G73/SUM('Alloy_compnt_G&amp;L'!G$64:G$123),0)</f>
        <v>0</v>
      </c>
    </row>
    <row r="74" spans="1:7" x14ac:dyDescent="0.2">
      <c r="A74" s="145" t="s">
        <v>248</v>
      </c>
      <c r="B74" s="73">
        <f>IFERROR('Alloy_compnt_G&amp;L'!B74/SUM('Alloy_compnt_G&amp;L'!B$64:B$123),0)</f>
        <v>0</v>
      </c>
      <c r="C74" s="73">
        <f>IFERROR('Alloy_compnt_G&amp;L'!C74/SUM('Alloy_compnt_G&amp;L'!C$64:C$123),0)</f>
        <v>0</v>
      </c>
      <c r="D74" s="73">
        <f>IFERROR('Alloy_compnt_G&amp;L'!D74/SUM('Alloy_compnt_G&amp;L'!D$64:D$123),0)</f>
        <v>0</v>
      </c>
      <c r="E74" s="73">
        <f>IFERROR('Alloy_compnt_G&amp;L'!E74/SUM('Alloy_compnt_G&amp;L'!E$64:E$123),0)</f>
        <v>0</v>
      </c>
      <c r="F74" s="73">
        <f>IFERROR('Alloy_compnt_G&amp;L'!F74/SUM('Alloy_compnt_G&amp;L'!F$64:F$123),0)</f>
        <v>0</v>
      </c>
      <c r="G74" s="73">
        <f>IFERROR('Alloy_compnt_G&amp;L'!G74/SUM('Alloy_compnt_G&amp;L'!G$64:G$123),0)</f>
        <v>0</v>
      </c>
    </row>
    <row r="75" spans="1:7" x14ac:dyDescent="0.2">
      <c r="A75" s="145" t="s">
        <v>249</v>
      </c>
      <c r="B75" s="73">
        <f>IFERROR('Alloy_compnt_G&amp;L'!B75/SUM('Alloy_compnt_G&amp;L'!B$64:B$123),0)</f>
        <v>0</v>
      </c>
      <c r="C75" s="73">
        <f>IFERROR('Alloy_compnt_G&amp;L'!C75/SUM('Alloy_compnt_G&amp;L'!C$64:C$123),0)</f>
        <v>0</v>
      </c>
      <c r="D75" s="73">
        <f>IFERROR('Alloy_compnt_G&amp;L'!D75/SUM('Alloy_compnt_G&amp;L'!D$64:D$123),0)</f>
        <v>0</v>
      </c>
      <c r="E75" s="73">
        <f>IFERROR('Alloy_compnt_G&amp;L'!E75/SUM('Alloy_compnt_G&amp;L'!E$64:E$123),0)</f>
        <v>0</v>
      </c>
      <c r="F75" s="73">
        <f>IFERROR('Alloy_compnt_G&amp;L'!F75/SUM('Alloy_compnt_G&amp;L'!F$64:F$123),0)</f>
        <v>0</v>
      </c>
      <c r="G75" s="73">
        <f>IFERROR('Alloy_compnt_G&amp;L'!G75/SUM('Alloy_compnt_G&amp;L'!G$64:G$123),0)</f>
        <v>0</v>
      </c>
    </row>
    <row r="76" spans="1:7" x14ac:dyDescent="0.2">
      <c r="A76" s="145" t="s">
        <v>250</v>
      </c>
      <c r="B76" s="73">
        <f>IFERROR('Alloy_compnt_G&amp;L'!B76/SUM('Alloy_compnt_G&amp;L'!B$64:B$123),0)</f>
        <v>0</v>
      </c>
      <c r="C76" s="73">
        <f>IFERROR('Alloy_compnt_G&amp;L'!C76/SUM('Alloy_compnt_G&amp;L'!C$64:C$123),0)</f>
        <v>0</v>
      </c>
      <c r="D76" s="73">
        <f>IFERROR('Alloy_compnt_G&amp;L'!D76/SUM('Alloy_compnt_G&amp;L'!D$64:D$123),0)</f>
        <v>0</v>
      </c>
      <c r="E76" s="73">
        <f>IFERROR('Alloy_compnt_G&amp;L'!E76/SUM('Alloy_compnt_G&amp;L'!E$64:E$123),0)</f>
        <v>0</v>
      </c>
      <c r="F76" s="73">
        <f>IFERROR('Alloy_compnt_G&amp;L'!F76/SUM('Alloy_compnt_G&amp;L'!F$64:F$123),0)</f>
        <v>0</v>
      </c>
      <c r="G76" s="73">
        <f>IFERROR('Alloy_compnt_G&amp;L'!G76/SUM('Alloy_compnt_G&amp;L'!G$64:G$123),0)</f>
        <v>0</v>
      </c>
    </row>
    <row r="77" spans="1:7" x14ac:dyDescent="0.2">
      <c r="A77" s="145" t="s">
        <v>251</v>
      </c>
      <c r="B77" s="73">
        <f>IFERROR('Alloy_compnt_G&amp;L'!B77/SUM('Alloy_compnt_G&amp;L'!B$64:B$123),0)</f>
        <v>0</v>
      </c>
      <c r="C77" s="73">
        <f>IFERROR('Alloy_compnt_G&amp;L'!C77/SUM('Alloy_compnt_G&amp;L'!C$64:C$123),0)</f>
        <v>0</v>
      </c>
      <c r="D77" s="73">
        <f>IFERROR('Alloy_compnt_G&amp;L'!D77/SUM('Alloy_compnt_G&amp;L'!D$64:D$123),0)</f>
        <v>0</v>
      </c>
      <c r="E77" s="73">
        <f>IFERROR('Alloy_compnt_G&amp;L'!E77/SUM('Alloy_compnt_G&amp;L'!E$64:E$123),0)</f>
        <v>0</v>
      </c>
      <c r="F77" s="73">
        <f>IFERROR('Alloy_compnt_G&amp;L'!F77/SUM('Alloy_compnt_G&amp;L'!F$64:F$123),0)</f>
        <v>0</v>
      </c>
      <c r="G77" s="73">
        <f>IFERROR('Alloy_compnt_G&amp;L'!G77/SUM('Alloy_compnt_G&amp;L'!G$64:G$123),0)</f>
        <v>0</v>
      </c>
    </row>
    <row r="78" spans="1:7" x14ac:dyDescent="0.2">
      <c r="A78" s="145" t="s">
        <v>252</v>
      </c>
      <c r="B78" s="73">
        <f>IFERROR('Alloy_compnt_G&amp;L'!B78/SUM('Alloy_compnt_G&amp;L'!B$64:B$123),0)</f>
        <v>0</v>
      </c>
      <c r="C78" s="73">
        <f>IFERROR('Alloy_compnt_G&amp;L'!C78/SUM('Alloy_compnt_G&amp;L'!C$64:C$123),0)</f>
        <v>0</v>
      </c>
      <c r="D78" s="73">
        <f>IFERROR('Alloy_compnt_G&amp;L'!D78/SUM('Alloy_compnt_G&amp;L'!D$64:D$123),0)</f>
        <v>0</v>
      </c>
      <c r="E78" s="73">
        <f>IFERROR('Alloy_compnt_G&amp;L'!E78/SUM('Alloy_compnt_G&amp;L'!E$64:E$123),0)</f>
        <v>0</v>
      </c>
      <c r="F78" s="73">
        <f>IFERROR('Alloy_compnt_G&amp;L'!F78/SUM('Alloy_compnt_G&amp;L'!F$64:F$123),0)</f>
        <v>0</v>
      </c>
      <c r="G78" s="73">
        <f>IFERROR('Alloy_compnt_G&amp;L'!G78/SUM('Alloy_compnt_G&amp;L'!G$64:G$123),0)</f>
        <v>0</v>
      </c>
    </row>
    <row r="79" spans="1:7" x14ac:dyDescent="0.2">
      <c r="A79" s="145" t="s">
        <v>253</v>
      </c>
      <c r="B79" s="73">
        <f>IFERROR('Alloy_compnt_G&amp;L'!B79/SUM('Alloy_compnt_G&amp;L'!B$64:B$123),0)</f>
        <v>0</v>
      </c>
      <c r="C79" s="73">
        <f>IFERROR('Alloy_compnt_G&amp;L'!C79/SUM('Alloy_compnt_G&amp;L'!C$64:C$123),0)</f>
        <v>0</v>
      </c>
      <c r="D79" s="73">
        <f>IFERROR('Alloy_compnt_G&amp;L'!D79/SUM('Alloy_compnt_G&amp;L'!D$64:D$123),0)</f>
        <v>0</v>
      </c>
      <c r="E79" s="73">
        <f>IFERROR('Alloy_compnt_G&amp;L'!E79/SUM('Alloy_compnt_G&amp;L'!E$64:E$123),0)</f>
        <v>0</v>
      </c>
      <c r="F79" s="73">
        <f>IFERROR('Alloy_compnt_G&amp;L'!F79/SUM('Alloy_compnt_G&amp;L'!F$64:F$123),0)</f>
        <v>0</v>
      </c>
      <c r="G79" s="73">
        <f>IFERROR('Alloy_compnt_G&amp;L'!G79/SUM('Alloy_compnt_G&amp;L'!G$64:G$123),0)</f>
        <v>0</v>
      </c>
    </row>
    <row r="80" spans="1:7" x14ac:dyDescent="0.2">
      <c r="A80" s="145" t="s">
        <v>254</v>
      </c>
      <c r="B80" s="73">
        <f>IFERROR('Alloy_compnt_G&amp;L'!B80/SUM('Alloy_compnt_G&amp;L'!B$64:B$123),0)</f>
        <v>0</v>
      </c>
      <c r="C80" s="73">
        <f>IFERROR('Alloy_compnt_G&amp;L'!C80/SUM('Alloy_compnt_G&amp;L'!C$64:C$123),0)</f>
        <v>0</v>
      </c>
      <c r="D80" s="73">
        <f>IFERROR('Alloy_compnt_G&amp;L'!D80/SUM('Alloy_compnt_G&amp;L'!D$64:D$123),0)</f>
        <v>0</v>
      </c>
      <c r="E80" s="73">
        <f>IFERROR('Alloy_compnt_G&amp;L'!E80/SUM('Alloy_compnt_G&amp;L'!E$64:E$123),0)</f>
        <v>0</v>
      </c>
      <c r="F80" s="73">
        <f>IFERROR('Alloy_compnt_G&amp;L'!F80/SUM('Alloy_compnt_G&amp;L'!F$64:F$123),0)</f>
        <v>0</v>
      </c>
      <c r="G80" s="73">
        <f>IFERROR('Alloy_compnt_G&amp;L'!G80/SUM('Alloy_compnt_G&amp;L'!G$64:G$123),0)</f>
        <v>0</v>
      </c>
    </row>
    <row r="81" spans="1:7" x14ac:dyDescent="0.2">
      <c r="A81" s="146" t="s">
        <v>255</v>
      </c>
      <c r="B81" s="73">
        <f>IFERROR('Alloy_compnt_G&amp;L'!B81/SUM('Alloy_compnt_G&amp;L'!B$64:B$123),0)</f>
        <v>0</v>
      </c>
      <c r="C81" s="73">
        <f>IFERROR('Alloy_compnt_G&amp;L'!C81/SUM('Alloy_compnt_G&amp;L'!C$64:C$123),0)</f>
        <v>0</v>
      </c>
      <c r="D81" s="73">
        <f>IFERROR('Alloy_compnt_G&amp;L'!D81/SUM('Alloy_compnt_G&amp;L'!D$64:D$123),0)</f>
        <v>0</v>
      </c>
      <c r="E81" s="73">
        <f>IFERROR('Alloy_compnt_G&amp;L'!E81/SUM('Alloy_compnt_G&amp;L'!E$64:E$123),0)</f>
        <v>0</v>
      </c>
      <c r="F81" s="73">
        <f>IFERROR('Alloy_compnt_G&amp;L'!F81/SUM('Alloy_compnt_G&amp;L'!F$64:F$123),0)</f>
        <v>0</v>
      </c>
      <c r="G81" s="73">
        <f>IFERROR('Alloy_compnt_G&amp;L'!G81/SUM('Alloy_compnt_G&amp;L'!G$64:G$123),0)</f>
        <v>0</v>
      </c>
    </row>
    <row r="82" spans="1:7" x14ac:dyDescent="0.2">
      <c r="A82" s="145" t="s">
        <v>256</v>
      </c>
      <c r="B82" s="73">
        <f>IFERROR('Alloy_compnt_G&amp;L'!B82/SUM('Alloy_compnt_G&amp;L'!B$64:B$123),0)</f>
        <v>0</v>
      </c>
      <c r="C82" s="73">
        <f>IFERROR('Alloy_compnt_G&amp;L'!C82/SUM('Alloy_compnt_G&amp;L'!C$64:C$123),0)</f>
        <v>0</v>
      </c>
      <c r="D82" s="73">
        <f>IFERROR('Alloy_compnt_G&amp;L'!D82/SUM('Alloy_compnt_G&amp;L'!D$64:D$123),0)</f>
        <v>0</v>
      </c>
      <c r="E82" s="73">
        <f>IFERROR('Alloy_compnt_G&amp;L'!E82/SUM('Alloy_compnt_G&amp;L'!E$64:E$123),0)</f>
        <v>0</v>
      </c>
      <c r="F82" s="73">
        <f>IFERROR('Alloy_compnt_G&amp;L'!F82/SUM('Alloy_compnt_G&amp;L'!F$64:F$123),0)</f>
        <v>0</v>
      </c>
      <c r="G82" s="73">
        <f>IFERROR('Alloy_compnt_G&amp;L'!G82/SUM('Alloy_compnt_G&amp;L'!G$64:G$123),0)</f>
        <v>0</v>
      </c>
    </row>
    <row r="83" spans="1:7" x14ac:dyDescent="0.2">
      <c r="A83" s="145" t="s">
        <v>257</v>
      </c>
      <c r="B83" s="73">
        <f>IFERROR('Alloy_compnt_G&amp;L'!B83/SUM('Alloy_compnt_G&amp;L'!B$64:B$123),0)</f>
        <v>0</v>
      </c>
      <c r="C83" s="73">
        <f>IFERROR('Alloy_compnt_G&amp;L'!C83/SUM('Alloy_compnt_G&amp;L'!C$64:C$123),0)</f>
        <v>0</v>
      </c>
      <c r="D83" s="73">
        <f>IFERROR('Alloy_compnt_G&amp;L'!D83/SUM('Alloy_compnt_G&amp;L'!D$64:D$123),0)</f>
        <v>0</v>
      </c>
      <c r="E83" s="73">
        <f>IFERROR('Alloy_compnt_G&amp;L'!E83/SUM('Alloy_compnt_G&amp;L'!E$64:E$123),0)</f>
        <v>0</v>
      </c>
      <c r="F83" s="73">
        <f>IFERROR('Alloy_compnt_G&amp;L'!F83/SUM('Alloy_compnt_G&amp;L'!F$64:F$123),0)</f>
        <v>0</v>
      </c>
      <c r="G83" s="73">
        <f>IFERROR('Alloy_compnt_G&amp;L'!G83/SUM('Alloy_compnt_G&amp;L'!G$64:G$123),0)</f>
        <v>0</v>
      </c>
    </row>
    <row r="84" spans="1:7" x14ac:dyDescent="0.2">
      <c r="A84" s="145" t="s">
        <v>258</v>
      </c>
      <c r="B84" s="73">
        <f>IFERROR('Alloy_compnt_G&amp;L'!B84/SUM('Alloy_compnt_G&amp;L'!B$64:B$123),0)</f>
        <v>0</v>
      </c>
      <c r="C84" s="73">
        <f>IFERROR('Alloy_compnt_G&amp;L'!C84/SUM('Alloy_compnt_G&amp;L'!C$64:C$123),0)</f>
        <v>0</v>
      </c>
      <c r="D84" s="73">
        <f>IFERROR('Alloy_compnt_G&amp;L'!D84/SUM('Alloy_compnt_G&amp;L'!D$64:D$123),0)</f>
        <v>0</v>
      </c>
      <c r="E84" s="73">
        <f>IFERROR('Alloy_compnt_G&amp;L'!E84/SUM('Alloy_compnt_G&amp;L'!E$64:E$123),0)</f>
        <v>0</v>
      </c>
      <c r="F84" s="73">
        <f>IFERROR('Alloy_compnt_G&amp;L'!F84/SUM('Alloy_compnt_G&amp;L'!F$64:F$123),0)</f>
        <v>0</v>
      </c>
      <c r="G84" s="73">
        <f>IFERROR('Alloy_compnt_G&amp;L'!G84/SUM('Alloy_compnt_G&amp;L'!G$64:G$123),0)</f>
        <v>0</v>
      </c>
    </row>
    <row r="85" spans="1:7" x14ac:dyDescent="0.2">
      <c r="A85" s="142" t="s">
        <v>259</v>
      </c>
      <c r="B85" s="73">
        <f>IFERROR('Alloy_compnt_G&amp;L'!B85/SUM('Alloy_compnt_G&amp;L'!B$64:B$123),0)</f>
        <v>0</v>
      </c>
      <c r="C85" s="73">
        <f>IFERROR('Alloy_compnt_G&amp;L'!C85/SUM('Alloy_compnt_G&amp;L'!C$64:C$123),0)</f>
        <v>0</v>
      </c>
      <c r="D85" s="73">
        <f>IFERROR('Alloy_compnt_G&amp;L'!D85/SUM('Alloy_compnt_G&amp;L'!D$64:D$123),0)</f>
        <v>0</v>
      </c>
      <c r="E85" s="73">
        <f>IFERROR('Alloy_compnt_G&amp;L'!E85/SUM('Alloy_compnt_G&amp;L'!E$64:E$123),0)</f>
        <v>0</v>
      </c>
      <c r="F85" s="73">
        <f>IFERROR('Alloy_compnt_G&amp;L'!F85/SUM('Alloy_compnt_G&amp;L'!F$64:F$123),0)</f>
        <v>0</v>
      </c>
      <c r="G85" s="73">
        <f>IFERROR('Alloy_compnt_G&amp;L'!G85/SUM('Alloy_compnt_G&amp;L'!G$64:G$123),0)</f>
        <v>0</v>
      </c>
    </row>
    <row r="86" spans="1:7" x14ac:dyDescent="0.2">
      <c r="A86" s="147" t="s">
        <v>260</v>
      </c>
      <c r="B86" s="73">
        <f>IFERROR('Alloy_compnt_G&amp;L'!B86/SUM('Alloy_compnt_G&amp;L'!B$64:B$123),0)</f>
        <v>0</v>
      </c>
      <c r="C86" s="73">
        <f>IFERROR('Alloy_compnt_G&amp;L'!C86/SUM('Alloy_compnt_G&amp;L'!C$64:C$123),0)</f>
        <v>0</v>
      </c>
      <c r="D86" s="73">
        <f>IFERROR('Alloy_compnt_G&amp;L'!D86/SUM('Alloy_compnt_G&amp;L'!D$64:D$123),0)</f>
        <v>0</v>
      </c>
      <c r="E86" s="73">
        <f>IFERROR('Alloy_compnt_G&amp;L'!E86/SUM('Alloy_compnt_G&amp;L'!E$64:E$123),0)</f>
        <v>0</v>
      </c>
      <c r="F86" s="73">
        <f>IFERROR('Alloy_compnt_G&amp;L'!F86/SUM('Alloy_compnt_G&amp;L'!F$64:F$123),0)</f>
        <v>0</v>
      </c>
      <c r="G86" s="73">
        <f>IFERROR('Alloy_compnt_G&amp;L'!G86/SUM('Alloy_compnt_G&amp;L'!G$64:G$123),0)</f>
        <v>0</v>
      </c>
    </row>
    <row r="87" spans="1:7" x14ac:dyDescent="0.2">
      <c r="A87" s="142" t="s">
        <v>261</v>
      </c>
      <c r="B87" s="73">
        <f>IFERROR('Alloy_compnt_G&amp;L'!B87/SUM('Alloy_compnt_G&amp;L'!B$64:B$123),0)</f>
        <v>0</v>
      </c>
      <c r="C87" s="73">
        <f>IFERROR('Alloy_compnt_G&amp;L'!C87/SUM('Alloy_compnt_G&amp;L'!C$64:C$123),0)</f>
        <v>0</v>
      </c>
      <c r="D87" s="73">
        <f>IFERROR('Alloy_compnt_G&amp;L'!D87/SUM('Alloy_compnt_G&amp;L'!D$64:D$123),0)</f>
        <v>0</v>
      </c>
      <c r="E87" s="73">
        <f>IFERROR('Alloy_compnt_G&amp;L'!E87/SUM('Alloy_compnt_G&amp;L'!E$64:E$123),0)</f>
        <v>0</v>
      </c>
      <c r="F87" s="73">
        <f>IFERROR('Alloy_compnt_G&amp;L'!F87/SUM('Alloy_compnt_G&amp;L'!F$64:F$123),0)</f>
        <v>0</v>
      </c>
      <c r="G87" s="73">
        <f>IFERROR('Alloy_compnt_G&amp;L'!G87/SUM('Alloy_compnt_G&amp;L'!G$64:G$123),0)</f>
        <v>0</v>
      </c>
    </row>
    <row r="88" spans="1:7" x14ac:dyDescent="0.2">
      <c r="A88" s="142" t="s">
        <v>262</v>
      </c>
      <c r="B88" s="73">
        <f>IFERROR('Alloy_compnt_G&amp;L'!B88/SUM('Alloy_compnt_G&amp;L'!B$64:B$123),0)</f>
        <v>0</v>
      </c>
      <c r="C88" s="73">
        <f>IFERROR('Alloy_compnt_G&amp;L'!C88/SUM('Alloy_compnt_G&amp;L'!C$64:C$123),0)</f>
        <v>0</v>
      </c>
      <c r="D88" s="73">
        <f>IFERROR('Alloy_compnt_G&amp;L'!D88/SUM('Alloy_compnt_G&amp;L'!D$64:D$123),0)</f>
        <v>0</v>
      </c>
      <c r="E88" s="73">
        <f>IFERROR('Alloy_compnt_G&amp;L'!E88/SUM('Alloy_compnt_G&amp;L'!E$64:E$123),0)</f>
        <v>0</v>
      </c>
      <c r="F88" s="73">
        <f>IFERROR('Alloy_compnt_G&amp;L'!F88/SUM('Alloy_compnt_G&amp;L'!F$64:F$123),0)</f>
        <v>0</v>
      </c>
      <c r="G88" s="73">
        <f>IFERROR('Alloy_compnt_G&amp;L'!G88/SUM('Alloy_compnt_G&amp;L'!G$64:G$123),0)</f>
        <v>0</v>
      </c>
    </row>
    <row r="89" spans="1:7" x14ac:dyDescent="0.2">
      <c r="A89" s="142" t="s">
        <v>263</v>
      </c>
      <c r="B89" s="73">
        <f>IFERROR('Alloy_compnt_G&amp;L'!B89/SUM('Alloy_compnt_G&amp;L'!B$64:B$123),0)</f>
        <v>0</v>
      </c>
      <c r="C89" s="73">
        <f>IFERROR('Alloy_compnt_G&amp;L'!C89/SUM('Alloy_compnt_G&amp;L'!C$64:C$123),0)</f>
        <v>0</v>
      </c>
      <c r="D89" s="73">
        <f>IFERROR('Alloy_compnt_G&amp;L'!D89/SUM('Alloy_compnt_G&amp;L'!D$64:D$123),0)</f>
        <v>0</v>
      </c>
      <c r="E89" s="73">
        <f>IFERROR('Alloy_compnt_G&amp;L'!E89/SUM('Alloy_compnt_G&amp;L'!E$64:E$123),0)</f>
        <v>0</v>
      </c>
      <c r="F89" s="73">
        <f>IFERROR('Alloy_compnt_G&amp;L'!F89/SUM('Alloy_compnt_G&amp;L'!F$64:F$123),0)</f>
        <v>0</v>
      </c>
      <c r="G89" s="73">
        <f>IFERROR('Alloy_compnt_G&amp;L'!G89/SUM('Alloy_compnt_G&amp;L'!G$64:G$123),0)</f>
        <v>0</v>
      </c>
    </row>
    <row r="90" spans="1:7" x14ac:dyDescent="0.2">
      <c r="A90" s="142" t="s">
        <v>264</v>
      </c>
      <c r="B90" s="73">
        <f>IFERROR('Alloy_compnt_G&amp;L'!B90/SUM('Alloy_compnt_G&amp;L'!B$64:B$123),0)</f>
        <v>0</v>
      </c>
      <c r="C90" s="73">
        <f>IFERROR('Alloy_compnt_G&amp;L'!C90/SUM('Alloy_compnt_G&amp;L'!C$64:C$123),0)</f>
        <v>0</v>
      </c>
      <c r="D90" s="73">
        <f>IFERROR('Alloy_compnt_G&amp;L'!D90/SUM('Alloy_compnt_G&amp;L'!D$64:D$123),0)</f>
        <v>0</v>
      </c>
      <c r="E90" s="73">
        <f>IFERROR('Alloy_compnt_G&amp;L'!E90/SUM('Alloy_compnt_G&amp;L'!E$64:E$123),0)</f>
        <v>0</v>
      </c>
      <c r="F90" s="73">
        <f>IFERROR('Alloy_compnt_G&amp;L'!F90/SUM('Alloy_compnt_G&amp;L'!F$64:F$123),0)</f>
        <v>0</v>
      </c>
      <c r="G90" s="73">
        <f>IFERROR('Alloy_compnt_G&amp;L'!G90/SUM('Alloy_compnt_G&amp;L'!G$64:G$123),0)</f>
        <v>0</v>
      </c>
    </row>
    <row r="91" spans="1:7" x14ac:dyDescent="0.2">
      <c r="A91" s="142" t="s">
        <v>265</v>
      </c>
      <c r="B91" s="73">
        <f>IFERROR('Alloy_compnt_G&amp;L'!B91/SUM('Alloy_compnt_G&amp;L'!B$64:B$123),0)</f>
        <v>0</v>
      </c>
      <c r="C91" s="73">
        <f>IFERROR('Alloy_compnt_G&amp;L'!C91/SUM('Alloy_compnt_G&amp;L'!C$64:C$123),0)</f>
        <v>0</v>
      </c>
      <c r="D91" s="73">
        <f>IFERROR('Alloy_compnt_G&amp;L'!D91/SUM('Alloy_compnt_G&amp;L'!D$64:D$123),0)</f>
        <v>0</v>
      </c>
      <c r="E91" s="73">
        <f>IFERROR('Alloy_compnt_G&amp;L'!E91/SUM('Alloy_compnt_G&amp;L'!E$64:E$123),0)</f>
        <v>0</v>
      </c>
      <c r="F91" s="73">
        <f>IFERROR('Alloy_compnt_G&amp;L'!F91/SUM('Alloy_compnt_G&amp;L'!F$64:F$123),0)</f>
        <v>0</v>
      </c>
      <c r="G91" s="73">
        <f>IFERROR('Alloy_compnt_G&amp;L'!G91/SUM('Alloy_compnt_G&amp;L'!G$64:G$123),0)</f>
        <v>0</v>
      </c>
    </row>
    <row r="92" spans="1:7" x14ac:dyDescent="0.2">
      <c r="A92" s="142" t="s">
        <v>266</v>
      </c>
      <c r="B92" s="73">
        <f>IFERROR('Alloy_compnt_G&amp;L'!B92/SUM('Alloy_compnt_G&amp;L'!B$64:B$123),0)</f>
        <v>0</v>
      </c>
      <c r="C92" s="73">
        <f>IFERROR('Alloy_compnt_G&amp;L'!C92/SUM('Alloy_compnt_G&amp;L'!C$64:C$123),0)</f>
        <v>3.5114045618247298E-4</v>
      </c>
      <c r="D92" s="73">
        <f>IFERROR('Alloy_compnt_G&amp;L'!D92/SUM('Alloy_compnt_G&amp;L'!D$64:D$123),0)</f>
        <v>0</v>
      </c>
      <c r="E92" s="73">
        <f>IFERROR('Alloy_compnt_G&amp;L'!E92/SUM('Alloy_compnt_G&amp;L'!E$64:E$123),0)</f>
        <v>5.1196032672112032E-4</v>
      </c>
      <c r="F92" s="73">
        <f>IFERROR('Alloy_compnt_G&amp;L'!F92/SUM('Alloy_compnt_G&amp;L'!F$64:F$123),0)</f>
        <v>0</v>
      </c>
      <c r="G92" s="73">
        <f>IFERROR('Alloy_compnt_G&amp;L'!G92/SUM('Alloy_compnt_G&amp;L'!G$64:G$123),0)</f>
        <v>1.6250000000000001E-2</v>
      </c>
    </row>
    <row r="93" spans="1:7" x14ac:dyDescent="0.2">
      <c r="A93" s="142" t="s">
        <v>267</v>
      </c>
      <c r="B93" s="73">
        <f>IFERROR('Alloy_compnt_G&amp;L'!B93/SUM('Alloy_compnt_G&amp;L'!B$64:B$123),0)</f>
        <v>0</v>
      </c>
      <c r="C93" s="73">
        <f>IFERROR('Alloy_compnt_G&amp;L'!C93/SUM('Alloy_compnt_G&amp;L'!C$64:C$123),0)</f>
        <v>3.5114045618247298E-4</v>
      </c>
      <c r="D93" s="73">
        <f>IFERROR('Alloy_compnt_G&amp;L'!D93/SUM('Alloy_compnt_G&amp;L'!D$64:D$123),0)</f>
        <v>0</v>
      </c>
      <c r="E93" s="73">
        <f>IFERROR('Alloy_compnt_G&amp;L'!E93/SUM('Alloy_compnt_G&amp;L'!E$64:E$123),0)</f>
        <v>5.1196032672112032E-4</v>
      </c>
      <c r="F93" s="73">
        <f>IFERROR('Alloy_compnt_G&amp;L'!F93/SUM('Alloy_compnt_G&amp;L'!F$64:F$123),0)</f>
        <v>0</v>
      </c>
      <c r="G93" s="73">
        <f>IFERROR('Alloy_compnt_G&amp;L'!G93/SUM('Alloy_compnt_G&amp;L'!G$64:G$123),0)</f>
        <v>1.6250000000000001E-2</v>
      </c>
    </row>
    <row r="94" spans="1:7" x14ac:dyDescent="0.2">
      <c r="A94" s="142" t="s">
        <v>268</v>
      </c>
      <c r="B94" s="73">
        <f>IFERROR('Alloy_compnt_G&amp;L'!B94/SUM('Alloy_compnt_G&amp;L'!B$64:B$123),0)</f>
        <v>0</v>
      </c>
      <c r="C94" s="73">
        <f>IFERROR('Alloy_compnt_G&amp;L'!C94/SUM('Alloy_compnt_G&amp;L'!C$64:C$123),0)</f>
        <v>0</v>
      </c>
      <c r="D94" s="73">
        <f>IFERROR('Alloy_compnt_G&amp;L'!D94/SUM('Alloy_compnt_G&amp;L'!D$64:D$123),0)</f>
        <v>0</v>
      </c>
      <c r="E94" s="73">
        <f>IFERROR('Alloy_compnt_G&amp;L'!E94/SUM('Alloy_compnt_G&amp;L'!E$64:E$123),0)</f>
        <v>0</v>
      </c>
      <c r="F94" s="73">
        <f>IFERROR('Alloy_compnt_G&amp;L'!F94/SUM('Alloy_compnt_G&amp;L'!F$64:F$123),0)</f>
        <v>0</v>
      </c>
      <c r="G94" s="73">
        <f>IFERROR('Alloy_compnt_G&amp;L'!G94/SUM('Alloy_compnt_G&amp;L'!G$64:G$123),0)</f>
        <v>0</v>
      </c>
    </row>
    <row r="95" spans="1:7" x14ac:dyDescent="0.2">
      <c r="A95" s="142" t="s">
        <v>269</v>
      </c>
      <c r="B95" s="73">
        <f>IFERROR('Alloy_compnt_G&amp;L'!B95/SUM('Alloy_compnt_G&amp;L'!B$64:B$123),0)</f>
        <v>0</v>
      </c>
      <c r="C95" s="73">
        <f>IFERROR('Alloy_compnt_G&amp;L'!C95/SUM('Alloy_compnt_G&amp;L'!C$64:C$123),0)</f>
        <v>0</v>
      </c>
      <c r="D95" s="73">
        <f>IFERROR('Alloy_compnt_G&amp;L'!D95/SUM('Alloy_compnt_G&amp;L'!D$64:D$123),0)</f>
        <v>0</v>
      </c>
      <c r="E95" s="73">
        <f>IFERROR('Alloy_compnt_G&amp;L'!E95/SUM('Alloy_compnt_G&amp;L'!E$64:E$123),0)</f>
        <v>0</v>
      </c>
      <c r="F95" s="73">
        <f>IFERROR('Alloy_compnt_G&amp;L'!F95/SUM('Alloy_compnt_G&amp;L'!F$64:F$123),0)</f>
        <v>0</v>
      </c>
      <c r="G95" s="73">
        <f>IFERROR('Alloy_compnt_G&amp;L'!G95/SUM('Alloy_compnt_G&amp;L'!G$64:G$123),0)</f>
        <v>0</v>
      </c>
    </row>
    <row r="96" spans="1:7" x14ac:dyDescent="0.2">
      <c r="A96" s="142" t="s">
        <v>270</v>
      </c>
      <c r="B96" s="73">
        <f>IFERROR('Alloy_compnt_G&amp;L'!B96/SUM('Alloy_compnt_G&amp;L'!B$64:B$123),0)</f>
        <v>0</v>
      </c>
      <c r="C96" s="73">
        <f>IFERROR('Alloy_compnt_G&amp;L'!C96/SUM('Alloy_compnt_G&amp;L'!C$64:C$123),0)</f>
        <v>0</v>
      </c>
      <c r="D96" s="73">
        <f>IFERROR('Alloy_compnt_G&amp;L'!D96/SUM('Alloy_compnt_G&amp;L'!D$64:D$123),0)</f>
        <v>0</v>
      </c>
      <c r="E96" s="73">
        <f>IFERROR('Alloy_compnt_G&amp;L'!E96/SUM('Alloy_compnt_G&amp;L'!E$64:E$123),0)</f>
        <v>0</v>
      </c>
      <c r="F96" s="73">
        <f>IFERROR('Alloy_compnt_G&amp;L'!F96/SUM('Alloy_compnt_G&amp;L'!F$64:F$123),0)</f>
        <v>0</v>
      </c>
      <c r="G96" s="73">
        <f>IFERROR('Alloy_compnt_G&amp;L'!G96/SUM('Alloy_compnt_G&amp;L'!G$64:G$123),0)</f>
        <v>0</v>
      </c>
    </row>
    <row r="97" spans="1:7" x14ac:dyDescent="0.2">
      <c r="A97" s="142" t="s">
        <v>271</v>
      </c>
      <c r="B97" s="73">
        <f>IFERROR('Alloy_compnt_G&amp;L'!B97/SUM('Alloy_compnt_G&amp;L'!B$64:B$123),0)</f>
        <v>0</v>
      </c>
      <c r="C97" s="73">
        <f>IFERROR('Alloy_compnt_G&amp;L'!C97/SUM('Alloy_compnt_G&amp;L'!C$64:C$123),0)</f>
        <v>0</v>
      </c>
      <c r="D97" s="73">
        <f>IFERROR('Alloy_compnt_G&amp;L'!D97/SUM('Alloy_compnt_G&amp;L'!D$64:D$123),0)</f>
        <v>0</v>
      </c>
      <c r="E97" s="73">
        <f>IFERROR('Alloy_compnt_G&amp;L'!E97/SUM('Alloy_compnt_G&amp;L'!E$64:E$123),0)</f>
        <v>0</v>
      </c>
      <c r="F97" s="73">
        <f>IFERROR('Alloy_compnt_G&amp;L'!F97/SUM('Alloy_compnt_G&amp;L'!F$64:F$123),0)</f>
        <v>0</v>
      </c>
      <c r="G97" s="73">
        <f>IFERROR('Alloy_compnt_G&amp;L'!G97/SUM('Alloy_compnt_G&amp;L'!G$64:G$123),0)</f>
        <v>0</v>
      </c>
    </row>
    <row r="98" spans="1:7" x14ac:dyDescent="0.2">
      <c r="A98" s="142" t="s">
        <v>272</v>
      </c>
      <c r="B98" s="73">
        <f>IFERROR('Alloy_compnt_G&amp;L'!B98/SUM('Alloy_compnt_G&amp;L'!B$64:B$123),0)</f>
        <v>0</v>
      </c>
      <c r="C98" s="73">
        <f>IFERROR('Alloy_compnt_G&amp;L'!C98/SUM('Alloy_compnt_G&amp;L'!C$64:C$123),0)</f>
        <v>0</v>
      </c>
      <c r="D98" s="73">
        <f>IFERROR('Alloy_compnt_G&amp;L'!D98/SUM('Alloy_compnt_G&amp;L'!D$64:D$123),0)</f>
        <v>0</v>
      </c>
      <c r="E98" s="73">
        <f>IFERROR('Alloy_compnt_G&amp;L'!E98/SUM('Alloy_compnt_G&amp;L'!E$64:E$123),0)</f>
        <v>0</v>
      </c>
      <c r="F98" s="73">
        <f>IFERROR('Alloy_compnt_G&amp;L'!F98/SUM('Alloy_compnt_G&amp;L'!F$64:F$123),0)</f>
        <v>0</v>
      </c>
      <c r="G98" s="73">
        <f>IFERROR('Alloy_compnt_G&amp;L'!G98/SUM('Alloy_compnt_G&amp;L'!G$64:G$123),0)</f>
        <v>0</v>
      </c>
    </row>
    <row r="99" spans="1:7" x14ac:dyDescent="0.2">
      <c r="A99" s="142" t="s">
        <v>273</v>
      </c>
      <c r="B99" s="73">
        <f>IFERROR('Alloy_compnt_G&amp;L'!B99/SUM('Alloy_compnt_G&amp;L'!B$64:B$123),0)</f>
        <v>0</v>
      </c>
      <c r="C99" s="73">
        <f>IFERROR('Alloy_compnt_G&amp;L'!C99/SUM('Alloy_compnt_G&amp;L'!C$64:C$123),0)</f>
        <v>0</v>
      </c>
      <c r="D99" s="73">
        <f>IFERROR('Alloy_compnt_G&amp;L'!D99/SUM('Alloy_compnt_G&amp;L'!D$64:D$123),0)</f>
        <v>0</v>
      </c>
      <c r="E99" s="73">
        <f>IFERROR('Alloy_compnt_G&amp;L'!E99/SUM('Alloy_compnt_G&amp;L'!E$64:E$123),0)</f>
        <v>0</v>
      </c>
      <c r="F99" s="73">
        <f>IFERROR('Alloy_compnt_G&amp;L'!F99/SUM('Alloy_compnt_G&amp;L'!F$64:F$123),0)</f>
        <v>0</v>
      </c>
      <c r="G99" s="73">
        <f>IFERROR('Alloy_compnt_G&amp;L'!G99/SUM('Alloy_compnt_G&amp;L'!G$64:G$123),0)</f>
        <v>0</v>
      </c>
    </row>
    <row r="100" spans="1:7" x14ac:dyDescent="0.2">
      <c r="A100" s="142" t="s">
        <v>274</v>
      </c>
      <c r="B100" s="73">
        <f>IFERROR('Alloy_compnt_G&amp;L'!B100/SUM('Alloy_compnt_G&amp;L'!B$64:B$123),0)</f>
        <v>0</v>
      </c>
      <c r="C100" s="73">
        <f>IFERROR('Alloy_compnt_G&amp;L'!C100/SUM('Alloy_compnt_G&amp;L'!C$64:C$123),0)</f>
        <v>1.4045618247298919E-3</v>
      </c>
      <c r="D100" s="73">
        <f>IFERROR('Alloy_compnt_G&amp;L'!D100/SUM('Alloy_compnt_G&amp;L'!D$64:D$123),0)</f>
        <v>0</v>
      </c>
      <c r="E100" s="73">
        <f>IFERROR('Alloy_compnt_G&amp;L'!E100/SUM('Alloy_compnt_G&amp;L'!E$64:E$123),0)</f>
        <v>2.0478413068844813E-3</v>
      </c>
      <c r="F100" s="73">
        <f>IFERROR('Alloy_compnt_G&amp;L'!F100/SUM('Alloy_compnt_G&amp;L'!F$64:F$123),0)</f>
        <v>0</v>
      </c>
      <c r="G100" s="73">
        <f>IFERROR('Alloy_compnt_G&amp;L'!G100/SUM('Alloy_compnt_G&amp;L'!G$64:G$123),0)</f>
        <v>6.5000000000000002E-2</v>
      </c>
    </row>
    <row r="101" spans="1:7" x14ac:dyDescent="0.2">
      <c r="A101" s="142" t="s">
        <v>275</v>
      </c>
      <c r="B101" s="73">
        <f>IFERROR('Alloy_compnt_G&amp;L'!B101/SUM('Alloy_compnt_G&amp;L'!B$64:B$123),0)</f>
        <v>0</v>
      </c>
      <c r="C101" s="73">
        <f>IFERROR('Alloy_compnt_G&amp;L'!C101/SUM('Alloy_compnt_G&amp;L'!C$64:C$123),0)</f>
        <v>0</v>
      </c>
      <c r="D101" s="73">
        <f>IFERROR('Alloy_compnt_G&amp;L'!D101/SUM('Alloy_compnt_G&amp;L'!D$64:D$123),0)</f>
        <v>0</v>
      </c>
      <c r="E101" s="73">
        <f>IFERROR('Alloy_compnt_G&amp;L'!E101/SUM('Alloy_compnt_G&amp;L'!E$64:E$123),0)</f>
        <v>0</v>
      </c>
      <c r="F101" s="73">
        <f>IFERROR('Alloy_compnt_G&amp;L'!F101/SUM('Alloy_compnt_G&amp;L'!F$64:F$123),0)</f>
        <v>0</v>
      </c>
      <c r="G101" s="73">
        <f>IFERROR('Alloy_compnt_G&amp;L'!G101/SUM('Alloy_compnt_G&amp;L'!G$64:G$123),0)</f>
        <v>0</v>
      </c>
    </row>
    <row r="102" spans="1:7" x14ac:dyDescent="0.2">
      <c r="A102" s="142" t="s">
        <v>276</v>
      </c>
      <c r="B102" s="73">
        <f>IFERROR('Alloy_compnt_G&amp;L'!B102/SUM('Alloy_compnt_G&amp;L'!B$64:B$123),0)</f>
        <v>0</v>
      </c>
      <c r="C102" s="73">
        <f>IFERROR('Alloy_compnt_G&amp;L'!C102/SUM('Alloy_compnt_G&amp;L'!C$64:C$123),0)</f>
        <v>0</v>
      </c>
      <c r="D102" s="73">
        <f>IFERROR('Alloy_compnt_G&amp;L'!D102/SUM('Alloy_compnt_G&amp;L'!D$64:D$123),0)</f>
        <v>0</v>
      </c>
      <c r="E102" s="73">
        <f>IFERROR('Alloy_compnt_G&amp;L'!E102/SUM('Alloy_compnt_G&amp;L'!E$64:E$123),0)</f>
        <v>0</v>
      </c>
      <c r="F102" s="73">
        <f>IFERROR('Alloy_compnt_G&amp;L'!F102/SUM('Alloy_compnt_G&amp;L'!F$64:F$123),0)</f>
        <v>0</v>
      </c>
      <c r="G102" s="73">
        <f>IFERROR('Alloy_compnt_G&amp;L'!G102/SUM('Alloy_compnt_G&amp;L'!G$64:G$123),0)</f>
        <v>0</v>
      </c>
    </row>
    <row r="103" spans="1:7" x14ac:dyDescent="0.2">
      <c r="A103" s="144" t="s">
        <v>277</v>
      </c>
      <c r="B103" s="73">
        <f>IFERROR('Alloy_compnt_G&amp;L'!B103/SUM('Alloy_compnt_G&amp;L'!B$64:B$123),0)</f>
        <v>0</v>
      </c>
      <c r="C103" s="73">
        <f>IFERROR('Alloy_compnt_G&amp;L'!C103/SUM('Alloy_compnt_G&amp;L'!C$64:C$123),0)</f>
        <v>7.0228091236494597E-4</v>
      </c>
      <c r="D103" s="73">
        <f>IFERROR('Alloy_compnt_G&amp;L'!D103/SUM('Alloy_compnt_G&amp;L'!D$64:D$123),0)</f>
        <v>0</v>
      </c>
      <c r="E103" s="73">
        <f>IFERROR('Alloy_compnt_G&amp;L'!E103/SUM('Alloy_compnt_G&amp;L'!E$64:E$123),0)</f>
        <v>1.0239206534422406E-3</v>
      </c>
      <c r="F103" s="73">
        <f>IFERROR('Alloy_compnt_G&amp;L'!F103/SUM('Alloy_compnt_G&amp;L'!F$64:F$123),0)</f>
        <v>0</v>
      </c>
      <c r="G103" s="73">
        <f>IFERROR('Alloy_compnt_G&amp;L'!G103/SUM('Alloy_compnt_G&amp;L'!G$64:G$123),0)</f>
        <v>3.2500000000000001E-2</v>
      </c>
    </row>
    <row r="104" spans="1:7" x14ac:dyDescent="0.2">
      <c r="A104" s="148" t="s">
        <v>278</v>
      </c>
      <c r="B104" s="73">
        <f>IFERROR('Alloy_compnt_G&amp;L'!B104/SUM('Alloy_compnt_G&amp;L'!B$64:B$123),0)</f>
        <v>0</v>
      </c>
      <c r="C104" s="73">
        <f>IFERROR('Alloy_compnt_G&amp;L'!C104/SUM('Alloy_compnt_G&amp;L'!C$64:C$123),0)</f>
        <v>0</v>
      </c>
      <c r="D104" s="73">
        <f>IFERROR('Alloy_compnt_G&amp;L'!D104/SUM('Alloy_compnt_G&amp;L'!D$64:D$123),0)</f>
        <v>0</v>
      </c>
      <c r="E104" s="73">
        <f>IFERROR('Alloy_compnt_G&amp;L'!E104/SUM('Alloy_compnt_G&amp;L'!E$64:E$123),0)</f>
        <v>0</v>
      </c>
      <c r="F104" s="73">
        <f>IFERROR('Alloy_compnt_G&amp;L'!F104/SUM('Alloy_compnt_G&amp;L'!F$64:F$123),0)</f>
        <v>0</v>
      </c>
      <c r="G104" s="73">
        <f>IFERROR('Alloy_compnt_G&amp;L'!G104/SUM('Alloy_compnt_G&amp;L'!G$64:G$123),0)</f>
        <v>0</v>
      </c>
    </row>
    <row r="105" spans="1:7" x14ac:dyDescent="0.2">
      <c r="A105" s="148" t="s">
        <v>279</v>
      </c>
      <c r="B105" s="73">
        <f>IFERROR('Alloy_compnt_G&amp;L'!B105/SUM('Alloy_compnt_G&amp;L'!B$64:B$123),0)</f>
        <v>0</v>
      </c>
      <c r="C105" s="73">
        <f>IFERROR('Alloy_compnt_G&amp;L'!C105/SUM('Alloy_compnt_G&amp;L'!C$64:C$123),0)</f>
        <v>0</v>
      </c>
      <c r="D105" s="73">
        <f>IFERROR('Alloy_compnt_G&amp;L'!D105/SUM('Alloy_compnt_G&amp;L'!D$64:D$123),0)</f>
        <v>0</v>
      </c>
      <c r="E105" s="73">
        <f>IFERROR('Alloy_compnt_G&amp;L'!E105/SUM('Alloy_compnt_G&amp;L'!E$64:E$123),0)</f>
        <v>0</v>
      </c>
      <c r="F105" s="73">
        <f>IFERROR('Alloy_compnt_G&amp;L'!F105/SUM('Alloy_compnt_G&amp;L'!F$64:F$123),0)</f>
        <v>0</v>
      </c>
      <c r="G105" s="73">
        <f>IFERROR('Alloy_compnt_G&amp;L'!G105/SUM('Alloy_compnt_G&amp;L'!G$64:G$123),0)</f>
        <v>0</v>
      </c>
    </row>
    <row r="106" spans="1:7" x14ac:dyDescent="0.2">
      <c r="A106" s="148" t="s">
        <v>280</v>
      </c>
      <c r="B106" s="73">
        <f>IFERROR('Alloy_compnt_G&amp;L'!B106/SUM('Alloy_compnt_G&amp;L'!B$64:B$123),0)</f>
        <v>0</v>
      </c>
      <c r="C106" s="73">
        <f>IFERROR('Alloy_compnt_G&amp;L'!C106/SUM('Alloy_compnt_G&amp;L'!C$64:C$123),0)</f>
        <v>9.399759903961585E-3</v>
      </c>
      <c r="D106" s="73">
        <f>IFERROR('Alloy_compnt_G&amp;L'!D106/SUM('Alloy_compnt_G&amp;L'!D$64:D$123),0)</f>
        <v>0</v>
      </c>
      <c r="E106" s="73">
        <f>IFERROR('Alloy_compnt_G&amp;L'!E106/SUM('Alloy_compnt_G&amp;L'!E$64:E$123),0)</f>
        <v>1.3704784130688451E-2</v>
      </c>
      <c r="F106" s="73">
        <f>IFERROR('Alloy_compnt_G&amp;L'!F106/SUM('Alloy_compnt_G&amp;L'!F$64:F$123),0)</f>
        <v>0</v>
      </c>
      <c r="G106" s="73">
        <f>IFERROR('Alloy_compnt_G&amp;L'!G106/SUM('Alloy_compnt_G&amp;L'!G$64:G$123),0)</f>
        <v>0.435</v>
      </c>
    </row>
    <row r="107" spans="1:7" x14ac:dyDescent="0.2">
      <c r="A107" s="148" t="s">
        <v>281</v>
      </c>
      <c r="B107" s="73">
        <f>IFERROR('Alloy_compnt_G&amp;L'!B107/SUM('Alloy_compnt_G&amp;L'!B$64:B$123),0)</f>
        <v>0</v>
      </c>
      <c r="C107" s="73">
        <f>IFERROR('Alloy_compnt_G&amp;L'!C107/SUM('Alloy_compnt_G&amp;L'!C$64:C$123),0)</f>
        <v>9.399759903961585E-3</v>
      </c>
      <c r="D107" s="73">
        <f>IFERROR('Alloy_compnt_G&amp;L'!D107/SUM('Alloy_compnt_G&amp;L'!D$64:D$123),0)</f>
        <v>0</v>
      </c>
      <c r="E107" s="73">
        <f>IFERROR('Alloy_compnt_G&amp;L'!E107/SUM('Alloy_compnt_G&amp;L'!E$64:E$123),0)</f>
        <v>1.3704784130688451E-2</v>
      </c>
      <c r="F107" s="73">
        <f>IFERROR('Alloy_compnt_G&amp;L'!F107/SUM('Alloy_compnt_G&amp;L'!F$64:F$123),0)</f>
        <v>0</v>
      </c>
      <c r="G107" s="73">
        <f>IFERROR('Alloy_compnt_G&amp;L'!G107/SUM('Alloy_compnt_G&amp;L'!G$64:G$123),0)</f>
        <v>0.435</v>
      </c>
    </row>
    <row r="108" spans="1:7" x14ac:dyDescent="0.2">
      <c r="A108" s="148" t="s">
        <v>282</v>
      </c>
      <c r="B108" s="73">
        <f>IFERROR('Alloy_compnt_G&amp;L'!B108/SUM('Alloy_compnt_G&amp;L'!B$64:B$123),0)</f>
        <v>0</v>
      </c>
      <c r="C108" s="73">
        <f>IFERROR('Alloy_compnt_G&amp;L'!C108/SUM('Alloy_compnt_G&amp;L'!C$64:C$123),0)</f>
        <v>0</v>
      </c>
      <c r="D108" s="73">
        <f>IFERROR('Alloy_compnt_G&amp;L'!D108/SUM('Alloy_compnt_G&amp;L'!D$64:D$123),0)</f>
        <v>0</v>
      </c>
      <c r="E108" s="73">
        <f>IFERROR('Alloy_compnt_G&amp;L'!E108/SUM('Alloy_compnt_G&amp;L'!E$64:E$123),0)</f>
        <v>0</v>
      </c>
      <c r="F108" s="73">
        <f>IFERROR('Alloy_compnt_G&amp;L'!F108/SUM('Alloy_compnt_G&amp;L'!F$64:F$123),0)</f>
        <v>0</v>
      </c>
      <c r="G108" s="73">
        <f>IFERROR('Alloy_compnt_G&amp;L'!G108/SUM('Alloy_compnt_G&amp;L'!G$64:G$123),0)</f>
        <v>0</v>
      </c>
    </row>
    <row r="109" spans="1:7" x14ac:dyDescent="0.2">
      <c r="A109" s="148" t="s">
        <v>283</v>
      </c>
      <c r="B109" s="73">
        <f>IFERROR('Alloy_compnt_G&amp;L'!B109/SUM('Alloy_compnt_G&amp;L'!B$64:B$123),0)</f>
        <v>0</v>
      </c>
      <c r="C109" s="73">
        <f>IFERROR('Alloy_compnt_G&amp;L'!C109/SUM('Alloy_compnt_G&amp;L'!C$64:C$123),0)</f>
        <v>0</v>
      </c>
      <c r="D109" s="73">
        <f>IFERROR('Alloy_compnt_G&amp;L'!D109/SUM('Alloy_compnt_G&amp;L'!D$64:D$123),0)</f>
        <v>0</v>
      </c>
      <c r="E109" s="73">
        <f>IFERROR('Alloy_compnt_G&amp;L'!E109/SUM('Alloy_compnt_G&amp;L'!E$64:E$123),0)</f>
        <v>0</v>
      </c>
      <c r="F109" s="73">
        <f>IFERROR('Alloy_compnt_G&amp;L'!F109/SUM('Alloy_compnt_G&amp;L'!F$64:F$123),0)</f>
        <v>0</v>
      </c>
      <c r="G109" s="73">
        <f>IFERROR('Alloy_compnt_G&amp;L'!G109/SUM('Alloy_compnt_G&amp;L'!G$64:G$123),0)</f>
        <v>0</v>
      </c>
    </row>
    <row r="110" spans="1:7" x14ac:dyDescent="0.2">
      <c r="A110" s="148" t="s">
        <v>284</v>
      </c>
      <c r="B110" s="73">
        <f>IFERROR('Alloy_compnt_G&amp;L'!B110/SUM('Alloy_compnt_G&amp;L'!B$64:B$123),0)</f>
        <v>0</v>
      </c>
      <c r="C110" s="73">
        <f>IFERROR('Alloy_compnt_G&amp;L'!C110/SUM('Alloy_compnt_G&amp;L'!C$64:C$123),0)</f>
        <v>0</v>
      </c>
      <c r="D110" s="73">
        <f>IFERROR('Alloy_compnt_G&amp;L'!D110/SUM('Alloy_compnt_G&amp;L'!D$64:D$123),0)</f>
        <v>0</v>
      </c>
      <c r="E110" s="73">
        <f>IFERROR('Alloy_compnt_G&amp;L'!E110/SUM('Alloy_compnt_G&amp;L'!E$64:E$123),0)</f>
        <v>0</v>
      </c>
      <c r="F110" s="73">
        <f>IFERROR('Alloy_compnt_G&amp;L'!F110/SUM('Alloy_compnt_G&amp;L'!F$64:F$123),0)</f>
        <v>0</v>
      </c>
      <c r="G110" s="73">
        <f>IFERROR('Alloy_compnt_G&amp;L'!G110/SUM('Alloy_compnt_G&amp;L'!G$64:G$123),0)</f>
        <v>0</v>
      </c>
    </row>
    <row r="111" spans="1:7" x14ac:dyDescent="0.2">
      <c r="A111" s="148" t="s">
        <v>285</v>
      </c>
      <c r="B111" s="73">
        <f>IFERROR('Alloy_compnt_G&amp;L'!B111/SUM('Alloy_compnt_G&amp;L'!B$64:B$123),0)</f>
        <v>0</v>
      </c>
      <c r="C111" s="73">
        <f>IFERROR('Alloy_compnt_G&amp;L'!C111/SUM('Alloy_compnt_G&amp;L'!C$64:C$123),0)</f>
        <v>0</v>
      </c>
      <c r="D111" s="73">
        <f>IFERROR('Alloy_compnt_G&amp;L'!D111/SUM('Alloy_compnt_G&amp;L'!D$64:D$123),0)</f>
        <v>0</v>
      </c>
      <c r="E111" s="73">
        <f>IFERROR('Alloy_compnt_G&amp;L'!E111/SUM('Alloy_compnt_G&amp;L'!E$64:E$123),0)</f>
        <v>0</v>
      </c>
      <c r="F111" s="73">
        <f>IFERROR('Alloy_compnt_G&amp;L'!F111/SUM('Alloy_compnt_G&amp;L'!F$64:F$123),0)</f>
        <v>0</v>
      </c>
      <c r="G111" s="73">
        <f>IFERROR('Alloy_compnt_G&amp;L'!G111/SUM('Alloy_compnt_G&amp;L'!G$64:G$123),0)</f>
        <v>0</v>
      </c>
    </row>
    <row r="112" spans="1:7" x14ac:dyDescent="0.2">
      <c r="A112" s="147" t="s">
        <v>286</v>
      </c>
      <c r="B112" s="73">
        <f>IFERROR('Alloy_compnt_G&amp;L'!B112/SUM('Alloy_compnt_G&amp;L'!B$64:B$123),0)</f>
        <v>0</v>
      </c>
      <c r="C112" s="73">
        <f>IFERROR('Alloy_compnt_G&amp;L'!C112/SUM('Alloy_compnt_G&amp;L'!C$64:C$123),0)</f>
        <v>0</v>
      </c>
      <c r="D112" s="73">
        <f>IFERROR('Alloy_compnt_G&amp;L'!D112/SUM('Alloy_compnt_G&amp;L'!D$64:D$123),0)</f>
        <v>0</v>
      </c>
      <c r="E112" s="73">
        <f>IFERROR('Alloy_compnt_G&amp;L'!E112/SUM('Alloy_compnt_G&amp;L'!E$64:E$123),0)</f>
        <v>0</v>
      </c>
      <c r="F112" s="73">
        <f>IFERROR('Alloy_compnt_G&amp;L'!F112/SUM('Alloy_compnt_G&amp;L'!F$64:F$123),0)</f>
        <v>0</v>
      </c>
      <c r="G112" s="73">
        <f>IFERROR('Alloy_compnt_G&amp;L'!G112/SUM('Alloy_compnt_G&amp;L'!G$64:G$123),0)</f>
        <v>0</v>
      </c>
    </row>
    <row r="113" spans="1:7" x14ac:dyDescent="0.2">
      <c r="A113" s="142" t="s">
        <v>287</v>
      </c>
      <c r="B113" s="73">
        <f>IFERROR('Alloy_compnt_G&amp;L'!B113/SUM('Alloy_compnt_G&amp;L'!B$64:B$123),0)</f>
        <v>0</v>
      </c>
      <c r="C113" s="73">
        <f>IFERROR('Alloy_compnt_G&amp;L'!C113/SUM('Alloy_compnt_G&amp;L'!C$64:C$123),0)</f>
        <v>0</v>
      </c>
      <c r="D113" s="73">
        <f>IFERROR('Alloy_compnt_G&amp;L'!D113/SUM('Alloy_compnt_G&amp;L'!D$64:D$123),0)</f>
        <v>0</v>
      </c>
      <c r="E113" s="73">
        <f>IFERROR('Alloy_compnt_G&amp;L'!E113/SUM('Alloy_compnt_G&amp;L'!E$64:E$123),0)</f>
        <v>0</v>
      </c>
      <c r="F113" s="73">
        <f>IFERROR('Alloy_compnt_G&amp;L'!F113/SUM('Alloy_compnt_G&amp;L'!F$64:F$123),0)</f>
        <v>0</v>
      </c>
      <c r="G113" s="73">
        <f>IFERROR('Alloy_compnt_G&amp;L'!G113/SUM('Alloy_compnt_G&amp;L'!G$64:G$123),0)</f>
        <v>0</v>
      </c>
    </row>
    <row r="114" spans="1:7" x14ac:dyDescent="0.2">
      <c r="A114" s="142" t="s">
        <v>288</v>
      </c>
      <c r="B114" s="73">
        <f>IFERROR('Alloy_compnt_G&amp;L'!B114/SUM('Alloy_compnt_G&amp;L'!B$64:B$123),0)</f>
        <v>0</v>
      </c>
      <c r="C114" s="73">
        <f>IFERROR('Alloy_compnt_G&amp;L'!C114/SUM('Alloy_compnt_G&amp;L'!C$64:C$123),0)</f>
        <v>0</v>
      </c>
      <c r="D114" s="73">
        <f>IFERROR('Alloy_compnt_G&amp;L'!D114/SUM('Alloy_compnt_G&amp;L'!D$64:D$123),0)</f>
        <v>0</v>
      </c>
      <c r="E114" s="73">
        <f>IFERROR('Alloy_compnt_G&amp;L'!E114/SUM('Alloy_compnt_G&amp;L'!E$64:E$123),0)</f>
        <v>0</v>
      </c>
      <c r="F114" s="73">
        <f>IFERROR('Alloy_compnt_G&amp;L'!F114/SUM('Alloy_compnt_G&amp;L'!F$64:F$123),0)</f>
        <v>0</v>
      </c>
      <c r="G114" s="73">
        <f>IFERROR('Alloy_compnt_G&amp;L'!G114/SUM('Alloy_compnt_G&amp;L'!G$64:G$123),0)</f>
        <v>0</v>
      </c>
    </row>
    <row r="115" spans="1:7" x14ac:dyDescent="0.2">
      <c r="A115" s="142" t="s">
        <v>289</v>
      </c>
      <c r="B115" s="73">
        <f>IFERROR('Alloy_compnt_G&amp;L'!B115/SUM('Alloy_compnt_G&amp;L'!B$64:B$123),0)</f>
        <v>0.10035211267605633</v>
      </c>
      <c r="C115" s="73">
        <f>IFERROR('Alloy_compnt_G&amp;L'!C115/SUM('Alloy_compnt_G&amp;L'!C$64:C$123),0)</f>
        <v>0.10684273709483791</v>
      </c>
      <c r="D115" s="73">
        <f>IFERROR('Alloy_compnt_G&amp;L'!D115/SUM('Alloy_compnt_G&amp;L'!D$64:D$123),0)</f>
        <v>7.9008073817762384E-2</v>
      </c>
      <c r="E115" s="73">
        <f>IFERROR('Alloy_compnt_G&amp;L'!E115/SUM('Alloy_compnt_G&amp;L'!E$64:E$123),0)</f>
        <v>8.693115519253207E-2</v>
      </c>
      <c r="F115" s="73">
        <f>IFERROR('Alloy_compnt_G&amp;L'!F115/SUM('Alloy_compnt_G&amp;L'!F$64:F$123),0)</f>
        <v>0</v>
      </c>
      <c r="G115" s="73">
        <f>IFERROR('Alloy_compnt_G&amp;L'!G115/SUM('Alloy_compnt_G&amp;L'!G$64:G$123),0)</f>
        <v>0</v>
      </c>
    </row>
    <row r="116" spans="1:7" x14ac:dyDescent="0.2">
      <c r="A116" s="142" t="s">
        <v>290</v>
      </c>
      <c r="B116" s="73">
        <f>IFERROR('Alloy_compnt_G&amp;L'!B116/SUM('Alloy_compnt_G&amp;L'!B$64:B$123),0)</f>
        <v>0.10035211267605633</v>
      </c>
      <c r="C116" s="73">
        <f>IFERROR('Alloy_compnt_G&amp;L'!C116/SUM('Alloy_compnt_G&amp;L'!C$64:C$123),0)</f>
        <v>0.10684273709483791</v>
      </c>
      <c r="D116" s="73">
        <f>IFERROR('Alloy_compnt_G&amp;L'!D116/SUM('Alloy_compnt_G&amp;L'!D$64:D$123),0)</f>
        <v>7.9008073817762384E-2</v>
      </c>
      <c r="E116" s="73">
        <f>IFERROR('Alloy_compnt_G&amp;L'!E116/SUM('Alloy_compnt_G&amp;L'!E$64:E$123),0)</f>
        <v>8.693115519253207E-2</v>
      </c>
      <c r="F116" s="73">
        <f>IFERROR('Alloy_compnt_G&amp;L'!F116/SUM('Alloy_compnt_G&amp;L'!F$64:F$123),0)</f>
        <v>0</v>
      </c>
      <c r="G116" s="73">
        <f>IFERROR('Alloy_compnt_G&amp;L'!G116/SUM('Alloy_compnt_G&amp;L'!G$64:G$123),0)</f>
        <v>0</v>
      </c>
    </row>
    <row r="117" spans="1:7" x14ac:dyDescent="0.2">
      <c r="A117" s="142" t="s">
        <v>291</v>
      </c>
      <c r="B117" s="73">
        <f>IFERROR('Alloy_compnt_G&amp;L'!B117/SUM('Alloy_compnt_G&amp;L'!B$64:B$123),0)</f>
        <v>0</v>
      </c>
      <c r="C117" s="73">
        <f>IFERROR('Alloy_compnt_G&amp;L'!C117/SUM('Alloy_compnt_G&amp;L'!C$64:C$123),0)</f>
        <v>0</v>
      </c>
      <c r="D117" s="73">
        <f>IFERROR('Alloy_compnt_G&amp;L'!D117/SUM('Alloy_compnt_G&amp;L'!D$64:D$123),0)</f>
        <v>0</v>
      </c>
      <c r="E117" s="73">
        <f>IFERROR('Alloy_compnt_G&amp;L'!E117/SUM('Alloy_compnt_G&amp;L'!E$64:E$123),0)</f>
        <v>0</v>
      </c>
      <c r="F117" s="73">
        <f>IFERROR('Alloy_compnt_G&amp;L'!F117/SUM('Alloy_compnt_G&amp;L'!F$64:F$123),0)</f>
        <v>0</v>
      </c>
      <c r="G117" s="73">
        <f>IFERROR('Alloy_compnt_G&amp;L'!G117/SUM('Alloy_compnt_G&amp;L'!G$64:G$123),0)</f>
        <v>0</v>
      </c>
    </row>
    <row r="118" spans="1:7" x14ac:dyDescent="0.2">
      <c r="A118" s="142" t="s">
        <v>292</v>
      </c>
      <c r="B118" s="73">
        <f>IFERROR('Alloy_compnt_G&amp;L'!B118/SUM('Alloy_compnt_G&amp;L'!B$64:B$123),0)</f>
        <v>0</v>
      </c>
      <c r="C118" s="73">
        <f>IFERROR('Alloy_compnt_G&amp;L'!C118/SUM('Alloy_compnt_G&amp;L'!C$64:C$123),0)</f>
        <v>0</v>
      </c>
      <c r="D118" s="73">
        <f>IFERROR('Alloy_compnt_G&amp;L'!D118/SUM('Alloy_compnt_G&amp;L'!D$64:D$123),0)</f>
        <v>0</v>
      </c>
      <c r="E118" s="73">
        <f>IFERROR('Alloy_compnt_G&amp;L'!E118/SUM('Alloy_compnt_G&amp;L'!E$64:E$123),0)</f>
        <v>0</v>
      </c>
      <c r="F118" s="73">
        <f>IFERROR('Alloy_compnt_G&amp;L'!F118/SUM('Alloy_compnt_G&amp;L'!F$64:F$123),0)</f>
        <v>0</v>
      </c>
      <c r="G118" s="73">
        <f>IFERROR('Alloy_compnt_G&amp;L'!G118/SUM('Alloy_compnt_G&amp;L'!G$64:G$123),0)</f>
        <v>0</v>
      </c>
    </row>
    <row r="119" spans="1:7" x14ac:dyDescent="0.2">
      <c r="A119" s="142" t="s">
        <v>293</v>
      </c>
      <c r="B119" s="73">
        <f>IFERROR('Alloy_compnt_G&amp;L'!B119/SUM('Alloy_compnt_G&amp;L'!B$64:B$123),0)</f>
        <v>0</v>
      </c>
      <c r="C119" s="73">
        <f>IFERROR('Alloy_compnt_G&amp;L'!C119/SUM('Alloy_compnt_G&amp;L'!C$64:C$123),0)</f>
        <v>0</v>
      </c>
      <c r="D119" s="73">
        <f>IFERROR('Alloy_compnt_G&amp;L'!D119/SUM('Alloy_compnt_G&amp;L'!D$64:D$123),0)</f>
        <v>0</v>
      </c>
      <c r="E119" s="73">
        <f>IFERROR('Alloy_compnt_G&amp;L'!E119/SUM('Alloy_compnt_G&amp;L'!E$64:E$123),0)</f>
        <v>0</v>
      </c>
      <c r="F119" s="73">
        <f>IFERROR('Alloy_compnt_G&amp;L'!F119/SUM('Alloy_compnt_G&amp;L'!F$64:F$123),0)</f>
        <v>0</v>
      </c>
      <c r="G119" s="73">
        <f>IFERROR('Alloy_compnt_G&amp;L'!G119/SUM('Alloy_compnt_G&amp;L'!G$64:G$123),0)</f>
        <v>0</v>
      </c>
    </row>
    <row r="120" spans="1:7" x14ac:dyDescent="0.2">
      <c r="A120" s="142" t="s">
        <v>294</v>
      </c>
      <c r="B120" s="73">
        <f>IFERROR('Alloy_compnt_G&amp;L'!B120/SUM('Alloy_compnt_G&amp;L'!B$64:B$123),0)</f>
        <v>0</v>
      </c>
      <c r="C120" s="73">
        <f>IFERROR('Alloy_compnt_G&amp;L'!C120/SUM('Alloy_compnt_G&amp;L'!C$64:C$123),0)</f>
        <v>0</v>
      </c>
      <c r="D120" s="73">
        <f>IFERROR('Alloy_compnt_G&amp;L'!D120/SUM('Alloy_compnt_G&amp;L'!D$64:D$123),0)</f>
        <v>0</v>
      </c>
      <c r="E120" s="73">
        <f>IFERROR('Alloy_compnt_G&amp;L'!E120/SUM('Alloy_compnt_G&amp;L'!E$64:E$123),0)</f>
        <v>0</v>
      </c>
      <c r="F120" s="73">
        <f>IFERROR('Alloy_compnt_G&amp;L'!F120/SUM('Alloy_compnt_G&amp;L'!F$64:F$123),0)</f>
        <v>0</v>
      </c>
      <c r="G120" s="73">
        <f>IFERROR('Alloy_compnt_G&amp;L'!G120/SUM('Alloy_compnt_G&amp;L'!G$64:G$123),0)</f>
        <v>0</v>
      </c>
    </row>
    <row r="121" spans="1:7" x14ac:dyDescent="0.2">
      <c r="A121" s="144" t="s">
        <v>295</v>
      </c>
      <c r="B121" s="73">
        <f>IFERROR('Alloy_compnt_G&amp;L'!B121/SUM('Alloy_compnt_G&amp;L'!B$64:B$123),0)</f>
        <v>0</v>
      </c>
      <c r="C121" s="73">
        <f>IFERROR('Alloy_compnt_G&amp;L'!C121/SUM('Alloy_compnt_G&amp;L'!C$64:C$123),0)</f>
        <v>0</v>
      </c>
      <c r="D121" s="73">
        <f>IFERROR('Alloy_compnt_G&amp;L'!D121/SUM('Alloy_compnt_G&amp;L'!D$64:D$123),0)</f>
        <v>0</v>
      </c>
      <c r="E121" s="73">
        <f>IFERROR('Alloy_compnt_G&amp;L'!E121/SUM('Alloy_compnt_G&amp;L'!E$64:E$123),0)</f>
        <v>0</v>
      </c>
      <c r="F121" s="73">
        <f>IFERROR('Alloy_compnt_G&amp;L'!F121/SUM('Alloy_compnt_G&amp;L'!F$64:F$123),0)</f>
        <v>0</v>
      </c>
      <c r="G121" s="73">
        <f>IFERROR('Alloy_compnt_G&amp;L'!G121/SUM('Alloy_compnt_G&amp;L'!G$64:G$123),0)</f>
        <v>0</v>
      </c>
    </row>
    <row r="122" spans="1:7" x14ac:dyDescent="0.2">
      <c r="A122" s="142" t="s">
        <v>206</v>
      </c>
      <c r="B122" s="73">
        <f>IFERROR('Alloy_compnt_G&amp;L'!B122/SUM('Alloy_compnt_G&amp;L'!B$64:B$123),0)</f>
        <v>0</v>
      </c>
      <c r="C122" s="73">
        <f>IFERROR('Alloy_compnt_G&amp;L'!C122/SUM('Alloy_compnt_G&amp;L'!C$64:C$123),0)</f>
        <v>0</v>
      </c>
      <c r="D122" s="73">
        <f>IFERROR('Alloy_compnt_G&amp;L'!D122/SUM('Alloy_compnt_G&amp;L'!D$64:D$123),0)</f>
        <v>0</v>
      </c>
      <c r="E122" s="73">
        <f>IFERROR('Alloy_compnt_G&amp;L'!E122/SUM('Alloy_compnt_G&amp;L'!E$64:E$123),0)</f>
        <v>0</v>
      </c>
      <c r="F122" s="73">
        <f>IFERROR('Alloy_compnt_G&amp;L'!F122/SUM('Alloy_compnt_G&amp;L'!F$64:F$123),0)</f>
        <v>0</v>
      </c>
      <c r="G122" s="73">
        <f>IFERROR('Alloy_compnt_G&amp;L'!G122/SUM('Alloy_compnt_G&amp;L'!G$64:G$123),0)</f>
        <v>0</v>
      </c>
    </row>
    <row r="123" spans="1:7" ht="17" thickBot="1" x14ac:dyDescent="0.25">
      <c r="A123" s="149" t="s">
        <v>208</v>
      </c>
      <c r="B123" s="73">
        <f>IFERROR('Alloy_compnt_G&amp;L'!B123/SUM('Alloy_compnt_G&amp;L'!B$64:B$123),0)</f>
        <v>0</v>
      </c>
      <c r="C123" s="73">
        <f>IFERROR('Alloy_compnt_G&amp;L'!C123/SUM('Alloy_compnt_G&amp;L'!C$64:C$123),0)</f>
        <v>0</v>
      </c>
      <c r="D123" s="73">
        <f>IFERROR('Alloy_compnt_G&amp;L'!D123/SUM('Alloy_compnt_G&amp;L'!D$64:D$123),0)</f>
        <v>0</v>
      </c>
      <c r="E123" s="73">
        <f>IFERROR('Alloy_compnt_G&amp;L'!E123/SUM('Alloy_compnt_G&amp;L'!E$64:E$123),0)</f>
        <v>0</v>
      </c>
      <c r="F123" s="73">
        <f>IFERROR('Alloy_compnt_G&amp;L'!F123/SUM('Alloy_compnt_G&amp;L'!F$64:F$123),0)</f>
        <v>0</v>
      </c>
      <c r="G123" s="73">
        <f>IFERROR('Alloy_compnt_G&amp;L'!G123/SUM('Alloy_compnt_G&amp;L'!G$64:G$123),0)</f>
        <v>0</v>
      </c>
    </row>
    <row r="124" spans="1:7" ht="17" thickTop="1" x14ac:dyDescent="0.2">
      <c r="A124" s="139" t="s">
        <v>173</v>
      </c>
      <c r="B124" s="54"/>
      <c r="C124" s="54"/>
      <c r="D124" s="54"/>
      <c r="E124" s="54"/>
      <c r="F124" s="54"/>
      <c r="G124" s="54"/>
    </row>
    <row r="125" spans="1:7" x14ac:dyDescent="0.2">
      <c r="A125" s="142" t="s">
        <v>105</v>
      </c>
      <c r="B125" s="73">
        <f>IFERROR('Alloy_compnt_G&amp;L'!B125/SUM('Alloy_compnt_G&amp;L'!B$125:B$184),0)</f>
        <v>7.0333333333333317E-2</v>
      </c>
      <c r="C125" s="73">
        <f>IFERROR('Alloy_compnt_G&amp;L'!C125/SUM('Alloy_compnt_G&amp;L'!C$125:C$184),0)</f>
        <v>7.0333333333333345E-2</v>
      </c>
      <c r="D125" s="73">
        <f>IFERROR('Alloy_compnt_G&amp;L'!D125/SUM('Alloy_compnt_G&amp;L'!D$125:D$184),0)</f>
        <v>0.15857763975155278</v>
      </c>
      <c r="E125" s="73">
        <f>IFERROR('Alloy_compnt_G&amp;L'!E125/SUM('Alloy_compnt_G&amp;L'!E$125:E$184),0)</f>
        <v>0.15857763975155276</v>
      </c>
      <c r="F125" s="73">
        <f>IFERROR('Alloy_compnt_G&amp;L'!F125/SUM('Alloy_compnt_G&amp;L'!F$125:F$184),0)</f>
        <v>0.15857763975155276</v>
      </c>
      <c r="G125" s="73">
        <f>IFERROR('Alloy_compnt_G&amp;L'!G125/SUM('Alloy_compnt_G&amp;L'!G$125:G$184),0)</f>
        <v>0.15857763975155276</v>
      </c>
    </row>
    <row r="126" spans="1:7" x14ac:dyDescent="0.2">
      <c r="A126" s="142" t="s">
        <v>106</v>
      </c>
      <c r="B126" s="73">
        <f>IFERROR('Alloy_compnt_G&amp;L'!B126/SUM('Alloy_compnt_G&amp;L'!B$125:B$184),0)</f>
        <v>6.3666666666666649E-2</v>
      </c>
      <c r="C126" s="73">
        <f>IFERROR('Alloy_compnt_G&amp;L'!C126/SUM('Alloy_compnt_G&amp;L'!C$125:C$184),0)</f>
        <v>6.3666666666666677E-2</v>
      </c>
      <c r="D126" s="73">
        <f>IFERROR('Alloy_compnt_G&amp;L'!D126/SUM('Alloy_compnt_G&amp;L'!D$125:D$184),0)</f>
        <v>0.14354658385093169</v>
      </c>
      <c r="E126" s="73">
        <f>IFERROR('Alloy_compnt_G&amp;L'!E126/SUM('Alloy_compnt_G&amp;L'!E$125:E$184),0)</f>
        <v>0.14354658385093166</v>
      </c>
      <c r="F126" s="73">
        <f>IFERROR('Alloy_compnt_G&amp;L'!F126/SUM('Alloy_compnt_G&amp;L'!F$125:F$184),0)</f>
        <v>0.14354658385093166</v>
      </c>
      <c r="G126" s="73">
        <f>IFERROR('Alloy_compnt_G&amp;L'!G126/SUM('Alloy_compnt_G&amp;L'!G$125:G$184),0)</f>
        <v>0.14354658385093166</v>
      </c>
    </row>
    <row r="127" spans="1:7" x14ac:dyDescent="0.2">
      <c r="A127" s="142" t="s">
        <v>107</v>
      </c>
      <c r="B127" s="73">
        <f>IFERROR('Alloy_compnt_G&amp;L'!B127/SUM('Alloy_compnt_G&amp;L'!B$125:B$184),0)</f>
        <v>0.19933333333333331</v>
      </c>
      <c r="C127" s="73">
        <f>IFERROR('Alloy_compnt_G&amp;L'!C127/SUM('Alloy_compnt_G&amp;L'!C$125:C$184),0)</f>
        <v>0.19933333333333339</v>
      </c>
      <c r="D127" s="73">
        <f>IFERROR('Alloy_compnt_G&amp;L'!D127/SUM('Alloy_compnt_G&amp;L'!D$125:D$184),0)</f>
        <v>0.44942857142857151</v>
      </c>
      <c r="E127" s="73">
        <f>IFERROR('Alloy_compnt_G&amp;L'!E127/SUM('Alloy_compnt_G&amp;L'!E$125:E$184),0)</f>
        <v>0.44942857142857146</v>
      </c>
      <c r="F127" s="73">
        <f>IFERROR('Alloy_compnt_G&amp;L'!F127/SUM('Alloy_compnt_G&amp;L'!F$125:F$184),0)</f>
        <v>0.4494285714285714</v>
      </c>
      <c r="G127" s="73">
        <f>IFERROR('Alloy_compnt_G&amp;L'!G127/SUM('Alloy_compnt_G&amp;L'!G$125:G$184),0)</f>
        <v>0.44942857142857146</v>
      </c>
    </row>
    <row r="128" spans="1:7" x14ac:dyDescent="0.2">
      <c r="A128" s="142" t="s">
        <v>91</v>
      </c>
      <c r="B128" s="73">
        <f>IFERROR('Alloy_compnt_G&amp;L'!B128/SUM('Alloy_compnt_G&amp;L'!B$125:B$184),0)</f>
        <v>0</v>
      </c>
      <c r="C128" s="73">
        <f>IFERROR('Alloy_compnt_G&amp;L'!C128/SUM('Alloy_compnt_G&amp;L'!C$125:C$184),0)</f>
        <v>0</v>
      </c>
      <c r="D128" s="73">
        <f>IFERROR('Alloy_compnt_G&amp;L'!D128/SUM('Alloy_compnt_G&amp;L'!D$125:D$184),0)</f>
        <v>0</v>
      </c>
      <c r="E128" s="73">
        <f>IFERROR('Alloy_compnt_G&amp;L'!E128/SUM('Alloy_compnt_G&amp;L'!E$125:E$184),0)</f>
        <v>0</v>
      </c>
      <c r="F128" s="73">
        <f>IFERROR('Alloy_compnt_G&amp;L'!F128/SUM('Alloy_compnt_G&amp;L'!F$125:F$184),0)</f>
        <v>0</v>
      </c>
      <c r="G128" s="73">
        <f>IFERROR('Alloy_compnt_G&amp;L'!G128/SUM('Alloy_compnt_G&amp;L'!G$125:G$184),0)</f>
        <v>0</v>
      </c>
    </row>
    <row r="129" spans="1:7" x14ac:dyDescent="0.2">
      <c r="A129" s="142" t="s">
        <v>204</v>
      </c>
      <c r="B129" s="73">
        <f>IFERROR('Alloy_compnt_G&amp;L'!B129/SUM('Alloy_compnt_G&amp;L'!B$125:B$184),0)</f>
        <v>0.28333333333333327</v>
      </c>
      <c r="C129" s="73">
        <f>IFERROR('Alloy_compnt_G&amp;L'!C129/SUM('Alloy_compnt_G&amp;L'!C$125:C$184),0)</f>
        <v>0</v>
      </c>
      <c r="D129" s="73">
        <f>IFERROR('Alloy_compnt_G&amp;L'!D129/SUM('Alloy_compnt_G&amp;L'!D$125:D$184),0)</f>
        <v>0</v>
      </c>
      <c r="E129" s="73">
        <f>IFERROR('Alloy_compnt_G&amp;L'!E129/SUM('Alloy_compnt_G&amp;L'!E$125:E$184),0)</f>
        <v>0</v>
      </c>
      <c r="F129" s="73">
        <f>IFERROR('Alloy_compnt_G&amp;L'!F129/SUM('Alloy_compnt_G&amp;L'!F$125:F$184),0)</f>
        <v>0</v>
      </c>
      <c r="G129" s="73">
        <f>IFERROR('Alloy_compnt_G&amp;L'!G129/SUM('Alloy_compnt_G&amp;L'!G$125:G$184),0)</f>
        <v>0</v>
      </c>
    </row>
    <row r="130" spans="1:7" x14ac:dyDescent="0.2">
      <c r="A130" s="144" t="s">
        <v>104</v>
      </c>
      <c r="B130" s="73">
        <f>IFERROR('Alloy_compnt_G&amp;L'!B130/SUM('Alloy_compnt_G&amp;L'!B$125:B$184),0)</f>
        <v>4.9999999999999996E-2</v>
      </c>
      <c r="C130" s="73">
        <f>IFERROR('Alloy_compnt_G&amp;L'!C130/SUM('Alloy_compnt_G&amp;L'!C$125:C$184),0)</f>
        <v>0</v>
      </c>
      <c r="D130" s="73">
        <f>IFERROR('Alloy_compnt_G&amp;L'!D130/SUM('Alloy_compnt_G&amp;L'!D$125:D$184),0)</f>
        <v>0</v>
      </c>
      <c r="E130" s="73">
        <f>IFERROR('Alloy_compnt_G&amp;L'!E130/SUM('Alloy_compnt_G&amp;L'!E$125:E$184),0)</f>
        <v>0</v>
      </c>
      <c r="F130" s="73">
        <f>IFERROR('Alloy_compnt_G&amp;L'!F130/SUM('Alloy_compnt_G&amp;L'!F$125:F$184),0)</f>
        <v>0</v>
      </c>
      <c r="G130" s="73">
        <f>IFERROR('Alloy_compnt_G&amp;L'!G130/SUM('Alloy_compnt_G&amp;L'!G$125:G$184),0)</f>
        <v>0</v>
      </c>
    </row>
    <row r="131" spans="1:7" x14ac:dyDescent="0.2">
      <c r="A131" s="145" t="s">
        <v>244</v>
      </c>
      <c r="B131" s="73">
        <f>IFERROR('Alloy_compnt_G&amp;L'!B131/SUM('Alloy_compnt_G&amp;L'!B$125:B$184),0)</f>
        <v>0</v>
      </c>
      <c r="C131" s="73">
        <f>IFERROR('Alloy_compnt_G&amp;L'!C131/SUM('Alloy_compnt_G&amp;L'!C$125:C$184),0)</f>
        <v>0</v>
      </c>
      <c r="D131" s="73">
        <f>IFERROR('Alloy_compnt_G&amp;L'!D131/SUM('Alloy_compnt_G&amp;L'!D$125:D$184),0)</f>
        <v>0</v>
      </c>
      <c r="E131" s="73">
        <f>IFERROR('Alloy_compnt_G&amp;L'!E131/SUM('Alloy_compnt_G&amp;L'!E$125:E$184),0)</f>
        <v>0</v>
      </c>
      <c r="F131" s="73">
        <f>IFERROR('Alloy_compnt_G&amp;L'!F131/SUM('Alloy_compnt_G&amp;L'!F$125:F$184),0)</f>
        <v>0</v>
      </c>
      <c r="G131" s="73">
        <f>IFERROR('Alloy_compnt_G&amp;L'!G131/SUM('Alloy_compnt_G&amp;L'!G$125:G$184),0)</f>
        <v>0</v>
      </c>
    </row>
    <row r="132" spans="1:7" x14ac:dyDescent="0.2">
      <c r="A132" s="145" t="s">
        <v>245</v>
      </c>
      <c r="B132" s="73">
        <f>IFERROR('Alloy_compnt_G&amp;L'!B132/SUM('Alloy_compnt_G&amp;L'!B$125:B$184),0)</f>
        <v>0</v>
      </c>
      <c r="C132" s="73">
        <f>IFERROR('Alloy_compnt_G&amp;L'!C132/SUM('Alloy_compnt_G&amp;L'!C$125:C$184),0)</f>
        <v>0</v>
      </c>
      <c r="D132" s="73">
        <f>IFERROR('Alloy_compnt_G&amp;L'!D132/SUM('Alloy_compnt_G&amp;L'!D$125:D$184),0)</f>
        <v>0</v>
      </c>
      <c r="E132" s="73">
        <f>IFERROR('Alloy_compnt_G&amp;L'!E132/SUM('Alloy_compnt_G&amp;L'!E$125:E$184),0)</f>
        <v>0</v>
      </c>
      <c r="F132" s="73">
        <f>IFERROR('Alloy_compnt_G&amp;L'!F132/SUM('Alloy_compnt_G&amp;L'!F$125:F$184),0)</f>
        <v>0</v>
      </c>
      <c r="G132" s="73">
        <f>IFERROR('Alloy_compnt_G&amp;L'!G132/SUM('Alloy_compnt_G&amp;L'!G$125:G$184),0)</f>
        <v>0</v>
      </c>
    </row>
    <row r="133" spans="1:7" x14ac:dyDescent="0.2">
      <c r="A133" s="145" t="s">
        <v>246</v>
      </c>
      <c r="B133" s="73">
        <f>IFERROR('Alloy_compnt_G&amp;L'!B133/SUM('Alloy_compnt_G&amp;L'!B$125:B$184),0)</f>
        <v>0</v>
      </c>
      <c r="C133" s="73">
        <f>IFERROR('Alloy_compnt_G&amp;L'!C133/SUM('Alloy_compnt_G&amp;L'!C$125:C$184),0)</f>
        <v>0</v>
      </c>
      <c r="D133" s="73">
        <f>IFERROR('Alloy_compnt_G&amp;L'!D133/SUM('Alloy_compnt_G&amp;L'!D$125:D$184),0)</f>
        <v>0</v>
      </c>
      <c r="E133" s="73">
        <f>IFERROR('Alloy_compnt_G&amp;L'!E133/SUM('Alloy_compnt_G&amp;L'!E$125:E$184),0)</f>
        <v>0</v>
      </c>
      <c r="F133" s="73">
        <f>IFERROR('Alloy_compnt_G&amp;L'!F133/SUM('Alloy_compnt_G&amp;L'!F$125:F$184),0)</f>
        <v>0</v>
      </c>
      <c r="G133" s="73">
        <f>IFERROR('Alloy_compnt_G&amp;L'!G133/SUM('Alloy_compnt_G&amp;L'!G$125:G$184),0)</f>
        <v>0</v>
      </c>
    </row>
    <row r="134" spans="1:7" x14ac:dyDescent="0.2">
      <c r="A134" s="145" t="s">
        <v>247</v>
      </c>
      <c r="B134" s="73">
        <f>IFERROR('Alloy_compnt_G&amp;L'!B134/SUM('Alloy_compnt_G&amp;L'!B$125:B$184),0)</f>
        <v>0</v>
      </c>
      <c r="C134" s="73">
        <f>IFERROR('Alloy_compnt_G&amp;L'!C134/SUM('Alloy_compnt_G&amp;L'!C$125:C$184),0)</f>
        <v>0</v>
      </c>
      <c r="D134" s="73">
        <f>IFERROR('Alloy_compnt_G&amp;L'!D134/SUM('Alloy_compnt_G&amp;L'!D$125:D$184),0)</f>
        <v>0</v>
      </c>
      <c r="E134" s="73">
        <f>IFERROR('Alloy_compnt_G&amp;L'!E134/SUM('Alloy_compnt_G&amp;L'!E$125:E$184),0)</f>
        <v>0</v>
      </c>
      <c r="F134" s="73">
        <f>IFERROR('Alloy_compnt_G&amp;L'!F134/SUM('Alloy_compnt_G&amp;L'!F$125:F$184),0)</f>
        <v>0</v>
      </c>
      <c r="G134" s="73">
        <f>IFERROR('Alloy_compnt_G&amp;L'!G134/SUM('Alloy_compnt_G&amp;L'!G$125:G$184),0)</f>
        <v>0</v>
      </c>
    </row>
    <row r="135" spans="1:7" x14ac:dyDescent="0.2">
      <c r="A135" s="145" t="s">
        <v>248</v>
      </c>
      <c r="B135" s="73">
        <f>IFERROR('Alloy_compnt_G&amp;L'!B135/SUM('Alloy_compnt_G&amp;L'!B$125:B$184),0)</f>
        <v>0</v>
      </c>
      <c r="C135" s="73">
        <f>IFERROR('Alloy_compnt_G&amp;L'!C135/SUM('Alloy_compnt_G&amp;L'!C$125:C$184),0)</f>
        <v>0</v>
      </c>
      <c r="D135" s="73">
        <f>IFERROR('Alloy_compnt_G&amp;L'!D135/SUM('Alloy_compnt_G&amp;L'!D$125:D$184),0)</f>
        <v>0</v>
      </c>
      <c r="E135" s="73">
        <f>IFERROR('Alloy_compnt_G&amp;L'!E135/SUM('Alloy_compnt_G&amp;L'!E$125:E$184),0)</f>
        <v>0</v>
      </c>
      <c r="F135" s="73">
        <f>IFERROR('Alloy_compnt_G&amp;L'!F135/SUM('Alloy_compnt_G&amp;L'!F$125:F$184),0)</f>
        <v>0</v>
      </c>
      <c r="G135" s="73">
        <f>IFERROR('Alloy_compnt_G&amp;L'!G135/SUM('Alloy_compnt_G&amp;L'!G$125:G$184),0)</f>
        <v>0</v>
      </c>
    </row>
    <row r="136" spans="1:7" x14ac:dyDescent="0.2">
      <c r="A136" s="145" t="s">
        <v>249</v>
      </c>
      <c r="B136" s="73">
        <f>IFERROR('Alloy_compnt_G&amp;L'!B136/SUM('Alloy_compnt_G&amp;L'!B$125:B$184),0)</f>
        <v>0</v>
      </c>
      <c r="C136" s="73">
        <f>IFERROR('Alloy_compnt_G&amp;L'!C136/SUM('Alloy_compnt_G&amp;L'!C$125:C$184),0)</f>
        <v>0</v>
      </c>
      <c r="D136" s="73">
        <f>IFERROR('Alloy_compnt_G&amp;L'!D136/SUM('Alloy_compnt_G&amp;L'!D$125:D$184),0)</f>
        <v>0</v>
      </c>
      <c r="E136" s="73">
        <f>IFERROR('Alloy_compnt_G&amp;L'!E136/SUM('Alloy_compnt_G&amp;L'!E$125:E$184),0)</f>
        <v>0</v>
      </c>
      <c r="F136" s="73">
        <f>IFERROR('Alloy_compnt_G&amp;L'!F136/SUM('Alloy_compnt_G&amp;L'!F$125:F$184),0)</f>
        <v>0</v>
      </c>
      <c r="G136" s="73">
        <f>IFERROR('Alloy_compnt_G&amp;L'!G136/SUM('Alloy_compnt_G&amp;L'!G$125:G$184),0)</f>
        <v>0</v>
      </c>
    </row>
    <row r="137" spans="1:7" x14ac:dyDescent="0.2">
      <c r="A137" s="145" t="s">
        <v>250</v>
      </c>
      <c r="B137" s="73">
        <f>IFERROR('Alloy_compnt_G&amp;L'!B137/SUM('Alloy_compnt_G&amp;L'!B$125:B$184),0)</f>
        <v>0</v>
      </c>
      <c r="C137" s="73">
        <f>IFERROR('Alloy_compnt_G&amp;L'!C137/SUM('Alloy_compnt_G&amp;L'!C$125:C$184),0)</f>
        <v>0</v>
      </c>
      <c r="D137" s="73">
        <f>IFERROR('Alloy_compnt_G&amp;L'!D137/SUM('Alloy_compnt_G&amp;L'!D$125:D$184),0)</f>
        <v>0</v>
      </c>
      <c r="E137" s="73">
        <f>IFERROR('Alloy_compnt_G&amp;L'!E137/SUM('Alloy_compnt_G&amp;L'!E$125:E$184),0)</f>
        <v>0</v>
      </c>
      <c r="F137" s="73">
        <f>IFERROR('Alloy_compnt_G&amp;L'!F137/SUM('Alloy_compnt_G&amp;L'!F$125:F$184),0)</f>
        <v>0</v>
      </c>
      <c r="G137" s="73">
        <f>IFERROR('Alloy_compnt_G&amp;L'!G137/SUM('Alloy_compnt_G&amp;L'!G$125:G$184),0)</f>
        <v>0</v>
      </c>
    </row>
    <row r="138" spans="1:7" x14ac:dyDescent="0.2">
      <c r="A138" s="145" t="s">
        <v>251</v>
      </c>
      <c r="B138" s="73">
        <f>IFERROR('Alloy_compnt_G&amp;L'!B138/SUM('Alloy_compnt_G&amp;L'!B$125:B$184),0)</f>
        <v>0</v>
      </c>
      <c r="C138" s="73">
        <f>IFERROR('Alloy_compnt_G&amp;L'!C138/SUM('Alloy_compnt_G&amp;L'!C$125:C$184),0)</f>
        <v>0</v>
      </c>
      <c r="D138" s="73">
        <f>IFERROR('Alloy_compnt_G&amp;L'!D138/SUM('Alloy_compnt_G&amp;L'!D$125:D$184),0)</f>
        <v>0</v>
      </c>
      <c r="E138" s="73">
        <f>IFERROR('Alloy_compnt_G&amp;L'!E138/SUM('Alloy_compnt_G&amp;L'!E$125:E$184),0)</f>
        <v>0</v>
      </c>
      <c r="F138" s="73">
        <f>IFERROR('Alloy_compnt_G&amp;L'!F138/SUM('Alloy_compnt_G&amp;L'!F$125:F$184),0)</f>
        <v>0</v>
      </c>
      <c r="G138" s="73">
        <f>IFERROR('Alloy_compnt_G&amp;L'!G138/SUM('Alloy_compnt_G&amp;L'!G$125:G$184),0)</f>
        <v>0</v>
      </c>
    </row>
    <row r="139" spans="1:7" x14ac:dyDescent="0.2">
      <c r="A139" s="145" t="s">
        <v>252</v>
      </c>
      <c r="B139" s="73">
        <f>IFERROR('Alloy_compnt_G&amp;L'!B139/SUM('Alloy_compnt_G&amp;L'!B$125:B$184),0)</f>
        <v>0</v>
      </c>
      <c r="C139" s="73">
        <f>IFERROR('Alloy_compnt_G&amp;L'!C139/SUM('Alloy_compnt_G&amp;L'!C$125:C$184),0)</f>
        <v>0</v>
      </c>
      <c r="D139" s="73">
        <f>IFERROR('Alloy_compnt_G&amp;L'!D139/SUM('Alloy_compnt_G&amp;L'!D$125:D$184),0)</f>
        <v>0</v>
      </c>
      <c r="E139" s="73">
        <f>IFERROR('Alloy_compnt_G&amp;L'!E139/SUM('Alloy_compnt_G&amp;L'!E$125:E$184),0)</f>
        <v>0</v>
      </c>
      <c r="F139" s="73">
        <f>IFERROR('Alloy_compnt_G&amp;L'!F139/SUM('Alloy_compnt_G&amp;L'!F$125:F$184),0)</f>
        <v>0</v>
      </c>
      <c r="G139" s="73">
        <f>IFERROR('Alloy_compnt_G&amp;L'!G139/SUM('Alloy_compnt_G&amp;L'!G$125:G$184),0)</f>
        <v>0</v>
      </c>
    </row>
    <row r="140" spans="1:7" x14ac:dyDescent="0.2">
      <c r="A140" s="145" t="s">
        <v>253</v>
      </c>
      <c r="B140" s="73">
        <f>IFERROR('Alloy_compnt_G&amp;L'!B140/SUM('Alloy_compnt_G&amp;L'!B$125:B$184),0)</f>
        <v>0</v>
      </c>
      <c r="C140" s="73">
        <f>IFERROR('Alloy_compnt_G&amp;L'!C140/SUM('Alloy_compnt_G&amp;L'!C$125:C$184),0)</f>
        <v>0</v>
      </c>
      <c r="D140" s="73">
        <f>IFERROR('Alloy_compnt_G&amp;L'!D140/SUM('Alloy_compnt_G&amp;L'!D$125:D$184),0)</f>
        <v>0</v>
      </c>
      <c r="E140" s="73">
        <f>IFERROR('Alloy_compnt_G&amp;L'!E140/SUM('Alloy_compnt_G&amp;L'!E$125:E$184),0)</f>
        <v>0</v>
      </c>
      <c r="F140" s="73">
        <f>IFERROR('Alloy_compnt_G&amp;L'!F140/SUM('Alloy_compnt_G&amp;L'!F$125:F$184),0)</f>
        <v>0</v>
      </c>
      <c r="G140" s="73">
        <f>IFERROR('Alloy_compnt_G&amp;L'!G140/SUM('Alloy_compnt_G&amp;L'!G$125:G$184),0)</f>
        <v>0</v>
      </c>
    </row>
    <row r="141" spans="1:7" x14ac:dyDescent="0.2">
      <c r="A141" s="145" t="s">
        <v>254</v>
      </c>
      <c r="B141" s="73">
        <f>IFERROR('Alloy_compnt_G&amp;L'!B141/SUM('Alloy_compnt_G&amp;L'!B$125:B$184),0)</f>
        <v>0</v>
      </c>
      <c r="C141" s="73">
        <f>IFERROR('Alloy_compnt_G&amp;L'!C141/SUM('Alloy_compnt_G&amp;L'!C$125:C$184),0)</f>
        <v>0</v>
      </c>
      <c r="D141" s="73">
        <f>IFERROR('Alloy_compnt_G&amp;L'!D141/SUM('Alloy_compnt_G&amp;L'!D$125:D$184),0)</f>
        <v>0</v>
      </c>
      <c r="E141" s="73">
        <f>IFERROR('Alloy_compnt_G&amp;L'!E141/SUM('Alloy_compnt_G&amp;L'!E$125:E$184),0)</f>
        <v>0</v>
      </c>
      <c r="F141" s="73">
        <f>IFERROR('Alloy_compnt_G&amp;L'!F141/SUM('Alloy_compnt_G&amp;L'!F$125:F$184),0)</f>
        <v>0</v>
      </c>
      <c r="G141" s="73">
        <f>IFERROR('Alloy_compnt_G&amp;L'!G141/SUM('Alloy_compnt_G&amp;L'!G$125:G$184),0)</f>
        <v>0</v>
      </c>
    </row>
    <row r="142" spans="1:7" x14ac:dyDescent="0.2">
      <c r="A142" s="146" t="s">
        <v>255</v>
      </c>
      <c r="B142" s="73">
        <f>IFERROR('Alloy_compnt_G&amp;L'!B142/SUM('Alloy_compnt_G&amp;L'!B$125:B$184),0)</f>
        <v>0</v>
      </c>
      <c r="C142" s="73">
        <f>IFERROR('Alloy_compnt_G&amp;L'!C142/SUM('Alloy_compnt_G&amp;L'!C$125:C$184),0)</f>
        <v>0</v>
      </c>
      <c r="D142" s="73">
        <f>IFERROR('Alloy_compnt_G&amp;L'!D142/SUM('Alloy_compnt_G&amp;L'!D$125:D$184),0)</f>
        <v>0</v>
      </c>
      <c r="E142" s="73">
        <f>IFERROR('Alloy_compnt_G&amp;L'!E142/SUM('Alloy_compnt_G&amp;L'!E$125:E$184),0)</f>
        <v>0</v>
      </c>
      <c r="F142" s="73">
        <f>IFERROR('Alloy_compnt_G&amp;L'!F142/SUM('Alloy_compnt_G&amp;L'!F$125:F$184),0)</f>
        <v>0</v>
      </c>
      <c r="G142" s="73">
        <f>IFERROR('Alloy_compnt_G&amp;L'!G142/SUM('Alloy_compnt_G&amp;L'!G$125:G$184),0)</f>
        <v>0</v>
      </c>
    </row>
    <row r="143" spans="1:7" x14ac:dyDescent="0.2">
      <c r="A143" s="145" t="s">
        <v>256</v>
      </c>
      <c r="B143" s="73">
        <f>IFERROR('Alloy_compnt_G&amp;L'!B143/SUM('Alloy_compnt_G&amp;L'!B$125:B$184),0)</f>
        <v>0</v>
      </c>
      <c r="C143" s="73">
        <f>IFERROR('Alloy_compnt_G&amp;L'!C143/SUM('Alloy_compnt_G&amp;L'!C$125:C$184),0)</f>
        <v>0</v>
      </c>
      <c r="D143" s="73">
        <f>IFERROR('Alloy_compnt_G&amp;L'!D143/SUM('Alloy_compnt_G&amp;L'!D$125:D$184),0)</f>
        <v>0</v>
      </c>
      <c r="E143" s="73">
        <f>IFERROR('Alloy_compnt_G&amp;L'!E143/SUM('Alloy_compnt_G&amp;L'!E$125:E$184),0)</f>
        <v>0</v>
      </c>
      <c r="F143" s="73">
        <f>IFERROR('Alloy_compnt_G&amp;L'!F143/SUM('Alloy_compnt_G&amp;L'!F$125:F$184),0)</f>
        <v>0</v>
      </c>
      <c r="G143" s="73">
        <f>IFERROR('Alloy_compnt_G&amp;L'!G143/SUM('Alloy_compnt_G&amp;L'!G$125:G$184),0)</f>
        <v>0</v>
      </c>
    </row>
    <row r="144" spans="1:7" x14ac:dyDescent="0.2">
      <c r="A144" s="145" t="s">
        <v>257</v>
      </c>
      <c r="B144" s="73">
        <f>IFERROR('Alloy_compnt_G&amp;L'!B144/SUM('Alloy_compnt_G&amp;L'!B$125:B$184),0)</f>
        <v>0</v>
      </c>
      <c r="C144" s="73">
        <f>IFERROR('Alloy_compnt_G&amp;L'!C144/SUM('Alloy_compnt_G&amp;L'!C$125:C$184),0)</f>
        <v>0</v>
      </c>
      <c r="D144" s="73">
        <f>IFERROR('Alloy_compnt_G&amp;L'!D144/SUM('Alloy_compnt_G&amp;L'!D$125:D$184),0)</f>
        <v>0</v>
      </c>
      <c r="E144" s="73">
        <f>IFERROR('Alloy_compnt_G&amp;L'!E144/SUM('Alloy_compnt_G&amp;L'!E$125:E$184),0)</f>
        <v>0</v>
      </c>
      <c r="F144" s="73">
        <f>IFERROR('Alloy_compnt_G&amp;L'!F144/SUM('Alloy_compnt_G&amp;L'!F$125:F$184),0)</f>
        <v>0</v>
      </c>
      <c r="G144" s="73">
        <f>IFERROR('Alloy_compnt_G&amp;L'!G144/SUM('Alloy_compnt_G&amp;L'!G$125:G$184),0)</f>
        <v>0</v>
      </c>
    </row>
    <row r="145" spans="1:7" x14ac:dyDescent="0.2">
      <c r="A145" s="145" t="s">
        <v>258</v>
      </c>
      <c r="B145" s="73">
        <f>IFERROR('Alloy_compnt_G&amp;L'!B145/SUM('Alloy_compnt_G&amp;L'!B$125:B$184),0)</f>
        <v>0</v>
      </c>
      <c r="C145" s="73">
        <f>IFERROR('Alloy_compnt_G&amp;L'!C145/SUM('Alloy_compnt_G&amp;L'!C$125:C$184),0)</f>
        <v>0</v>
      </c>
      <c r="D145" s="73">
        <f>IFERROR('Alloy_compnt_G&amp;L'!D145/SUM('Alloy_compnt_G&amp;L'!D$125:D$184),0)</f>
        <v>0</v>
      </c>
      <c r="E145" s="73">
        <f>IFERROR('Alloy_compnt_G&amp;L'!E145/SUM('Alloy_compnt_G&amp;L'!E$125:E$184),0)</f>
        <v>0</v>
      </c>
      <c r="F145" s="73">
        <f>IFERROR('Alloy_compnt_G&amp;L'!F145/SUM('Alloy_compnt_G&amp;L'!F$125:F$184),0)</f>
        <v>0</v>
      </c>
      <c r="G145" s="73">
        <f>IFERROR('Alloy_compnt_G&amp;L'!G145/SUM('Alloy_compnt_G&amp;L'!G$125:G$184),0)</f>
        <v>0</v>
      </c>
    </row>
    <row r="146" spans="1:7" x14ac:dyDescent="0.2">
      <c r="A146" s="142" t="s">
        <v>259</v>
      </c>
      <c r="B146" s="73">
        <f>IFERROR('Alloy_compnt_G&amp;L'!B146/SUM('Alloy_compnt_G&amp;L'!B$125:B$184),0)</f>
        <v>0</v>
      </c>
      <c r="C146" s="73">
        <f>IFERROR('Alloy_compnt_G&amp;L'!C146/SUM('Alloy_compnt_G&amp;L'!C$125:C$184),0)</f>
        <v>0</v>
      </c>
      <c r="D146" s="73">
        <f>IFERROR('Alloy_compnt_G&amp;L'!D146/SUM('Alloy_compnt_G&amp;L'!D$125:D$184),0)</f>
        <v>0</v>
      </c>
      <c r="E146" s="73">
        <f>IFERROR('Alloy_compnt_G&amp;L'!E146/SUM('Alloy_compnt_G&amp;L'!E$125:E$184),0)</f>
        <v>0</v>
      </c>
      <c r="F146" s="73">
        <f>IFERROR('Alloy_compnt_G&amp;L'!F146/SUM('Alloy_compnt_G&amp;L'!F$125:F$184),0)</f>
        <v>0</v>
      </c>
      <c r="G146" s="73">
        <f>IFERROR('Alloy_compnt_G&amp;L'!G146/SUM('Alloy_compnt_G&amp;L'!G$125:G$184),0)</f>
        <v>0</v>
      </c>
    </row>
    <row r="147" spans="1:7" x14ac:dyDescent="0.2">
      <c r="A147" s="147" t="s">
        <v>260</v>
      </c>
      <c r="B147" s="73">
        <f>IFERROR('Alloy_compnt_G&amp;L'!B147/SUM('Alloy_compnt_G&amp;L'!B$125:B$184),0)</f>
        <v>0</v>
      </c>
      <c r="C147" s="73">
        <f>IFERROR('Alloy_compnt_G&amp;L'!C147/SUM('Alloy_compnt_G&amp;L'!C$125:C$184),0)</f>
        <v>0</v>
      </c>
      <c r="D147" s="73">
        <f>IFERROR('Alloy_compnt_G&amp;L'!D147/SUM('Alloy_compnt_G&amp;L'!D$125:D$184),0)</f>
        <v>0</v>
      </c>
      <c r="E147" s="73">
        <f>IFERROR('Alloy_compnt_G&amp;L'!E147/SUM('Alloy_compnt_G&amp;L'!E$125:E$184),0)</f>
        <v>0</v>
      </c>
      <c r="F147" s="73">
        <f>IFERROR('Alloy_compnt_G&amp;L'!F147/SUM('Alloy_compnt_G&amp;L'!F$125:F$184),0)</f>
        <v>0</v>
      </c>
      <c r="G147" s="73">
        <f>IFERROR('Alloy_compnt_G&amp;L'!G147/SUM('Alloy_compnt_G&amp;L'!G$125:G$184),0)</f>
        <v>0</v>
      </c>
    </row>
    <row r="148" spans="1:7" x14ac:dyDescent="0.2">
      <c r="A148" s="142" t="s">
        <v>261</v>
      </c>
      <c r="B148" s="73">
        <f>IFERROR('Alloy_compnt_G&amp;L'!B148/SUM('Alloy_compnt_G&amp;L'!B$125:B$184),0)</f>
        <v>0</v>
      </c>
      <c r="C148" s="73">
        <f>IFERROR('Alloy_compnt_G&amp;L'!C148/SUM('Alloy_compnt_G&amp;L'!C$125:C$184),0)</f>
        <v>0</v>
      </c>
      <c r="D148" s="73">
        <f>IFERROR('Alloy_compnt_G&amp;L'!D148/SUM('Alloy_compnt_G&amp;L'!D$125:D$184),0)</f>
        <v>0</v>
      </c>
      <c r="E148" s="73">
        <f>IFERROR('Alloy_compnt_G&amp;L'!E148/SUM('Alloy_compnt_G&amp;L'!E$125:E$184),0)</f>
        <v>0</v>
      </c>
      <c r="F148" s="73">
        <f>IFERROR('Alloy_compnt_G&amp;L'!F148/SUM('Alloy_compnt_G&amp;L'!F$125:F$184),0)</f>
        <v>0</v>
      </c>
      <c r="G148" s="73">
        <f>IFERROR('Alloy_compnt_G&amp;L'!G148/SUM('Alloy_compnt_G&amp;L'!G$125:G$184),0)</f>
        <v>0</v>
      </c>
    </row>
    <row r="149" spans="1:7" x14ac:dyDescent="0.2">
      <c r="A149" s="142" t="s">
        <v>262</v>
      </c>
      <c r="B149" s="73">
        <f>IFERROR('Alloy_compnt_G&amp;L'!B149/SUM('Alloy_compnt_G&amp;L'!B$125:B$184),0)</f>
        <v>0</v>
      </c>
      <c r="C149" s="73">
        <f>IFERROR('Alloy_compnt_G&amp;L'!C149/SUM('Alloy_compnt_G&amp;L'!C$125:C$184),0)</f>
        <v>0</v>
      </c>
      <c r="D149" s="73">
        <f>IFERROR('Alloy_compnt_G&amp;L'!D149/SUM('Alloy_compnt_G&amp;L'!D$125:D$184),0)</f>
        <v>0</v>
      </c>
      <c r="E149" s="73">
        <f>IFERROR('Alloy_compnt_G&amp;L'!E149/SUM('Alloy_compnt_G&amp;L'!E$125:E$184),0)</f>
        <v>0</v>
      </c>
      <c r="F149" s="73">
        <f>IFERROR('Alloy_compnt_G&amp;L'!F149/SUM('Alloy_compnt_G&amp;L'!F$125:F$184),0)</f>
        <v>0</v>
      </c>
      <c r="G149" s="73">
        <f>IFERROR('Alloy_compnt_G&amp;L'!G149/SUM('Alloy_compnt_G&amp;L'!G$125:G$184),0)</f>
        <v>0</v>
      </c>
    </row>
    <row r="150" spans="1:7" x14ac:dyDescent="0.2">
      <c r="A150" s="142" t="s">
        <v>263</v>
      </c>
      <c r="B150" s="73">
        <f>IFERROR('Alloy_compnt_G&amp;L'!B150/SUM('Alloy_compnt_G&amp;L'!B$125:B$184),0)</f>
        <v>0</v>
      </c>
      <c r="C150" s="73">
        <f>IFERROR('Alloy_compnt_G&amp;L'!C150/SUM('Alloy_compnt_G&amp;L'!C$125:C$184),0)</f>
        <v>0</v>
      </c>
      <c r="D150" s="73">
        <f>IFERROR('Alloy_compnt_G&amp;L'!D150/SUM('Alloy_compnt_G&amp;L'!D$125:D$184),0)</f>
        <v>0</v>
      </c>
      <c r="E150" s="73">
        <f>IFERROR('Alloy_compnt_G&amp;L'!E150/SUM('Alloy_compnt_G&amp;L'!E$125:E$184),0)</f>
        <v>0</v>
      </c>
      <c r="F150" s="73">
        <f>IFERROR('Alloy_compnt_G&amp;L'!F150/SUM('Alloy_compnt_G&amp;L'!F$125:F$184),0)</f>
        <v>0</v>
      </c>
      <c r="G150" s="73">
        <f>IFERROR('Alloy_compnt_G&amp;L'!G150/SUM('Alloy_compnt_G&amp;L'!G$125:G$184),0)</f>
        <v>0</v>
      </c>
    </row>
    <row r="151" spans="1:7" x14ac:dyDescent="0.2">
      <c r="A151" s="142" t="s">
        <v>264</v>
      </c>
      <c r="B151" s="73">
        <f>IFERROR('Alloy_compnt_G&amp;L'!B151/SUM('Alloy_compnt_G&amp;L'!B$125:B$184),0)</f>
        <v>0</v>
      </c>
      <c r="C151" s="73">
        <f>IFERROR('Alloy_compnt_G&amp;L'!C151/SUM('Alloy_compnt_G&amp;L'!C$125:C$184),0)</f>
        <v>0</v>
      </c>
      <c r="D151" s="73">
        <f>IFERROR('Alloy_compnt_G&amp;L'!D151/SUM('Alloy_compnt_G&amp;L'!D$125:D$184),0)</f>
        <v>0</v>
      </c>
      <c r="E151" s="73">
        <f>IFERROR('Alloy_compnt_G&amp;L'!E151/SUM('Alloy_compnt_G&amp;L'!E$125:E$184),0)</f>
        <v>0</v>
      </c>
      <c r="F151" s="73">
        <f>IFERROR('Alloy_compnt_G&amp;L'!F151/SUM('Alloy_compnt_G&amp;L'!F$125:F$184),0)</f>
        <v>0</v>
      </c>
      <c r="G151" s="73">
        <f>IFERROR('Alloy_compnt_G&amp;L'!G151/SUM('Alloy_compnt_G&amp;L'!G$125:G$184),0)</f>
        <v>0</v>
      </c>
    </row>
    <row r="152" spans="1:7" x14ac:dyDescent="0.2">
      <c r="A152" s="142" t="s">
        <v>265</v>
      </c>
      <c r="B152" s="73">
        <f>IFERROR('Alloy_compnt_G&amp;L'!B152/SUM('Alloy_compnt_G&amp;L'!B$125:B$184),0)</f>
        <v>0</v>
      </c>
      <c r="C152" s="73">
        <f>IFERROR('Alloy_compnt_G&amp;L'!C152/SUM('Alloy_compnt_G&amp;L'!C$125:C$184),0)</f>
        <v>0</v>
      </c>
      <c r="D152" s="73">
        <f>IFERROR('Alloy_compnt_G&amp;L'!D152/SUM('Alloy_compnt_G&amp;L'!D$125:D$184),0)</f>
        <v>0</v>
      </c>
      <c r="E152" s="73">
        <f>IFERROR('Alloy_compnt_G&amp;L'!E152/SUM('Alloy_compnt_G&amp;L'!E$125:E$184),0)</f>
        <v>0</v>
      </c>
      <c r="F152" s="73">
        <f>IFERROR('Alloy_compnt_G&amp;L'!F152/SUM('Alloy_compnt_G&amp;L'!F$125:F$184),0)</f>
        <v>0</v>
      </c>
      <c r="G152" s="73">
        <f>IFERROR('Alloy_compnt_G&amp;L'!G152/SUM('Alloy_compnt_G&amp;L'!G$125:G$184),0)</f>
        <v>0</v>
      </c>
    </row>
    <row r="153" spans="1:7" x14ac:dyDescent="0.2">
      <c r="A153" s="142" t="s">
        <v>266</v>
      </c>
      <c r="B153" s="73">
        <f>IFERROR('Alloy_compnt_G&amp;L'!B153/SUM('Alloy_compnt_G&amp;L'!B$125:B$184),0)</f>
        <v>0</v>
      </c>
      <c r="C153" s="73">
        <f>IFERROR('Alloy_compnt_G&amp;L'!C153/SUM('Alloy_compnt_G&amp;L'!C$125:C$184),0)</f>
        <v>0</v>
      </c>
      <c r="D153" s="73">
        <f>IFERROR('Alloy_compnt_G&amp;L'!D153/SUM('Alloy_compnt_G&amp;L'!D$125:D$184),0)</f>
        <v>0</v>
      </c>
      <c r="E153" s="73">
        <f>IFERROR('Alloy_compnt_G&amp;L'!E153/SUM('Alloy_compnt_G&amp;L'!E$125:E$184),0)</f>
        <v>0</v>
      </c>
      <c r="F153" s="73">
        <f>IFERROR('Alloy_compnt_G&amp;L'!F153/SUM('Alloy_compnt_G&amp;L'!F$125:F$184),0)</f>
        <v>0</v>
      </c>
      <c r="G153" s="73">
        <f>IFERROR('Alloy_compnt_G&amp;L'!G153/SUM('Alloy_compnt_G&amp;L'!G$125:G$184),0)</f>
        <v>0</v>
      </c>
    </row>
    <row r="154" spans="1:7" x14ac:dyDescent="0.2">
      <c r="A154" s="142" t="s">
        <v>267</v>
      </c>
      <c r="B154" s="73">
        <f>IFERROR('Alloy_compnt_G&amp;L'!B154/SUM('Alloy_compnt_G&amp;L'!B$125:B$184),0)</f>
        <v>0</v>
      </c>
      <c r="C154" s="73">
        <f>IFERROR('Alloy_compnt_G&amp;L'!C154/SUM('Alloy_compnt_G&amp;L'!C$125:C$184),0)</f>
        <v>0</v>
      </c>
      <c r="D154" s="73">
        <f>IFERROR('Alloy_compnt_G&amp;L'!D154/SUM('Alloy_compnt_G&amp;L'!D$125:D$184),0)</f>
        <v>0</v>
      </c>
      <c r="E154" s="73">
        <f>IFERROR('Alloy_compnt_G&amp;L'!E154/SUM('Alloy_compnt_G&amp;L'!E$125:E$184),0)</f>
        <v>0</v>
      </c>
      <c r="F154" s="73">
        <f>IFERROR('Alloy_compnt_G&amp;L'!F154/SUM('Alloy_compnt_G&amp;L'!F$125:F$184),0)</f>
        <v>0</v>
      </c>
      <c r="G154" s="73">
        <f>IFERROR('Alloy_compnt_G&amp;L'!G154/SUM('Alloy_compnt_G&amp;L'!G$125:G$184),0)</f>
        <v>0</v>
      </c>
    </row>
    <row r="155" spans="1:7" x14ac:dyDescent="0.2">
      <c r="A155" s="142" t="s">
        <v>268</v>
      </c>
      <c r="B155" s="73">
        <f>IFERROR('Alloy_compnt_G&amp;L'!B155/SUM('Alloy_compnt_G&amp;L'!B$125:B$184),0)</f>
        <v>0</v>
      </c>
      <c r="C155" s="73">
        <f>IFERROR('Alloy_compnt_G&amp;L'!C155/SUM('Alloy_compnt_G&amp;L'!C$125:C$184),0)</f>
        <v>0</v>
      </c>
      <c r="D155" s="73">
        <f>IFERROR('Alloy_compnt_G&amp;L'!D155/SUM('Alloy_compnt_G&amp;L'!D$125:D$184),0)</f>
        <v>0</v>
      </c>
      <c r="E155" s="73">
        <f>IFERROR('Alloy_compnt_G&amp;L'!E155/SUM('Alloy_compnt_G&amp;L'!E$125:E$184),0)</f>
        <v>0</v>
      </c>
      <c r="F155" s="73">
        <f>IFERROR('Alloy_compnt_G&amp;L'!F155/SUM('Alloy_compnt_G&amp;L'!F$125:F$184),0)</f>
        <v>0</v>
      </c>
      <c r="G155" s="73">
        <f>IFERROR('Alloy_compnt_G&amp;L'!G155/SUM('Alloy_compnt_G&amp;L'!G$125:G$184),0)</f>
        <v>0</v>
      </c>
    </row>
    <row r="156" spans="1:7" x14ac:dyDescent="0.2">
      <c r="A156" s="142" t="s">
        <v>269</v>
      </c>
      <c r="B156" s="73">
        <f>IFERROR('Alloy_compnt_G&amp;L'!B156/SUM('Alloy_compnt_G&amp;L'!B$125:B$184),0)</f>
        <v>0</v>
      </c>
      <c r="C156" s="73">
        <f>IFERROR('Alloy_compnt_G&amp;L'!C156/SUM('Alloy_compnt_G&amp;L'!C$125:C$184),0)</f>
        <v>0</v>
      </c>
      <c r="D156" s="73">
        <f>IFERROR('Alloy_compnt_G&amp;L'!D156/SUM('Alloy_compnt_G&amp;L'!D$125:D$184),0)</f>
        <v>0</v>
      </c>
      <c r="E156" s="73">
        <f>IFERROR('Alloy_compnt_G&amp;L'!E156/SUM('Alloy_compnt_G&amp;L'!E$125:E$184),0)</f>
        <v>0</v>
      </c>
      <c r="F156" s="73">
        <f>IFERROR('Alloy_compnt_G&amp;L'!F156/SUM('Alloy_compnt_G&amp;L'!F$125:F$184),0)</f>
        <v>0</v>
      </c>
      <c r="G156" s="73">
        <f>IFERROR('Alloy_compnt_G&amp;L'!G156/SUM('Alloy_compnt_G&amp;L'!G$125:G$184),0)</f>
        <v>0</v>
      </c>
    </row>
    <row r="157" spans="1:7" x14ac:dyDescent="0.2">
      <c r="A157" s="142" t="s">
        <v>270</v>
      </c>
      <c r="B157" s="73">
        <f>IFERROR('Alloy_compnt_G&amp;L'!B157/SUM('Alloy_compnt_G&amp;L'!B$125:B$184),0)</f>
        <v>0</v>
      </c>
      <c r="C157" s="73">
        <f>IFERROR('Alloy_compnt_G&amp;L'!C157/SUM('Alloy_compnt_G&amp;L'!C$125:C$184),0)</f>
        <v>0</v>
      </c>
      <c r="D157" s="73">
        <f>IFERROR('Alloy_compnt_G&amp;L'!D157/SUM('Alloy_compnt_G&amp;L'!D$125:D$184),0)</f>
        <v>0</v>
      </c>
      <c r="E157" s="73">
        <f>IFERROR('Alloy_compnt_G&amp;L'!E157/SUM('Alloy_compnt_G&amp;L'!E$125:E$184),0)</f>
        <v>0</v>
      </c>
      <c r="F157" s="73">
        <f>IFERROR('Alloy_compnt_G&amp;L'!F157/SUM('Alloy_compnt_G&amp;L'!F$125:F$184),0)</f>
        <v>0</v>
      </c>
      <c r="G157" s="73">
        <f>IFERROR('Alloy_compnt_G&amp;L'!G157/SUM('Alloy_compnt_G&amp;L'!G$125:G$184),0)</f>
        <v>0</v>
      </c>
    </row>
    <row r="158" spans="1:7" x14ac:dyDescent="0.2">
      <c r="A158" s="142" t="s">
        <v>271</v>
      </c>
      <c r="B158" s="73">
        <f>IFERROR('Alloy_compnt_G&amp;L'!B158/SUM('Alloy_compnt_G&amp;L'!B$125:B$184),0)</f>
        <v>0</v>
      </c>
      <c r="C158" s="73">
        <f>IFERROR('Alloy_compnt_G&amp;L'!C158/SUM('Alloy_compnt_G&amp;L'!C$125:C$184),0)</f>
        <v>0</v>
      </c>
      <c r="D158" s="73">
        <f>IFERROR('Alloy_compnt_G&amp;L'!D158/SUM('Alloy_compnt_G&amp;L'!D$125:D$184),0)</f>
        <v>0</v>
      </c>
      <c r="E158" s="73">
        <f>IFERROR('Alloy_compnt_G&amp;L'!E158/SUM('Alloy_compnt_G&amp;L'!E$125:E$184),0)</f>
        <v>0</v>
      </c>
      <c r="F158" s="73">
        <f>IFERROR('Alloy_compnt_G&amp;L'!F158/SUM('Alloy_compnt_G&amp;L'!F$125:F$184),0)</f>
        <v>0</v>
      </c>
      <c r="G158" s="73">
        <f>IFERROR('Alloy_compnt_G&amp;L'!G158/SUM('Alloy_compnt_G&amp;L'!G$125:G$184),0)</f>
        <v>0</v>
      </c>
    </row>
    <row r="159" spans="1:7" x14ac:dyDescent="0.2">
      <c r="A159" s="142" t="s">
        <v>272</v>
      </c>
      <c r="B159" s="73">
        <f>IFERROR('Alloy_compnt_G&amp;L'!B159/SUM('Alloy_compnt_G&amp;L'!B$125:B$184),0)</f>
        <v>0</v>
      </c>
      <c r="C159" s="73">
        <f>IFERROR('Alloy_compnt_G&amp;L'!C159/SUM('Alloy_compnt_G&amp;L'!C$125:C$184),0)</f>
        <v>0</v>
      </c>
      <c r="D159" s="73">
        <f>IFERROR('Alloy_compnt_G&amp;L'!D159/SUM('Alloy_compnt_G&amp;L'!D$125:D$184),0)</f>
        <v>0</v>
      </c>
      <c r="E159" s="73">
        <f>IFERROR('Alloy_compnt_G&amp;L'!E159/SUM('Alloy_compnt_G&amp;L'!E$125:E$184),0)</f>
        <v>0</v>
      </c>
      <c r="F159" s="73">
        <f>IFERROR('Alloy_compnt_G&amp;L'!F159/SUM('Alloy_compnt_G&amp;L'!F$125:F$184),0)</f>
        <v>0</v>
      </c>
      <c r="G159" s="73">
        <f>IFERROR('Alloy_compnt_G&amp;L'!G159/SUM('Alloy_compnt_G&amp;L'!G$125:G$184),0)</f>
        <v>0</v>
      </c>
    </row>
    <row r="160" spans="1:7" x14ac:dyDescent="0.2">
      <c r="A160" s="142" t="s">
        <v>273</v>
      </c>
      <c r="B160" s="73">
        <f>IFERROR('Alloy_compnt_G&amp;L'!B160/SUM('Alloy_compnt_G&amp;L'!B$125:B$184),0)</f>
        <v>0</v>
      </c>
      <c r="C160" s="73">
        <f>IFERROR('Alloy_compnt_G&amp;L'!C160/SUM('Alloy_compnt_G&amp;L'!C$125:C$184),0)</f>
        <v>0</v>
      </c>
      <c r="D160" s="73">
        <f>IFERROR('Alloy_compnt_G&amp;L'!D160/SUM('Alloy_compnt_G&amp;L'!D$125:D$184),0)</f>
        <v>0</v>
      </c>
      <c r="E160" s="73">
        <f>IFERROR('Alloy_compnt_G&amp;L'!E160/SUM('Alloy_compnt_G&amp;L'!E$125:E$184),0)</f>
        <v>0</v>
      </c>
      <c r="F160" s="73">
        <f>IFERROR('Alloy_compnt_G&amp;L'!F160/SUM('Alloy_compnt_G&amp;L'!F$125:F$184),0)</f>
        <v>0</v>
      </c>
      <c r="G160" s="73">
        <f>IFERROR('Alloy_compnt_G&amp;L'!G160/SUM('Alloy_compnt_G&amp;L'!G$125:G$184),0)</f>
        <v>0</v>
      </c>
    </row>
    <row r="161" spans="1:7" x14ac:dyDescent="0.2">
      <c r="A161" s="142" t="s">
        <v>274</v>
      </c>
      <c r="B161" s="73">
        <f>IFERROR('Alloy_compnt_G&amp;L'!B161/SUM('Alloy_compnt_G&amp;L'!B$125:B$184),0)</f>
        <v>4.3333333333333328E-2</v>
      </c>
      <c r="C161" s="73">
        <f>IFERROR('Alloy_compnt_G&amp;L'!C161/SUM('Alloy_compnt_G&amp;L'!C$125:C$184),0)</f>
        <v>4.3333333333333342E-2</v>
      </c>
      <c r="D161" s="73">
        <f>IFERROR('Alloy_compnt_G&amp;L'!D161/SUM('Alloy_compnt_G&amp;L'!D$125:D$184),0)</f>
        <v>3.229813664596274E-2</v>
      </c>
      <c r="E161" s="73">
        <f>IFERROR('Alloy_compnt_G&amp;L'!E161/SUM('Alloy_compnt_G&amp;L'!E$125:E$184),0)</f>
        <v>3.2298136645962733E-2</v>
      </c>
      <c r="F161" s="73">
        <f>IFERROR('Alloy_compnt_G&amp;L'!F161/SUM('Alloy_compnt_G&amp;L'!F$125:F$184),0)</f>
        <v>3.2298136645962733E-2</v>
      </c>
      <c r="G161" s="73">
        <f>IFERROR('Alloy_compnt_G&amp;L'!G161/SUM('Alloy_compnt_G&amp;L'!G$125:G$184),0)</f>
        <v>3.2298136645962733E-2</v>
      </c>
    </row>
    <row r="162" spans="1:7" x14ac:dyDescent="0.2">
      <c r="A162" s="142" t="s">
        <v>275</v>
      </c>
      <c r="B162" s="73">
        <f>IFERROR('Alloy_compnt_G&amp;L'!B162/SUM('Alloy_compnt_G&amp;L'!B$125:B$184),0)</f>
        <v>0</v>
      </c>
      <c r="C162" s="73">
        <f>IFERROR('Alloy_compnt_G&amp;L'!C162/SUM('Alloy_compnt_G&amp;L'!C$125:C$184),0)</f>
        <v>0</v>
      </c>
      <c r="D162" s="73">
        <f>IFERROR('Alloy_compnt_G&amp;L'!D162/SUM('Alloy_compnt_G&amp;L'!D$125:D$184),0)</f>
        <v>0</v>
      </c>
      <c r="E162" s="73">
        <f>IFERROR('Alloy_compnt_G&amp;L'!E162/SUM('Alloy_compnt_G&amp;L'!E$125:E$184),0)</f>
        <v>0</v>
      </c>
      <c r="F162" s="73">
        <f>IFERROR('Alloy_compnt_G&amp;L'!F162/SUM('Alloy_compnt_G&amp;L'!F$125:F$184),0)</f>
        <v>0</v>
      </c>
      <c r="G162" s="73">
        <f>IFERROR('Alloy_compnt_G&amp;L'!G162/SUM('Alloy_compnt_G&amp;L'!G$125:G$184),0)</f>
        <v>0</v>
      </c>
    </row>
    <row r="163" spans="1:7" x14ac:dyDescent="0.2">
      <c r="A163" s="142" t="s">
        <v>276</v>
      </c>
      <c r="B163" s="73">
        <f>IFERROR('Alloy_compnt_G&amp;L'!B163/SUM('Alloy_compnt_G&amp;L'!B$125:B$184),0)</f>
        <v>0</v>
      </c>
      <c r="C163" s="73">
        <f>IFERROR('Alloy_compnt_G&amp;L'!C163/SUM('Alloy_compnt_G&amp;L'!C$125:C$184),0)</f>
        <v>0</v>
      </c>
      <c r="D163" s="73">
        <f>IFERROR('Alloy_compnt_G&amp;L'!D163/SUM('Alloy_compnt_G&amp;L'!D$125:D$184),0)</f>
        <v>0</v>
      </c>
      <c r="E163" s="73">
        <f>IFERROR('Alloy_compnt_G&amp;L'!E163/SUM('Alloy_compnt_G&amp;L'!E$125:E$184),0)</f>
        <v>0</v>
      </c>
      <c r="F163" s="73">
        <f>IFERROR('Alloy_compnt_G&amp;L'!F163/SUM('Alloy_compnt_G&amp;L'!F$125:F$184),0)</f>
        <v>0</v>
      </c>
      <c r="G163" s="73">
        <f>IFERROR('Alloy_compnt_G&amp;L'!G163/SUM('Alloy_compnt_G&amp;L'!G$125:G$184),0)</f>
        <v>0</v>
      </c>
    </row>
    <row r="164" spans="1:7" x14ac:dyDescent="0.2">
      <c r="A164" s="144" t="s">
        <v>277</v>
      </c>
      <c r="B164" s="73">
        <f>IFERROR('Alloy_compnt_G&amp;L'!B164/SUM('Alloy_compnt_G&amp;L'!B$125:B$184),0)</f>
        <v>0</v>
      </c>
      <c r="C164" s="73">
        <f>IFERROR('Alloy_compnt_G&amp;L'!C164/SUM('Alloy_compnt_G&amp;L'!C$125:C$184),0)</f>
        <v>0</v>
      </c>
      <c r="D164" s="73">
        <f>IFERROR('Alloy_compnt_G&amp;L'!D164/SUM('Alloy_compnt_G&amp;L'!D$125:D$184),0)</f>
        <v>0</v>
      </c>
      <c r="E164" s="73">
        <f>IFERROR('Alloy_compnt_G&amp;L'!E164/SUM('Alloy_compnt_G&amp;L'!E$125:E$184),0)</f>
        <v>0</v>
      </c>
      <c r="F164" s="73">
        <f>IFERROR('Alloy_compnt_G&amp;L'!F164/SUM('Alloy_compnt_G&amp;L'!F$125:F$184),0)</f>
        <v>0</v>
      </c>
      <c r="G164" s="73">
        <f>IFERROR('Alloy_compnt_G&amp;L'!G164/SUM('Alloy_compnt_G&amp;L'!G$125:G$184),0)</f>
        <v>0</v>
      </c>
    </row>
    <row r="165" spans="1:7" x14ac:dyDescent="0.2">
      <c r="A165" s="148" t="s">
        <v>278</v>
      </c>
      <c r="B165" s="73">
        <f>IFERROR('Alloy_compnt_G&amp;L'!B165/SUM('Alloy_compnt_G&amp;L'!B$125:B$184),0)</f>
        <v>0</v>
      </c>
      <c r="C165" s="73">
        <f>IFERROR('Alloy_compnt_G&amp;L'!C165/SUM('Alloy_compnt_G&amp;L'!C$125:C$184),0)</f>
        <v>0</v>
      </c>
      <c r="D165" s="73">
        <f>IFERROR('Alloy_compnt_G&amp;L'!D165/SUM('Alloy_compnt_G&amp;L'!D$125:D$184),0)</f>
        <v>0</v>
      </c>
      <c r="E165" s="73">
        <f>IFERROR('Alloy_compnt_G&amp;L'!E165/SUM('Alloy_compnt_G&amp;L'!E$125:E$184),0)</f>
        <v>0</v>
      </c>
      <c r="F165" s="73">
        <f>IFERROR('Alloy_compnt_G&amp;L'!F165/SUM('Alloy_compnt_G&amp;L'!F$125:F$184),0)</f>
        <v>0</v>
      </c>
      <c r="G165" s="73">
        <f>IFERROR('Alloy_compnt_G&amp;L'!G165/SUM('Alloy_compnt_G&amp;L'!G$125:G$184),0)</f>
        <v>0</v>
      </c>
    </row>
    <row r="166" spans="1:7" x14ac:dyDescent="0.2">
      <c r="A166" s="148" t="s">
        <v>279</v>
      </c>
      <c r="B166" s="73">
        <f>IFERROR('Alloy_compnt_G&amp;L'!B166/SUM('Alloy_compnt_G&amp;L'!B$125:B$184),0)</f>
        <v>3.2222222222222222E-2</v>
      </c>
      <c r="C166" s="73">
        <f>IFERROR('Alloy_compnt_G&amp;L'!C166/SUM('Alloy_compnt_G&amp;L'!C$125:C$184),0)</f>
        <v>3.2222222222222228E-2</v>
      </c>
      <c r="D166" s="73">
        <f>IFERROR('Alloy_compnt_G&amp;L'!D166/SUM('Alloy_compnt_G&amp;L'!D$125:D$184),0)</f>
        <v>2.4016563146997936E-2</v>
      </c>
      <c r="E166" s="73">
        <f>IFERROR('Alloy_compnt_G&amp;L'!E166/SUM('Alloy_compnt_G&amp;L'!E$125:E$184),0)</f>
        <v>2.4016563146997929E-2</v>
      </c>
      <c r="F166" s="73">
        <f>IFERROR('Alloy_compnt_G&amp;L'!F166/SUM('Alloy_compnt_G&amp;L'!F$125:F$184),0)</f>
        <v>2.4016563146997932E-2</v>
      </c>
      <c r="G166" s="73">
        <f>IFERROR('Alloy_compnt_G&amp;L'!G166/SUM('Alloy_compnt_G&amp;L'!G$125:G$184),0)</f>
        <v>2.4016563146997925E-2</v>
      </c>
    </row>
    <row r="167" spans="1:7" x14ac:dyDescent="0.2">
      <c r="A167" s="148" t="s">
        <v>280</v>
      </c>
      <c r="B167" s="73">
        <f>IFERROR('Alloy_compnt_G&amp;L'!B167/SUM('Alloy_compnt_G&amp;L'!B$125:B$184),0)</f>
        <v>0</v>
      </c>
      <c r="C167" s="73">
        <f>IFERROR('Alloy_compnt_G&amp;L'!C167/SUM('Alloy_compnt_G&amp;L'!C$125:C$184),0)</f>
        <v>0</v>
      </c>
      <c r="D167" s="73">
        <f>IFERROR('Alloy_compnt_G&amp;L'!D167/SUM('Alloy_compnt_G&amp;L'!D$125:D$184),0)</f>
        <v>0</v>
      </c>
      <c r="E167" s="73">
        <f>IFERROR('Alloy_compnt_G&amp;L'!E167/SUM('Alloy_compnt_G&amp;L'!E$125:E$184),0)</f>
        <v>0</v>
      </c>
      <c r="F167" s="73">
        <f>IFERROR('Alloy_compnt_G&amp;L'!F167/SUM('Alloy_compnt_G&amp;L'!F$125:F$184),0)</f>
        <v>0</v>
      </c>
      <c r="G167" s="73">
        <f>IFERROR('Alloy_compnt_G&amp;L'!G167/SUM('Alloy_compnt_G&amp;L'!G$125:G$184),0)</f>
        <v>0</v>
      </c>
    </row>
    <row r="168" spans="1:7" x14ac:dyDescent="0.2">
      <c r="A168" s="148" t="s">
        <v>281</v>
      </c>
      <c r="B168" s="73">
        <f>IFERROR('Alloy_compnt_G&amp;L'!B168/SUM('Alloy_compnt_G&amp;L'!B$125:B$184),0)</f>
        <v>0</v>
      </c>
      <c r="C168" s="73">
        <f>IFERROR('Alloy_compnt_G&amp;L'!C168/SUM('Alloy_compnt_G&amp;L'!C$125:C$184),0)</f>
        <v>0</v>
      </c>
      <c r="D168" s="73">
        <f>IFERROR('Alloy_compnt_G&amp;L'!D168/SUM('Alloy_compnt_G&amp;L'!D$125:D$184),0)</f>
        <v>0</v>
      </c>
      <c r="E168" s="73">
        <f>IFERROR('Alloy_compnt_G&amp;L'!E168/SUM('Alloy_compnt_G&amp;L'!E$125:E$184),0)</f>
        <v>0</v>
      </c>
      <c r="F168" s="73">
        <f>IFERROR('Alloy_compnt_G&amp;L'!F168/SUM('Alloy_compnt_G&amp;L'!F$125:F$184),0)</f>
        <v>0</v>
      </c>
      <c r="G168" s="73">
        <f>IFERROR('Alloy_compnt_G&amp;L'!G168/SUM('Alloy_compnt_G&amp;L'!G$125:G$184),0)</f>
        <v>0</v>
      </c>
    </row>
    <row r="169" spans="1:7" x14ac:dyDescent="0.2">
      <c r="A169" s="148" t="s">
        <v>282</v>
      </c>
      <c r="B169" s="73">
        <f>IFERROR('Alloy_compnt_G&amp;L'!B169/SUM('Alloy_compnt_G&amp;L'!B$125:B$184),0)</f>
        <v>0.12888888888888889</v>
      </c>
      <c r="C169" s="73">
        <f>IFERROR('Alloy_compnt_G&amp;L'!C169/SUM('Alloy_compnt_G&amp;L'!C$125:C$184),0)</f>
        <v>0.12888888888888891</v>
      </c>
      <c r="D169" s="73">
        <f>IFERROR('Alloy_compnt_G&amp;L'!D169/SUM('Alloy_compnt_G&amp;L'!D$125:D$184),0)</f>
        <v>9.6066252587991743E-2</v>
      </c>
      <c r="E169" s="73">
        <f>IFERROR('Alloy_compnt_G&amp;L'!E169/SUM('Alloy_compnt_G&amp;L'!E$125:E$184),0)</f>
        <v>9.6066252587991716E-2</v>
      </c>
      <c r="F169" s="73">
        <f>IFERROR('Alloy_compnt_G&amp;L'!F169/SUM('Alloy_compnt_G&amp;L'!F$125:F$184),0)</f>
        <v>9.606625258799173E-2</v>
      </c>
      <c r="G169" s="73">
        <f>IFERROR('Alloy_compnt_G&amp;L'!G169/SUM('Alloy_compnt_G&amp;L'!G$125:G$184),0)</f>
        <v>9.6066252587991702E-2</v>
      </c>
    </row>
    <row r="170" spans="1:7" x14ac:dyDescent="0.2">
      <c r="A170" s="148" t="s">
        <v>283</v>
      </c>
      <c r="B170" s="73">
        <f>IFERROR('Alloy_compnt_G&amp;L'!B170/SUM('Alloy_compnt_G&amp;L'!B$125:B$184),0)</f>
        <v>0.12888888888888889</v>
      </c>
      <c r="C170" s="73">
        <f>IFERROR('Alloy_compnt_G&amp;L'!C170/SUM('Alloy_compnt_G&amp;L'!C$125:C$184),0)</f>
        <v>0.12888888888888891</v>
      </c>
      <c r="D170" s="73">
        <f>IFERROR('Alloy_compnt_G&amp;L'!D170/SUM('Alloy_compnt_G&amp;L'!D$125:D$184),0)</f>
        <v>9.6066252587991743E-2</v>
      </c>
      <c r="E170" s="73">
        <f>IFERROR('Alloy_compnt_G&amp;L'!E170/SUM('Alloy_compnt_G&amp;L'!E$125:E$184),0)</f>
        <v>9.6066252587991716E-2</v>
      </c>
      <c r="F170" s="73">
        <f>IFERROR('Alloy_compnt_G&amp;L'!F170/SUM('Alloy_compnt_G&amp;L'!F$125:F$184),0)</f>
        <v>9.606625258799173E-2</v>
      </c>
      <c r="G170" s="73">
        <f>IFERROR('Alloy_compnt_G&amp;L'!G170/SUM('Alloy_compnt_G&amp;L'!G$125:G$184),0)</f>
        <v>9.6066252587991702E-2</v>
      </c>
    </row>
    <row r="171" spans="1:7" x14ac:dyDescent="0.2">
      <c r="A171" s="148" t="s">
        <v>284</v>
      </c>
      <c r="B171" s="73">
        <f>IFERROR('Alloy_compnt_G&amp;L'!B171/SUM('Alloy_compnt_G&amp;L'!B$125:B$184),0)</f>
        <v>0</v>
      </c>
      <c r="C171" s="73">
        <f>IFERROR('Alloy_compnt_G&amp;L'!C171/SUM('Alloy_compnt_G&amp;L'!C$125:C$184),0)</f>
        <v>0</v>
      </c>
      <c r="D171" s="73">
        <f>IFERROR('Alloy_compnt_G&amp;L'!D171/SUM('Alloy_compnt_G&amp;L'!D$125:D$184),0)</f>
        <v>0</v>
      </c>
      <c r="E171" s="73">
        <f>IFERROR('Alloy_compnt_G&amp;L'!E171/SUM('Alloy_compnt_G&amp;L'!E$125:E$184),0)</f>
        <v>0</v>
      </c>
      <c r="F171" s="73">
        <f>IFERROR('Alloy_compnt_G&amp;L'!F171/SUM('Alloy_compnt_G&amp;L'!F$125:F$184),0)</f>
        <v>0</v>
      </c>
      <c r="G171" s="73">
        <f>IFERROR('Alloy_compnt_G&amp;L'!G171/SUM('Alloy_compnt_G&amp;L'!G$125:G$184),0)</f>
        <v>0</v>
      </c>
    </row>
    <row r="172" spans="1:7" x14ac:dyDescent="0.2">
      <c r="A172" s="148" t="s">
        <v>285</v>
      </c>
      <c r="B172" s="73">
        <f>IFERROR('Alloy_compnt_G&amp;L'!B172/SUM('Alloy_compnt_G&amp;L'!B$125:B$184),0)</f>
        <v>0</v>
      </c>
      <c r="C172" s="73">
        <f>IFERROR('Alloy_compnt_G&amp;L'!C172/SUM('Alloy_compnt_G&amp;L'!C$125:C$184),0)</f>
        <v>0</v>
      </c>
      <c r="D172" s="73">
        <f>IFERROR('Alloy_compnt_G&amp;L'!D172/SUM('Alloy_compnt_G&amp;L'!D$125:D$184),0)</f>
        <v>0</v>
      </c>
      <c r="E172" s="73">
        <f>IFERROR('Alloy_compnt_G&amp;L'!E172/SUM('Alloy_compnt_G&amp;L'!E$125:E$184),0)</f>
        <v>0</v>
      </c>
      <c r="F172" s="73">
        <f>IFERROR('Alloy_compnt_G&amp;L'!F172/SUM('Alloy_compnt_G&amp;L'!F$125:F$184),0)</f>
        <v>0</v>
      </c>
      <c r="G172" s="73">
        <f>IFERROR('Alloy_compnt_G&amp;L'!G172/SUM('Alloy_compnt_G&amp;L'!G$125:G$184),0)</f>
        <v>0</v>
      </c>
    </row>
    <row r="173" spans="1:7" x14ac:dyDescent="0.2">
      <c r="A173" s="147" t="s">
        <v>286</v>
      </c>
      <c r="B173" s="73">
        <f>IFERROR('Alloy_compnt_G&amp;L'!B173/SUM('Alloy_compnt_G&amp;L'!B$125:B$184),0)</f>
        <v>0</v>
      </c>
      <c r="C173" s="73">
        <f>IFERROR('Alloy_compnt_G&amp;L'!C173/SUM('Alloy_compnt_G&amp;L'!C$125:C$184),0)</f>
        <v>0</v>
      </c>
      <c r="D173" s="73">
        <f>IFERROR('Alloy_compnt_G&amp;L'!D173/SUM('Alloy_compnt_G&amp;L'!D$125:D$184),0)</f>
        <v>0</v>
      </c>
      <c r="E173" s="73">
        <f>IFERROR('Alloy_compnt_G&amp;L'!E173/SUM('Alloy_compnt_G&amp;L'!E$125:E$184),0)</f>
        <v>0</v>
      </c>
      <c r="F173" s="73">
        <f>IFERROR('Alloy_compnt_G&amp;L'!F173/SUM('Alloy_compnt_G&amp;L'!F$125:F$184),0)</f>
        <v>0</v>
      </c>
      <c r="G173" s="73">
        <f>IFERROR('Alloy_compnt_G&amp;L'!G173/SUM('Alloy_compnt_G&amp;L'!G$125:G$184),0)</f>
        <v>0</v>
      </c>
    </row>
    <row r="174" spans="1:7" x14ac:dyDescent="0.2">
      <c r="A174" s="142" t="s">
        <v>287</v>
      </c>
      <c r="B174" s="73">
        <f>IFERROR('Alloy_compnt_G&amp;L'!B174/SUM('Alloy_compnt_G&amp;L'!B$125:B$184),0)</f>
        <v>0</v>
      </c>
      <c r="C174" s="73">
        <f>IFERROR('Alloy_compnt_G&amp;L'!C174/SUM('Alloy_compnt_G&amp;L'!C$125:C$184),0)</f>
        <v>0</v>
      </c>
      <c r="D174" s="73">
        <f>IFERROR('Alloy_compnt_G&amp;L'!D174/SUM('Alloy_compnt_G&amp;L'!D$125:D$184),0)</f>
        <v>0</v>
      </c>
      <c r="E174" s="73">
        <f>IFERROR('Alloy_compnt_G&amp;L'!E174/SUM('Alloy_compnt_G&amp;L'!E$125:E$184),0)</f>
        <v>0</v>
      </c>
      <c r="F174" s="73">
        <f>IFERROR('Alloy_compnt_G&amp;L'!F174/SUM('Alloy_compnt_G&amp;L'!F$125:F$184),0)</f>
        <v>0</v>
      </c>
      <c r="G174" s="73">
        <f>IFERROR('Alloy_compnt_G&amp;L'!G174/SUM('Alloy_compnt_G&amp;L'!G$125:G$184),0)</f>
        <v>0</v>
      </c>
    </row>
    <row r="175" spans="1:7" x14ac:dyDescent="0.2">
      <c r="A175" s="142" t="s">
        <v>288</v>
      </c>
      <c r="B175" s="73">
        <f>IFERROR('Alloy_compnt_G&amp;L'!B175/SUM('Alloy_compnt_G&amp;L'!B$125:B$184),0)</f>
        <v>0</v>
      </c>
      <c r="C175" s="73">
        <f>IFERROR('Alloy_compnt_G&amp;L'!C175/SUM('Alloy_compnt_G&amp;L'!C$125:C$184),0)</f>
        <v>3.7037037037037049E-2</v>
      </c>
      <c r="D175" s="73">
        <f>IFERROR('Alloy_compnt_G&amp;L'!D175/SUM('Alloy_compnt_G&amp;L'!D$125:D$184),0)</f>
        <v>0</v>
      </c>
      <c r="E175" s="73">
        <f>IFERROR('Alloy_compnt_G&amp;L'!E175/SUM('Alloy_compnt_G&amp;L'!E$125:E$184),0)</f>
        <v>0</v>
      </c>
      <c r="F175" s="73">
        <f>IFERROR('Alloy_compnt_G&amp;L'!F175/SUM('Alloy_compnt_G&amp;L'!F$125:F$184),0)</f>
        <v>0</v>
      </c>
      <c r="G175" s="73">
        <f>IFERROR('Alloy_compnt_G&amp;L'!G175/SUM('Alloy_compnt_G&amp;L'!G$125:G$184),0)</f>
        <v>0</v>
      </c>
    </row>
    <row r="176" spans="1:7" x14ac:dyDescent="0.2">
      <c r="A176" s="142" t="s">
        <v>289</v>
      </c>
      <c r="B176" s="73">
        <f>IFERROR('Alloy_compnt_G&amp;L'!B176/SUM('Alloy_compnt_G&amp;L'!B$125:B$184),0)</f>
        <v>0</v>
      </c>
      <c r="C176" s="73">
        <f>IFERROR('Alloy_compnt_G&amp;L'!C176/SUM('Alloy_compnt_G&amp;L'!C$125:C$184),0)</f>
        <v>0</v>
      </c>
      <c r="D176" s="73">
        <f>IFERROR('Alloy_compnt_G&amp;L'!D176/SUM('Alloy_compnt_G&amp;L'!D$125:D$184),0)</f>
        <v>0</v>
      </c>
      <c r="E176" s="73">
        <f>IFERROR('Alloy_compnt_G&amp;L'!E176/SUM('Alloy_compnt_G&amp;L'!E$125:E$184),0)</f>
        <v>0</v>
      </c>
      <c r="F176" s="73">
        <f>IFERROR('Alloy_compnt_G&amp;L'!F176/SUM('Alloy_compnt_G&amp;L'!F$125:F$184),0)</f>
        <v>0</v>
      </c>
      <c r="G176" s="73">
        <f>IFERROR('Alloy_compnt_G&amp;L'!G176/SUM('Alloy_compnt_G&amp;L'!G$125:G$184),0)</f>
        <v>0</v>
      </c>
    </row>
    <row r="177" spans="1:7" x14ac:dyDescent="0.2">
      <c r="A177" s="142" t="s">
        <v>290</v>
      </c>
      <c r="B177" s="73">
        <f>IFERROR('Alloy_compnt_G&amp;L'!B177/SUM('Alloy_compnt_G&amp;L'!B$125:B$184),0)</f>
        <v>0</v>
      </c>
      <c r="C177" s="73">
        <f>IFERROR('Alloy_compnt_G&amp;L'!C177/SUM('Alloy_compnt_G&amp;L'!C$125:C$184),0)</f>
        <v>0</v>
      </c>
      <c r="D177" s="73">
        <f>IFERROR('Alloy_compnt_G&amp;L'!D177/SUM('Alloy_compnt_G&amp;L'!D$125:D$184),0)</f>
        <v>0</v>
      </c>
      <c r="E177" s="73">
        <f>IFERROR('Alloy_compnt_G&amp;L'!E177/SUM('Alloy_compnt_G&amp;L'!E$125:E$184),0)</f>
        <v>0</v>
      </c>
      <c r="F177" s="73">
        <f>IFERROR('Alloy_compnt_G&amp;L'!F177/SUM('Alloy_compnt_G&amp;L'!F$125:F$184),0)</f>
        <v>0</v>
      </c>
      <c r="G177" s="73">
        <f>IFERROR('Alloy_compnt_G&amp;L'!G177/SUM('Alloy_compnt_G&amp;L'!G$125:G$184),0)</f>
        <v>0</v>
      </c>
    </row>
    <row r="178" spans="1:7" x14ac:dyDescent="0.2">
      <c r="A178" s="142" t="s">
        <v>291</v>
      </c>
      <c r="B178" s="73">
        <f>IFERROR('Alloy_compnt_G&amp;L'!B178/SUM('Alloy_compnt_G&amp;L'!B$125:B$184),0)</f>
        <v>0</v>
      </c>
      <c r="C178" s="73">
        <f>IFERROR('Alloy_compnt_G&amp;L'!C178/SUM('Alloy_compnt_G&amp;L'!C$125:C$184),0)</f>
        <v>0.1481481481481482</v>
      </c>
      <c r="D178" s="73">
        <f>IFERROR('Alloy_compnt_G&amp;L'!D178/SUM('Alloy_compnt_G&amp;L'!D$125:D$184),0)</f>
        <v>0</v>
      </c>
      <c r="E178" s="73">
        <f>IFERROR('Alloy_compnt_G&amp;L'!E178/SUM('Alloy_compnt_G&amp;L'!E$125:E$184),0)</f>
        <v>0</v>
      </c>
      <c r="F178" s="73">
        <f>IFERROR('Alloy_compnt_G&amp;L'!F178/SUM('Alloy_compnt_G&amp;L'!F$125:F$184),0)</f>
        <v>0</v>
      </c>
      <c r="G178" s="73">
        <f>IFERROR('Alloy_compnt_G&amp;L'!G178/SUM('Alloy_compnt_G&amp;L'!G$125:G$184),0)</f>
        <v>0</v>
      </c>
    </row>
    <row r="179" spans="1:7" x14ac:dyDescent="0.2">
      <c r="A179" s="142" t="s">
        <v>292</v>
      </c>
      <c r="B179" s="73">
        <f>IFERROR('Alloy_compnt_G&amp;L'!B179/SUM('Alloy_compnt_G&amp;L'!B$125:B$184),0)</f>
        <v>0</v>
      </c>
      <c r="C179" s="73">
        <f>IFERROR('Alloy_compnt_G&amp;L'!C179/SUM('Alloy_compnt_G&amp;L'!C$125:C$184),0)</f>
        <v>0.1481481481481482</v>
      </c>
      <c r="D179" s="73">
        <f>IFERROR('Alloy_compnt_G&amp;L'!D179/SUM('Alloy_compnt_G&amp;L'!D$125:D$184),0)</f>
        <v>0</v>
      </c>
      <c r="E179" s="73">
        <f>IFERROR('Alloy_compnt_G&amp;L'!E179/SUM('Alloy_compnt_G&amp;L'!E$125:E$184),0)</f>
        <v>0</v>
      </c>
      <c r="F179" s="73">
        <f>IFERROR('Alloy_compnt_G&amp;L'!F179/SUM('Alloy_compnt_G&amp;L'!F$125:F$184),0)</f>
        <v>0</v>
      </c>
      <c r="G179" s="73">
        <f>IFERROR('Alloy_compnt_G&amp;L'!G179/SUM('Alloy_compnt_G&amp;L'!G$125:G$184),0)</f>
        <v>0</v>
      </c>
    </row>
    <row r="180" spans="1:7" x14ac:dyDescent="0.2">
      <c r="A180" s="142" t="s">
        <v>293</v>
      </c>
      <c r="B180" s="73">
        <f>IFERROR('Alloy_compnt_G&amp;L'!B180/SUM('Alloy_compnt_G&amp;L'!B$125:B$184),0)</f>
        <v>0</v>
      </c>
      <c r="C180" s="73">
        <f>IFERROR('Alloy_compnt_G&amp;L'!C180/SUM('Alloy_compnt_G&amp;L'!C$125:C$184),0)</f>
        <v>0</v>
      </c>
      <c r="D180" s="73">
        <f>IFERROR('Alloy_compnt_G&amp;L'!D180/SUM('Alloy_compnt_G&amp;L'!D$125:D$184),0)</f>
        <v>0</v>
      </c>
      <c r="E180" s="73">
        <f>IFERROR('Alloy_compnt_G&amp;L'!E180/SUM('Alloy_compnt_G&amp;L'!E$125:E$184),0)</f>
        <v>0</v>
      </c>
      <c r="F180" s="73">
        <f>IFERROR('Alloy_compnt_G&amp;L'!F180/SUM('Alloy_compnt_G&amp;L'!F$125:F$184),0)</f>
        <v>0</v>
      </c>
      <c r="G180" s="73">
        <f>IFERROR('Alloy_compnt_G&amp;L'!G180/SUM('Alloy_compnt_G&amp;L'!G$125:G$184),0)</f>
        <v>0</v>
      </c>
    </row>
    <row r="181" spans="1:7" x14ac:dyDescent="0.2">
      <c r="A181" s="142" t="s">
        <v>294</v>
      </c>
      <c r="B181" s="73">
        <f>IFERROR('Alloy_compnt_G&amp;L'!B181/SUM('Alloy_compnt_G&amp;L'!B$125:B$184),0)</f>
        <v>0</v>
      </c>
      <c r="C181" s="73">
        <f>IFERROR('Alloy_compnt_G&amp;L'!C181/SUM('Alloy_compnt_G&amp;L'!C$125:C$184),0)</f>
        <v>0</v>
      </c>
      <c r="D181" s="73">
        <f>IFERROR('Alloy_compnt_G&amp;L'!D181/SUM('Alloy_compnt_G&amp;L'!D$125:D$184),0)</f>
        <v>0</v>
      </c>
      <c r="E181" s="73">
        <f>IFERROR('Alloy_compnt_G&amp;L'!E181/SUM('Alloy_compnt_G&amp;L'!E$125:E$184),0)</f>
        <v>0</v>
      </c>
      <c r="F181" s="73">
        <f>IFERROR('Alloy_compnt_G&amp;L'!F181/SUM('Alloy_compnt_G&amp;L'!F$125:F$184),0)</f>
        <v>0</v>
      </c>
      <c r="G181" s="73">
        <f>IFERROR('Alloy_compnt_G&amp;L'!G181/SUM('Alloy_compnt_G&amp;L'!G$125:G$184),0)</f>
        <v>0</v>
      </c>
    </row>
    <row r="182" spans="1:7" x14ac:dyDescent="0.2">
      <c r="A182" s="144" t="s">
        <v>295</v>
      </c>
      <c r="B182" s="73">
        <f>IFERROR('Alloy_compnt_G&amp;L'!B182/SUM('Alloy_compnt_G&amp;L'!B$125:B$184),0)</f>
        <v>0</v>
      </c>
      <c r="C182" s="73">
        <f>IFERROR('Alloy_compnt_G&amp;L'!C182/SUM('Alloy_compnt_G&amp;L'!C$125:C$184),0)</f>
        <v>0</v>
      </c>
      <c r="D182" s="73">
        <f>IFERROR('Alloy_compnt_G&amp;L'!D182/SUM('Alloy_compnt_G&amp;L'!D$125:D$184),0)</f>
        <v>0</v>
      </c>
      <c r="E182" s="73">
        <f>IFERROR('Alloy_compnt_G&amp;L'!E182/SUM('Alloy_compnt_G&amp;L'!E$125:E$184),0)</f>
        <v>0</v>
      </c>
      <c r="F182" s="73">
        <f>IFERROR('Alloy_compnt_G&amp;L'!F182/SUM('Alloy_compnt_G&amp;L'!F$125:F$184),0)</f>
        <v>0</v>
      </c>
      <c r="G182" s="73">
        <f>IFERROR('Alloy_compnt_G&amp;L'!G182/SUM('Alloy_compnt_G&amp;L'!G$125:G$184),0)</f>
        <v>0</v>
      </c>
    </row>
    <row r="183" spans="1:7" x14ac:dyDescent="0.2">
      <c r="A183" s="142" t="s">
        <v>206</v>
      </c>
      <c r="B183" s="73">
        <f>IFERROR('Alloy_compnt_G&amp;L'!B183/SUM('Alloy_compnt_G&amp;L'!B$125:B$184),0)</f>
        <v>0</v>
      </c>
      <c r="C183" s="73">
        <f>IFERROR('Alloy_compnt_G&amp;L'!C183/SUM('Alloy_compnt_G&amp;L'!C$125:C$184),0)</f>
        <v>0</v>
      </c>
      <c r="D183" s="73">
        <f>IFERROR('Alloy_compnt_G&amp;L'!D183/SUM('Alloy_compnt_G&amp;L'!D$125:D$184),0)</f>
        <v>0</v>
      </c>
      <c r="E183" s="73">
        <f>IFERROR('Alloy_compnt_G&amp;L'!E183/SUM('Alloy_compnt_G&amp;L'!E$125:E$184),0)</f>
        <v>0</v>
      </c>
      <c r="F183" s="73">
        <f>IFERROR('Alloy_compnt_G&amp;L'!F183/SUM('Alloy_compnt_G&amp;L'!F$125:F$184),0)</f>
        <v>0</v>
      </c>
      <c r="G183" s="73">
        <f>IFERROR('Alloy_compnt_G&amp;L'!G183/SUM('Alloy_compnt_G&amp;L'!G$125:G$184),0)</f>
        <v>0</v>
      </c>
    </row>
    <row r="184" spans="1:7" ht="17" thickBot="1" x14ac:dyDescent="0.25">
      <c r="A184" s="149" t="s">
        <v>208</v>
      </c>
      <c r="B184" s="73">
        <f>IFERROR('Alloy_compnt_G&amp;L'!B184/SUM('Alloy_compnt_G&amp;L'!B$125:B$184),0)</f>
        <v>0</v>
      </c>
      <c r="C184" s="73">
        <f>IFERROR('Alloy_compnt_G&amp;L'!C184/SUM('Alloy_compnt_G&amp;L'!C$125:C$184),0)</f>
        <v>0</v>
      </c>
      <c r="D184" s="73">
        <f>IFERROR('Alloy_compnt_G&amp;L'!D184/SUM('Alloy_compnt_G&amp;L'!D$125:D$184),0)</f>
        <v>0</v>
      </c>
      <c r="E184" s="73">
        <f>IFERROR('Alloy_compnt_G&amp;L'!E184/SUM('Alloy_compnt_G&amp;L'!E$125:E$184),0)</f>
        <v>0</v>
      </c>
      <c r="F184" s="73">
        <f>IFERROR('Alloy_compnt_G&amp;L'!F184/SUM('Alloy_compnt_G&amp;L'!F$125:F$184),0)</f>
        <v>0</v>
      </c>
      <c r="G184" s="73">
        <f>IFERROR('Alloy_compnt_G&amp;L'!G184/SUM('Alloy_compnt_G&amp;L'!G$125:G$184),0)</f>
        <v>0</v>
      </c>
    </row>
    <row r="185" spans="1:7" ht="17" thickTop="1" x14ac:dyDescent="0.2">
      <c r="A185" s="150" t="s">
        <v>175</v>
      </c>
      <c r="B185" s="54"/>
      <c r="C185" s="54"/>
      <c r="D185" s="54"/>
      <c r="E185" s="54"/>
      <c r="F185" s="54"/>
      <c r="G185" s="54"/>
    </row>
    <row r="186" spans="1:7" x14ac:dyDescent="0.2">
      <c r="A186" s="142" t="s">
        <v>105</v>
      </c>
      <c r="B186" s="73">
        <f>IFERROR('Alloy_compnt_G&amp;L'!B186/SUM('Alloy_compnt_G&amp;L'!B$186:B$245),0)</f>
        <v>0.19288152173913037</v>
      </c>
      <c r="C186" s="73">
        <f>IFERROR('Alloy_compnt_G&amp;L'!C186/SUM('Alloy_compnt_G&amp;L'!C$186:C$245),0)</f>
        <v>8.804341833900399E-2</v>
      </c>
      <c r="D186" s="73">
        <f>IFERROR('Alloy_compnt_G&amp;L'!D186/SUM('Alloy_compnt_G&amp;L'!D$186:D$245),0)</f>
        <v>0.19288152173913042</v>
      </c>
      <c r="E186" s="73">
        <f>IFERROR('Alloy_compnt_G&amp;L'!E186/SUM('Alloy_compnt_G&amp;L'!E$186:E$245),0)</f>
        <v>8.1789388184124498E-2</v>
      </c>
      <c r="F186" s="73">
        <f>IFERROR('Alloy_compnt_G&amp;L'!F186/SUM('Alloy_compnt_G&amp;L'!F$186:F$245),0)</f>
        <v>0.19288152173913037</v>
      </c>
      <c r="G186" s="73">
        <f>IFERROR('Alloy_compnt_G&amp;L'!G186/SUM('Alloy_compnt_G&amp;L'!G$186:G$245),0)</f>
        <v>8.0108640727632088E-2</v>
      </c>
    </row>
    <row r="187" spans="1:7" x14ac:dyDescent="0.2">
      <c r="A187" s="142" t="s">
        <v>106</v>
      </c>
      <c r="B187" s="73">
        <f>IFERROR('Alloy_compnt_G&amp;L'!B187/SUM('Alloy_compnt_G&amp;L'!B$186:B$245),0)</f>
        <v>0.17459891304347822</v>
      </c>
      <c r="C187" s="73">
        <f>IFERROR('Alloy_compnt_G&amp;L'!C187/SUM('Alloy_compnt_G&amp;L'!C$186:C$245),0)</f>
        <v>7.9698070629145801E-2</v>
      </c>
      <c r="D187" s="73">
        <f>IFERROR('Alloy_compnt_G&amp;L'!D187/SUM('Alloy_compnt_G&amp;L'!D$186:D$245),0)</f>
        <v>0.17459891304347824</v>
      </c>
      <c r="E187" s="73">
        <f>IFERROR('Alloy_compnt_G&amp;L'!E187/SUM('Alloy_compnt_G&amp;L'!E$186:E$245),0)</f>
        <v>7.4036839541079535E-2</v>
      </c>
      <c r="F187" s="73">
        <f>IFERROR('Alloy_compnt_G&amp;L'!F187/SUM('Alloy_compnt_G&amp;L'!F$186:F$245),0)</f>
        <v>0.17459891304347819</v>
      </c>
      <c r="G187" s="73">
        <f>IFERROR('Alloy_compnt_G&amp;L'!G187/SUM('Alloy_compnt_G&amp;L'!G$186:G$245),0)</f>
        <v>7.2515404639704878E-2</v>
      </c>
    </row>
    <row r="188" spans="1:7" x14ac:dyDescent="0.2">
      <c r="A188" s="142" t="s">
        <v>107</v>
      </c>
      <c r="B188" s="73">
        <f>IFERROR('Alloy_compnt_G&amp;L'!B188/SUM('Alloy_compnt_G&amp;L'!B$186:B$245),0)</f>
        <v>0.54664999999999997</v>
      </c>
      <c r="C188" s="73">
        <f>IFERROR('Alloy_compnt_G&amp;L'!C188/SUM('Alloy_compnt_G&amp;L'!C$186:C$245),0)</f>
        <v>0.24952589652476018</v>
      </c>
      <c r="D188" s="73">
        <f>IFERROR('Alloy_compnt_G&amp;L'!D188/SUM('Alloy_compnt_G&amp;L'!D$186:D$245),0)</f>
        <v>0.54665000000000008</v>
      </c>
      <c r="E188" s="73">
        <f>IFERROR('Alloy_compnt_G&amp;L'!E188/SUM('Alloy_compnt_G&amp;L'!E$186:E$245),0)</f>
        <v>0.23180120442704485</v>
      </c>
      <c r="F188" s="73">
        <f>IFERROR('Alloy_compnt_G&amp;L'!F188/SUM('Alloy_compnt_G&amp;L'!F$186:F$245),0)</f>
        <v>0.54664999999999986</v>
      </c>
      <c r="G188" s="73">
        <f>IFERROR('Alloy_compnt_G&amp;L'!G188/SUM('Alloy_compnt_G&amp;L'!G$186:G$245),0)</f>
        <v>0.22703775902902365</v>
      </c>
    </row>
    <row r="189" spans="1:7" x14ac:dyDescent="0.2">
      <c r="A189" s="142" t="s">
        <v>91</v>
      </c>
      <c r="B189" s="73">
        <f>IFERROR('Alloy_compnt_G&amp;L'!B189/SUM('Alloy_compnt_G&amp;L'!B$186:B$245),0)</f>
        <v>0</v>
      </c>
      <c r="C189" s="73">
        <f>IFERROR('Alloy_compnt_G&amp;L'!C189/SUM('Alloy_compnt_G&amp;L'!C$186:C$245),0)</f>
        <v>0</v>
      </c>
      <c r="D189" s="73">
        <f>IFERROR('Alloy_compnt_G&amp;L'!D189/SUM('Alloy_compnt_G&amp;L'!D$186:D$245),0)</f>
        <v>0</v>
      </c>
      <c r="E189" s="73">
        <f>IFERROR('Alloy_compnt_G&amp;L'!E189/SUM('Alloy_compnt_G&amp;L'!E$186:E$245),0)</f>
        <v>0</v>
      </c>
      <c r="F189" s="73">
        <f>IFERROR('Alloy_compnt_G&amp;L'!F189/SUM('Alloy_compnt_G&amp;L'!F$186:F$245),0)</f>
        <v>0</v>
      </c>
      <c r="G189" s="73">
        <f>IFERROR('Alloy_compnt_G&amp;L'!G189/SUM('Alloy_compnt_G&amp;L'!G$186:G$245),0)</f>
        <v>0</v>
      </c>
    </row>
    <row r="190" spans="1:7" x14ac:dyDescent="0.2">
      <c r="A190" s="142" t="s">
        <v>204</v>
      </c>
      <c r="B190" s="73">
        <f>IFERROR('Alloy_compnt_G&amp;L'!B190/SUM('Alloy_compnt_G&amp;L'!B$186:B$245),0)</f>
        <v>6.3749999999999973E-2</v>
      </c>
      <c r="C190" s="73">
        <f>IFERROR('Alloy_compnt_G&amp;L'!C190/SUM('Alloy_compnt_G&amp;L'!C$186:C$245),0)</f>
        <v>8.362309798699373E-2</v>
      </c>
      <c r="D190" s="73">
        <f>IFERROR('Alloy_compnt_G&amp;L'!D190/SUM('Alloy_compnt_G&amp;L'!D$186:D$245),0)</f>
        <v>6.3750000000000001E-2</v>
      </c>
      <c r="E190" s="73">
        <f>IFERROR('Alloy_compnt_G&amp;L'!E190/SUM('Alloy_compnt_G&amp;L'!E$186:E$245),0)</f>
        <v>8.4264411615855267E-2</v>
      </c>
      <c r="F190" s="73">
        <f>IFERROR('Alloy_compnt_G&amp;L'!F190/SUM('Alloy_compnt_G&amp;L'!F$186:F$245),0)</f>
        <v>6.3749999999999987E-2</v>
      </c>
      <c r="G190" s="73">
        <f>IFERROR('Alloy_compnt_G&amp;L'!G190/SUM('Alloy_compnt_G&amp;L'!G$186:G$245),0)</f>
        <v>8.6558463859461796E-2</v>
      </c>
    </row>
    <row r="191" spans="1:7" x14ac:dyDescent="0.2">
      <c r="A191" s="144" t="s">
        <v>104</v>
      </c>
      <c r="B191" s="73">
        <f>IFERROR('Alloy_compnt_G&amp;L'!B191/SUM('Alloy_compnt_G&amp;L'!B$186:B$245),0)</f>
        <v>1.1249999999999998E-2</v>
      </c>
      <c r="C191" s="73">
        <f>IFERROR('Alloy_compnt_G&amp;L'!C191/SUM('Alloy_compnt_G&amp;L'!C$186:C$245),0)</f>
        <v>1.4757017291822425E-2</v>
      </c>
      <c r="D191" s="73">
        <f>IFERROR('Alloy_compnt_G&amp;L'!D191/SUM('Alloy_compnt_G&amp;L'!D$186:D$245),0)</f>
        <v>1.1250000000000003E-2</v>
      </c>
      <c r="E191" s="73">
        <f>IFERROR('Alloy_compnt_G&amp;L'!E191/SUM('Alloy_compnt_G&amp;L'!E$186:E$245),0)</f>
        <v>1.4870190285150933E-2</v>
      </c>
      <c r="F191" s="73">
        <f>IFERROR('Alloy_compnt_G&amp;L'!F191/SUM('Alloy_compnt_G&amp;L'!F$186:F$245),0)</f>
        <v>1.125E-2</v>
      </c>
      <c r="G191" s="73">
        <f>IFERROR('Alloy_compnt_G&amp;L'!G191/SUM('Alloy_compnt_G&amp;L'!G$186:G$245),0)</f>
        <v>1.5275023034022674E-2</v>
      </c>
    </row>
    <row r="192" spans="1:7" x14ac:dyDescent="0.2">
      <c r="A192" s="145" t="s">
        <v>244</v>
      </c>
      <c r="B192" s="73">
        <f>IFERROR('Alloy_compnt_G&amp;L'!B192/SUM('Alloy_compnt_G&amp;L'!B$186:B$245),0)</f>
        <v>0</v>
      </c>
      <c r="C192" s="73">
        <f>IFERROR('Alloy_compnt_G&amp;L'!C192/SUM('Alloy_compnt_G&amp;L'!C$186:C$245),0)</f>
        <v>0</v>
      </c>
      <c r="D192" s="73">
        <f>IFERROR('Alloy_compnt_G&amp;L'!D192/SUM('Alloy_compnt_G&amp;L'!D$186:D$245),0)</f>
        <v>0</v>
      </c>
      <c r="E192" s="73">
        <f>IFERROR('Alloy_compnt_G&amp;L'!E192/SUM('Alloy_compnt_G&amp;L'!E$186:E$245),0)</f>
        <v>0</v>
      </c>
      <c r="F192" s="73">
        <f>IFERROR('Alloy_compnt_G&amp;L'!F192/SUM('Alloy_compnt_G&amp;L'!F$186:F$245),0)</f>
        <v>0</v>
      </c>
      <c r="G192" s="73">
        <f>IFERROR('Alloy_compnt_G&amp;L'!G192/SUM('Alloy_compnt_G&amp;L'!G$186:G$245),0)</f>
        <v>0</v>
      </c>
    </row>
    <row r="193" spans="1:7" x14ac:dyDescent="0.2">
      <c r="A193" s="145" t="s">
        <v>245</v>
      </c>
      <c r="B193" s="73">
        <f>IFERROR('Alloy_compnt_G&amp;L'!B193/SUM('Alloy_compnt_G&amp;L'!B$186:B$245),0)</f>
        <v>0</v>
      </c>
      <c r="C193" s="73">
        <f>IFERROR('Alloy_compnt_G&amp;L'!C193/SUM('Alloy_compnt_G&amp;L'!C$186:C$245),0)</f>
        <v>0</v>
      </c>
      <c r="D193" s="73">
        <f>IFERROR('Alloy_compnt_G&amp;L'!D193/SUM('Alloy_compnt_G&amp;L'!D$186:D$245),0)</f>
        <v>0</v>
      </c>
      <c r="E193" s="73">
        <f>IFERROR('Alloy_compnt_G&amp;L'!E193/SUM('Alloy_compnt_G&amp;L'!E$186:E$245),0)</f>
        <v>0</v>
      </c>
      <c r="F193" s="73">
        <f>IFERROR('Alloy_compnt_G&amp;L'!F193/SUM('Alloy_compnt_G&amp;L'!F$186:F$245),0)</f>
        <v>0</v>
      </c>
      <c r="G193" s="73">
        <f>IFERROR('Alloy_compnt_G&amp;L'!G193/SUM('Alloy_compnt_G&amp;L'!G$186:G$245),0)</f>
        <v>0</v>
      </c>
    </row>
    <row r="194" spans="1:7" x14ac:dyDescent="0.2">
      <c r="A194" s="145" t="s">
        <v>246</v>
      </c>
      <c r="B194" s="73">
        <f>IFERROR('Alloy_compnt_G&amp;L'!B194/SUM('Alloy_compnt_G&amp;L'!B$186:B$245),0)</f>
        <v>0</v>
      </c>
      <c r="C194" s="73">
        <f>IFERROR('Alloy_compnt_G&amp;L'!C194/SUM('Alloy_compnt_G&amp;L'!C$186:C$245),0)</f>
        <v>0</v>
      </c>
      <c r="D194" s="73">
        <f>IFERROR('Alloy_compnt_G&amp;L'!D194/SUM('Alloy_compnt_G&amp;L'!D$186:D$245),0)</f>
        <v>0</v>
      </c>
      <c r="E194" s="73">
        <f>IFERROR('Alloy_compnt_G&amp;L'!E194/SUM('Alloy_compnt_G&amp;L'!E$186:E$245),0)</f>
        <v>0</v>
      </c>
      <c r="F194" s="73">
        <f>IFERROR('Alloy_compnt_G&amp;L'!F194/SUM('Alloy_compnt_G&amp;L'!F$186:F$245),0)</f>
        <v>0</v>
      </c>
      <c r="G194" s="73">
        <f>IFERROR('Alloy_compnt_G&amp;L'!G194/SUM('Alloy_compnt_G&amp;L'!G$186:G$245),0)</f>
        <v>0</v>
      </c>
    </row>
    <row r="195" spans="1:7" x14ac:dyDescent="0.2">
      <c r="A195" s="145" t="s">
        <v>247</v>
      </c>
      <c r="B195" s="73">
        <f>IFERROR('Alloy_compnt_G&amp;L'!B195/SUM('Alloy_compnt_G&amp;L'!B$186:B$245),0)</f>
        <v>0</v>
      </c>
      <c r="C195" s="73">
        <f>IFERROR('Alloy_compnt_G&amp;L'!C195/SUM('Alloy_compnt_G&amp;L'!C$186:C$245),0)</f>
        <v>0</v>
      </c>
      <c r="D195" s="73">
        <f>IFERROR('Alloy_compnt_G&amp;L'!D195/SUM('Alloy_compnt_G&amp;L'!D$186:D$245),0)</f>
        <v>0</v>
      </c>
      <c r="E195" s="73">
        <f>IFERROR('Alloy_compnt_G&amp;L'!E195/SUM('Alloy_compnt_G&amp;L'!E$186:E$245),0)</f>
        <v>0</v>
      </c>
      <c r="F195" s="73">
        <f>IFERROR('Alloy_compnt_G&amp;L'!F195/SUM('Alloy_compnt_G&amp;L'!F$186:F$245),0)</f>
        <v>0</v>
      </c>
      <c r="G195" s="73">
        <f>IFERROR('Alloy_compnt_G&amp;L'!G195/SUM('Alloy_compnt_G&amp;L'!G$186:G$245),0)</f>
        <v>0</v>
      </c>
    </row>
    <row r="196" spans="1:7" x14ac:dyDescent="0.2">
      <c r="A196" s="145" t="s">
        <v>248</v>
      </c>
      <c r="B196" s="73">
        <f>IFERROR('Alloy_compnt_G&amp;L'!B196/SUM('Alloy_compnt_G&amp;L'!B$186:B$245),0)</f>
        <v>0</v>
      </c>
      <c r="C196" s="73">
        <f>IFERROR('Alloy_compnt_G&amp;L'!C196/SUM('Alloy_compnt_G&amp;L'!C$186:C$245),0)</f>
        <v>0</v>
      </c>
      <c r="D196" s="73">
        <f>IFERROR('Alloy_compnt_G&amp;L'!D196/SUM('Alloy_compnt_G&amp;L'!D$186:D$245),0)</f>
        <v>0</v>
      </c>
      <c r="E196" s="73">
        <f>IFERROR('Alloy_compnt_G&amp;L'!E196/SUM('Alloy_compnt_G&amp;L'!E$186:E$245),0)</f>
        <v>0</v>
      </c>
      <c r="F196" s="73">
        <f>IFERROR('Alloy_compnt_G&amp;L'!F196/SUM('Alloy_compnt_G&amp;L'!F$186:F$245),0)</f>
        <v>0</v>
      </c>
      <c r="G196" s="73">
        <f>IFERROR('Alloy_compnt_G&amp;L'!G196/SUM('Alloy_compnt_G&amp;L'!G$186:G$245),0)</f>
        <v>0</v>
      </c>
    </row>
    <row r="197" spans="1:7" x14ac:dyDescent="0.2">
      <c r="A197" s="145" t="s">
        <v>249</v>
      </c>
      <c r="B197" s="73">
        <f>IFERROR('Alloy_compnt_G&amp;L'!B197/SUM('Alloy_compnt_G&amp;L'!B$186:B$245),0)</f>
        <v>0</v>
      </c>
      <c r="C197" s="73">
        <f>IFERROR('Alloy_compnt_G&amp;L'!C197/SUM('Alloy_compnt_G&amp;L'!C$186:C$245),0)</f>
        <v>0</v>
      </c>
      <c r="D197" s="73">
        <f>IFERROR('Alloy_compnt_G&amp;L'!D197/SUM('Alloy_compnt_G&amp;L'!D$186:D$245),0)</f>
        <v>0</v>
      </c>
      <c r="E197" s="73">
        <f>IFERROR('Alloy_compnt_G&amp;L'!E197/SUM('Alloy_compnt_G&amp;L'!E$186:E$245),0)</f>
        <v>0</v>
      </c>
      <c r="F197" s="73">
        <f>IFERROR('Alloy_compnt_G&amp;L'!F197/SUM('Alloy_compnt_G&amp;L'!F$186:F$245),0)</f>
        <v>0</v>
      </c>
      <c r="G197" s="73">
        <f>IFERROR('Alloy_compnt_G&amp;L'!G197/SUM('Alloy_compnt_G&amp;L'!G$186:G$245),0)</f>
        <v>0</v>
      </c>
    </row>
    <row r="198" spans="1:7" x14ac:dyDescent="0.2">
      <c r="A198" s="145" t="s">
        <v>250</v>
      </c>
      <c r="B198" s="73">
        <f>IFERROR('Alloy_compnt_G&amp;L'!B198/SUM('Alloy_compnt_G&amp;L'!B$186:B$245),0)</f>
        <v>0</v>
      </c>
      <c r="C198" s="73">
        <f>IFERROR('Alloy_compnt_G&amp;L'!C198/SUM('Alloy_compnt_G&amp;L'!C$186:C$245),0)</f>
        <v>0</v>
      </c>
      <c r="D198" s="73">
        <f>IFERROR('Alloy_compnt_G&amp;L'!D198/SUM('Alloy_compnt_G&amp;L'!D$186:D$245),0)</f>
        <v>0</v>
      </c>
      <c r="E198" s="73">
        <f>IFERROR('Alloy_compnt_G&amp;L'!E198/SUM('Alloy_compnt_G&amp;L'!E$186:E$245),0)</f>
        <v>0</v>
      </c>
      <c r="F198" s="73">
        <f>IFERROR('Alloy_compnt_G&amp;L'!F198/SUM('Alloy_compnt_G&amp;L'!F$186:F$245),0)</f>
        <v>0</v>
      </c>
      <c r="G198" s="73">
        <f>IFERROR('Alloy_compnt_G&amp;L'!G198/SUM('Alloy_compnt_G&amp;L'!G$186:G$245),0)</f>
        <v>0</v>
      </c>
    </row>
    <row r="199" spans="1:7" x14ac:dyDescent="0.2">
      <c r="A199" s="145" t="s">
        <v>251</v>
      </c>
      <c r="B199" s="73">
        <f>IFERROR('Alloy_compnt_G&amp;L'!B199/SUM('Alloy_compnt_G&amp;L'!B$186:B$245),0)</f>
        <v>0</v>
      </c>
      <c r="C199" s="73">
        <f>IFERROR('Alloy_compnt_G&amp;L'!C199/SUM('Alloy_compnt_G&amp;L'!C$186:C$245),0)</f>
        <v>0</v>
      </c>
      <c r="D199" s="73">
        <f>IFERROR('Alloy_compnt_G&amp;L'!D199/SUM('Alloy_compnt_G&amp;L'!D$186:D$245),0)</f>
        <v>0</v>
      </c>
      <c r="E199" s="73">
        <f>IFERROR('Alloy_compnt_G&amp;L'!E199/SUM('Alloy_compnt_G&amp;L'!E$186:E$245),0)</f>
        <v>0</v>
      </c>
      <c r="F199" s="73">
        <f>IFERROR('Alloy_compnt_G&amp;L'!F199/SUM('Alloy_compnt_G&amp;L'!F$186:F$245),0)</f>
        <v>0</v>
      </c>
      <c r="G199" s="73">
        <f>IFERROR('Alloy_compnt_G&amp;L'!G199/SUM('Alloy_compnt_G&amp;L'!G$186:G$245),0)</f>
        <v>0</v>
      </c>
    </row>
    <row r="200" spans="1:7" x14ac:dyDescent="0.2">
      <c r="A200" s="145" t="s">
        <v>252</v>
      </c>
      <c r="B200" s="73">
        <f>IFERROR('Alloy_compnt_G&amp;L'!B200/SUM('Alloy_compnt_G&amp;L'!B$186:B$245),0)</f>
        <v>0</v>
      </c>
      <c r="C200" s="73">
        <f>IFERROR('Alloy_compnt_G&amp;L'!C200/SUM('Alloy_compnt_G&amp;L'!C$186:C$245),0)</f>
        <v>0</v>
      </c>
      <c r="D200" s="73">
        <f>IFERROR('Alloy_compnt_G&amp;L'!D200/SUM('Alloy_compnt_G&amp;L'!D$186:D$245),0)</f>
        <v>0</v>
      </c>
      <c r="E200" s="73">
        <f>IFERROR('Alloy_compnt_G&amp;L'!E200/SUM('Alloy_compnt_G&amp;L'!E$186:E$245),0)</f>
        <v>0</v>
      </c>
      <c r="F200" s="73">
        <f>IFERROR('Alloy_compnt_G&amp;L'!F200/SUM('Alloy_compnt_G&amp;L'!F$186:F$245),0)</f>
        <v>0</v>
      </c>
      <c r="G200" s="73">
        <f>IFERROR('Alloy_compnt_G&amp;L'!G200/SUM('Alloy_compnt_G&amp;L'!G$186:G$245),0)</f>
        <v>0</v>
      </c>
    </row>
    <row r="201" spans="1:7" x14ac:dyDescent="0.2">
      <c r="A201" s="145" t="s">
        <v>253</v>
      </c>
      <c r="B201" s="73">
        <f>IFERROR('Alloy_compnt_G&amp;L'!B201/SUM('Alloy_compnt_G&amp;L'!B$186:B$245),0)</f>
        <v>0</v>
      </c>
      <c r="C201" s="73">
        <f>IFERROR('Alloy_compnt_G&amp;L'!C201/SUM('Alloy_compnt_G&amp;L'!C$186:C$245),0)</f>
        <v>0</v>
      </c>
      <c r="D201" s="73">
        <f>IFERROR('Alloy_compnt_G&amp;L'!D201/SUM('Alloy_compnt_G&amp;L'!D$186:D$245),0)</f>
        <v>0</v>
      </c>
      <c r="E201" s="73">
        <f>IFERROR('Alloy_compnt_G&amp;L'!E201/SUM('Alloy_compnt_G&amp;L'!E$186:E$245),0)</f>
        <v>0</v>
      </c>
      <c r="F201" s="73">
        <f>IFERROR('Alloy_compnt_G&amp;L'!F201/SUM('Alloy_compnt_G&amp;L'!F$186:F$245),0)</f>
        <v>0</v>
      </c>
      <c r="G201" s="73">
        <f>IFERROR('Alloy_compnt_G&amp;L'!G201/SUM('Alloy_compnt_G&amp;L'!G$186:G$245),0)</f>
        <v>0</v>
      </c>
    </row>
    <row r="202" spans="1:7" x14ac:dyDescent="0.2">
      <c r="A202" s="145" t="s">
        <v>254</v>
      </c>
      <c r="B202" s="73">
        <f>IFERROR('Alloy_compnt_G&amp;L'!B202/SUM('Alloy_compnt_G&amp;L'!B$186:B$245),0)</f>
        <v>0</v>
      </c>
      <c r="C202" s="73">
        <f>IFERROR('Alloy_compnt_G&amp;L'!C202/SUM('Alloy_compnt_G&amp;L'!C$186:C$245),0)</f>
        <v>0</v>
      </c>
      <c r="D202" s="73">
        <f>IFERROR('Alloy_compnt_G&amp;L'!D202/SUM('Alloy_compnt_G&amp;L'!D$186:D$245),0)</f>
        <v>0</v>
      </c>
      <c r="E202" s="73">
        <f>IFERROR('Alloy_compnt_G&amp;L'!E202/SUM('Alloy_compnt_G&amp;L'!E$186:E$245),0)</f>
        <v>0</v>
      </c>
      <c r="F202" s="73">
        <f>IFERROR('Alloy_compnt_G&amp;L'!F202/SUM('Alloy_compnt_G&amp;L'!F$186:F$245),0)</f>
        <v>0</v>
      </c>
      <c r="G202" s="73">
        <f>IFERROR('Alloy_compnt_G&amp;L'!G202/SUM('Alloy_compnt_G&amp;L'!G$186:G$245),0)</f>
        <v>0</v>
      </c>
    </row>
    <row r="203" spans="1:7" x14ac:dyDescent="0.2">
      <c r="A203" s="146" t="s">
        <v>255</v>
      </c>
      <c r="B203" s="73">
        <f>IFERROR('Alloy_compnt_G&amp;L'!B203/SUM('Alloy_compnt_G&amp;L'!B$186:B$245),0)</f>
        <v>0</v>
      </c>
      <c r="C203" s="73">
        <f>IFERROR('Alloy_compnt_G&amp;L'!C203/SUM('Alloy_compnt_G&amp;L'!C$186:C$245),0)</f>
        <v>0</v>
      </c>
      <c r="D203" s="73">
        <f>IFERROR('Alloy_compnt_G&amp;L'!D203/SUM('Alloy_compnt_G&amp;L'!D$186:D$245),0)</f>
        <v>0</v>
      </c>
      <c r="E203" s="73">
        <f>IFERROR('Alloy_compnt_G&amp;L'!E203/SUM('Alloy_compnt_G&amp;L'!E$186:E$245),0)</f>
        <v>0</v>
      </c>
      <c r="F203" s="73">
        <f>IFERROR('Alloy_compnt_G&amp;L'!F203/SUM('Alloy_compnt_G&amp;L'!F$186:F$245),0)</f>
        <v>0</v>
      </c>
      <c r="G203" s="73">
        <f>IFERROR('Alloy_compnt_G&amp;L'!G203/SUM('Alloy_compnt_G&amp;L'!G$186:G$245),0)</f>
        <v>0</v>
      </c>
    </row>
    <row r="204" spans="1:7" x14ac:dyDescent="0.2">
      <c r="A204" s="145" t="s">
        <v>256</v>
      </c>
      <c r="B204" s="73">
        <f>IFERROR('Alloy_compnt_G&amp;L'!B204/SUM('Alloy_compnt_G&amp;L'!B$186:B$245),0)</f>
        <v>0</v>
      </c>
      <c r="C204" s="73">
        <f>IFERROR('Alloy_compnt_G&amp;L'!C204/SUM('Alloy_compnt_G&amp;L'!C$186:C$245),0)</f>
        <v>0</v>
      </c>
      <c r="D204" s="73">
        <f>IFERROR('Alloy_compnt_G&amp;L'!D204/SUM('Alloy_compnt_G&amp;L'!D$186:D$245),0)</f>
        <v>0</v>
      </c>
      <c r="E204" s="73">
        <f>IFERROR('Alloy_compnt_G&amp;L'!E204/SUM('Alloy_compnt_G&amp;L'!E$186:E$245),0)</f>
        <v>0</v>
      </c>
      <c r="F204" s="73">
        <f>IFERROR('Alloy_compnt_G&amp;L'!F204/SUM('Alloy_compnt_G&amp;L'!F$186:F$245),0)</f>
        <v>0</v>
      </c>
      <c r="G204" s="73">
        <f>IFERROR('Alloy_compnt_G&amp;L'!G204/SUM('Alloy_compnt_G&amp;L'!G$186:G$245),0)</f>
        <v>0</v>
      </c>
    </row>
    <row r="205" spans="1:7" x14ac:dyDescent="0.2">
      <c r="A205" s="145" t="s">
        <v>257</v>
      </c>
      <c r="B205" s="73">
        <f>IFERROR('Alloy_compnt_G&amp;L'!B205/SUM('Alloy_compnt_G&amp;L'!B$186:B$245),0)</f>
        <v>0</v>
      </c>
      <c r="C205" s="73">
        <f>IFERROR('Alloy_compnt_G&amp;L'!C205/SUM('Alloy_compnt_G&amp;L'!C$186:C$245),0)</f>
        <v>0</v>
      </c>
      <c r="D205" s="73">
        <f>IFERROR('Alloy_compnt_G&amp;L'!D205/SUM('Alloy_compnt_G&amp;L'!D$186:D$245),0)</f>
        <v>0</v>
      </c>
      <c r="E205" s="73">
        <f>IFERROR('Alloy_compnt_G&amp;L'!E205/SUM('Alloy_compnt_G&amp;L'!E$186:E$245),0)</f>
        <v>0</v>
      </c>
      <c r="F205" s="73">
        <f>IFERROR('Alloy_compnt_G&amp;L'!F205/SUM('Alloy_compnt_G&amp;L'!F$186:F$245),0)</f>
        <v>0</v>
      </c>
      <c r="G205" s="73">
        <f>IFERROR('Alloy_compnt_G&amp;L'!G205/SUM('Alloy_compnt_G&amp;L'!G$186:G$245),0)</f>
        <v>0</v>
      </c>
    </row>
    <row r="206" spans="1:7" x14ac:dyDescent="0.2">
      <c r="A206" s="145" t="s">
        <v>258</v>
      </c>
      <c r="B206" s="73">
        <f>IFERROR('Alloy_compnt_G&amp;L'!B206/SUM('Alloy_compnt_G&amp;L'!B$186:B$245),0)</f>
        <v>0</v>
      </c>
      <c r="C206" s="73">
        <f>IFERROR('Alloy_compnt_G&amp;L'!C206/SUM('Alloy_compnt_G&amp;L'!C$186:C$245),0)</f>
        <v>0</v>
      </c>
      <c r="D206" s="73">
        <f>IFERROR('Alloy_compnt_G&amp;L'!D206/SUM('Alloy_compnt_G&amp;L'!D$186:D$245),0)</f>
        <v>0</v>
      </c>
      <c r="E206" s="73">
        <f>IFERROR('Alloy_compnt_G&amp;L'!E206/SUM('Alloy_compnt_G&amp;L'!E$186:E$245),0)</f>
        <v>0</v>
      </c>
      <c r="F206" s="73">
        <f>IFERROR('Alloy_compnt_G&amp;L'!F206/SUM('Alloy_compnt_G&amp;L'!F$186:F$245),0)</f>
        <v>0</v>
      </c>
      <c r="G206" s="73">
        <f>IFERROR('Alloy_compnt_G&amp;L'!G206/SUM('Alloy_compnt_G&amp;L'!G$186:G$245),0)</f>
        <v>0</v>
      </c>
    </row>
    <row r="207" spans="1:7" x14ac:dyDescent="0.2">
      <c r="A207" s="142" t="s">
        <v>259</v>
      </c>
      <c r="B207" s="73">
        <f>IFERROR('Alloy_compnt_G&amp;L'!B207/SUM('Alloy_compnt_G&amp;L'!B$186:B$245),0)</f>
        <v>0</v>
      </c>
      <c r="C207" s="73">
        <f>IFERROR('Alloy_compnt_G&amp;L'!C207/SUM('Alloy_compnt_G&amp;L'!C$186:C$245),0)</f>
        <v>0</v>
      </c>
      <c r="D207" s="73">
        <f>IFERROR('Alloy_compnt_G&amp;L'!D207/SUM('Alloy_compnt_G&amp;L'!D$186:D$245),0)</f>
        <v>0</v>
      </c>
      <c r="E207" s="73">
        <f>IFERROR('Alloy_compnt_G&amp;L'!E207/SUM('Alloy_compnt_G&amp;L'!E$186:E$245),0)</f>
        <v>0</v>
      </c>
      <c r="F207" s="73">
        <f>IFERROR('Alloy_compnt_G&amp;L'!F207/SUM('Alloy_compnt_G&amp;L'!F$186:F$245),0)</f>
        <v>0</v>
      </c>
      <c r="G207" s="73">
        <f>IFERROR('Alloy_compnt_G&amp;L'!G207/SUM('Alloy_compnt_G&amp;L'!G$186:G$245),0)</f>
        <v>0</v>
      </c>
    </row>
    <row r="208" spans="1:7" x14ac:dyDescent="0.2">
      <c r="A208" s="147" t="s">
        <v>260</v>
      </c>
      <c r="B208" s="73">
        <f>IFERROR('Alloy_compnt_G&amp;L'!B208/SUM('Alloy_compnt_G&amp;L'!B$186:B$245),0)</f>
        <v>0</v>
      </c>
      <c r="C208" s="73">
        <f>IFERROR('Alloy_compnt_G&amp;L'!C208/SUM('Alloy_compnt_G&amp;L'!C$186:C$245),0)</f>
        <v>0</v>
      </c>
      <c r="D208" s="73">
        <f>IFERROR('Alloy_compnt_G&amp;L'!D208/SUM('Alloy_compnt_G&amp;L'!D$186:D$245),0)</f>
        <v>0</v>
      </c>
      <c r="E208" s="73">
        <f>IFERROR('Alloy_compnt_G&amp;L'!E208/SUM('Alloy_compnt_G&amp;L'!E$186:E$245),0)</f>
        <v>0</v>
      </c>
      <c r="F208" s="73">
        <f>IFERROR('Alloy_compnt_G&amp;L'!F208/SUM('Alloy_compnt_G&amp;L'!F$186:F$245),0)</f>
        <v>0</v>
      </c>
      <c r="G208" s="73">
        <f>IFERROR('Alloy_compnt_G&amp;L'!G208/SUM('Alloy_compnt_G&amp;L'!G$186:G$245),0)</f>
        <v>0</v>
      </c>
    </row>
    <row r="209" spans="1:7" x14ac:dyDescent="0.2">
      <c r="A209" s="142" t="s">
        <v>261</v>
      </c>
      <c r="B209" s="73">
        <f>IFERROR('Alloy_compnt_G&amp;L'!B209/SUM('Alloy_compnt_G&amp;L'!B$186:B$245),0)</f>
        <v>0</v>
      </c>
      <c r="C209" s="73">
        <f>IFERROR('Alloy_compnt_G&amp;L'!C209/SUM('Alloy_compnt_G&amp;L'!C$186:C$245),0)</f>
        <v>0</v>
      </c>
      <c r="D209" s="73">
        <f>IFERROR('Alloy_compnt_G&amp;L'!D209/SUM('Alloy_compnt_G&amp;L'!D$186:D$245),0)</f>
        <v>0</v>
      </c>
      <c r="E209" s="73">
        <f>IFERROR('Alloy_compnt_G&amp;L'!E209/SUM('Alloy_compnt_G&amp;L'!E$186:E$245),0)</f>
        <v>0</v>
      </c>
      <c r="F209" s="73">
        <f>IFERROR('Alloy_compnt_G&amp;L'!F209/SUM('Alloy_compnt_G&amp;L'!F$186:F$245),0)</f>
        <v>0</v>
      </c>
      <c r="G209" s="73">
        <f>IFERROR('Alloy_compnt_G&amp;L'!G209/SUM('Alloy_compnt_G&amp;L'!G$186:G$245),0)</f>
        <v>0</v>
      </c>
    </row>
    <row r="210" spans="1:7" x14ac:dyDescent="0.2">
      <c r="A210" s="142" t="s">
        <v>262</v>
      </c>
      <c r="B210" s="73">
        <f>IFERROR('Alloy_compnt_G&amp;L'!B210/SUM('Alloy_compnt_G&amp;L'!B$186:B$245),0)</f>
        <v>0</v>
      </c>
      <c r="C210" s="73">
        <f>IFERROR('Alloy_compnt_G&amp;L'!C210/SUM('Alloy_compnt_G&amp;L'!C$186:C$245),0)</f>
        <v>0</v>
      </c>
      <c r="D210" s="73">
        <f>IFERROR('Alloy_compnt_G&amp;L'!D210/SUM('Alloy_compnt_G&amp;L'!D$186:D$245),0)</f>
        <v>0</v>
      </c>
      <c r="E210" s="73">
        <f>IFERROR('Alloy_compnt_G&amp;L'!E210/SUM('Alloy_compnt_G&amp;L'!E$186:E$245),0)</f>
        <v>0</v>
      </c>
      <c r="F210" s="73">
        <f>IFERROR('Alloy_compnt_G&amp;L'!F210/SUM('Alloy_compnt_G&amp;L'!F$186:F$245),0)</f>
        <v>0</v>
      </c>
      <c r="G210" s="73">
        <f>IFERROR('Alloy_compnt_G&amp;L'!G210/SUM('Alloy_compnt_G&amp;L'!G$186:G$245),0)</f>
        <v>0</v>
      </c>
    </row>
    <row r="211" spans="1:7" x14ac:dyDescent="0.2">
      <c r="A211" s="142" t="s">
        <v>263</v>
      </c>
      <c r="B211" s="73">
        <f>IFERROR('Alloy_compnt_G&amp;L'!B211/SUM('Alloy_compnt_G&amp;L'!B$186:B$245),0)</f>
        <v>0</v>
      </c>
      <c r="C211" s="73">
        <f>IFERROR('Alloy_compnt_G&amp;L'!C211/SUM('Alloy_compnt_G&amp;L'!C$186:C$245),0)</f>
        <v>0</v>
      </c>
      <c r="D211" s="73">
        <f>IFERROR('Alloy_compnt_G&amp;L'!D211/SUM('Alloy_compnt_G&amp;L'!D$186:D$245),0)</f>
        <v>0</v>
      </c>
      <c r="E211" s="73">
        <f>IFERROR('Alloy_compnt_G&amp;L'!E211/SUM('Alloy_compnt_G&amp;L'!E$186:E$245),0)</f>
        <v>0</v>
      </c>
      <c r="F211" s="73">
        <f>IFERROR('Alloy_compnt_G&amp;L'!F211/SUM('Alloy_compnt_G&amp;L'!F$186:F$245),0)</f>
        <v>0</v>
      </c>
      <c r="G211" s="73">
        <f>IFERROR('Alloy_compnt_G&amp;L'!G211/SUM('Alloy_compnt_G&amp;L'!G$186:G$245),0)</f>
        <v>0</v>
      </c>
    </row>
    <row r="212" spans="1:7" x14ac:dyDescent="0.2">
      <c r="A212" s="142" t="s">
        <v>264</v>
      </c>
      <c r="B212" s="73">
        <f>IFERROR('Alloy_compnt_G&amp;L'!B212/SUM('Alloy_compnt_G&amp;L'!B$186:B$245),0)</f>
        <v>0</v>
      </c>
      <c r="C212" s="73">
        <f>IFERROR('Alloy_compnt_G&amp;L'!C212/SUM('Alloy_compnt_G&amp;L'!C$186:C$245),0)</f>
        <v>0</v>
      </c>
      <c r="D212" s="73">
        <f>IFERROR('Alloy_compnt_G&amp;L'!D212/SUM('Alloy_compnt_G&amp;L'!D$186:D$245),0)</f>
        <v>0</v>
      </c>
      <c r="E212" s="73">
        <f>IFERROR('Alloy_compnt_G&amp;L'!E212/SUM('Alloy_compnt_G&amp;L'!E$186:E$245),0)</f>
        <v>0</v>
      </c>
      <c r="F212" s="73">
        <f>IFERROR('Alloy_compnt_G&amp;L'!F212/SUM('Alloy_compnt_G&amp;L'!F$186:F$245),0)</f>
        <v>0</v>
      </c>
      <c r="G212" s="73">
        <f>IFERROR('Alloy_compnt_G&amp;L'!G212/SUM('Alloy_compnt_G&amp;L'!G$186:G$245),0)</f>
        <v>0</v>
      </c>
    </row>
    <row r="213" spans="1:7" x14ac:dyDescent="0.2">
      <c r="A213" s="142" t="s">
        <v>265</v>
      </c>
      <c r="B213" s="73">
        <f>IFERROR('Alloy_compnt_G&amp;L'!B213/SUM('Alloy_compnt_G&amp;L'!B$186:B$245),0)</f>
        <v>0</v>
      </c>
      <c r="C213" s="73">
        <f>IFERROR('Alloy_compnt_G&amp;L'!C213/SUM('Alloy_compnt_G&amp;L'!C$186:C$245),0)</f>
        <v>0</v>
      </c>
      <c r="D213" s="73">
        <f>IFERROR('Alloy_compnt_G&amp;L'!D213/SUM('Alloy_compnt_G&amp;L'!D$186:D$245),0)</f>
        <v>0</v>
      </c>
      <c r="E213" s="73">
        <f>IFERROR('Alloy_compnt_G&amp;L'!E213/SUM('Alloy_compnt_G&amp;L'!E$186:E$245),0)</f>
        <v>0</v>
      </c>
      <c r="F213" s="73">
        <f>IFERROR('Alloy_compnt_G&amp;L'!F213/SUM('Alloy_compnt_G&amp;L'!F$186:F$245),0)</f>
        <v>0</v>
      </c>
      <c r="G213" s="73">
        <f>IFERROR('Alloy_compnt_G&amp;L'!G213/SUM('Alloy_compnt_G&amp;L'!G$186:G$245),0)</f>
        <v>0</v>
      </c>
    </row>
    <row r="214" spans="1:7" x14ac:dyDescent="0.2">
      <c r="A214" s="142" t="s">
        <v>266</v>
      </c>
      <c r="B214" s="73">
        <f>IFERROR('Alloy_compnt_G&amp;L'!B214/SUM('Alloy_compnt_G&amp;L'!B$186:B$245),0)</f>
        <v>0</v>
      </c>
      <c r="C214" s="73">
        <f>IFERROR('Alloy_compnt_G&amp;L'!C214/SUM('Alloy_compnt_G&amp;L'!C$186:C$245),0)</f>
        <v>0</v>
      </c>
      <c r="D214" s="73">
        <f>IFERROR('Alloy_compnt_G&amp;L'!D214/SUM('Alloy_compnt_G&amp;L'!D$186:D$245),0)</f>
        <v>0</v>
      </c>
      <c r="E214" s="73">
        <f>IFERROR('Alloy_compnt_G&amp;L'!E214/SUM('Alloy_compnt_G&amp;L'!E$186:E$245),0)</f>
        <v>0</v>
      </c>
      <c r="F214" s="73">
        <f>IFERROR('Alloy_compnt_G&amp;L'!F214/SUM('Alloy_compnt_G&amp;L'!F$186:F$245),0)</f>
        <v>0</v>
      </c>
      <c r="G214" s="73">
        <f>IFERROR('Alloy_compnt_G&amp;L'!G214/SUM('Alloy_compnt_G&amp;L'!G$186:G$245),0)</f>
        <v>0</v>
      </c>
    </row>
    <row r="215" spans="1:7" x14ac:dyDescent="0.2">
      <c r="A215" s="142" t="s">
        <v>267</v>
      </c>
      <c r="B215" s="73">
        <f>IFERROR('Alloy_compnt_G&amp;L'!B215/SUM('Alloy_compnt_G&amp;L'!B$186:B$245),0)</f>
        <v>0</v>
      </c>
      <c r="C215" s="73">
        <f>IFERROR('Alloy_compnt_G&amp;L'!C215/SUM('Alloy_compnt_G&amp;L'!C$186:C$245),0)</f>
        <v>2.2540731393383938E-3</v>
      </c>
      <c r="D215" s="73">
        <f>IFERROR('Alloy_compnt_G&amp;L'!D215/SUM('Alloy_compnt_G&amp;L'!D$186:D$245),0)</f>
        <v>0</v>
      </c>
      <c r="E215" s="73">
        <f>IFERROR('Alloy_compnt_G&amp;L'!E215/SUM('Alloy_compnt_G&amp;L'!E$186:E$245),0)</f>
        <v>2.0272469152790035E-3</v>
      </c>
      <c r="F215" s="73">
        <f>IFERROR('Alloy_compnt_G&amp;L'!F215/SUM('Alloy_compnt_G&amp;L'!F$186:F$245),0)</f>
        <v>0</v>
      </c>
      <c r="G215" s="73">
        <f>IFERROR('Alloy_compnt_G&amp;L'!G215/SUM('Alloy_compnt_G&amp;L'!G$186:G$245),0)</f>
        <v>1.9186019269786935E-3</v>
      </c>
    </row>
    <row r="216" spans="1:7" x14ac:dyDescent="0.2">
      <c r="A216" s="142" t="s">
        <v>268</v>
      </c>
      <c r="B216" s="73">
        <f>IFERROR('Alloy_compnt_G&amp;L'!B216/SUM('Alloy_compnt_G&amp;L'!B$186:B$245),0)</f>
        <v>0</v>
      </c>
      <c r="C216" s="73">
        <f>IFERROR('Alloy_compnt_G&amp;L'!C216/SUM('Alloy_compnt_G&amp;L'!C$186:C$245),0)</f>
        <v>0</v>
      </c>
      <c r="D216" s="73">
        <f>IFERROR('Alloy_compnt_G&amp;L'!D216/SUM('Alloy_compnt_G&amp;L'!D$186:D$245),0)</f>
        <v>0</v>
      </c>
      <c r="E216" s="73">
        <f>IFERROR('Alloy_compnt_G&amp;L'!E216/SUM('Alloy_compnt_G&amp;L'!E$186:E$245),0)</f>
        <v>0</v>
      </c>
      <c r="F216" s="73">
        <f>IFERROR('Alloy_compnt_G&amp;L'!F216/SUM('Alloy_compnt_G&amp;L'!F$186:F$245),0)</f>
        <v>0</v>
      </c>
      <c r="G216" s="73">
        <f>IFERROR('Alloy_compnt_G&amp;L'!G216/SUM('Alloy_compnt_G&amp;L'!G$186:G$245),0)</f>
        <v>0</v>
      </c>
    </row>
    <row r="217" spans="1:7" x14ac:dyDescent="0.2">
      <c r="A217" s="142" t="s">
        <v>269</v>
      </c>
      <c r="B217" s="73">
        <f>IFERROR('Alloy_compnt_G&amp;L'!B217/SUM('Alloy_compnt_G&amp;L'!B$186:B$245),0)</f>
        <v>0</v>
      </c>
      <c r="C217" s="73">
        <f>IFERROR('Alloy_compnt_G&amp;L'!C217/SUM('Alloy_compnt_G&amp;L'!C$186:C$245),0)</f>
        <v>0</v>
      </c>
      <c r="D217" s="73">
        <f>IFERROR('Alloy_compnt_G&amp;L'!D217/SUM('Alloy_compnt_G&amp;L'!D$186:D$245),0)</f>
        <v>0</v>
      </c>
      <c r="E217" s="73">
        <f>IFERROR('Alloy_compnt_G&amp;L'!E217/SUM('Alloy_compnt_G&amp;L'!E$186:E$245),0)</f>
        <v>0</v>
      </c>
      <c r="F217" s="73">
        <f>IFERROR('Alloy_compnt_G&amp;L'!F217/SUM('Alloy_compnt_G&amp;L'!F$186:F$245),0)</f>
        <v>0</v>
      </c>
      <c r="G217" s="73">
        <f>IFERROR('Alloy_compnt_G&amp;L'!G217/SUM('Alloy_compnt_G&amp;L'!G$186:G$245),0)</f>
        <v>0</v>
      </c>
    </row>
    <row r="218" spans="1:7" x14ac:dyDescent="0.2">
      <c r="A218" s="142" t="s">
        <v>270</v>
      </c>
      <c r="B218" s="73">
        <f>IFERROR('Alloy_compnt_G&amp;L'!B218/SUM('Alloy_compnt_G&amp;L'!B$186:B$245),0)</f>
        <v>0</v>
      </c>
      <c r="C218" s="73">
        <f>IFERROR('Alloy_compnt_G&amp;L'!C218/SUM('Alloy_compnt_G&amp;L'!C$186:C$245),0)</f>
        <v>0</v>
      </c>
      <c r="D218" s="73">
        <f>IFERROR('Alloy_compnt_G&amp;L'!D218/SUM('Alloy_compnt_G&amp;L'!D$186:D$245),0)</f>
        <v>0</v>
      </c>
      <c r="E218" s="73">
        <f>IFERROR('Alloy_compnt_G&amp;L'!E218/SUM('Alloy_compnt_G&amp;L'!E$186:E$245),0)</f>
        <v>0</v>
      </c>
      <c r="F218" s="73">
        <f>IFERROR('Alloy_compnt_G&amp;L'!F218/SUM('Alloy_compnt_G&amp;L'!F$186:F$245),0)</f>
        <v>0</v>
      </c>
      <c r="G218" s="73">
        <f>IFERROR('Alloy_compnt_G&amp;L'!G218/SUM('Alloy_compnt_G&amp;L'!G$186:G$245),0)</f>
        <v>0</v>
      </c>
    </row>
    <row r="219" spans="1:7" x14ac:dyDescent="0.2">
      <c r="A219" s="142" t="s">
        <v>271</v>
      </c>
      <c r="B219" s="73">
        <f>IFERROR('Alloy_compnt_G&amp;L'!B219/SUM('Alloy_compnt_G&amp;L'!B$186:B$245),0)</f>
        <v>0</v>
      </c>
      <c r="C219" s="73">
        <f>IFERROR('Alloy_compnt_G&amp;L'!C219/SUM('Alloy_compnt_G&amp;L'!C$186:C$245),0)</f>
        <v>0</v>
      </c>
      <c r="D219" s="73">
        <f>IFERROR('Alloy_compnt_G&amp;L'!D219/SUM('Alloy_compnt_G&amp;L'!D$186:D$245),0)</f>
        <v>0</v>
      </c>
      <c r="E219" s="73">
        <f>IFERROR('Alloy_compnt_G&amp;L'!E219/SUM('Alloy_compnt_G&amp;L'!E$186:E$245),0)</f>
        <v>0</v>
      </c>
      <c r="F219" s="73">
        <f>IFERROR('Alloy_compnt_G&amp;L'!F219/SUM('Alloy_compnt_G&amp;L'!F$186:F$245),0)</f>
        <v>0</v>
      </c>
      <c r="G219" s="73">
        <f>IFERROR('Alloy_compnt_G&amp;L'!G219/SUM('Alloy_compnt_G&amp;L'!G$186:G$245),0)</f>
        <v>0</v>
      </c>
    </row>
    <row r="220" spans="1:7" x14ac:dyDescent="0.2">
      <c r="A220" s="142" t="s">
        <v>272</v>
      </c>
      <c r="B220" s="73">
        <f>IFERROR('Alloy_compnt_G&amp;L'!B220/SUM('Alloy_compnt_G&amp;L'!B$186:B$245),0)</f>
        <v>0</v>
      </c>
      <c r="C220" s="73">
        <f>IFERROR('Alloy_compnt_G&amp;L'!C220/SUM('Alloy_compnt_G&amp;L'!C$186:C$245),0)</f>
        <v>0</v>
      </c>
      <c r="D220" s="73">
        <f>IFERROR('Alloy_compnt_G&amp;L'!D220/SUM('Alloy_compnt_G&amp;L'!D$186:D$245),0)</f>
        <v>0</v>
      </c>
      <c r="E220" s="73">
        <f>IFERROR('Alloy_compnt_G&amp;L'!E220/SUM('Alloy_compnt_G&amp;L'!E$186:E$245),0)</f>
        <v>0</v>
      </c>
      <c r="F220" s="73">
        <f>IFERROR('Alloy_compnt_G&amp;L'!F220/SUM('Alloy_compnt_G&amp;L'!F$186:F$245),0)</f>
        <v>0</v>
      </c>
      <c r="G220" s="73">
        <f>IFERROR('Alloy_compnt_G&amp;L'!G220/SUM('Alloy_compnt_G&amp;L'!G$186:G$245),0)</f>
        <v>0</v>
      </c>
    </row>
    <row r="221" spans="1:7" x14ac:dyDescent="0.2">
      <c r="A221" s="142" t="s">
        <v>273</v>
      </c>
      <c r="B221" s="73">
        <f>IFERROR('Alloy_compnt_G&amp;L'!B221/SUM('Alloy_compnt_G&amp;L'!B$186:B$245),0)</f>
        <v>0</v>
      </c>
      <c r="C221" s="73">
        <f>IFERROR('Alloy_compnt_G&amp;L'!C221/SUM('Alloy_compnt_G&amp;L'!C$186:C$245),0)</f>
        <v>0</v>
      </c>
      <c r="D221" s="73">
        <f>IFERROR('Alloy_compnt_G&amp;L'!D221/SUM('Alloy_compnt_G&amp;L'!D$186:D$245),0)</f>
        <v>0</v>
      </c>
      <c r="E221" s="73">
        <f>IFERROR('Alloy_compnt_G&amp;L'!E221/SUM('Alloy_compnt_G&amp;L'!E$186:E$245),0)</f>
        <v>0</v>
      </c>
      <c r="F221" s="73">
        <f>IFERROR('Alloy_compnt_G&amp;L'!F221/SUM('Alloy_compnt_G&amp;L'!F$186:F$245),0)</f>
        <v>0</v>
      </c>
      <c r="G221" s="73">
        <f>IFERROR('Alloy_compnt_G&amp;L'!G221/SUM('Alloy_compnt_G&amp;L'!G$186:G$245),0)</f>
        <v>0</v>
      </c>
    </row>
    <row r="222" spans="1:7" x14ac:dyDescent="0.2">
      <c r="A222" s="142" t="s">
        <v>274</v>
      </c>
      <c r="B222" s="73">
        <f>IFERROR('Alloy_compnt_G&amp;L'!B222/SUM('Alloy_compnt_G&amp;L'!B$186:B$245),0)</f>
        <v>0</v>
      </c>
      <c r="C222" s="73">
        <f>IFERROR('Alloy_compnt_G&amp;L'!C222/SUM('Alloy_compnt_G&amp;L'!C$186:C$245),0)</f>
        <v>1.1270365696691969E-3</v>
      </c>
      <c r="D222" s="73">
        <f>IFERROR('Alloy_compnt_G&amp;L'!D222/SUM('Alloy_compnt_G&amp;L'!D$186:D$245),0)</f>
        <v>0</v>
      </c>
      <c r="E222" s="73">
        <f>IFERROR('Alloy_compnt_G&amp;L'!E222/SUM('Alloy_compnt_G&amp;L'!E$186:E$245),0)</f>
        <v>1.0136234576395018E-3</v>
      </c>
      <c r="F222" s="73">
        <f>IFERROR('Alloy_compnt_G&amp;L'!F222/SUM('Alloy_compnt_G&amp;L'!F$186:F$245),0)</f>
        <v>0</v>
      </c>
      <c r="G222" s="73">
        <f>IFERROR('Alloy_compnt_G&amp;L'!G222/SUM('Alloy_compnt_G&amp;L'!G$186:G$245),0)</f>
        <v>9.5930096348934674E-4</v>
      </c>
    </row>
    <row r="223" spans="1:7" x14ac:dyDescent="0.2">
      <c r="A223" s="142" t="s">
        <v>275</v>
      </c>
      <c r="B223" s="73">
        <f>IFERROR('Alloy_compnt_G&amp;L'!B223/SUM('Alloy_compnt_G&amp;L'!B$186:B$245),0)</f>
        <v>0</v>
      </c>
      <c r="C223" s="73">
        <f>IFERROR('Alloy_compnt_G&amp;L'!C223/SUM('Alloy_compnt_G&amp;L'!C$186:C$245),0)</f>
        <v>0</v>
      </c>
      <c r="D223" s="73">
        <f>IFERROR('Alloy_compnt_G&amp;L'!D223/SUM('Alloy_compnt_G&amp;L'!D$186:D$245),0)</f>
        <v>0</v>
      </c>
      <c r="E223" s="73">
        <f>IFERROR('Alloy_compnt_G&amp;L'!E223/SUM('Alloy_compnt_G&amp;L'!E$186:E$245),0)</f>
        <v>0</v>
      </c>
      <c r="F223" s="73">
        <f>IFERROR('Alloy_compnt_G&amp;L'!F223/SUM('Alloy_compnt_G&amp;L'!F$186:F$245),0)</f>
        <v>0</v>
      </c>
      <c r="G223" s="73">
        <f>IFERROR('Alloy_compnt_G&amp;L'!G223/SUM('Alloy_compnt_G&amp;L'!G$186:G$245),0)</f>
        <v>0</v>
      </c>
    </row>
    <row r="224" spans="1:7" x14ac:dyDescent="0.2">
      <c r="A224" s="142" t="s">
        <v>276</v>
      </c>
      <c r="B224" s="73">
        <f>IFERROR('Alloy_compnt_G&amp;L'!B224/SUM('Alloy_compnt_G&amp;L'!B$186:B$245),0)</f>
        <v>0</v>
      </c>
      <c r="C224" s="73">
        <f>IFERROR('Alloy_compnt_G&amp;L'!C224/SUM('Alloy_compnt_G&amp;L'!C$186:C$245),0)</f>
        <v>0</v>
      </c>
      <c r="D224" s="73">
        <f>IFERROR('Alloy_compnt_G&amp;L'!D224/SUM('Alloy_compnt_G&amp;L'!D$186:D$245),0)</f>
        <v>0</v>
      </c>
      <c r="E224" s="73">
        <f>IFERROR('Alloy_compnt_G&amp;L'!E224/SUM('Alloy_compnt_G&amp;L'!E$186:E$245),0)</f>
        <v>0</v>
      </c>
      <c r="F224" s="73">
        <f>IFERROR('Alloy_compnt_G&amp;L'!F224/SUM('Alloy_compnt_G&amp;L'!F$186:F$245),0)</f>
        <v>0</v>
      </c>
      <c r="G224" s="73">
        <f>IFERROR('Alloy_compnt_G&amp;L'!G224/SUM('Alloy_compnt_G&amp;L'!G$186:G$245),0)</f>
        <v>0</v>
      </c>
    </row>
    <row r="225" spans="1:7" x14ac:dyDescent="0.2">
      <c r="A225" s="144" t="s">
        <v>277</v>
      </c>
      <c r="B225" s="73">
        <f>IFERROR('Alloy_compnt_G&amp;L'!B225/SUM('Alloy_compnt_G&amp;L'!B$186:B$245),0)</f>
        <v>0</v>
      </c>
      <c r="C225" s="73">
        <f>IFERROR('Alloy_compnt_G&amp;L'!C225/SUM('Alloy_compnt_G&amp;L'!C$186:C$245),0)</f>
        <v>0</v>
      </c>
      <c r="D225" s="73">
        <f>IFERROR('Alloy_compnt_G&amp;L'!D225/SUM('Alloy_compnt_G&amp;L'!D$186:D$245),0)</f>
        <v>0</v>
      </c>
      <c r="E225" s="73">
        <f>IFERROR('Alloy_compnt_G&amp;L'!E225/SUM('Alloy_compnt_G&amp;L'!E$186:E$245),0)</f>
        <v>0</v>
      </c>
      <c r="F225" s="73">
        <f>IFERROR('Alloy_compnt_G&amp;L'!F225/SUM('Alloy_compnt_G&amp;L'!F$186:F$245),0)</f>
        <v>0</v>
      </c>
      <c r="G225" s="73">
        <f>IFERROR('Alloy_compnt_G&amp;L'!G225/SUM('Alloy_compnt_G&amp;L'!G$186:G$245),0)</f>
        <v>0</v>
      </c>
    </row>
    <row r="226" spans="1:7" x14ac:dyDescent="0.2">
      <c r="A226" s="148" t="s">
        <v>278</v>
      </c>
      <c r="B226" s="73">
        <f>IFERROR('Alloy_compnt_G&amp;L'!B226/SUM('Alloy_compnt_G&amp;L'!B$186:B$245),0)</f>
        <v>0</v>
      </c>
      <c r="C226" s="73">
        <f>IFERROR('Alloy_compnt_G&amp;L'!C226/SUM('Alloy_compnt_G&amp;L'!C$186:C$245),0)</f>
        <v>0</v>
      </c>
      <c r="D226" s="73">
        <f>IFERROR('Alloy_compnt_G&amp;L'!D226/SUM('Alloy_compnt_G&amp;L'!D$186:D$245),0)</f>
        <v>0</v>
      </c>
      <c r="E226" s="73">
        <f>IFERROR('Alloy_compnt_G&amp;L'!E226/SUM('Alloy_compnt_G&amp;L'!E$186:E$245),0)</f>
        <v>0</v>
      </c>
      <c r="F226" s="73">
        <f>IFERROR('Alloy_compnt_G&amp;L'!F226/SUM('Alloy_compnt_G&amp;L'!F$186:F$245),0)</f>
        <v>0</v>
      </c>
      <c r="G226" s="73">
        <f>IFERROR('Alloy_compnt_G&amp;L'!G226/SUM('Alloy_compnt_G&amp;L'!G$186:G$245),0)</f>
        <v>0</v>
      </c>
    </row>
    <row r="227" spans="1:7" x14ac:dyDescent="0.2">
      <c r="A227" s="148" t="s">
        <v>279</v>
      </c>
      <c r="B227" s="73">
        <f>IFERROR('Alloy_compnt_G&amp;L'!B227/SUM('Alloy_compnt_G&amp;L'!B$186:B$245),0)</f>
        <v>0</v>
      </c>
      <c r="C227" s="73">
        <f>IFERROR('Alloy_compnt_G&amp;L'!C227/SUM('Alloy_compnt_G&amp;L'!C$186:C$245),0)</f>
        <v>0</v>
      </c>
      <c r="D227" s="73">
        <f>IFERROR('Alloy_compnt_G&amp;L'!D227/SUM('Alloy_compnt_G&amp;L'!D$186:D$245),0)</f>
        <v>0</v>
      </c>
      <c r="E227" s="73">
        <f>IFERROR('Alloy_compnt_G&amp;L'!E227/SUM('Alloy_compnt_G&amp;L'!E$186:E$245),0)</f>
        <v>0</v>
      </c>
      <c r="F227" s="73">
        <f>IFERROR('Alloy_compnt_G&amp;L'!F227/SUM('Alloy_compnt_G&amp;L'!F$186:F$245),0)</f>
        <v>0</v>
      </c>
      <c r="G227" s="73">
        <f>IFERROR('Alloy_compnt_G&amp;L'!G227/SUM('Alloy_compnt_G&amp;L'!G$186:G$245),0)</f>
        <v>0</v>
      </c>
    </row>
    <row r="228" spans="1:7" x14ac:dyDescent="0.2">
      <c r="A228" s="148" t="s">
        <v>280</v>
      </c>
      <c r="B228" s="73">
        <f>IFERROR('Alloy_compnt_G&amp;L'!B228/SUM('Alloy_compnt_G&amp;L'!B$186:B$245),0)</f>
        <v>0</v>
      </c>
      <c r="C228" s="73">
        <f>IFERROR('Alloy_compnt_G&amp;L'!C228/SUM('Alloy_compnt_G&amp;L'!C$186:C$245),0)</f>
        <v>0</v>
      </c>
      <c r="D228" s="73">
        <f>IFERROR('Alloy_compnt_G&amp;L'!D228/SUM('Alloy_compnt_G&amp;L'!D$186:D$245),0)</f>
        <v>0</v>
      </c>
      <c r="E228" s="73">
        <f>IFERROR('Alloy_compnt_G&amp;L'!E228/SUM('Alloy_compnt_G&amp;L'!E$186:E$245),0)</f>
        <v>0</v>
      </c>
      <c r="F228" s="73">
        <f>IFERROR('Alloy_compnt_G&amp;L'!F228/SUM('Alloy_compnt_G&amp;L'!F$186:F$245),0)</f>
        <v>0</v>
      </c>
      <c r="G228" s="73">
        <f>IFERROR('Alloy_compnt_G&amp;L'!G228/SUM('Alloy_compnt_G&amp;L'!G$186:G$245),0)</f>
        <v>0</v>
      </c>
    </row>
    <row r="229" spans="1:7" x14ac:dyDescent="0.2">
      <c r="A229" s="148" t="s">
        <v>281</v>
      </c>
      <c r="B229" s="73">
        <f>IFERROR('Alloy_compnt_G&amp;L'!B229/SUM('Alloy_compnt_G&amp;L'!B$186:B$245),0)</f>
        <v>0</v>
      </c>
      <c r="C229" s="73">
        <f>IFERROR('Alloy_compnt_G&amp;L'!C229/SUM('Alloy_compnt_G&amp;L'!C$186:C$245),0)</f>
        <v>1.1313713257063859E-2</v>
      </c>
      <c r="D229" s="73">
        <f>IFERROR('Alloy_compnt_G&amp;L'!D229/SUM('Alloy_compnt_G&amp;L'!D$186:D$245),0)</f>
        <v>0</v>
      </c>
      <c r="E229" s="73">
        <f>IFERROR('Alloy_compnt_G&amp;L'!E229/SUM('Alloy_compnt_G&amp;L'!E$186:E$245),0)</f>
        <v>1.0175220093996535E-2</v>
      </c>
      <c r="F229" s="73">
        <f>IFERROR('Alloy_compnt_G&amp;L'!F229/SUM('Alloy_compnt_G&amp;L'!F$186:F$245),0)</f>
        <v>0</v>
      </c>
      <c r="G229" s="73">
        <f>IFERROR('Alloy_compnt_G&amp;L'!G229/SUM('Alloy_compnt_G&amp;L'!G$186:G$245),0)</f>
        <v>9.6299058257969024E-3</v>
      </c>
    </row>
    <row r="230" spans="1:7" x14ac:dyDescent="0.2">
      <c r="A230" s="148" t="s">
        <v>282</v>
      </c>
      <c r="B230" s="73">
        <f>IFERROR('Alloy_compnt_G&amp;L'!B230/SUM('Alloy_compnt_G&amp;L'!B$186:B$245),0)</f>
        <v>0</v>
      </c>
      <c r="C230" s="73">
        <f>IFERROR('Alloy_compnt_G&amp;L'!C230/SUM('Alloy_compnt_G&amp;L'!C$186:C$245),0)</f>
        <v>0</v>
      </c>
      <c r="D230" s="73">
        <f>IFERROR('Alloy_compnt_G&amp;L'!D230/SUM('Alloy_compnt_G&amp;L'!D$186:D$245),0)</f>
        <v>0</v>
      </c>
      <c r="E230" s="73">
        <f>IFERROR('Alloy_compnt_G&amp;L'!E230/SUM('Alloy_compnt_G&amp;L'!E$186:E$245),0)</f>
        <v>0</v>
      </c>
      <c r="F230" s="73">
        <f>IFERROR('Alloy_compnt_G&amp;L'!F230/SUM('Alloy_compnt_G&amp;L'!F$186:F$245),0)</f>
        <v>0</v>
      </c>
      <c r="G230" s="73">
        <f>IFERROR('Alloy_compnt_G&amp;L'!G230/SUM('Alloy_compnt_G&amp;L'!G$186:G$245),0)</f>
        <v>0</v>
      </c>
    </row>
    <row r="231" spans="1:7" x14ac:dyDescent="0.2">
      <c r="A231" s="148" t="s">
        <v>283</v>
      </c>
      <c r="B231" s="73">
        <f>IFERROR('Alloy_compnt_G&amp;L'!B231/SUM('Alloy_compnt_G&amp;L'!B$186:B$245),0)</f>
        <v>0</v>
      </c>
      <c r="C231" s="73">
        <f>IFERROR('Alloy_compnt_G&amp;L'!C231/SUM('Alloy_compnt_G&amp;L'!C$186:C$245),0)</f>
        <v>0</v>
      </c>
      <c r="D231" s="73">
        <f>IFERROR('Alloy_compnt_G&amp;L'!D231/SUM('Alloy_compnt_G&amp;L'!D$186:D$245),0)</f>
        <v>0</v>
      </c>
      <c r="E231" s="73">
        <f>IFERROR('Alloy_compnt_G&amp;L'!E231/SUM('Alloy_compnt_G&amp;L'!E$186:E$245),0)</f>
        <v>0</v>
      </c>
      <c r="F231" s="73">
        <f>IFERROR('Alloy_compnt_G&amp;L'!F231/SUM('Alloy_compnt_G&amp;L'!F$186:F$245),0)</f>
        <v>0</v>
      </c>
      <c r="G231" s="73">
        <f>IFERROR('Alloy_compnt_G&amp;L'!G231/SUM('Alloy_compnt_G&amp;L'!G$186:G$245),0)</f>
        <v>0</v>
      </c>
    </row>
    <row r="232" spans="1:7" x14ac:dyDescent="0.2">
      <c r="A232" s="148" t="s">
        <v>284</v>
      </c>
      <c r="B232" s="73">
        <f>IFERROR('Alloy_compnt_G&amp;L'!B232/SUM('Alloy_compnt_G&amp;L'!B$186:B$245),0)</f>
        <v>0</v>
      </c>
      <c r="C232" s="73">
        <f>IFERROR('Alloy_compnt_G&amp;L'!C232/SUM('Alloy_compnt_G&amp;L'!C$186:C$245),0)</f>
        <v>0</v>
      </c>
      <c r="D232" s="73">
        <f>IFERROR('Alloy_compnt_G&amp;L'!D232/SUM('Alloy_compnt_G&amp;L'!D$186:D$245),0)</f>
        <v>0</v>
      </c>
      <c r="E232" s="73">
        <f>IFERROR('Alloy_compnt_G&amp;L'!E232/SUM('Alloy_compnt_G&amp;L'!E$186:E$245),0)</f>
        <v>0</v>
      </c>
      <c r="F232" s="73">
        <f>IFERROR('Alloy_compnt_G&amp;L'!F232/SUM('Alloy_compnt_G&amp;L'!F$186:F$245),0)</f>
        <v>0</v>
      </c>
      <c r="G232" s="73">
        <f>IFERROR('Alloy_compnt_G&amp;L'!G232/SUM('Alloy_compnt_G&amp;L'!G$186:G$245),0)</f>
        <v>0</v>
      </c>
    </row>
    <row r="233" spans="1:7" x14ac:dyDescent="0.2">
      <c r="A233" s="148" t="s">
        <v>285</v>
      </c>
      <c r="B233" s="73">
        <f>IFERROR('Alloy_compnt_G&amp;L'!B233/SUM('Alloy_compnt_G&amp;L'!B$186:B$245),0)</f>
        <v>0</v>
      </c>
      <c r="C233" s="73">
        <f>IFERROR('Alloy_compnt_G&amp;L'!C233/SUM('Alloy_compnt_G&amp;L'!C$186:C$245),0)</f>
        <v>0</v>
      </c>
      <c r="D233" s="73">
        <f>IFERROR('Alloy_compnt_G&amp;L'!D233/SUM('Alloy_compnt_G&amp;L'!D$186:D$245),0)</f>
        <v>0</v>
      </c>
      <c r="E233" s="73">
        <f>IFERROR('Alloy_compnt_G&amp;L'!E233/SUM('Alloy_compnt_G&amp;L'!E$186:E$245),0)</f>
        <v>0</v>
      </c>
      <c r="F233" s="73">
        <f>IFERROR('Alloy_compnt_G&amp;L'!F233/SUM('Alloy_compnt_G&amp;L'!F$186:F$245),0)</f>
        <v>0</v>
      </c>
      <c r="G233" s="73">
        <f>IFERROR('Alloy_compnt_G&amp;L'!G233/SUM('Alloy_compnt_G&amp;L'!G$186:G$245),0)</f>
        <v>0</v>
      </c>
    </row>
    <row r="234" spans="1:7" x14ac:dyDescent="0.2">
      <c r="A234" s="147" t="s">
        <v>286</v>
      </c>
      <c r="B234" s="73">
        <f>IFERROR('Alloy_compnt_G&amp;L'!B234/SUM('Alloy_compnt_G&amp;L'!B$186:B$245),0)</f>
        <v>0</v>
      </c>
      <c r="C234" s="73">
        <f>IFERROR('Alloy_compnt_G&amp;L'!C234/SUM('Alloy_compnt_G&amp;L'!C$186:C$245),0)</f>
        <v>1.1313713257063859E-2</v>
      </c>
      <c r="D234" s="73">
        <f>IFERROR('Alloy_compnt_G&amp;L'!D234/SUM('Alloy_compnt_G&amp;L'!D$186:D$245),0)</f>
        <v>0</v>
      </c>
      <c r="E234" s="73">
        <f>IFERROR('Alloy_compnt_G&amp;L'!E234/SUM('Alloy_compnt_G&amp;L'!E$186:E$245),0)</f>
        <v>1.0175220093996535E-2</v>
      </c>
      <c r="F234" s="73">
        <f>IFERROR('Alloy_compnt_G&amp;L'!F234/SUM('Alloy_compnt_G&amp;L'!F$186:F$245),0)</f>
        <v>0</v>
      </c>
      <c r="G234" s="73">
        <f>IFERROR('Alloy_compnt_G&amp;L'!G234/SUM('Alloy_compnt_G&amp;L'!G$186:G$245),0)</f>
        <v>9.6299058257969024E-3</v>
      </c>
    </row>
    <row r="235" spans="1:7" x14ac:dyDescent="0.2">
      <c r="A235" s="142" t="s">
        <v>287</v>
      </c>
      <c r="B235" s="73">
        <f>IFERROR('Alloy_compnt_G&amp;L'!B235/SUM('Alloy_compnt_G&amp;L'!B$186:B$245),0)</f>
        <v>0</v>
      </c>
      <c r="C235" s="73">
        <f>IFERROR('Alloy_compnt_G&amp;L'!C235/SUM('Alloy_compnt_G&amp;L'!C$186:C$245),0)</f>
        <v>0</v>
      </c>
      <c r="D235" s="73">
        <f>IFERROR('Alloy_compnt_G&amp;L'!D235/SUM('Alloy_compnt_G&amp;L'!D$186:D$245),0)</f>
        <v>0</v>
      </c>
      <c r="E235" s="73">
        <f>IFERROR('Alloy_compnt_G&amp;L'!E235/SUM('Alloy_compnt_G&amp;L'!E$186:E$245),0)</f>
        <v>0</v>
      </c>
      <c r="F235" s="73">
        <f>IFERROR('Alloy_compnt_G&amp;L'!F235/SUM('Alloy_compnt_G&amp;L'!F$186:F$245),0)</f>
        <v>0</v>
      </c>
      <c r="G235" s="73">
        <f>IFERROR('Alloy_compnt_G&amp;L'!G235/SUM('Alloy_compnt_G&amp;L'!G$186:G$245),0)</f>
        <v>0</v>
      </c>
    </row>
    <row r="236" spans="1:7" x14ac:dyDescent="0.2">
      <c r="A236" s="142" t="s">
        <v>288</v>
      </c>
      <c r="B236" s="73">
        <f>IFERROR('Alloy_compnt_G&amp;L'!B236/SUM('Alloy_compnt_G&amp;L'!B$186:B$245),0)</f>
        <v>0</v>
      </c>
      <c r="C236" s="73">
        <f>IFERROR('Alloy_compnt_G&amp;L'!C236/SUM('Alloy_compnt_G&amp;L'!C$186:C$245),0)</f>
        <v>0</v>
      </c>
      <c r="D236" s="73">
        <f>IFERROR('Alloy_compnt_G&amp;L'!D236/SUM('Alloy_compnt_G&amp;L'!D$186:D$245),0)</f>
        <v>0</v>
      </c>
      <c r="E236" s="73">
        <f>IFERROR('Alloy_compnt_G&amp;L'!E236/SUM('Alloy_compnt_G&amp;L'!E$186:E$245),0)</f>
        <v>0</v>
      </c>
      <c r="F236" s="73">
        <f>IFERROR('Alloy_compnt_G&amp;L'!F236/SUM('Alloy_compnt_G&amp;L'!F$186:F$245),0)</f>
        <v>0</v>
      </c>
      <c r="G236" s="73">
        <f>IFERROR('Alloy_compnt_G&amp;L'!G236/SUM('Alloy_compnt_G&amp;L'!G$186:G$245),0)</f>
        <v>0</v>
      </c>
    </row>
    <row r="237" spans="1:7" x14ac:dyDescent="0.2">
      <c r="A237" s="142" t="s">
        <v>289</v>
      </c>
      <c r="B237" s="73">
        <f>IFERROR('Alloy_compnt_G&amp;L'!B237/SUM('Alloy_compnt_G&amp;L'!B$186:B$245),0)</f>
        <v>0</v>
      </c>
      <c r="C237" s="73">
        <f>IFERROR('Alloy_compnt_G&amp;L'!C237/SUM('Alloy_compnt_G&amp;L'!C$186:C$245),0)</f>
        <v>0</v>
      </c>
      <c r="D237" s="73">
        <f>IFERROR('Alloy_compnt_G&amp;L'!D237/SUM('Alloy_compnt_G&amp;L'!D$186:D$245),0)</f>
        <v>0</v>
      </c>
      <c r="E237" s="73">
        <f>IFERROR('Alloy_compnt_G&amp;L'!E237/SUM('Alloy_compnt_G&amp;L'!E$186:E$245),0)</f>
        <v>0</v>
      </c>
      <c r="F237" s="73">
        <f>IFERROR('Alloy_compnt_G&amp;L'!F237/SUM('Alloy_compnt_G&amp;L'!F$186:F$245),0)</f>
        <v>0</v>
      </c>
      <c r="G237" s="73">
        <f>IFERROR('Alloy_compnt_G&amp;L'!G237/SUM('Alloy_compnt_G&amp;L'!G$186:G$245),0)</f>
        <v>0</v>
      </c>
    </row>
    <row r="238" spans="1:7" x14ac:dyDescent="0.2">
      <c r="A238" s="142" t="s">
        <v>290</v>
      </c>
      <c r="B238" s="73">
        <f>IFERROR('Alloy_compnt_G&amp;L'!B238/SUM('Alloy_compnt_G&amp;L'!B$186:B$245),0)</f>
        <v>5.4347826086956503E-3</v>
      </c>
      <c r="C238" s="73">
        <f>IFERROR('Alloy_compnt_G&amp;L'!C238/SUM('Alloy_compnt_G&amp;L'!C$186:C$245),0)</f>
        <v>0.22917198150256929</v>
      </c>
      <c r="D238" s="73">
        <f>IFERROR('Alloy_compnt_G&amp;L'!D238/SUM('Alloy_compnt_G&amp;L'!D$186:D$245),0)</f>
        <v>5.4347826086956529E-3</v>
      </c>
      <c r="E238" s="73">
        <f>IFERROR('Alloy_compnt_G&amp;L'!E238/SUM('Alloy_compnt_G&amp;L'!E$186:E$245),0)</f>
        <v>0.24492332769291672</v>
      </c>
      <c r="F238" s="73">
        <f>IFERROR('Alloy_compnt_G&amp;L'!F238/SUM('Alloy_compnt_G&amp;L'!F$186:F$245),0)</f>
        <v>5.4347826086956512E-3</v>
      </c>
      <c r="G238" s="73">
        <f>IFERROR('Alloy_compnt_G&amp;L'!G238/SUM('Alloy_compnt_G&amp;L'!G$186:G$245),0)</f>
        <v>0.24818349708404661</v>
      </c>
    </row>
    <row r="239" spans="1:7" x14ac:dyDescent="0.2">
      <c r="A239" s="142" t="s">
        <v>291</v>
      </c>
      <c r="B239" s="73">
        <f>IFERROR('Alloy_compnt_G&amp;L'!B239/SUM('Alloy_compnt_G&amp;L'!B$186:B$245),0)</f>
        <v>0</v>
      </c>
      <c r="C239" s="73">
        <f>IFERROR('Alloy_compnt_G&amp;L'!C239/SUM('Alloy_compnt_G&amp;L'!C$186:C$245),0)</f>
        <v>0</v>
      </c>
      <c r="D239" s="73">
        <f>IFERROR('Alloy_compnt_G&amp;L'!D239/SUM('Alloy_compnt_G&amp;L'!D$186:D$245),0)</f>
        <v>0</v>
      </c>
      <c r="E239" s="73">
        <f>IFERROR('Alloy_compnt_G&amp;L'!E239/SUM('Alloy_compnt_G&amp;L'!E$186:E$245),0)</f>
        <v>0</v>
      </c>
      <c r="F239" s="73">
        <f>IFERROR('Alloy_compnt_G&amp;L'!F239/SUM('Alloy_compnt_G&amp;L'!F$186:F$245),0)</f>
        <v>0</v>
      </c>
      <c r="G239" s="73">
        <f>IFERROR('Alloy_compnt_G&amp;L'!G239/SUM('Alloy_compnt_G&amp;L'!G$186:G$245),0)</f>
        <v>0</v>
      </c>
    </row>
    <row r="240" spans="1:7" x14ac:dyDescent="0.2">
      <c r="A240" s="142" t="s">
        <v>292</v>
      </c>
      <c r="B240" s="73">
        <f>IFERROR('Alloy_compnt_G&amp;L'!B240/SUM('Alloy_compnt_G&amp;L'!B$186:B$245),0)</f>
        <v>0</v>
      </c>
      <c r="C240" s="73">
        <f>IFERROR('Alloy_compnt_G&amp;L'!C240/SUM('Alloy_compnt_G&amp;L'!C$186:C$245),0)</f>
        <v>0</v>
      </c>
      <c r="D240" s="73">
        <f>IFERROR('Alloy_compnt_G&amp;L'!D240/SUM('Alloy_compnt_G&amp;L'!D$186:D$245),0)</f>
        <v>0</v>
      </c>
      <c r="E240" s="73">
        <f>IFERROR('Alloy_compnt_G&amp;L'!E240/SUM('Alloy_compnt_G&amp;L'!E$186:E$245),0)</f>
        <v>0</v>
      </c>
      <c r="F240" s="73">
        <f>IFERROR('Alloy_compnt_G&amp;L'!F240/SUM('Alloy_compnt_G&amp;L'!F$186:F$245),0)</f>
        <v>0</v>
      </c>
      <c r="G240" s="73">
        <f>IFERROR('Alloy_compnt_G&amp;L'!G240/SUM('Alloy_compnt_G&amp;L'!G$186:G$245),0)</f>
        <v>0</v>
      </c>
    </row>
    <row r="241" spans="1:7" x14ac:dyDescent="0.2">
      <c r="A241" s="142" t="s">
        <v>293</v>
      </c>
      <c r="B241" s="73">
        <f>IFERROR('Alloy_compnt_G&amp;L'!B241/SUM('Alloy_compnt_G&amp;L'!B$186:B$245),0)</f>
        <v>0</v>
      </c>
      <c r="C241" s="73">
        <f>IFERROR('Alloy_compnt_G&amp;L'!C241/SUM('Alloy_compnt_G&amp;L'!C$186:C$245),0)</f>
        <v>0</v>
      </c>
      <c r="D241" s="73">
        <f>IFERROR('Alloy_compnt_G&amp;L'!D241/SUM('Alloy_compnt_G&amp;L'!D$186:D$245),0)</f>
        <v>0</v>
      </c>
      <c r="E241" s="73">
        <f>IFERROR('Alloy_compnt_G&amp;L'!E241/SUM('Alloy_compnt_G&amp;L'!E$186:E$245),0)</f>
        <v>0</v>
      </c>
      <c r="F241" s="73">
        <f>IFERROR('Alloy_compnt_G&amp;L'!F241/SUM('Alloy_compnt_G&amp;L'!F$186:F$245),0)</f>
        <v>0</v>
      </c>
      <c r="G241" s="73">
        <f>IFERROR('Alloy_compnt_G&amp;L'!G241/SUM('Alloy_compnt_G&amp;L'!G$186:G$245),0)</f>
        <v>0</v>
      </c>
    </row>
    <row r="242" spans="1:7" x14ac:dyDescent="0.2">
      <c r="A242" s="142" t="s">
        <v>294</v>
      </c>
      <c r="B242" s="73">
        <f>IFERROR('Alloy_compnt_G&amp;L'!B242/SUM('Alloy_compnt_G&amp;L'!B$186:B$245),0)</f>
        <v>0</v>
      </c>
      <c r="C242" s="73">
        <f>IFERROR('Alloy_compnt_G&amp;L'!C242/SUM('Alloy_compnt_G&amp;L'!C$186:C$245),0)</f>
        <v>0</v>
      </c>
      <c r="D242" s="73">
        <f>IFERROR('Alloy_compnt_G&amp;L'!D242/SUM('Alloy_compnt_G&amp;L'!D$186:D$245),0)</f>
        <v>0</v>
      </c>
      <c r="E242" s="73">
        <f>IFERROR('Alloy_compnt_G&amp;L'!E242/SUM('Alloy_compnt_G&amp;L'!E$186:E$245),0)</f>
        <v>0</v>
      </c>
      <c r="F242" s="73">
        <f>IFERROR('Alloy_compnt_G&amp;L'!F242/SUM('Alloy_compnt_G&amp;L'!F$186:F$245),0)</f>
        <v>0</v>
      </c>
      <c r="G242" s="73">
        <f>IFERROR('Alloy_compnt_G&amp;L'!G242/SUM('Alloy_compnt_G&amp;L'!G$186:G$245),0)</f>
        <v>0</v>
      </c>
    </row>
    <row r="243" spans="1:7" x14ac:dyDescent="0.2">
      <c r="A243" s="144" t="s">
        <v>295</v>
      </c>
      <c r="B243" s="73">
        <f>IFERROR('Alloy_compnt_G&amp;L'!B243/SUM('Alloy_compnt_G&amp;L'!B$186:B$245),0)</f>
        <v>5.4347826086956503E-3</v>
      </c>
      <c r="C243" s="73">
        <f>IFERROR('Alloy_compnt_G&amp;L'!C243/SUM('Alloy_compnt_G&amp;L'!C$186:C$245),0)</f>
        <v>0.22917198150256929</v>
      </c>
      <c r="D243" s="73">
        <f>IFERROR('Alloy_compnt_G&amp;L'!D243/SUM('Alloy_compnt_G&amp;L'!D$186:D$245),0)</f>
        <v>5.4347826086956529E-3</v>
      </c>
      <c r="E243" s="73">
        <f>IFERROR('Alloy_compnt_G&amp;L'!E243/SUM('Alloy_compnt_G&amp;L'!E$186:E$245),0)</f>
        <v>0.24492332769291672</v>
      </c>
      <c r="F243" s="73">
        <f>IFERROR('Alloy_compnt_G&amp;L'!F243/SUM('Alloy_compnt_G&amp;L'!F$186:F$245),0)</f>
        <v>5.4347826086956512E-3</v>
      </c>
      <c r="G243" s="73">
        <f>IFERROR('Alloy_compnt_G&amp;L'!G243/SUM('Alloy_compnt_G&amp;L'!G$186:G$245),0)</f>
        <v>0.24818349708404661</v>
      </c>
    </row>
    <row r="244" spans="1:7" x14ac:dyDescent="0.2">
      <c r="A244" s="142" t="s">
        <v>206</v>
      </c>
      <c r="B244" s="73">
        <f>IFERROR('Alloy_compnt_G&amp;L'!B244/SUM('Alloy_compnt_G&amp;L'!B$186:B$245),0)</f>
        <v>0</v>
      </c>
      <c r="C244" s="73">
        <f>IFERROR('Alloy_compnt_G&amp;L'!C244/SUM('Alloy_compnt_G&amp;L'!C$186:C$245),0)</f>
        <v>0</v>
      </c>
      <c r="D244" s="73">
        <f>IFERROR('Alloy_compnt_G&amp;L'!D244/SUM('Alloy_compnt_G&amp;L'!D$186:D$245),0)</f>
        <v>0</v>
      </c>
      <c r="E244" s="73">
        <f>IFERROR('Alloy_compnt_G&amp;L'!E244/SUM('Alloy_compnt_G&amp;L'!E$186:E$245),0)</f>
        <v>0</v>
      </c>
      <c r="F244" s="73">
        <f>IFERROR('Alloy_compnt_G&amp;L'!F244/SUM('Alloy_compnt_G&amp;L'!F$186:F$245),0)</f>
        <v>0</v>
      </c>
      <c r="G244" s="73">
        <f>IFERROR('Alloy_compnt_G&amp;L'!G244/SUM('Alloy_compnt_G&amp;L'!G$186:G$245),0)</f>
        <v>0</v>
      </c>
    </row>
    <row r="245" spans="1:7" ht="17" thickBot="1" x14ac:dyDescent="0.25">
      <c r="A245" s="149" t="s">
        <v>208</v>
      </c>
      <c r="B245" s="73">
        <f>IFERROR('Alloy_compnt_G&amp;L'!B245/SUM('Alloy_compnt_G&amp;L'!B$186:B$245),0)</f>
        <v>0</v>
      </c>
      <c r="C245" s="73">
        <f>IFERROR('Alloy_compnt_G&amp;L'!C245/SUM('Alloy_compnt_G&amp;L'!C$186:C$245),0)</f>
        <v>0</v>
      </c>
      <c r="D245" s="73">
        <f>IFERROR('Alloy_compnt_G&amp;L'!D245/SUM('Alloy_compnt_G&amp;L'!D$186:D$245),0)</f>
        <v>0</v>
      </c>
      <c r="E245" s="73">
        <f>IFERROR('Alloy_compnt_G&amp;L'!E245/SUM('Alloy_compnt_G&amp;L'!E$186:E$245),0)</f>
        <v>0</v>
      </c>
      <c r="F245" s="73">
        <f>IFERROR('Alloy_compnt_G&amp;L'!F245/SUM('Alloy_compnt_G&amp;L'!F$186:F$245),0)</f>
        <v>0</v>
      </c>
      <c r="G245" s="73">
        <f>IFERROR('Alloy_compnt_G&amp;L'!G245/SUM('Alloy_compnt_G&amp;L'!G$186:G$245),0)</f>
        <v>0</v>
      </c>
    </row>
    <row r="246" spans="1:7" ht="17" thickTop="1" x14ac:dyDescent="0.2">
      <c r="A246" s="139" t="s">
        <v>176</v>
      </c>
      <c r="B246" s="54"/>
      <c r="C246" s="54"/>
      <c r="D246" s="54"/>
      <c r="E246" s="54"/>
      <c r="F246" s="54"/>
      <c r="G246" s="54"/>
    </row>
    <row r="247" spans="1:7" x14ac:dyDescent="0.2">
      <c r="A247" s="142" t="s">
        <v>105</v>
      </c>
      <c r="B247" s="73">
        <f>IFERROR('Alloy_compnt_G&amp;L'!B247/SUM('Alloy_compnt_G&amp;L'!B$247:B$306),0)</f>
        <v>0</v>
      </c>
      <c r="C247" s="73">
        <f>IFERROR('Alloy_compnt_G&amp;L'!C247/SUM('Alloy_compnt_G&amp;L'!C$247:C$306),0)</f>
        <v>0</v>
      </c>
      <c r="D247" s="73">
        <f>IFERROR('Alloy_compnt_G&amp;L'!D247/SUM('Alloy_compnt_G&amp;L'!D$247:D$306),0)</f>
        <v>0.10549999999999998</v>
      </c>
      <c r="E247" s="73">
        <f>IFERROR('Alloy_compnt_G&amp;L'!E247/SUM('Alloy_compnt_G&amp;L'!E$247:E$306),0)</f>
        <v>0.1055</v>
      </c>
      <c r="F247" s="73">
        <f>IFERROR('Alloy_compnt_G&amp;L'!F247/SUM('Alloy_compnt_G&amp;L'!F$247:F$306),0)</f>
        <v>0.10549999999999997</v>
      </c>
      <c r="G247" s="73">
        <f>IFERROR('Alloy_compnt_G&amp;L'!G247/SUM('Alloy_compnt_G&amp;L'!G$247:G$306),0)</f>
        <v>0.1055</v>
      </c>
    </row>
    <row r="248" spans="1:7" x14ac:dyDescent="0.2">
      <c r="A248" s="142" t="s">
        <v>106</v>
      </c>
      <c r="B248" s="73">
        <f>IFERROR('Alloy_compnt_G&amp;L'!B248/SUM('Alloy_compnt_G&amp;L'!B$247:B$306),0)</f>
        <v>0</v>
      </c>
      <c r="C248" s="73">
        <f>IFERROR('Alloy_compnt_G&amp;L'!C248/SUM('Alloy_compnt_G&amp;L'!C$247:C$306),0)</f>
        <v>0</v>
      </c>
      <c r="D248" s="73">
        <f>IFERROR('Alloy_compnt_G&amp;L'!D248/SUM('Alloy_compnt_G&amp;L'!D$247:D$306),0)</f>
        <v>9.5499999999999988E-2</v>
      </c>
      <c r="E248" s="73">
        <f>IFERROR('Alloy_compnt_G&amp;L'!E248/SUM('Alloy_compnt_G&amp;L'!E$247:E$306),0)</f>
        <v>9.5500000000000002E-2</v>
      </c>
      <c r="F248" s="73">
        <f>IFERROR('Alloy_compnt_G&amp;L'!F248/SUM('Alloy_compnt_G&amp;L'!F$247:F$306),0)</f>
        <v>9.5499999999999988E-2</v>
      </c>
      <c r="G248" s="73">
        <f>IFERROR('Alloy_compnt_G&amp;L'!G248/SUM('Alloy_compnt_G&amp;L'!G$247:G$306),0)</f>
        <v>9.5500000000000002E-2</v>
      </c>
    </row>
    <row r="249" spans="1:7" x14ac:dyDescent="0.2">
      <c r="A249" s="142" t="s">
        <v>107</v>
      </c>
      <c r="B249" s="73">
        <f>IFERROR('Alloy_compnt_G&amp;L'!B249/SUM('Alloy_compnt_G&amp;L'!B$247:B$306),0)</f>
        <v>0</v>
      </c>
      <c r="C249" s="73">
        <f>IFERROR('Alloy_compnt_G&amp;L'!C249/SUM('Alloy_compnt_G&amp;L'!C$247:C$306),0)</f>
        <v>0</v>
      </c>
      <c r="D249" s="73">
        <f>IFERROR('Alloy_compnt_G&amp;L'!D249/SUM('Alloy_compnt_G&amp;L'!D$247:D$306),0)</f>
        <v>0.29899999999999999</v>
      </c>
      <c r="E249" s="73">
        <f>IFERROR('Alloy_compnt_G&amp;L'!E249/SUM('Alloy_compnt_G&amp;L'!E$247:E$306),0)</f>
        <v>0.29900000000000004</v>
      </c>
      <c r="F249" s="73">
        <f>IFERROR('Alloy_compnt_G&amp;L'!F249/SUM('Alloy_compnt_G&amp;L'!F$247:F$306),0)</f>
        <v>0.29899999999999999</v>
      </c>
      <c r="G249" s="73">
        <f>IFERROR('Alloy_compnt_G&amp;L'!G249/SUM('Alloy_compnt_G&amp;L'!G$247:G$306),0)</f>
        <v>0.29900000000000004</v>
      </c>
    </row>
    <row r="250" spans="1:7" x14ac:dyDescent="0.2">
      <c r="A250" s="142" t="s">
        <v>91</v>
      </c>
      <c r="B250" s="73">
        <f>IFERROR('Alloy_compnt_G&amp;L'!B250/SUM('Alloy_compnt_G&amp;L'!B$247:B$306),0)</f>
        <v>0</v>
      </c>
      <c r="C250" s="73">
        <f>IFERROR('Alloy_compnt_G&amp;L'!C250/SUM('Alloy_compnt_G&amp;L'!C$247:C$306),0)</f>
        <v>0</v>
      </c>
      <c r="D250" s="73">
        <f>IFERROR('Alloy_compnt_G&amp;L'!D250/SUM('Alloy_compnt_G&amp;L'!D$247:D$306),0)</f>
        <v>0</v>
      </c>
      <c r="E250" s="73">
        <f>IFERROR('Alloy_compnt_G&amp;L'!E250/SUM('Alloy_compnt_G&amp;L'!E$247:E$306),0)</f>
        <v>0</v>
      </c>
      <c r="F250" s="73">
        <f>IFERROR('Alloy_compnt_G&amp;L'!F250/SUM('Alloy_compnt_G&amp;L'!F$247:F$306),0)</f>
        <v>0</v>
      </c>
      <c r="G250" s="73">
        <f>IFERROR('Alloy_compnt_G&amp;L'!G250/SUM('Alloy_compnt_G&amp;L'!G$247:G$306),0)</f>
        <v>0</v>
      </c>
    </row>
    <row r="251" spans="1:7" x14ac:dyDescent="0.2">
      <c r="A251" s="142" t="s">
        <v>204</v>
      </c>
      <c r="B251" s="73">
        <f>IFERROR('Alloy_compnt_G&amp;L'!B251/SUM('Alloy_compnt_G&amp;L'!B$247:B$306),0)</f>
        <v>0</v>
      </c>
      <c r="C251" s="73">
        <f>IFERROR('Alloy_compnt_G&amp;L'!C251/SUM('Alloy_compnt_G&amp;L'!C$247:C$306),0)</f>
        <v>0</v>
      </c>
      <c r="D251" s="73">
        <f>IFERROR('Alloy_compnt_G&amp;L'!D251/SUM('Alloy_compnt_G&amp;L'!D$247:D$306),0)</f>
        <v>0</v>
      </c>
      <c r="E251" s="73">
        <f>IFERROR('Alloy_compnt_G&amp;L'!E251/SUM('Alloy_compnt_G&amp;L'!E$247:E$306),0)</f>
        <v>0</v>
      </c>
      <c r="F251" s="73">
        <f>IFERROR('Alloy_compnt_G&amp;L'!F251/SUM('Alloy_compnt_G&amp;L'!F$247:F$306),0)</f>
        <v>0</v>
      </c>
      <c r="G251" s="73">
        <f>IFERROR('Alloy_compnt_G&amp;L'!G251/SUM('Alloy_compnt_G&amp;L'!G$247:G$306),0)</f>
        <v>0</v>
      </c>
    </row>
    <row r="252" spans="1:7" x14ac:dyDescent="0.2">
      <c r="A252" s="144" t="s">
        <v>104</v>
      </c>
      <c r="B252" s="73">
        <f>IFERROR('Alloy_compnt_G&amp;L'!B252/SUM('Alloy_compnt_G&amp;L'!B$247:B$306),0)</f>
        <v>0</v>
      </c>
      <c r="C252" s="73">
        <f>IFERROR('Alloy_compnt_G&amp;L'!C252/SUM('Alloy_compnt_G&amp;L'!C$247:C$306),0)</f>
        <v>0</v>
      </c>
      <c r="D252" s="73">
        <f>IFERROR('Alloy_compnt_G&amp;L'!D252/SUM('Alloy_compnt_G&amp;L'!D$247:D$306),0)</f>
        <v>0</v>
      </c>
      <c r="E252" s="73">
        <f>IFERROR('Alloy_compnt_G&amp;L'!E252/SUM('Alloy_compnt_G&amp;L'!E$247:E$306),0)</f>
        <v>0</v>
      </c>
      <c r="F252" s="73">
        <f>IFERROR('Alloy_compnt_G&amp;L'!F252/SUM('Alloy_compnt_G&amp;L'!F$247:F$306),0)</f>
        <v>0</v>
      </c>
      <c r="G252" s="73">
        <f>IFERROR('Alloy_compnt_G&amp;L'!G252/SUM('Alloy_compnt_G&amp;L'!G$247:G$306),0)</f>
        <v>0</v>
      </c>
    </row>
    <row r="253" spans="1:7" x14ac:dyDescent="0.2">
      <c r="A253" s="145" t="s">
        <v>244</v>
      </c>
      <c r="B253" s="73">
        <f>IFERROR('Alloy_compnt_G&amp;L'!B253/SUM('Alloy_compnt_G&amp;L'!B$247:B$306),0)</f>
        <v>0</v>
      </c>
      <c r="C253" s="73">
        <f>IFERROR('Alloy_compnt_G&amp;L'!C253/SUM('Alloy_compnt_G&amp;L'!C$247:C$306),0)</f>
        <v>0</v>
      </c>
      <c r="D253" s="73">
        <f>IFERROR('Alloy_compnt_G&amp;L'!D253/SUM('Alloy_compnt_G&amp;L'!D$247:D$306),0)</f>
        <v>0</v>
      </c>
      <c r="E253" s="73">
        <f>IFERROR('Alloy_compnt_G&amp;L'!E253/SUM('Alloy_compnt_G&amp;L'!E$247:E$306),0)</f>
        <v>0</v>
      </c>
      <c r="F253" s="73">
        <f>IFERROR('Alloy_compnt_G&amp;L'!F253/SUM('Alloy_compnt_G&amp;L'!F$247:F$306),0)</f>
        <v>0</v>
      </c>
      <c r="G253" s="73">
        <f>IFERROR('Alloy_compnt_G&amp;L'!G253/SUM('Alloy_compnt_G&amp;L'!G$247:G$306),0)</f>
        <v>0</v>
      </c>
    </row>
    <row r="254" spans="1:7" x14ac:dyDescent="0.2">
      <c r="A254" s="145" t="s">
        <v>245</v>
      </c>
      <c r="B254" s="73">
        <f>IFERROR('Alloy_compnt_G&amp;L'!B254/SUM('Alloy_compnt_G&amp;L'!B$247:B$306),0)</f>
        <v>0</v>
      </c>
      <c r="C254" s="73">
        <f>IFERROR('Alloy_compnt_G&amp;L'!C254/SUM('Alloy_compnt_G&amp;L'!C$247:C$306),0)</f>
        <v>0</v>
      </c>
      <c r="D254" s="73">
        <f>IFERROR('Alloy_compnt_G&amp;L'!D254/SUM('Alloy_compnt_G&amp;L'!D$247:D$306),0)</f>
        <v>0</v>
      </c>
      <c r="E254" s="73">
        <f>IFERROR('Alloy_compnt_G&amp;L'!E254/SUM('Alloy_compnt_G&amp;L'!E$247:E$306),0)</f>
        <v>0</v>
      </c>
      <c r="F254" s="73">
        <f>IFERROR('Alloy_compnt_G&amp;L'!F254/SUM('Alloy_compnt_G&amp;L'!F$247:F$306),0)</f>
        <v>0</v>
      </c>
      <c r="G254" s="73">
        <f>IFERROR('Alloy_compnt_G&amp;L'!G254/SUM('Alloy_compnt_G&amp;L'!G$247:G$306),0)</f>
        <v>0</v>
      </c>
    </row>
    <row r="255" spans="1:7" x14ac:dyDescent="0.2">
      <c r="A255" s="145" t="s">
        <v>246</v>
      </c>
      <c r="B255" s="73">
        <f>IFERROR('Alloy_compnt_G&amp;L'!B255/SUM('Alloy_compnt_G&amp;L'!B$247:B$306),0)</f>
        <v>0</v>
      </c>
      <c r="C255" s="73">
        <f>IFERROR('Alloy_compnt_G&amp;L'!C255/SUM('Alloy_compnt_G&amp;L'!C$247:C$306),0)</f>
        <v>0</v>
      </c>
      <c r="D255" s="73">
        <f>IFERROR('Alloy_compnt_G&amp;L'!D255/SUM('Alloy_compnt_G&amp;L'!D$247:D$306),0)</f>
        <v>0</v>
      </c>
      <c r="E255" s="73">
        <f>IFERROR('Alloy_compnt_G&amp;L'!E255/SUM('Alloy_compnt_G&amp;L'!E$247:E$306),0)</f>
        <v>0</v>
      </c>
      <c r="F255" s="73">
        <f>IFERROR('Alloy_compnt_G&amp;L'!F255/SUM('Alloy_compnt_G&amp;L'!F$247:F$306),0)</f>
        <v>0</v>
      </c>
      <c r="G255" s="73">
        <f>IFERROR('Alloy_compnt_G&amp;L'!G255/SUM('Alloy_compnt_G&amp;L'!G$247:G$306),0)</f>
        <v>0</v>
      </c>
    </row>
    <row r="256" spans="1:7" x14ac:dyDescent="0.2">
      <c r="A256" s="145" t="s">
        <v>247</v>
      </c>
      <c r="B256" s="73">
        <f>IFERROR('Alloy_compnt_G&amp;L'!B256/SUM('Alloy_compnt_G&amp;L'!B$247:B$306),0)</f>
        <v>0</v>
      </c>
      <c r="C256" s="73">
        <f>IFERROR('Alloy_compnt_G&amp;L'!C256/SUM('Alloy_compnt_G&amp;L'!C$247:C$306),0)</f>
        <v>0</v>
      </c>
      <c r="D256" s="73">
        <f>IFERROR('Alloy_compnt_G&amp;L'!D256/SUM('Alloy_compnt_G&amp;L'!D$247:D$306),0)</f>
        <v>0</v>
      </c>
      <c r="E256" s="73">
        <f>IFERROR('Alloy_compnt_G&amp;L'!E256/SUM('Alloy_compnt_G&amp;L'!E$247:E$306),0)</f>
        <v>0</v>
      </c>
      <c r="F256" s="73">
        <f>IFERROR('Alloy_compnt_G&amp;L'!F256/SUM('Alloy_compnt_G&amp;L'!F$247:F$306),0)</f>
        <v>0</v>
      </c>
      <c r="G256" s="73">
        <f>IFERROR('Alloy_compnt_G&amp;L'!G256/SUM('Alloy_compnt_G&amp;L'!G$247:G$306),0)</f>
        <v>0</v>
      </c>
    </row>
    <row r="257" spans="1:7" x14ac:dyDescent="0.2">
      <c r="A257" s="145" t="s">
        <v>248</v>
      </c>
      <c r="B257" s="73">
        <f>IFERROR('Alloy_compnt_G&amp;L'!B257/SUM('Alloy_compnt_G&amp;L'!B$247:B$306),0)</f>
        <v>0</v>
      </c>
      <c r="C257" s="73">
        <f>IFERROR('Alloy_compnt_G&amp;L'!C257/SUM('Alloy_compnt_G&amp;L'!C$247:C$306),0)</f>
        <v>0</v>
      </c>
      <c r="D257" s="73">
        <f>IFERROR('Alloy_compnt_G&amp;L'!D257/SUM('Alloy_compnt_G&amp;L'!D$247:D$306),0)</f>
        <v>0</v>
      </c>
      <c r="E257" s="73">
        <f>IFERROR('Alloy_compnt_G&amp;L'!E257/SUM('Alloy_compnt_G&amp;L'!E$247:E$306),0)</f>
        <v>0</v>
      </c>
      <c r="F257" s="73">
        <f>IFERROR('Alloy_compnt_G&amp;L'!F257/SUM('Alloy_compnt_G&amp;L'!F$247:F$306),0)</f>
        <v>0</v>
      </c>
      <c r="G257" s="73">
        <f>IFERROR('Alloy_compnt_G&amp;L'!G257/SUM('Alloy_compnt_G&amp;L'!G$247:G$306),0)</f>
        <v>0</v>
      </c>
    </row>
    <row r="258" spans="1:7" x14ac:dyDescent="0.2">
      <c r="A258" s="145" t="s">
        <v>249</v>
      </c>
      <c r="B258" s="73">
        <f>IFERROR('Alloy_compnt_G&amp;L'!B258/SUM('Alloy_compnt_G&amp;L'!B$247:B$306),0)</f>
        <v>0</v>
      </c>
      <c r="C258" s="73">
        <f>IFERROR('Alloy_compnt_G&amp;L'!C258/SUM('Alloy_compnt_G&amp;L'!C$247:C$306),0)</f>
        <v>0</v>
      </c>
      <c r="D258" s="73">
        <f>IFERROR('Alloy_compnt_G&amp;L'!D258/SUM('Alloy_compnt_G&amp;L'!D$247:D$306),0)</f>
        <v>0</v>
      </c>
      <c r="E258" s="73">
        <f>IFERROR('Alloy_compnt_G&amp;L'!E258/SUM('Alloy_compnt_G&amp;L'!E$247:E$306),0)</f>
        <v>0</v>
      </c>
      <c r="F258" s="73">
        <f>IFERROR('Alloy_compnt_G&amp;L'!F258/SUM('Alloy_compnt_G&amp;L'!F$247:F$306),0)</f>
        <v>0</v>
      </c>
      <c r="G258" s="73">
        <f>IFERROR('Alloy_compnt_G&amp;L'!G258/SUM('Alloy_compnt_G&amp;L'!G$247:G$306),0)</f>
        <v>0</v>
      </c>
    </row>
    <row r="259" spans="1:7" x14ac:dyDescent="0.2">
      <c r="A259" s="145" t="s">
        <v>250</v>
      </c>
      <c r="B259" s="73">
        <f>IFERROR('Alloy_compnt_G&amp;L'!B259/SUM('Alloy_compnt_G&amp;L'!B$247:B$306),0)</f>
        <v>0</v>
      </c>
      <c r="C259" s="73">
        <f>IFERROR('Alloy_compnt_G&amp;L'!C259/SUM('Alloy_compnt_G&amp;L'!C$247:C$306),0)</f>
        <v>0</v>
      </c>
      <c r="D259" s="73">
        <f>IFERROR('Alloy_compnt_G&amp;L'!D259/SUM('Alloy_compnt_G&amp;L'!D$247:D$306),0)</f>
        <v>0</v>
      </c>
      <c r="E259" s="73">
        <f>IFERROR('Alloy_compnt_G&amp;L'!E259/SUM('Alloy_compnt_G&amp;L'!E$247:E$306),0)</f>
        <v>0</v>
      </c>
      <c r="F259" s="73">
        <f>IFERROR('Alloy_compnt_G&amp;L'!F259/SUM('Alloy_compnt_G&amp;L'!F$247:F$306),0)</f>
        <v>0</v>
      </c>
      <c r="G259" s="73">
        <f>IFERROR('Alloy_compnt_G&amp;L'!G259/SUM('Alloy_compnt_G&amp;L'!G$247:G$306),0)</f>
        <v>0</v>
      </c>
    </row>
    <row r="260" spans="1:7" x14ac:dyDescent="0.2">
      <c r="A260" s="145" t="s">
        <v>251</v>
      </c>
      <c r="B260" s="73">
        <f>IFERROR('Alloy_compnt_G&amp;L'!B260/SUM('Alloy_compnt_G&amp;L'!B$247:B$306),0)</f>
        <v>0</v>
      </c>
      <c r="C260" s="73">
        <f>IFERROR('Alloy_compnt_G&amp;L'!C260/SUM('Alloy_compnt_G&amp;L'!C$247:C$306),0)</f>
        <v>0</v>
      </c>
      <c r="D260" s="73">
        <f>IFERROR('Alloy_compnt_G&amp;L'!D260/SUM('Alloy_compnt_G&amp;L'!D$247:D$306),0)</f>
        <v>0</v>
      </c>
      <c r="E260" s="73">
        <f>IFERROR('Alloy_compnt_G&amp;L'!E260/SUM('Alloy_compnt_G&amp;L'!E$247:E$306),0)</f>
        <v>0</v>
      </c>
      <c r="F260" s="73">
        <f>IFERROR('Alloy_compnt_G&amp;L'!F260/SUM('Alloy_compnt_G&amp;L'!F$247:F$306),0)</f>
        <v>0</v>
      </c>
      <c r="G260" s="73">
        <f>IFERROR('Alloy_compnt_G&amp;L'!G260/SUM('Alloy_compnt_G&amp;L'!G$247:G$306),0)</f>
        <v>0</v>
      </c>
    </row>
    <row r="261" spans="1:7" x14ac:dyDescent="0.2">
      <c r="A261" s="145" t="s">
        <v>252</v>
      </c>
      <c r="B261" s="73">
        <f>IFERROR('Alloy_compnt_G&amp;L'!B261/SUM('Alloy_compnt_G&amp;L'!B$247:B$306),0)</f>
        <v>0</v>
      </c>
      <c r="C261" s="73">
        <f>IFERROR('Alloy_compnt_G&amp;L'!C261/SUM('Alloy_compnt_G&amp;L'!C$247:C$306),0)</f>
        <v>0</v>
      </c>
      <c r="D261" s="73">
        <f>IFERROR('Alloy_compnt_G&amp;L'!D261/SUM('Alloy_compnt_G&amp;L'!D$247:D$306),0)</f>
        <v>0</v>
      </c>
      <c r="E261" s="73">
        <f>IFERROR('Alloy_compnt_G&amp;L'!E261/SUM('Alloy_compnt_G&amp;L'!E$247:E$306),0)</f>
        <v>0</v>
      </c>
      <c r="F261" s="73">
        <f>IFERROR('Alloy_compnt_G&amp;L'!F261/SUM('Alloy_compnt_G&amp;L'!F$247:F$306),0)</f>
        <v>0</v>
      </c>
      <c r="G261" s="73">
        <f>IFERROR('Alloy_compnt_G&amp;L'!G261/SUM('Alloy_compnt_G&amp;L'!G$247:G$306),0)</f>
        <v>0</v>
      </c>
    </row>
    <row r="262" spans="1:7" x14ac:dyDescent="0.2">
      <c r="A262" s="145" t="s">
        <v>253</v>
      </c>
      <c r="B262" s="73">
        <f>IFERROR('Alloy_compnt_G&amp;L'!B262/SUM('Alloy_compnt_G&amp;L'!B$247:B$306),0)</f>
        <v>0</v>
      </c>
      <c r="C262" s="73">
        <f>IFERROR('Alloy_compnt_G&amp;L'!C262/SUM('Alloy_compnt_G&amp;L'!C$247:C$306),0)</f>
        <v>0</v>
      </c>
      <c r="D262" s="73">
        <f>IFERROR('Alloy_compnt_G&amp;L'!D262/SUM('Alloy_compnt_G&amp;L'!D$247:D$306),0)</f>
        <v>0</v>
      </c>
      <c r="E262" s="73">
        <f>IFERROR('Alloy_compnt_G&amp;L'!E262/SUM('Alloy_compnt_G&amp;L'!E$247:E$306),0)</f>
        <v>0</v>
      </c>
      <c r="F262" s="73">
        <f>IFERROR('Alloy_compnt_G&amp;L'!F262/SUM('Alloy_compnt_G&amp;L'!F$247:F$306),0)</f>
        <v>0</v>
      </c>
      <c r="G262" s="73">
        <f>IFERROR('Alloy_compnt_G&amp;L'!G262/SUM('Alloy_compnt_G&amp;L'!G$247:G$306),0)</f>
        <v>0</v>
      </c>
    </row>
    <row r="263" spans="1:7" x14ac:dyDescent="0.2">
      <c r="A263" s="145" t="s">
        <v>254</v>
      </c>
      <c r="B263" s="73">
        <f>IFERROR('Alloy_compnt_G&amp;L'!B263/SUM('Alloy_compnt_G&amp;L'!B$247:B$306),0)</f>
        <v>0</v>
      </c>
      <c r="C263" s="73">
        <f>IFERROR('Alloy_compnt_G&amp;L'!C263/SUM('Alloy_compnt_G&amp;L'!C$247:C$306),0)</f>
        <v>0</v>
      </c>
      <c r="D263" s="73">
        <f>IFERROR('Alloy_compnt_G&amp;L'!D263/SUM('Alloy_compnt_G&amp;L'!D$247:D$306),0)</f>
        <v>0</v>
      </c>
      <c r="E263" s="73">
        <f>IFERROR('Alloy_compnt_G&amp;L'!E263/SUM('Alloy_compnt_G&amp;L'!E$247:E$306),0)</f>
        <v>0</v>
      </c>
      <c r="F263" s="73">
        <f>IFERROR('Alloy_compnt_G&amp;L'!F263/SUM('Alloy_compnt_G&amp;L'!F$247:F$306),0)</f>
        <v>0</v>
      </c>
      <c r="G263" s="73">
        <f>IFERROR('Alloy_compnt_G&amp;L'!G263/SUM('Alloy_compnt_G&amp;L'!G$247:G$306),0)</f>
        <v>0</v>
      </c>
    </row>
    <row r="264" spans="1:7" x14ac:dyDescent="0.2">
      <c r="A264" s="146" t="s">
        <v>255</v>
      </c>
      <c r="B264" s="73">
        <f>IFERROR('Alloy_compnt_G&amp;L'!B264/SUM('Alloy_compnt_G&amp;L'!B$247:B$306),0)</f>
        <v>0</v>
      </c>
      <c r="C264" s="73">
        <f>IFERROR('Alloy_compnt_G&amp;L'!C264/SUM('Alloy_compnt_G&amp;L'!C$247:C$306),0)</f>
        <v>0</v>
      </c>
      <c r="D264" s="73">
        <f>IFERROR('Alloy_compnt_G&amp;L'!D264/SUM('Alloy_compnt_G&amp;L'!D$247:D$306),0)</f>
        <v>0</v>
      </c>
      <c r="E264" s="73">
        <f>IFERROR('Alloy_compnt_G&amp;L'!E264/SUM('Alloy_compnt_G&amp;L'!E$247:E$306),0)</f>
        <v>0</v>
      </c>
      <c r="F264" s="73">
        <f>IFERROR('Alloy_compnt_G&amp;L'!F264/SUM('Alloy_compnt_G&amp;L'!F$247:F$306),0)</f>
        <v>0</v>
      </c>
      <c r="G264" s="73">
        <f>IFERROR('Alloy_compnt_G&amp;L'!G264/SUM('Alloy_compnt_G&amp;L'!G$247:G$306),0)</f>
        <v>0</v>
      </c>
    </row>
    <row r="265" spans="1:7" x14ac:dyDescent="0.2">
      <c r="A265" s="145" t="s">
        <v>256</v>
      </c>
      <c r="B265" s="73">
        <f>IFERROR('Alloy_compnt_G&amp;L'!B265/SUM('Alloy_compnt_G&amp;L'!B$247:B$306),0)</f>
        <v>0</v>
      </c>
      <c r="C265" s="73">
        <f>IFERROR('Alloy_compnt_G&amp;L'!C265/SUM('Alloy_compnt_G&amp;L'!C$247:C$306),0)</f>
        <v>0</v>
      </c>
      <c r="D265" s="73">
        <f>IFERROR('Alloy_compnt_G&amp;L'!D265/SUM('Alloy_compnt_G&amp;L'!D$247:D$306),0)</f>
        <v>0</v>
      </c>
      <c r="E265" s="73">
        <f>IFERROR('Alloy_compnt_G&amp;L'!E265/SUM('Alloy_compnt_G&amp;L'!E$247:E$306),0)</f>
        <v>0</v>
      </c>
      <c r="F265" s="73">
        <f>IFERROR('Alloy_compnt_G&amp;L'!F265/SUM('Alloy_compnt_G&amp;L'!F$247:F$306),0)</f>
        <v>0</v>
      </c>
      <c r="G265" s="73">
        <f>IFERROR('Alloy_compnt_G&amp;L'!G265/SUM('Alloy_compnt_G&amp;L'!G$247:G$306),0)</f>
        <v>0</v>
      </c>
    </row>
    <row r="266" spans="1:7" x14ac:dyDescent="0.2">
      <c r="A266" s="145" t="s">
        <v>257</v>
      </c>
      <c r="B266" s="73">
        <f>IFERROR('Alloy_compnt_G&amp;L'!B266/SUM('Alloy_compnt_G&amp;L'!B$247:B$306),0)</f>
        <v>0</v>
      </c>
      <c r="C266" s="73">
        <f>IFERROR('Alloy_compnt_G&amp;L'!C266/SUM('Alloy_compnt_G&amp;L'!C$247:C$306),0)</f>
        <v>0</v>
      </c>
      <c r="D266" s="73">
        <f>IFERROR('Alloy_compnt_G&amp;L'!D266/SUM('Alloy_compnt_G&amp;L'!D$247:D$306),0)</f>
        <v>0</v>
      </c>
      <c r="E266" s="73">
        <f>IFERROR('Alloy_compnt_G&amp;L'!E266/SUM('Alloy_compnt_G&amp;L'!E$247:E$306),0)</f>
        <v>0</v>
      </c>
      <c r="F266" s="73">
        <f>IFERROR('Alloy_compnt_G&amp;L'!F266/SUM('Alloy_compnt_G&amp;L'!F$247:F$306),0)</f>
        <v>0</v>
      </c>
      <c r="G266" s="73">
        <f>IFERROR('Alloy_compnt_G&amp;L'!G266/SUM('Alloy_compnt_G&amp;L'!G$247:G$306),0)</f>
        <v>0</v>
      </c>
    </row>
    <row r="267" spans="1:7" x14ac:dyDescent="0.2">
      <c r="A267" s="145" t="s">
        <v>258</v>
      </c>
      <c r="B267" s="73">
        <f>IFERROR('Alloy_compnt_G&amp;L'!B267/SUM('Alloy_compnt_G&amp;L'!B$247:B$306),0)</f>
        <v>0</v>
      </c>
      <c r="C267" s="73">
        <f>IFERROR('Alloy_compnt_G&amp;L'!C267/SUM('Alloy_compnt_G&amp;L'!C$247:C$306),0)</f>
        <v>0</v>
      </c>
      <c r="D267" s="73">
        <f>IFERROR('Alloy_compnt_G&amp;L'!D267/SUM('Alloy_compnt_G&amp;L'!D$247:D$306),0)</f>
        <v>0</v>
      </c>
      <c r="E267" s="73">
        <f>IFERROR('Alloy_compnt_G&amp;L'!E267/SUM('Alloy_compnt_G&amp;L'!E$247:E$306),0)</f>
        <v>0</v>
      </c>
      <c r="F267" s="73">
        <f>IFERROR('Alloy_compnt_G&amp;L'!F267/SUM('Alloy_compnt_G&amp;L'!F$247:F$306),0)</f>
        <v>0</v>
      </c>
      <c r="G267" s="73">
        <f>IFERROR('Alloy_compnt_G&amp;L'!G267/SUM('Alloy_compnt_G&amp;L'!G$247:G$306),0)</f>
        <v>0</v>
      </c>
    </row>
    <row r="268" spans="1:7" x14ac:dyDescent="0.2">
      <c r="A268" s="142" t="s">
        <v>259</v>
      </c>
      <c r="B268" s="73">
        <f>IFERROR('Alloy_compnt_G&amp;L'!B268/SUM('Alloy_compnt_G&amp;L'!B$247:B$306),0)</f>
        <v>0</v>
      </c>
      <c r="C268" s="73">
        <f>IFERROR('Alloy_compnt_G&amp;L'!C268/SUM('Alloy_compnt_G&amp;L'!C$247:C$306),0)</f>
        <v>0</v>
      </c>
      <c r="D268" s="73">
        <f>IFERROR('Alloy_compnt_G&amp;L'!D268/SUM('Alloy_compnt_G&amp;L'!D$247:D$306),0)</f>
        <v>0</v>
      </c>
      <c r="E268" s="73">
        <f>IFERROR('Alloy_compnt_G&amp;L'!E268/SUM('Alloy_compnt_G&amp;L'!E$247:E$306),0)</f>
        <v>0</v>
      </c>
      <c r="F268" s="73">
        <f>IFERROR('Alloy_compnt_G&amp;L'!F268/SUM('Alloy_compnt_G&amp;L'!F$247:F$306),0)</f>
        <v>0</v>
      </c>
      <c r="G268" s="73">
        <f>IFERROR('Alloy_compnt_G&amp;L'!G268/SUM('Alloy_compnt_G&amp;L'!G$247:G$306),0)</f>
        <v>0</v>
      </c>
    </row>
    <row r="269" spans="1:7" x14ac:dyDescent="0.2">
      <c r="A269" s="147" t="s">
        <v>260</v>
      </c>
      <c r="B269" s="73">
        <f>IFERROR('Alloy_compnt_G&amp;L'!B269/SUM('Alloy_compnt_G&amp;L'!B$247:B$306),0)</f>
        <v>0</v>
      </c>
      <c r="C269" s="73">
        <f>IFERROR('Alloy_compnt_G&amp;L'!C269/SUM('Alloy_compnt_G&amp;L'!C$247:C$306),0)</f>
        <v>0</v>
      </c>
      <c r="D269" s="73">
        <f>IFERROR('Alloy_compnt_G&amp;L'!D269/SUM('Alloy_compnt_G&amp;L'!D$247:D$306),0)</f>
        <v>0</v>
      </c>
      <c r="E269" s="73">
        <f>IFERROR('Alloy_compnt_G&amp;L'!E269/SUM('Alloy_compnt_G&amp;L'!E$247:E$306),0)</f>
        <v>0</v>
      </c>
      <c r="F269" s="73">
        <f>IFERROR('Alloy_compnt_G&amp;L'!F269/SUM('Alloy_compnt_G&amp;L'!F$247:F$306),0)</f>
        <v>0</v>
      </c>
      <c r="G269" s="73">
        <f>IFERROR('Alloy_compnt_G&amp;L'!G269/SUM('Alloy_compnt_G&amp;L'!G$247:G$306),0)</f>
        <v>0</v>
      </c>
    </row>
    <row r="270" spans="1:7" x14ac:dyDescent="0.2">
      <c r="A270" s="142" t="s">
        <v>261</v>
      </c>
      <c r="B270" s="73">
        <f>IFERROR('Alloy_compnt_G&amp;L'!B270/SUM('Alloy_compnt_G&amp;L'!B$247:B$306),0)</f>
        <v>0</v>
      </c>
      <c r="C270" s="73">
        <f>IFERROR('Alloy_compnt_G&amp;L'!C270/SUM('Alloy_compnt_G&amp;L'!C$247:C$306),0)</f>
        <v>0</v>
      </c>
      <c r="D270" s="73">
        <f>IFERROR('Alloy_compnt_G&amp;L'!D270/SUM('Alloy_compnt_G&amp;L'!D$247:D$306),0)</f>
        <v>0</v>
      </c>
      <c r="E270" s="73">
        <f>IFERROR('Alloy_compnt_G&amp;L'!E270/SUM('Alloy_compnt_G&amp;L'!E$247:E$306),0)</f>
        <v>0</v>
      </c>
      <c r="F270" s="73">
        <f>IFERROR('Alloy_compnt_G&amp;L'!F270/SUM('Alloy_compnt_G&amp;L'!F$247:F$306),0)</f>
        <v>0</v>
      </c>
      <c r="G270" s="73">
        <f>IFERROR('Alloy_compnt_G&amp;L'!G270/SUM('Alloy_compnt_G&amp;L'!G$247:G$306),0)</f>
        <v>0</v>
      </c>
    </row>
    <row r="271" spans="1:7" x14ac:dyDescent="0.2">
      <c r="A271" s="142" t="s">
        <v>262</v>
      </c>
      <c r="B271" s="73">
        <f>IFERROR('Alloy_compnt_G&amp;L'!B271/SUM('Alloy_compnt_G&amp;L'!B$247:B$306),0)</f>
        <v>0</v>
      </c>
      <c r="C271" s="73">
        <f>IFERROR('Alloy_compnt_G&amp;L'!C271/SUM('Alloy_compnt_G&amp;L'!C$247:C$306),0)</f>
        <v>0</v>
      </c>
      <c r="D271" s="73">
        <f>IFERROR('Alloy_compnt_G&amp;L'!D271/SUM('Alloy_compnt_G&amp;L'!D$247:D$306),0)</f>
        <v>0</v>
      </c>
      <c r="E271" s="73">
        <f>IFERROR('Alloy_compnt_G&amp;L'!E271/SUM('Alloy_compnt_G&amp;L'!E$247:E$306),0)</f>
        <v>0</v>
      </c>
      <c r="F271" s="73">
        <f>IFERROR('Alloy_compnt_G&amp;L'!F271/SUM('Alloy_compnt_G&amp;L'!F$247:F$306),0)</f>
        <v>0</v>
      </c>
      <c r="G271" s="73">
        <f>IFERROR('Alloy_compnt_G&amp;L'!G271/SUM('Alloy_compnt_G&amp;L'!G$247:G$306),0)</f>
        <v>0</v>
      </c>
    </row>
    <row r="272" spans="1:7" x14ac:dyDescent="0.2">
      <c r="A272" s="142" t="s">
        <v>263</v>
      </c>
      <c r="B272" s="73">
        <f>IFERROR('Alloy_compnt_G&amp;L'!B272/SUM('Alloy_compnt_G&amp;L'!B$247:B$306),0)</f>
        <v>0</v>
      </c>
      <c r="C272" s="73">
        <f>IFERROR('Alloy_compnt_G&amp;L'!C272/SUM('Alloy_compnt_G&amp;L'!C$247:C$306),0)</f>
        <v>0</v>
      </c>
      <c r="D272" s="73">
        <f>IFERROR('Alloy_compnt_G&amp;L'!D272/SUM('Alloy_compnt_G&amp;L'!D$247:D$306),0)</f>
        <v>0</v>
      </c>
      <c r="E272" s="73">
        <f>IFERROR('Alloy_compnt_G&amp;L'!E272/SUM('Alloy_compnt_G&amp;L'!E$247:E$306),0)</f>
        <v>0</v>
      </c>
      <c r="F272" s="73">
        <f>IFERROR('Alloy_compnt_G&amp;L'!F272/SUM('Alloy_compnt_G&amp;L'!F$247:F$306),0)</f>
        <v>0</v>
      </c>
      <c r="G272" s="73">
        <f>IFERROR('Alloy_compnt_G&amp;L'!G272/SUM('Alloy_compnt_G&amp;L'!G$247:G$306),0)</f>
        <v>0</v>
      </c>
    </row>
    <row r="273" spans="1:7" x14ac:dyDescent="0.2">
      <c r="A273" s="142" t="s">
        <v>264</v>
      </c>
      <c r="B273" s="73">
        <f>IFERROR('Alloy_compnt_G&amp;L'!B273/SUM('Alloy_compnt_G&amp;L'!B$247:B$306),0)</f>
        <v>0</v>
      </c>
      <c r="C273" s="73">
        <f>IFERROR('Alloy_compnt_G&amp;L'!C273/SUM('Alloy_compnt_G&amp;L'!C$247:C$306),0)</f>
        <v>0</v>
      </c>
      <c r="D273" s="73">
        <f>IFERROR('Alloy_compnt_G&amp;L'!D273/SUM('Alloy_compnt_G&amp;L'!D$247:D$306),0)</f>
        <v>0</v>
      </c>
      <c r="E273" s="73">
        <f>IFERROR('Alloy_compnt_G&amp;L'!E273/SUM('Alloy_compnt_G&amp;L'!E$247:E$306),0)</f>
        <v>0</v>
      </c>
      <c r="F273" s="73">
        <f>IFERROR('Alloy_compnt_G&amp;L'!F273/SUM('Alloy_compnt_G&amp;L'!F$247:F$306),0)</f>
        <v>0</v>
      </c>
      <c r="G273" s="73">
        <f>IFERROR('Alloy_compnt_G&amp;L'!G273/SUM('Alloy_compnt_G&amp;L'!G$247:G$306),0)</f>
        <v>0</v>
      </c>
    </row>
    <row r="274" spans="1:7" x14ac:dyDescent="0.2">
      <c r="A274" s="142" t="s">
        <v>265</v>
      </c>
      <c r="B274" s="73">
        <f>IFERROR('Alloy_compnt_G&amp;L'!B274/SUM('Alloy_compnt_G&amp;L'!B$247:B$306),0)</f>
        <v>0</v>
      </c>
      <c r="C274" s="73">
        <f>IFERROR('Alloy_compnt_G&amp;L'!C274/SUM('Alloy_compnt_G&amp;L'!C$247:C$306),0)</f>
        <v>0</v>
      </c>
      <c r="D274" s="73">
        <f>IFERROR('Alloy_compnt_G&amp;L'!D274/SUM('Alloy_compnt_G&amp;L'!D$247:D$306),0)</f>
        <v>0</v>
      </c>
      <c r="E274" s="73">
        <f>IFERROR('Alloy_compnt_G&amp;L'!E274/SUM('Alloy_compnt_G&amp;L'!E$247:E$306),0)</f>
        <v>0</v>
      </c>
      <c r="F274" s="73">
        <f>IFERROR('Alloy_compnt_G&amp;L'!F274/SUM('Alloy_compnt_G&amp;L'!F$247:F$306),0)</f>
        <v>0</v>
      </c>
      <c r="G274" s="73">
        <f>IFERROR('Alloy_compnt_G&amp;L'!G274/SUM('Alloy_compnt_G&amp;L'!G$247:G$306),0)</f>
        <v>0</v>
      </c>
    </row>
    <row r="275" spans="1:7" x14ac:dyDescent="0.2">
      <c r="A275" s="142" t="s">
        <v>266</v>
      </c>
      <c r="B275" s="73">
        <f>IFERROR('Alloy_compnt_G&amp;L'!B275/SUM('Alloy_compnt_G&amp;L'!B$247:B$306),0)</f>
        <v>0</v>
      </c>
      <c r="C275" s="73">
        <f>IFERROR('Alloy_compnt_G&amp;L'!C275/SUM('Alloy_compnt_G&amp;L'!C$247:C$306),0)</f>
        <v>0</v>
      </c>
      <c r="D275" s="73">
        <f>IFERROR('Alloy_compnt_G&amp;L'!D275/SUM('Alloy_compnt_G&amp;L'!D$247:D$306),0)</f>
        <v>0</v>
      </c>
      <c r="E275" s="73">
        <f>IFERROR('Alloy_compnt_G&amp;L'!E275/SUM('Alloy_compnt_G&amp;L'!E$247:E$306),0)</f>
        <v>0</v>
      </c>
      <c r="F275" s="73">
        <f>IFERROR('Alloy_compnt_G&amp;L'!F275/SUM('Alloy_compnt_G&amp;L'!F$247:F$306),0)</f>
        <v>0</v>
      </c>
      <c r="G275" s="73">
        <f>IFERROR('Alloy_compnt_G&amp;L'!G275/SUM('Alloy_compnt_G&amp;L'!G$247:G$306),0)</f>
        <v>0</v>
      </c>
    </row>
    <row r="276" spans="1:7" x14ac:dyDescent="0.2">
      <c r="A276" s="142" t="s">
        <v>267</v>
      </c>
      <c r="B276" s="73">
        <f>IFERROR('Alloy_compnt_G&amp;L'!B276/SUM('Alloy_compnt_G&amp;L'!B$247:B$306),0)</f>
        <v>0</v>
      </c>
      <c r="C276" s="73">
        <f>IFERROR('Alloy_compnt_G&amp;L'!C276/SUM('Alloy_compnt_G&amp;L'!C$247:C$306),0)</f>
        <v>0</v>
      </c>
      <c r="D276" s="73">
        <f>IFERROR('Alloy_compnt_G&amp;L'!D276/SUM('Alloy_compnt_G&amp;L'!D$247:D$306),0)</f>
        <v>0</v>
      </c>
      <c r="E276" s="73">
        <f>IFERROR('Alloy_compnt_G&amp;L'!E276/SUM('Alloy_compnt_G&amp;L'!E$247:E$306),0)</f>
        <v>0</v>
      </c>
      <c r="F276" s="73">
        <f>IFERROR('Alloy_compnt_G&amp;L'!F276/SUM('Alloy_compnt_G&amp;L'!F$247:F$306),0)</f>
        <v>0</v>
      </c>
      <c r="G276" s="73">
        <f>IFERROR('Alloy_compnt_G&amp;L'!G276/SUM('Alloy_compnt_G&amp;L'!G$247:G$306),0)</f>
        <v>0</v>
      </c>
    </row>
    <row r="277" spans="1:7" x14ac:dyDescent="0.2">
      <c r="A277" s="142" t="s">
        <v>268</v>
      </c>
      <c r="B277" s="73">
        <f>IFERROR('Alloy_compnt_G&amp;L'!B277/SUM('Alloy_compnt_G&amp;L'!B$247:B$306),0)</f>
        <v>0</v>
      </c>
      <c r="C277" s="73">
        <f>IFERROR('Alloy_compnt_G&amp;L'!C277/SUM('Alloy_compnt_G&amp;L'!C$247:C$306),0)</f>
        <v>0</v>
      </c>
      <c r="D277" s="73">
        <f>IFERROR('Alloy_compnt_G&amp;L'!D277/SUM('Alloy_compnt_G&amp;L'!D$247:D$306),0)</f>
        <v>0</v>
      </c>
      <c r="E277" s="73">
        <f>IFERROR('Alloy_compnt_G&amp;L'!E277/SUM('Alloy_compnt_G&amp;L'!E$247:E$306),0)</f>
        <v>0</v>
      </c>
      <c r="F277" s="73">
        <f>IFERROR('Alloy_compnt_G&amp;L'!F277/SUM('Alloy_compnt_G&amp;L'!F$247:F$306),0)</f>
        <v>0</v>
      </c>
      <c r="G277" s="73">
        <f>IFERROR('Alloy_compnt_G&amp;L'!G277/SUM('Alloy_compnt_G&amp;L'!G$247:G$306),0)</f>
        <v>0</v>
      </c>
    </row>
    <row r="278" spans="1:7" x14ac:dyDescent="0.2">
      <c r="A278" s="142" t="s">
        <v>269</v>
      </c>
      <c r="B278" s="73">
        <f>IFERROR('Alloy_compnt_G&amp;L'!B278/SUM('Alloy_compnt_G&amp;L'!B$247:B$306),0)</f>
        <v>0</v>
      </c>
      <c r="C278" s="73">
        <f>IFERROR('Alloy_compnt_G&amp;L'!C278/SUM('Alloy_compnt_G&amp;L'!C$247:C$306),0)</f>
        <v>0</v>
      </c>
      <c r="D278" s="73">
        <f>IFERROR('Alloy_compnt_G&amp;L'!D278/SUM('Alloy_compnt_G&amp;L'!D$247:D$306),0)</f>
        <v>0</v>
      </c>
      <c r="E278" s="73">
        <f>IFERROR('Alloy_compnt_G&amp;L'!E278/SUM('Alloy_compnt_G&amp;L'!E$247:E$306),0)</f>
        <v>0</v>
      </c>
      <c r="F278" s="73">
        <f>IFERROR('Alloy_compnt_G&amp;L'!F278/SUM('Alloy_compnt_G&amp;L'!F$247:F$306),0)</f>
        <v>0</v>
      </c>
      <c r="G278" s="73">
        <f>IFERROR('Alloy_compnt_G&amp;L'!G278/SUM('Alloy_compnt_G&amp;L'!G$247:G$306),0)</f>
        <v>0</v>
      </c>
    </row>
    <row r="279" spans="1:7" x14ac:dyDescent="0.2">
      <c r="A279" s="142" t="s">
        <v>270</v>
      </c>
      <c r="B279" s="73">
        <f>IFERROR('Alloy_compnt_G&amp;L'!B279/SUM('Alloy_compnt_G&amp;L'!B$247:B$306),0)</f>
        <v>0</v>
      </c>
      <c r="C279" s="73">
        <f>IFERROR('Alloy_compnt_G&amp;L'!C279/SUM('Alloy_compnt_G&amp;L'!C$247:C$306),0)</f>
        <v>0</v>
      </c>
      <c r="D279" s="73">
        <f>IFERROR('Alloy_compnt_G&amp;L'!D279/SUM('Alloy_compnt_G&amp;L'!D$247:D$306),0)</f>
        <v>0</v>
      </c>
      <c r="E279" s="73">
        <f>IFERROR('Alloy_compnt_G&amp;L'!E279/SUM('Alloy_compnt_G&amp;L'!E$247:E$306),0)</f>
        <v>0</v>
      </c>
      <c r="F279" s="73">
        <f>IFERROR('Alloy_compnt_G&amp;L'!F279/SUM('Alloy_compnt_G&amp;L'!F$247:F$306),0)</f>
        <v>0</v>
      </c>
      <c r="G279" s="73">
        <f>IFERROR('Alloy_compnt_G&amp;L'!G279/SUM('Alloy_compnt_G&amp;L'!G$247:G$306),0)</f>
        <v>0</v>
      </c>
    </row>
    <row r="280" spans="1:7" x14ac:dyDescent="0.2">
      <c r="A280" s="142" t="s">
        <v>271</v>
      </c>
      <c r="B280" s="73">
        <f>IFERROR('Alloy_compnt_G&amp;L'!B280/SUM('Alloy_compnt_G&amp;L'!B$247:B$306),0)</f>
        <v>0</v>
      </c>
      <c r="C280" s="73">
        <f>IFERROR('Alloy_compnt_G&amp;L'!C280/SUM('Alloy_compnt_G&amp;L'!C$247:C$306),0)</f>
        <v>0</v>
      </c>
      <c r="D280" s="73">
        <f>IFERROR('Alloy_compnt_G&amp;L'!D280/SUM('Alloy_compnt_G&amp;L'!D$247:D$306),0)</f>
        <v>0</v>
      </c>
      <c r="E280" s="73">
        <f>IFERROR('Alloy_compnt_G&amp;L'!E280/SUM('Alloy_compnt_G&amp;L'!E$247:E$306),0)</f>
        <v>0</v>
      </c>
      <c r="F280" s="73">
        <f>IFERROR('Alloy_compnt_G&amp;L'!F280/SUM('Alloy_compnt_G&amp;L'!F$247:F$306),0)</f>
        <v>0</v>
      </c>
      <c r="G280" s="73">
        <f>IFERROR('Alloy_compnt_G&amp;L'!G280/SUM('Alloy_compnt_G&amp;L'!G$247:G$306),0)</f>
        <v>0</v>
      </c>
    </row>
    <row r="281" spans="1:7" x14ac:dyDescent="0.2">
      <c r="A281" s="142" t="s">
        <v>272</v>
      </c>
      <c r="B281" s="73">
        <f>IFERROR('Alloy_compnt_G&amp;L'!B281/SUM('Alloy_compnt_G&amp;L'!B$247:B$306),0)</f>
        <v>0</v>
      </c>
      <c r="C281" s="73">
        <f>IFERROR('Alloy_compnt_G&amp;L'!C281/SUM('Alloy_compnt_G&amp;L'!C$247:C$306),0)</f>
        <v>0</v>
      </c>
      <c r="D281" s="73">
        <f>IFERROR('Alloy_compnt_G&amp;L'!D281/SUM('Alloy_compnt_G&amp;L'!D$247:D$306),0)</f>
        <v>0</v>
      </c>
      <c r="E281" s="73">
        <f>IFERROR('Alloy_compnt_G&amp;L'!E281/SUM('Alloy_compnt_G&amp;L'!E$247:E$306),0)</f>
        <v>0</v>
      </c>
      <c r="F281" s="73">
        <f>IFERROR('Alloy_compnt_G&amp;L'!F281/SUM('Alloy_compnt_G&amp;L'!F$247:F$306),0)</f>
        <v>0</v>
      </c>
      <c r="G281" s="73">
        <f>IFERROR('Alloy_compnt_G&amp;L'!G281/SUM('Alloy_compnt_G&amp;L'!G$247:G$306),0)</f>
        <v>0</v>
      </c>
    </row>
    <row r="282" spans="1:7" x14ac:dyDescent="0.2">
      <c r="A282" s="142" t="s">
        <v>273</v>
      </c>
      <c r="B282" s="73">
        <f>IFERROR('Alloy_compnt_G&amp;L'!B282/SUM('Alloy_compnt_G&amp;L'!B$247:B$306),0)</f>
        <v>0</v>
      </c>
      <c r="C282" s="73">
        <f>IFERROR('Alloy_compnt_G&amp;L'!C282/SUM('Alloy_compnt_G&amp;L'!C$247:C$306),0)</f>
        <v>0</v>
      </c>
      <c r="D282" s="73">
        <f>IFERROR('Alloy_compnt_G&amp;L'!D282/SUM('Alloy_compnt_G&amp;L'!D$247:D$306),0)</f>
        <v>0</v>
      </c>
      <c r="E282" s="73">
        <f>IFERROR('Alloy_compnt_G&amp;L'!E282/SUM('Alloy_compnt_G&amp;L'!E$247:E$306),0)</f>
        <v>0</v>
      </c>
      <c r="F282" s="73">
        <f>IFERROR('Alloy_compnt_G&amp;L'!F282/SUM('Alloy_compnt_G&amp;L'!F$247:F$306),0)</f>
        <v>0</v>
      </c>
      <c r="G282" s="73">
        <f>IFERROR('Alloy_compnt_G&amp;L'!G282/SUM('Alloy_compnt_G&amp;L'!G$247:G$306),0)</f>
        <v>0</v>
      </c>
    </row>
    <row r="283" spans="1:7" x14ac:dyDescent="0.2">
      <c r="A283" s="142" t="s">
        <v>274</v>
      </c>
      <c r="B283" s="73">
        <f>IFERROR('Alloy_compnt_G&amp;L'!B283/SUM('Alloy_compnt_G&amp;L'!B$247:B$306),0)</f>
        <v>0</v>
      </c>
      <c r="C283" s="73">
        <f>IFERROR('Alloy_compnt_G&amp;L'!C283/SUM('Alloy_compnt_G&amp;L'!C$247:C$306),0)</f>
        <v>0</v>
      </c>
      <c r="D283" s="73">
        <f>IFERROR('Alloy_compnt_G&amp;L'!D283/SUM('Alloy_compnt_G&amp;L'!D$247:D$306),0)</f>
        <v>0</v>
      </c>
      <c r="E283" s="73">
        <f>IFERROR('Alloy_compnt_G&amp;L'!E283/SUM('Alloy_compnt_G&amp;L'!E$247:E$306),0)</f>
        <v>0</v>
      </c>
      <c r="F283" s="73">
        <f>IFERROR('Alloy_compnt_G&amp;L'!F283/SUM('Alloy_compnt_G&amp;L'!F$247:F$306),0)</f>
        <v>0</v>
      </c>
      <c r="G283" s="73">
        <f>IFERROR('Alloy_compnt_G&amp;L'!G283/SUM('Alloy_compnt_G&amp;L'!G$247:G$306),0)</f>
        <v>0</v>
      </c>
    </row>
    <row r="284" spans="1:7" x14ac:dyDescent="0.2">
      <c r="A284" s="142" t="s">
        <v>275</v>
      </c>
      <c r="B284" s="73">
        <f>IFERROR('Alloy_compnt_G&amp;L'!B284/SUM('Alloy_compnt_G&amp;L'!B$247:B$306),0)</f>
        <v>0</v>
      </c>
      <c r="C284" s="73">
        <f>IFERROR('Alloy_compnt_G&amp;L'!C284/SUM('Alloy_compnt_G&amp;L'!C$247:C$306),0)</f>
        <v>0</v>
      </c>
      <c r="D284" s="73">
        <f>IFERROR('Alloy_compnt_G&amp;L'!D284/SUM('Alloy_compnt_G&amp;L'!D$247:D$306),0)</f>
        <v>0</v>
      </c>
      <c r="E284" s="73">
        <f>IFERROR('Alloy_compnt_G&amp;L'!E284/SUM('Alloy_compnt_G&amp;L'!E$247:E$306),0)</f>
        <v>0</v>
      </c>
      <c r="F284" s="73">
        <f>IFERROR('Alloy_compnt_G&amp;L'!F284/SUM('Alloy_compnt_G&amp;L'!F$247:F$306),0)</f>
        <v>0</v>
      </c>
      <c r="G284" s="73">
        <f>IFERROR('Alloy_compnt_G&amp;L'!G284/SUM('Alloy_compnt_G&amp;L'!G$247:G$306),0)</f>
        <v>0</v>
      </c>
    </row>
    <row r="285" spans="1:7" x14ac:dyDescent="0.2">
      <c r="A285" s="142" t="s">
        <v>276</v>
      </c>
      <c r="B285" s="73">
        <f>IFERROR('Alloy_compnt_G&amp;L'!B285/SUM('Alloy_compnt_G&amp;L'!B$247:B$306),0)</f>
        <v>0</v>
      </c>
      <c r="C285" s="73">
        <f>IFERROR('Alloy_compnt_G&amp;L'!C285/SUM('Alloy_compnt_G&amp;L'!C$247:C$306),0)</f>
        <v>0</v>
      </c>
      <c r="D285" s="73">
        <f>IFERROR('Alloy_compnt_G&amp;L'!D285/SUM('Alloy_compnt_G&amp;L'!D$247:D$306),0)</f>
        <v>0</v>
      </c>
      <c r="E285" s="73">
        <f>IFERROR('Alloy_compnt_G&amp;L'!E285/SUM('Alloy_compnt_G&amp;L'!E$247:E$306),0)</f>
        <v>0</v>
      </c>
      <c r="F285" s="73">
        <f>IFERROR('Alloy_compnt_G&amp;L'!F285/SUM('Alloy_compnt_G&amp;L'!F$247:F$306),0)</f>
        <v>0</v>
      </c>
      <c r="G285" s="73">
        <f>IFERROR('Alloy_compnt_G&amp;L'!G285/SUM('Alloy_compnt_G&amp;L'!G$247:G$306),0)</f>
        <v>0</v>
      </c>
    </row>
    <row r="286" spans="1:7" x14ac:dyDescent="0.2">
      <c r="A286" s="144" t="s">
        <v>277</v>
      </c>
      <c r="B286" s="73">
        <f>IFERROR('Alloy_compnt_G&amp;L'!B286/SUM('Alloy_compnt_G&amp;L'!B$247:B$306),0)</f>
        <v>0</v>
      </c>
      <c r="C286" s="73">
        <f>IFERROR('Alloy_compnt_G&amp;L'!C286/SUM('Alloy_compnt_G&amp;L'!C$247:C$306),0)</f>
        <v>0</v>
      </c>
      <c r="D286" s="73">
        <f>IFERROR('Alloy_compnt_G&amp;L'!D286/SUM('Alloy_compnt_G&amp;L'!D$247:D$306),0)</f>
        <v>0</v>
      </c>
      <c r="E286" s="73">
        <f>IFERROR('Alloy_compnt_G&amp;L'!E286/SUM('Alloy_compnt_G&amp;L'!E$247:E$306),0)</f>
        <v>0</v>
      </c>
      <c r="F286" s="73">
        <f>IFERROR('Alloy_compnt_G&amp;L'!F286/SUM('Alloy_compnt_G&amp;L'!F$247:F$306),0)</f>
        <v>0</v>
      </c>
      <c r="G286" s="73">
        <f>IFERROR('Alloy_compnt_G&amp;L'!G286/SUM('Alloy_compnt_G&amp;L'!G$247:G$306),0)</f>
        <v>0</v>
      </c>
    </row>
    <row r="287" spans="1:7" x14ac:dyDescent="0.2">
      <c r="A287" s="148" t="s">
        <v>278</v>
      </c>
      <c r="B287" s="73">
        <f>IFERROR('Alloy_compnt_G&amp;L'!B287/SUM('Alloy_compnt_G&amp;L'!B$247:B$306),0)</f>
        <v>0</v>
      </c>
      <c r="C287" s="73">
        <f>IFERROR('Alloy_compnt_G&amp;L'!C287/SUM('Alloy_compnt_G&amp;L'!C$247:C$306),0)</f>
        <v>0</v>
      </c>
      <c r="D287" s="73">
        <f>IFERROR('Alloy_compnt_G&amp;L'!D287/SUM('Alloy_compnt_G&amp;L'!D$247:D$306),0)</f>
        <v>0</v>
      </c>
      <c r="E287" s="73">
        <f>IFERROR('Alloy_compnt_G&amp;L'!E287/SUM('Alloy_compnt_G&amp;L'!E$247:E$306),0)</f>
        <v>0</v>
      </c>
      <c r="F287" s="73">
        <f>IFERROR('Alloy_compnt_G&amp;L'!F287/SUM('Alloy_compnt_G&amp;L'!F$247:F$306),0)</f>
        <v>0</v>
      </c>
      <c r="G287" s="73">
        <f>IFERROR('Alloy_compnt_G&amp;L'!G287/SUM('Alloy_compnt_G&amp;L'!G$247:G$306),0)</f>
        <v>0</v>
      </c>
    </row>
    <row r="288" spans="1:7" x14ac:dyDescent="0.2">
      <c r="A288" s="148" t="s">
        <v>279</v>
      </c>
      <c r="B288" s="73">
        <f>IFERROR('Alloy_compnt_G&amp;L'!B288/SUM('Alloy_compnt_G&amp;L'!B$247:B$306),0)</f>
        <v>0</v>
      </c>
      <c r="C288" s="73">
        <f>IFERROR('Alloy_compnt_G&amp;L'!C288/SUM('Alloy_compnt_G&amp;L'!C$247:C$306),0)</f>
        <v>0</v>
      </c>
      <c r="D288" s="73">
        <f>IFERROR('Alloy_compnt_G&amp;L'!D288/SUM('Alloy_compnt_G&amp;L'!D$247:D$306),0)</f>
        <v>0</v>
      </c>
      <c r="E288" s="73">
        <f>IFERROR('Alloy_compnt_G&amp;L'!E288/SUM('Alloy_compnt_G&amp;L'!E$247:E$306),0)</f>
        <v>0</v>
      </c>
      <c r="F288" s="73">
        <f>IFERROR('Alloy_compnt_G&amp;L'!F288/SUM('Alloy_compnt_G&amp;L'!F$247:F$306),0)</f>
        <v>0</v>
      </c>
      <c r="G288" s="73">
        <f>IFERROR('Alloy_compnt_G&amp;L'!G288/SUM('Alloy_compnt_G&amp;L'!G$247:G$306),0)</f>
        <v>0</v>
      </c>
    </row>
    <row r="289" spans="1:7" x14ac:dyDescent="0.2">
      <c r="A289" s="148" t="s">
        <v>280</v>
      </c>
      <c r="B289" s="73">
        <f>IFERROR('Alloy_compnt_G&amp;L'!B289/SUM('Alloy_compnt_G&amp;L'!B$247:B$306),0)</f>
        <v>0</v>
      </c>
      <c r="C289" s="73">
        <f>IFERROR('Alloy_compnt_G&amp;L'!C289/SUM('Alloy_compnt_G&amp;L'!C$247:C$306),0)</f>
        <v>0</v>
      </c>
      <c r="D289" s="73">
        <f>IFERROR('Alloy_compnt_G&amp;L'!D289/SUM('Alloy_compnt_G&amp;L'!D$247:D$306),0)</f>
        <v>0</v>
      </c>
      <c r="E289" s="73">
        <f>IFERROR('Alloy_compnt_G&amp;L'!E289/SUM('Alloy_compnt_G&amp;L'!E$247:E$306),0)</f>
        <v>0</v>
      </c>
      <c r="F289" s="73">
        <f>IFERROR('Alloy_compnt_G&amp;L'!F289/SUM('Alloy_compnt_G&amp;L'!F$247:F$306),0)</f>
        <v>0</v>
      </c>
      <c r="G289" s="73">
        <f>IFERROR('Alloy_compnt_G&amp;L'!G289/SUM('Alloy_compnt_G&amp;L'!G$247:G$306),0)</f>
        <v>0</v>
      </c>
    </row>
    <row r="290" spans="1:7" x14ac:dyDescent="0.2">
      <c r="A290" s="148" t="s">
        <v>281</v>
      </c>
      <c r="B290" s="73">
        <f>IFERROR('Alloy_compnt_G&amp;L'!B290/SUM('Alloy_compnt_G&amp;L'!B$247:B$306),0)</f>
        <v>0</v>
      </c>
      <c r="C290" s="73">
        <f>IFERROR('Alloy_compnt_G&amp;L'!C290/SUM('Alloy_compnt_G&amp;L'!C$247:C$306),0)</f>
        <v>0</v>
      </c>
      <c r="D290" s="73">
        <f>IFERROR('Alloy_compnt_G&amp;L'!D290/SUM('Alloy_compnt_G&amp;L'!D$247:D$306),0)</f>
        <v>0</v>
      </c>
      <c r="E290" s="73">
        <f>IFERROR('Alloy_compnt_G&amp;L'!E290/SUM('Alloy_compnt_G&amp;L'!E$247:E$306),0)</f>
        <v>0</v>
      </c>
      <c r="F290" s="73">
        <f>IFERROR('Alloy_compnt_G&amp;L'!F290/SUM('Alloy_compnt_G&amp;L'!F$247:F$306),0)</f>
        <v>0</v>
      </c>
      <c r="G290" s="73">
        <f>IFERROR('Alloy_compnt_G&amp;L'!G290/SUM('Alloy_compnt_G&amp;L'!G$247:G$306),0)</f>
        <v>0</v>
      </c>
    </row>
    <row r="291" spans="1:7" x14ac:dyDescent="0.2">
      <c r="A291" s="148" t="s">
        <v>282</v>
      </c>
      <c r="B291" s="73">
        <f>IFERROR('Alloy_compnt_G&amp;L'!B291/SUM('Alloy_compnt_G&amp;L'!B$247:B$306),0)</f>
        <v>0</v>
      </c>
      <c r="C291" s="73">
        <f>IFERROR('Alloy_compnt_G&amp;L'!C291/SUM('Alloy_compnt_G&amp;L'!C$247:C$306),0)</f>
        <v>0</v>
      </c>
      <c r="D291" s="73">
        <f>IFERROR('Alloy_compnt_G&amp;L'!D291/SUM('Alloy_compnt_G&amp;L'!D$247:D$306),0)</f>
        <v>0</v>
      </c>
      <c r="E291" s="73">
        <f>IFERROR('Alloy_compnt_G&amp;L'!E291/SUM('Alloy_compnt_G&amp;L'!E$247:E$306),0)</f>
        <v>0</v>
      </c>
      <c r="F291" s="73">
        <f>IFERROR('Alloy_compnt_G&amp;L'!F291/SUM('Alloy_compnt_G&amp;L'!F$247:F$306),0)</f>
        <v>0</v>
      </c>
      <c r="G291" s="73">
        <f>IFERROR('Alloy_compnt_G&amp;L'!G291/SUM('Alloy_compnt_G&amp;L'!G$247:G$306),0)</f>
        <v>0</v>
      </c>
    </row>
    <row r="292" spans="1:7" x14ac:dyDescent="0.2">
      <c r="A292" s="148" t="s">
        <v>283</v>
      </c>
      <c r="B292" s="73">
        <f>IFERROR('Alloy_compnt_G&amp;L'!B292/SUM('Alloy_compnt_G&amp;L'!B$247:B$306),0)</f>
        <v>0</v>
      </c>
      <c r="C292" s="73">
        <f>IFERROR('Alloy_compnt_G&amp;L'!C292/SUM('Alloy_compnt_G&amp;L'!C$247:C$306),0)</f>
        <v>0</v>
      </c>
      <c r="D292" s="73">
        <f>IFERROR('Alloy_compnt_G&amp;L'!D292/SUM('Alloy_compnt_G&amp;L'!D$247:D$306),0)</f>
        <v>0</v>
      </c>
      <c r="E292" s="73">
        <f>IFERROR('Alloy_compnt_G&amp;L'!E292/SUM('Alloy_compnt_G&amp;L'!E$247:E$306),0)</f>
        <v>0</v>
      </c>
      <c r="F292" s="73">
        <f>IFERROR('Alloy_compnt_G&amp;L'!F292/SUM('Alloy_compnt_G&amp;L'!F$247:F$306),0)</f>
        <v>0</v>
      </c>
      <c r="G292" s="73">
        <f>IFERROR('Alloy_compnt_G&amp;L'!G292/SUM('Alloy_compnt_G&amp;L'!G$247:G$306),0)</f>
        <v>0</v>
      </c>
    </row>
    <row r="293" spans="1:7" x14ac:dyDescent="0.2">
      <c r="A293" s="148" t="s">
        <v>284</v>
      </c>
      <c r="B293" s="73">
        <f>IFERROR('Alloy_compnt_G&amp;L'!B293/SUM('Alloy_compnt_G&amp;L'!B$247:B$306),0)</f>
        <v>0</v>
      </c>
      <c r="C293" s="73">
        <f>IFERROR('Alloy_compnt_G&amp;L'!C293/SUM('Alloy_compnt_G&amp;L'!C$247:C$306),0)</f>
        <v>0</v>
      </c>
      <c r="D293" s="73">
        <f>IFERROR('Alloy_compnt_G&amp;L'!D293/SUM('Alloy_compnt_G&amp;L'!D$247:D$306),0)</f>
        <v>0</v>
      </c>
      <c r="E293" s="73">
        <f>IFERROR('Alloy_compnt_G&amp;L'!E293/SUM('Alloy_compnt_G&amp;L'!E$247:E$306),0)</f>
        <v>0</v>
      </c>
      <c r="F293" s="73">
        <f>IFERROR('Alloy_compnt_G&amp;L'!F293/SUM('Alloy_compnt_G&amp;L'!F$247:F$306),0)</f>
        <v>0</v>
      </c>
      <c r="G293" s="73">
        <f>IFERROR('Alloy_compnt_G&amp;L'!G293/SUM('Alloy_compnt_G&amp;L'!G$247:G$306),0)</f>
        <v>0</v>
      </c>
    </row>
    <row r="294" spans="1:7" x14ac:dyDescent="0.2">
      <c r="A294" s="148" t="s">
        <v>285</v>
      </c>
      <c r="B294" s="73">
        <f>IFERROR('Alloy_compnt_G&amp;L'!B294/SUM('Alloy_compnt_G&amp;L'!B$247:B$306),0)</f>
        <v>0</v>
      </c>
      <c r="C294" s="73">
        <f>IFERROR('Alloy_compnt_G&amp;L'!C294/SUM('Alloy_compnt_G&amp;L'!C$247:C$306),0)</f>
        <v>0</v>
      </c>
      <c r="D294" s="73">
        <f>IFERROR('Alloy_compnt_G&amp;L'!D294/SUM('Alloy_compnt_G&amp;L'!D$247:D$306),0)</f>
        <v>0</v>
      </c>
      <c r="E294" s="73">
        <f>IFERROR('Alloy_compnt_G&amp;L'!E294/SUM('Alloy_compnt_G&amp;L'!E$247:E$306),0)</f>
        <v>0</v>
      </c>
      <c r="F294" s="73">
        <f>IFERROR('Alloy_compnt_G&amp;L'!F294/SUM('Alloy_compnt_G&amp;L'!F$247:F$306),0)</f>
        <v>0</v>
      </c>
      <c r="G294" s="73">
        <f>IFERROR('Alloy_compnt_G&amp;L'!G294/SUM('Alloy_compnt_G&amp;L'!G$247:G$306),0)</f>
        <v>0</v>
      </c>
    </row>
    <row r="295" spans="1:7" x14ac:dyDescent="0.2">
      <c r="A295" s="147" t="s">
        <v>286</v>
      </c>
      <c r="B295" s="73">
        <f>IFERROR('Alloy_compnt_G&amp;L'!B295/SUM('Alloy_compnt_G&amp;L'!B$247:B$306),0)</f>
        <v>0</v>
      </c>
      <c r="C295" s="73">
        <f>IFERROR('Alloy_compnt_G&amp;L'!C295/SUM('Alloy_compnt_G&amp;L'!C$247:C$306),0)</f>
        <v>0</v>
      </c>
      <c r="D295" s="73">
        <f>IFERROR('Alloy_compnt_G&amp;L'!D295/SUM('Alloy_compnt_G&amp;L'!D$247:D$306),0)</f>
        <v>0</v>
      </c>
      <c r="E295" s="73">
        <f>IFERROR('Alloy_compnt_G&amp;L'!E295/SUM('Alloy_compnt_G&amp;L'!E$247:E$306),0)</f>
        <v>0</v>
      </c>
      <c r="F295" s="73">
        <f>IFERROR('Alloy_compnt_G&amp;L'!F295/SUM('Alloy_compnt_G&amp;L'!F$247:F$306),0)</f>
        <v>0</v>
      </c>
      <c r="G295" s="73">
        <f>IFERROR('Alloy_compnt_G&amp;L'!G295/SUM('Alloy_compnt_G&amp;L'!G$247:G$306),0)</f>
        <v>0</v>
      </c>
    </row>
    <row r="296" spans="1:7" x14ac:dyDescent="0.2">
      <c r="A296" s="142" t="s">
        <v>287</v>
      </c>
      <c r="B296" s="73">
        <f>IFERROR('Alloy_compnt_G&amp;L'!B296/SUM('Alloy_compnt_G&amp;L'!B$247:B$306),0)</f>
        <v>0</v>
      </c>
      <c r="C296" s="73">
        <f>IFERROR('Alloy_compnt_G&amp;L'!C296/SUM('Alloy_compnt_G&amp;L'!C$247:C$306),0)</f>
        <v>0</v>
      </c>
      <c r="D296" s="73">
        <f>IFERROR('Alloy_compnt_G&amp;L'!D296/SUM('Alloy_compnt_G&amp;L'!D$247:D$306),0)</f>
        <v>0</v>
      </c>
      <c r="E296" s="73">
        <f>IFERROR('Alloy_compnt_G&amp;L'!E296/SUM('Alloy_compnt_G&amp;L'!E$247:E$306),0)</f>
        <v>0</v>
      </c>
      <c r="F296" s="73">
        <f>IFERROR('Alloy_compnt_G&amp;L'!F296/SUM('Alloy_compnt_G&amp;L'!F$247:F$306),0)</f>
        <v>0</v>
      </c>
      <c r="G296" s="73">
        <f>IFERROR('Alloy_compnt_G&amp;L'!G296/SUM('Alloy_compnt_G&amp;L'!G$247:G$306),0)</f>
        <v>0</v>
      </c>
    </row>
    <row r="297" spans="1:7" x14ac:dyDescent="0.2">
      <c r="A297" s="142" t="s">
        <v>288</v>
      </c>
      <c r="B297" s="73">
        <f>IFERROR('Alloy_compnt_G&amp;L'!B297/SUM('Alloy_compnt_G&amp;L'!B$247:B$306),0)</f>
        <v>0</v>
      </c>
      <c r="C297" s="73">
        <f>IFERROR('Alloy_compnt_G&amp;L'!C297/SUM('Alloy_compnt_G&amp;L'!C$247:C$306),0)</f>
        <v>0</v>
      </c>
      <c r="D297" s="73">
        <f>IFERROR('Alloy_compnt_G&amp;L'!D297/SUM('Alloy_compnt_G&amp;L'!D$247:D$306),0)</f>
        <v>0</v>
      </c>
      <c r="E297" s="73">
        <f>IFERROR('Alloy_compnt_G&amp;L'!E297/SUM('Alloy_compnt_G&amp;L'!E$247:E$306),0)</f>
        <v>0</v>
      </c>
      <c r="F297" s="73">
        <f>IFERROR('Alloy_compnt_G&amp;L'!F297/SUM('Alloy_compnt_G&amp;L'!F$247:F$306),0)</f>
        <v>0</v>
      </c>
      <c r="G297" s="73">
        <f>IFERROR('Alloy_compnt_G&amp;L'!G297/SUM('Alloy_compnt_G&amp;L'!G$247:G$306),0)</f>
        <v>0</v>
      </c>
    </row>
    <row r="298" spans="1:7" x14ac:dyDescent="0.2">
      <c r="A298" s="142" t="s">
        <v>289</v>
      </c>
      <c r="B298" s="73">
        <f>IFERROR('Alloy_compnt_G&amp;L'!B298/SUM('Alloy_compnt_G&amp;L'!B$247:B$306),0)</f>
        <v>0</v>
      </c>
      <c r="C298" s="73">
        <f>IFERROR('Alloy_compnt_G&amp;L'!C298/SUM('Alloy_compnt_G&amp;L'!C$247:C$306),0)</f>
        <v>0</v>
      </c>
      <c r="D298" s="73">
        <f>IFERROR('Alloy_compnt_G&amp;L'!D298/SUM('Alloy_compnt_G&amp;L'!D$247:D$306),0)</f>
        <v>0.24999999999999994</v>
      </c>
      <c r="E298" s="73">
        <f>IFERROR('Alloy_compnt_G&amp;L'!E298/SUM('Alloy_compnt_G&amp;L'!E$247:E$306),0)</f>
        <v>0.25</v>
      </c>
      <c r="F298" s="73">
        <f>IFERROR('Alloy_compnt_G&amp;L'!F298/SUM('Alloy_compnt_G&amp;L'!F$247:F$306),0)</f>
        <v>0.24999999999999994</v>
      </c>
      <c r="G298" s="73">
        <f>IFERROR('Alloy_compnt_G&amp;L'!G298/SUM('Alloy_compnt_G&amp;L'!G$247:G$306),0)</f>
        <v>0.25</v>
      </c>
    </row>
    <row r="299" spans="1:7" x14ac:dyDescent="0.2">
      <c r="A299" s="142" t="s">
        <v>290</v>
      </c>
      <c r="B299" s="73">
        <f>IFERROR('Alloy_compnt_G&amp;L'!B299/SUM('Alloy_compnt_G&amp;L'!B$247:B$306),0)</f>
        <v>0</v>
      </c>
      <c r="C299" s="73">
        <f>IFERROR('Alloy_compnt_G&amp;L'!C299/SUM('Alloy_compnt_G&amp;L'!C$247:C$306),0)</f>
        <v>0</v>
      </c>
      <c r="D299" s="73">
        <f>IFERROR('Alloy_compnt_G&amp;L'!D299/SUM('Alloy_compnt_G&amp;L'!D$247:D$306),0)</f>
        <v>0.24999999999999994</v>
      </c>
      <c r="E299" s="73">
        <f>IFERROR('Alloy_compnt_G&amp;L'!E299/SUM('Alloy_compnt_G&amp;L'!E$247:E$306),0)</f>
        <v>0.25</v>
      </c>
      <c r="F299" s="73">
        <f>IFERROR('Alloy_compnt_G&amp;L'!F299/SUM('Alloy_compnt_G&amp;L'!F$247:F$306),0)</f>
        <v>0.24999999999999994</v>
      </c>
      <c r="G299" s="73">
        <f>IFERROR('Alloy_compnt_G&amp;L'!G299/SUM('Alloy_compnt_G&amp;L'!G$247:G$306),0)</f>
        <v>0.25</v>
      </c>
    </row>
    <row r="300" spans="1:7" x14ac:dyDescent="0.2">
      <c r="A300" s="142" t="s">
        <v>291</v>
      </c>
      <c r="B300" s="73">
        <f>IFERROR('Alloy_compnt_G&amp;L'!B300/SUM('Alloy_compnt_G&amp;L'!B$247:B$306),0)</f>
        <v>0</v>
      </c>
      <c r="C300" s="73">
        <f>IFERROR('Alloy_compnt_G&amp;L'!C300/SUM('Alloy_compnt_G&amp;L'!C$247:C$306),0)</f>
        <v>0</v>
      </c>
      <c r="D300" s="73">
        <f>IFERROR('Alloy_compnt_G&amp;L'!D300/SUM('Alloy_compnt_G&amp;L'!D$247:D$306),0)</f>
        <v>0</v>
      </c>
      <c r="E300" s="73">
        <f>IFERROR('Alloy_compnt_G&amp;L'!E300/SUM('Alloy_compnt_G&amp;L'!E$247:E$306),0)</f>
        <v>0</v>
      </c>
      <c r="F300" s="73">
        <f>IFERROR('Alloy_compnt_G&amp;L'!F300/SUM('Alloy_compnt_G&amp;L'!F$247:F$306),0)</f>
        <v>0</v>
      </c>
      <c r="G300" s="73">
        <f>IFERROR('Alloy_compnt_G&amp;L'!G300/SUM('Alloy_compnt_G&amp;L'!G$247:G$306),0)</f>
        <v>0</v>
      </c>
    </row>
    <row r="301" spans="1:7" x14ac:dyDescent="0.2">
      <c r="A301" s="142" t="s">
        <v>292</v>
      </c>
      <c r="B301" s="73">
        <f>IFERROR('Alloy_compnt_G&amp;L'!B301/SUM('Alloy_compnt_G&amp;L'!B$247:B$306),0)</f>
        <v>0</v>
      </c>
      <c r="C301" s="73">
        <f>IFERROR('Alloy_compnt_G&amp;L'!C301/SUM('Alloy_compnt_G&amp;L'!C$247:C$306),0)</f>
        <v>0</v>
      </c>
      <c r="D301" s="73">
        <f>IFERROR('Alloy_compnt_G&amp;L'!D301/SUM('Alloy_compnt_G&amp;L'!D$247:D$306),0)</f>
        <v>0</v>
      </c>
      <c r="E301" s="73">
        <f>IFERROR('Alloy_compnt_G&amp;L'!E301/SUM('Alloy_compnt_G&amp;L'!E$247:E$306),0)</f>
        <v>0</v>
      </c>
      <c r="F301" s="73">
        <f>IFERROR('Alloy_compnt_G&amp;L'!F301/SUM('Alloy_compnt_G&amp;L'!F$247:F$306),0)</f>
        <v>0</v>
      </c>
      <c r="G301" s="73">
        <f>IFERROR('Alloy_compnt_G&amp;L'!G301/SUM('Alloy_compnt_G&amp;L'!G$247:G$306),0)</f>
        <v>0</v>
      </c>
    </row>
    <row r="302" spans="1:7" x14ac:dyDescent="0.2">
      <c r="A302" s="142" t="s">
        <v>293</v>
      </c>
      <c r="B302" s="73">
        <f>IFERROR('Alloy_compnt_G&amp;L'!B302/SUM('Alloy_compnt_G&amp;L'!B$247:B$306),0)</f>
        <v>0</v>
      </c>
      <c r="C302" s="73">
        <f>IFERROR('Alloy_compnt_G&amp;L'!C302/SUM('Alloy_compnt_G&amp;L'!C$247:C$306),0)</f>
        <v>0</v>
      </c>
      <c r="D302" s="73">
        <f>IFERROR('Alloy_compnt_G&amp;L'!D302/SUM('Alloy_compnt_G&amp;L'!D$247:D$306),0)</f>
        <v>0</v>
      </c>
      <c r="E302" s="73">
        <f>IFERROR('Alloy_compnt_G&amp;L'!E302/SUM('Alloy_compnt_G&amp;L'!E$247:E$306),0)</f>
        <v>0</v>
      </c>
      <c r="F302" s="73">
        <f>IFERROR('Alloy_compnt_G&amp;L'!F302/SUM('Alloy_compnt_G&amp;L'!F$247:F$306),0)</f>
        <v>0</v>
      </c>
      <c r="G302" s="73">
        <f>IFERROR('Alloy_compnt_G&amp;L'!G302/SUM('Alloy_compnt_G&amp;L'!G$247:G$306),0)</f>
        <v>0</v>
      </c>
    </row>
    <row r="303" spans="1:7" x14ac:dyDescent="0.2">
      <c r="A303" s="142" t="s">
        <v>294</v>
      </c>
      <c r="B303" s="73">
        <f>IFERROR('Alloy_compnt_G&amp;L'!B303/SUM('Alloy_compnt_G&amp;L'!B$247:B$306),0)</f>
        <v>0</v>
      </c>
      <c r="C303" s="73">
        <f>IFERROR('Alloy_compnt_G&amp;L'!C303/SUM('Alloy_compnt_G&amp;L'!C$247:C$306),0)</f>
        <v>0</v>
      </c>
      <c r="D303" s="73">
        <f>IFERROR('Alloy_compnt_G&amp;L'!D303/SUM('Alloy_compnt_G&amp;L'!D$247:D$306),0)</f>
        <v>0</v>
      </c>
      <c r="E303" s="73">
        <f>IFERROR('Alloy_compnt_G&amp;L'!E303/SUM('Alloy_compnt_G&amp;L'!E$247:E$306),0)</f>
        <v>0</v>
      </c>
      <c r="F303" s="73">
        <f>IFERROR('Alloy_compnt_G&amp;L'!F303/SUM('Alloy_compnt_G&amp;L'!F$247:F$306),0)</f>
        <v>0</v>
      </c>
      <c r="G303" s="73">
        <f>IFERROR('Alloy_compnt_G&amp;L'!G303/SUM('Alloy_compnt_G&amp;L'!G$247:G$306),0)</f>
        <v>0</v>
      </c>
    </row>
    <row r="304" spans="1:7" x14ac:dyDescent="0.2">
      <c r="A304" s="144" t="s">
        <v>295</v>
      </c>
      <c r="B304" s="73">
        <f>IFERROR('Alloy_compnt_G&amp;L'!B304/SUM('Alloy_compnt_G&amp;L'!B$247:B$306),0)</f>
        <v>0</v>
      </c>
      <c r="C304" s="73">
        <f>IFERROR('Alloy_compnt_G&amp;L'!C304/SUM('Alloy_compnt_G&amp;L'!C$247:C$306),0)</f>
        <v>0</v>
      </c>
      <c r="D304" s="73">
        <f>IFERROR('Alloy_compnt_G&amp;L'!D304/SUM('Alloy_compnt_G&amp;L'!D$247:D$306),0)</f>
        <v>0</v>
      </c>
      <c r="E304" s="73">
        <f>IFERROR('Alloy_compnt_G&amp;L'!E304/SUM('Alloy_compnt_G&amp;L'!E$247:E$306),0)</f>
        <v>0</v>
      </c>
      <c r="F304" s="73">
        <f>IFERROR('Alloy_compnt_G&amp;L'!F304/SUM('Alloy_compnt_G&amp;L'!F$247:F$306),0)</f>
        <v>0</v>
      </c>
      <c r="G304" s="73">
        <f>IFERROR('Alloy_compnt_G&amp;L'!G304/SUM('Alloy_compnt_G&amp;L'!G$247:G$306),0)</f>
        <v>0</v>
      </c>
    </row>
    <row r="305" spans="1:7" x14ac:dyDescent="0.2">
      <c r="A305" s="142" t="s">
        <v>206</v>
      </c>
      <c r="B305" s="73">
        <f>IFERROR('Alloy_compnt_G&amp;L'!B305/SUM('Alloy_compnt_G&amp;L'!B$247:B$306),0)</f>
        <v>0</v>
      </c>
      <c r="C305" s="73">
        <f>IFERROR('Alloy_compnt_G&amp;L'!C305/SUM('Alloy_compnt_G&amp;L'!C$247:C$306),0)</f>
        <v>0</v>
      </c>
      <c r="D305" s="73">
        <f>IFERROR('Alloy_compnt_G&amp;L'!D305/SUM('Alloy_compnt_G&amp;L'!D$247:D$306),0)</f>
        <v>0</v>
      </c>
      <c r="E305" s="73">
        <f>IFERROR('Alloy_compnt_G&amp;L'!E305/SUM('Alloy_compnt_G&amp;L'!E$247:E$306),0)</f>
        <v>0</v>
      </c>
      <c r="F305" s="73">
        <f>IFERROR('Alloy_compnt_G&amp;L'!F305/SUM('Alloy_compnt_G&amp;L'!F$247:F$306),0)</f>
        <v>0</v>
      </c>
      <c r="G305" s="73">
        <f>IFERROR('Alloy_compnt_G&amp;L'!G305/SUM('Alloy_compnt_G&amp;L'!G$247:G$306),0)</f>
        <v>0</v>
      </c>
    </row>
    <row r="306" spans="1:7" ht="17" thickBot="1" x14ac:dyDescent="0.25">
      <c r="A306" s="149" t="s">
        <v>208</v>
      </c>
      <c r="B306" s="73">
        <f>IFERROR('Alloy_compnt_G&amp;L'!B306/SUM('Alloy_compnt_G&amp;L'!B$247:B$306),0)</f>
        <v>0</v>
      </c>
      <c r="C306" s="73">
        <f>IFERROR('Alloy_compnt_G&amp;L'!C306/SUM('Alloy_compnt_G&amp;L'!C$247:C$306),0)</f>
        <v>0</v>
      </c>
      <c r="D306" s="73">
        <f>IFERROR('Alloy_compnt_G&amp;L'!D306/SUM('Alloy_compnt_G&amp;L'!D$247:D$306),0)</f>
        <v>0</v>
      </c>
      <c r="E306" s="73">
        <f>IFERROR('Alloy_compnt_G&amp;L'!E306/SUM('Alloy_compnt_G&amp;L'!E$247:E$306),0)</f>
        <v>0</v>
      </c>
      <c r="F306" s="73">
        <f>IFERROR('Alloy_compnt_G&amp;L'!F306/SUM('Alloy_compnt_G&amp;L'!F$247:F$306),0)</f>
        <v>0</v>
      </c>
      <c r="G306" s="73">
        <f>IFERROR('Alloy_compnt_G&amp;L'!G306/SUM('Alloy_compnt_G&amp;L'!G$247:G$306),0)</f>
        <v>0</v>
      </c>
    </row>
    <row r="307" spans="1:7" ht="17" thickTop="1" x14ac:dyDescent="0.2">
      <c r="A307" s="150" t="s">
        <v>177</v>
      </c>
      <c r="B307" s="54"/>
      <c r="C307" s="54"/>
      <c r="D307" s="54"/>
      <c r="E307" s="54"/>
      <c r="F307" s="54"/>
      <c r="G307" s="54"/>
    </row>
    <row r="308" spans="1:7" x14ac:dyDescent="0.2">
      <c r="A308" s="142" t="s">
        <v>105</v>
      </c>
      <c r="B308" s="73">
        <f>IFERROR('Alloy_compnt_G&amp;L'!B308/SUM('Alloy_compnt_G&amp;L'!B$308:B$367),0)</f>
        <v>0</v>
      </c>
      <c r="C308" s="73">
        <f>IFERROR('Alloy_compnt_G&amp;L'!C308/SUM('Alloy_compnt_G&amp;L'!C$308:C$367),0)</f>
        <v>0</v>
      </c>
      <c r="D308" s="73">
        <f>IFERROR('Alloy_compnt_G&amp;L'!D308/SUM('Alloy_compnt_G&amp;L'!D$308:D$367),0)</f>
        <v>0.10549999999999998</v>
      </c>
      <c r="E308" s="73">
        <f>IFERROR('Alloy_compnt_G&amp;L'!E308/SUM('Alloy_compnt_G&amp;L'!E$308:E$367),0)</f>
        <v>0.1055</v>
      </c>
      <c r="F308" s="73">
        <f>IFERROR('Alloy_compnt_G&amp;L'!F308/SUM('Alloy_compnt_G&amp;L'!F$308:F$367),0)</f>
        <v>0</v>
      </c>
      <c r="G308" s="73">
        <f>IFERROR('Alloy_compnt_G&amp;L'!G308/SUM('Alloy_compnt_G&amp;L'!G$308:G$367),0)</f>
        <v>0</v>
      </c>
    </row>
    <row r="309" spans="1:7" x14ac:dyDescent="0.2">
      <c r="A309" s="142" t="s">
        <v>106</v>
      </c>
      <c r="B309" s="73">
        <f>IFERROR('Alloy_compnt_G&amp;L'!B309/SUM('Alloy_compnt_G&amp;L'!B$308:B$367),0)</f>
        <v>0</v>
      </c>
      <c r="C309" s="73">
        <f>IFERROR('Alloy_compnt_G&amp;L'!C309/SUM('Alloy_compnt_G&amp;L'!C$308:C$367),0)</f>
        <v>0</v>
      </c>
      <c r="D309" s="73">
        <f>IFERROR('Alloy_compnt_G&amp;L'!D309/SUM('Alloy_compnt_G&amp;L'!D$308:D$367),0)</f>
        <v>9.5499999999999988E-2</v>
      </c>
      <c r="E309" s="73">
        <f>IFERROR('Alloy_compnt_G&amp;L'!E309/SUM('Alloy_compnt_G&amp;L'!E$308:E$367),0)</f>
        <v>9.5500000000000002E-2</v>
      </c>
      <c r="F309" s="73">
        <f>IFERROR('Alloy_compnt_G&amp;L'!F309/SUM('Alloy_compnt_G&amp;L'!F$308:F$367),0)</f>
        <v>0</v>
      </c>
      <c r="G309" s="73">
        <f>IFERROR('Alloy_compnt_G&amp;L'!G309/SUM('Alloy_compnt_G&amp;L'!G$308:G$367),0)</f>
        <v>0</v>
      </c>
    </row>
    <row r="310" spans="1:7" x14ac:dyDescent="0.2">
      <c r="A310" s="142" t="s">
        <v>107</v>
      </c>
      <c r="B310" s="73">
        <f>IFERROR('Alloy_compnt_G&amp;L'!B310/SUM('Alloy_compnt_G&amp;L'!B$308:B$367),0)</f>
        <v>0</v>
      </c>
      <c r="C310" s="73">
        <f>IFERROR('Alloy_compnt_G&amp;L'!C310/SUM('Alloy_compnt_G&amp;L'!C$308:C$367),0)</f>
        <v>0</v>
      </c>
      <c r="D310" s="73">
        <f>IFERROR('Alloy_compnt_G&amp;L'!D310/SUM('Alloy_compnt_G&amp;L'!D$308:D$367),0)</f>
        <v>0.29899999999999999</v>
      </c>
      <c r="E310" s="73">
        <f>IFERROR('Alloy_compnt_G&amp;L'!E310/SUM('Alloy_compnt_G&amp;L'!E$308:E$367),0)</f>
        <v>0.29900000000000004</v>
      </c>
      <c r="F310" s="73">
        <f>IFERROR('Alloy_compnt_G&amp;L'!F310/SUM('Alloy_compnt_G&amp;L'!F$308:F$367),0)</f>
        <v>0</v>
      </c>
      <c r="G310" s="73">
        <f>IFERROR('Alloy_compnt_G&amp;L'!G310/SUM('Alloy_compnt_G&amp;L'!G$308:G$367),0)</f>
        <v>0</v>
      </c>
    </row>
    <row r="311" spans="1:7" x14ac:dyDescent="0.2">
      <c r="A311" s="142" t="s">
        <v>91</v>
      </c>
      <c r="B311" s="73">
        <f>IFERROR('Alloy_compnt_G&amp;L'!B311/SUM('Alloy_compnt_G&amp;L'!B$308:B$367),0)</f>
        <v>0</v>
      </c>
      <c r="C311" s="73">
        <f>IFERROR('Alloy_compnt_G&amp;L'!C311/SUM('Alloy_compnt_G&amp;L'!C$308:C$367),0)</f>
        <v>0</v>
      </c>
      <c r="D311" s="73">
        <f>IFERROR('Alloy_compnt_G&amp;L'!D311/SUM('Alloy_compnt_G&amp;L'!D$308:D$367),0)</f>
        <v>0</v>
      </c>
      <c r="E311" s="73">
        <f>IFERROR('Alloy_compnt_G&amp;L'!E311/SUM('Alloy_compnt_G&amp;L'!E$308:E$367),0)</f>
        <v>0</v>
      </c>
      <c r="F311" s="73">
        <f>IFERROR('Alloy_compnt_G&amp;L'!F311/SUM('Alloy_compnt_G&amp;L'!F$308:F$367),0)</f>
        <v>0</v>
      </c>
      <c r="G311" s="73">
        <f>IFERROR('Alloy_compnt_G&amp;L'!G311/SUM('Alloy_compnt_G&amp;L'!G$308:G$367),0)</f>
        <v>0</v>
      </c>
    </row>
    <row r="312" spans="1:7" x14ac:dyDescent="0.2">
      <c r="A312" s="142" t="s">
        <v>204</v>
      </c>
      <c r="B312" s="73">
        <f>IFERROR('Alloy_compnt_G&amp;L'!B312/SUM('Alloy_compnt_G&amp;L'!B$308:B$367),0)</f>
        <v>0</v>
      </c>
      <c r="C312" s="73">
        <f>IFERROR('Alloy_compnt_G&amp;L'!C312/SUM('Alloy_compnt_G&amp;L'!C$308:C$367),0)</f>
        <v>0</v>
      </c>
      <c r="D312" s="73">
        <f>IFERROR('Alloy_compnt_G&amp;L'!D312/SUM('Alloy_compnt_G&amp;L'!D$308:D$367),0)</f>
        <v>0</v>
      </c>
      <c r="E312" s="73">
        <f>IFERROR('Alloy_compnt_G&amp;L'!E312/SUM('Alloy_compnt_G&amp;L'!E$308:E$367),0)</f>
        <v>0</v>
      </c>
      <c r="F312" s="73">
        <f>IFERROR('Alloy_compnt_G&amp;L'!F312/SUM('Alloy_compnt_G&amp;L'!F$308:F$367),0)</f>
        <v>0</v>
      </c>
      <c r="G312" s="73">
        <f>IFERROR('Alloy_compnt_G&amp;L'!G312/SUM('Alloy_compnt_G&amp;L'!G$308:G$367),0)</f>
        <v>0</v>
      </c>
    </row>
    <row r="313" spans="1:7" x14ac:dyDescent="0.2">
      <c r="A313" s="144" t="s">
        <v>104</v>
      </c>
      <c r="B313" s="73">
        <f>IFERROR('Alloy_compnt_G&amp;L'!B313/SUM('Alloy_compnt_G&amp;L'!B$308:B$367),0)</f>
        <v>0</v>
      </c>
      <c r="C313" s="73">
        <f>IFERROR('Alloy_compnt_G&amp;L'!C313/SUM('Alloy_compnt_G&amp;L'!C$308:C$367),0)</f>
        <v>0</v>
      </c>
      <c r="D313" s="73">
        <f>IFERROR('Alloy_compnt_G&amp;L'!D313/SUM('Alloy_compnt_G&amp;L'!D$308:D$367),0)</f>
        <v>0</v>
      </c>
      <c r="E313" s="73">
        <f>IFERROR('Alloy_compnt_G&amp;L'!E313/SUM('Alloy_compnt_G&amp;L'!E$308:E$367),0)</f>
        <v>0</v>
      </c>
      <c r="F313" s="73">
        <f>IFERROR('Alloy_compnt_G&amp;L'!F313/SUM('Alloy_compnt_G&amp;L'!F$308:F$367),0)</f>
        <v>0</v>
      </c>
      <c r="G313" s="73">
        <f>IFERROR('Alloy_compnt_G&amp;L'!G313/SUM('Alloy_compnt_G&amp;L'!G$308:G$367),0)</f>
        <v>0</v>
      </c>
    </row>
    <row r="314" spans="1:7" x14ac:dyDescent="0.2">
      <c r="A314" s="145" t="s">
        <v>244</v>
      </c>
      <c r="B314" s="73">
        <f>IFERROR('Alloy_compnt_G&amp;L'!B314/SUM('Alloy_compnt_G&amp;L'!B$308:B$367),0)</f>
        <v>0</v>
      </c>
      <c r="C314" s="73">
        <f>IFERROR('Alloy_compnt_G&amp;L'!C314/SUM('Alloy_compnt_G&amp;L'!C$308:C$367),0)</f>
        <v>0</v>
      </c>
      <c r="D314" s="73">
        <f>IFERROR('Alloy_compnt_G&amp;L'!D314/SUM('Alloy_compnt_G&amp;L'!D$308:D$367),0)</f>
        <v>0</v>
      </c>
      <c r="E314" s="73">
        <f>IFERROR('Alloy_compnt_G&amp;L'!E314/SUM('Alloy_compnt_G&amp;L'!E$308:E$367),0)</f>
        <v>0</v>
      </c>
      <c r="F314" s="73">
        <f>IFERROR('Alloy_compnt_G&amp;L'!F314/SUM('Alloy_compnt_G&amp;L'!F$308:F$367),0)</f>
        <v>0</v>
      </c>
      <c r="G314" s="73">
        <f>IFERROR('Alloy_compnt_G&amp;L'!G314/SUM('Alloy_compnt_G&amp;L'!G$308:G$367),0)</f>
        <v>0</v>
      </c>
    </row>
    <row r="315" spans="1:7" x14ac:dyDescent="0.2">
      <c r="A315" s="145" t="s">
        <v>245</v>
      </c>
      <c r="B315" s="73">
        <f>IFERROR('Alloy_compnt_G&amp;L'!B315/SUM('Alloy_compnt_G&amp;L'!B$308:B$367),0)</f>
        <v>0</v>
      </c>
      <c r="C315" s="73">
        <f>IFERROR('Alloy_compnt_G&amp;L'!C315/SUM('Alloy_compnt_G&amp;L'!C$308:C$367),0)</f>
        <v>0</v>
      </c>
      <c r="D315" s="73">
        <f>IFERROR('Alloy_compnt_G&amp;L'!D315/SUM('Alloy_compnt_G&amp;L'!D$308:D$367),0)</f>
        <v>0</v>
      </c>
      <c r="E315" s="73">
        <f>IFERROR('Alloy_compnt_G&amp;L'!E315/SUM('Alloy_compnt_G&amp;L'!E$308:E$367),0)</f>
        <v>0</v>
      </c>
      <c r="F315" s="73">
        <f>IFERROR('Alloy_compnt_G&amp;L'!F315/SUM('Alloy_compnt_G&amp;L'!F$308:F$367),0)</f>
        <v>0</v>
      </c>
      <c r="G315" s="73">
        <f>IFERROR('Alloy_compnt_G&amp;L'!G315/SUM('Alloy_compnt_G&amp;L'!G$308:G$367),0)</f>
        <v>0</v>
      </c>
    </row>
    <row r="316" spans="1:7" x14ac:dyDescent="0.2">
      <c r="A316" s="145" t="s">
        <v>246</v>
      </c>
      <c r="B316" s="73">
        <f>IFERROR('Alloy_compnt_G&amp;L'!B316/SUM('Alloy_compnt_G&amp;L'!B$308:B$367),0)</f>
        <v>0</v>
      </c>
      <c r="C316" s="73">
        <f>IFERROR('Alloy_compnt_G&amp;L'!C316/SUM('Alloy_compnt_G&amp;L'!C$308:C$367),0)</f>
        <v>0</v>
      </c>
      <c r="D316" s="73">
        <f>IFERROR('Alloy_compnt_G&amp;L'!D316/SUM('Alloy_compnt_G&amp;L'!D$308:D$367),0)</f>
        <v>0</v>
      </c>
      <c r="E316" s="73">
        <f>IFERROR('Alloy_compnt_G&amp;L'!E316/SUM('Alloy_compnt_G&amp;L'!E$308:E$367),0)</f>
        <v>0</v>
      </c>
      <c r="F316" s="73">
        <f>IFERROR('Alloy_compnt_G&amp;L'!F316/SUM('Alloy_compnt_G&amp;L'!F$308:F$367),0)</f>
        <v>0</v>
      </c>
      <c r="G316" s="73">
        <f>IFERROR('Alloy_compnt_G&amp;L'!G316/SUM('Alloy_compnt_G&amp;L'!G$308:G$367),0)</f>
        <v>0</v>
      </c>
    </row>
    <row r="317" spans="1:7" x14ac:dyDescent="0.2">
      <c r="A317" s="145" t="s">
        <v>247</v>
      </c>
      <c r="B317" s="73">
        <f>IFERROR('Alloy_compnt_G&amp;L'!B317/SUM('Alloy_compnt_G&amp;L'!B$308:B$367),0)</f>
        <v>0</v>
      </c>
      <c r="C317" s="73">
        <f>IFERROR('Alloy_compnt_G&amp;L'!C317/SUM('Alloy_compnt_G&amp;L'!C$308:C$367),0)</f>
        <v>0</v>
      </c>
      <c r="D317" s="73">
        <f>IFERROR('Alloy_compnt_G&amp;L'!D317/SUM('Alloy_compnt_G&amp;L'!D$308:D$367),0)</f>
        <v>0</v>
      </c>
      <c r="E317" s="73">
        <f>IFERROR('Alloy_compnt_G&amp;L'!E317/SUM('Alloy_compnt_G&amp;L'!E$308:E$367),0)</f>
        <v>0</v>
      </c>
      <c r="F317" s="73">
        <f>IFERROR('Alloy_compnt_G&amp;L'!F317/SUM('Alloy_compnt_G&amp;L'!F$308:F$367),0)</f>
        <v>0</v>
      </c>
      <c r="G317" s="73">
        <f>IFERROR('Alloy_compnt_G&amp;L'!G317/SUM('Alloy_compnt_G&amp;L'!G$308:G$367),0)</f>
        <v>0</v>
      </c>
    </row>
    <row r="318" spans="1:7" x14ac:dyDescent="0.2">
      <c r="A318" s="145" t="s">
        <v>248</v>
      </c>
      <c r="B318" s="73">
        <f>IFERROR('Alloy_compnt_G&amp;L'!B318/SUM('Alloy_compnt_G&amp;L'!B$308:B$367),0)</f>
        <v>0</v>
      </c>
      <c r="C318" s="73">
        <f>IFERROR('Alloy_compnt_G&amp;L'!C318/SUM('Alloy_compnt_G&amp;L'!C$308:C$367),0)</f>
        <v>0</v>
      </c>
      <c r="D318" s="73">
        <f>IFERROR('Alloy_compnt_G&amp;L'!D318/SUM('Alloy_compnt_G&amp;L'!D$308:D$367),0)</f>
        <v>0</v>
      </c>
      <c r="E318" s="73">
        <f>IFERROR('Alloy_compnt_G&amp;L'!E318/SUM('Alloy_compnt_G&amp;L'!E$308:E$367),0)</f>
        <v>0</v>
      </c>
      <c r="F318" s="73">
        <f>IFERROR('Alloy_compnt_G&amp;L'!F318/SUM('Alloy_compnt_G&amp;L'!F$308:F$367),0)</f>
        <v>0</v>
      </c>
      <c r="G318" s="73">
        <f>IFERROR('Alloy_compnt_G&amp;L'!G318/SUM('Alloy_compnt_G&amp;L'!G$308:G$367),0)</f>
        <v>0</v>
      </c>
    </row>
    <row r="319" spans="1:7" x14ac:dyDescent="0.2">
      <c r="A319" s="145" t="s">
        <v>249</v>
      </c>
      <c r="B319" s="73">
        <f>IFERROR('Alloy_compnt_G&amp;L'!B319/SUM('Alloy_compnt_G&amp;L'!B$308:B$367),0)</f>
        <v>0</v>
      </c>
      <c r="C319" s="73">
        <f>IFERROR('Alloy_compnt_G&amp;L'!C319/SUM('Alloy_compnt_G&amp;L'!C$308:C$367),0)</f>
        <v>0</v>
      </c>
      <c r="D319" s="73">
        <f>IFERROR('Alloy_compnt_G&amp;L'!D319/SUM('Alloy_compnt_G&amp;L'!D$308:D$367),0)</f>
        <v>0</v>
      </c>
      <c r="E319" s="73">
        <f>IFERROR('Alloy_compnt_G&amp;L'!E319/SUM('Alloy_compnt_G&amp;L'!E$308:E$367),0)</f>
        <v>0</v>
      </c>
      <c r="F319" s="73">
        <f>IFERROR('Alloy_compnt_G&amp;L'!F319/SUM('Alloy_compnt_G&amp;L'!F$308:F$367),0)</f>
        <v>0</v>
      </c>
      <c r="G319" s="73">
        <f>IFERROR('Alloy_compnt_G&amp;L'!G319/SUM('Alloy_compnt_G&amp;L'!G$308:G$367),0)</f>
        <v>0</v>
      </c>
    </row>
    <row r="320" spans="1:7" x14ac:dyDescent="0.2">
      <c r="A320" s="145" t="s">
        <v>250</v>
      </c>
      <c r="B320" s="73">
        <f>IFERROR('Alloy_compnt_G&amp;L'!B320/SUM('Alloy_compnt_G&amp;L'!B$308:B$367),0)</f>
        <v>0</v>
      </c>
      <c r="C320" s="73">
        <f>IFERROR('Alloy_compnt_G&amp;L'!C320/SUM('Alloy_compnt_G&amp;L'!C$308:C$367),0)</f>
        <v>0</v>
      </c>
      <c r="D320" s="73">
        <f>IFERROR('Alloy_compnt_G&amp;L'!D320/SUM('Alloy_compnt_G&amp;L'!D$308:D$367),0)</f>
        <v>0</v>
      </c>
      <c r="E320" s="73">
        <f>IFERROR('Alloy_compnt_G&amp;L'!E320/SUM('Alloy_compnt_G&amp;L'!E$308:E$367),0)</f>
        <v>0</v>
      </c>
      <c r="F320" s="73">
        <f>IFERROR('Alloy_compnt_G&amp;L'!F320/SUM('Alloy_compnt_G&amp;L'!F$308:F$367),0)</f>
        <v>0</v>
      </c>
      <c r="G320" s="73">
        <f>IFERROR('Alloy_compnt_G&amp;L'!G320/SUM('Alloy_compnt_G&amp;L'!G$308:G$367),0)</f>
        <v>0</v>
      </c>
    </row>
    <row r="321" spans="1:7" x14ac:dyDescent="0.2">
      <c r="A321" s="145" t="s">
        <v>251</v>
      </c>
      <c r="B321" s="73">
        <f>IFERROR('Alloy_compnt_G&amp;L'!B321/SUM('Alloy_compnt_G&amp;L'!B$308:B$367),0)</f>
        <v>0</v>
      </c>
      <c r="C321" s="73">
        <f>IFERROR('Alloy_compnt_G&amp;L'!C321/SUM('Alloy_compnt_G&amp;L'!C$308:C$367),0)</f>
        <v>0</v>
      </c>
      <c r="D321" s="73">
        <f>IFERROR('Alloy_compnt_G&amp;L'!D321/SUM('Alloy_compnt_G&amp;L'!D$308:D$367),0)</f>
        <v>0</v>
      </c>
      <c r="E321" s="73">
        <f>IFERROR('Alloy_compnt_G&amp;L'!E321/SUM('Alloy_compnt_G&amp;L'!E$308:E$367),0)</f>
        <v>0</v>
      </c>
      <c r="F321" s="73">
        <f>IFERROR('Alloy_compnt_G&amp;L'!F321/SUM('Alloy_compnt_G&amp;L'!F$308:F$367),0)</f>
        <v>0</v>
      </c>
      <c r="G321" s="73">
        <f>IFERROR('Alloy_compnt_G&amp;L'!G321/SUM('Alloy_compnt_G&amp;L'!G$308:G$367),0)</f>
        <v>0</v>
      </c>
    </row>
    <row r="322" spans="1:7" x14ac:dyDescent="0.2">
      <c r="A322" s="145" t="s">
        <v>252</v>
      </c>
      <c r="B322" s="73">
        <f>IFERROR('Alloy_compnt_G&amp;L'!B322/SUM('Alloy_compnt_G&amp;L'!B$308:B$367),0)</f>
        <v>0</v>
      </c>
      <c r="C322" s="73">
        <f>IFERROR('Alloy_compnt_G&amp;L'!C322/SUM('Alloy_compnt_G&amp;L'!C$308:C$367),0)</f>
        <v>0</v>
      </c>
      <c r="D322" s="73">
        <f>IFERROR('Alloy_compnt_G&amp;L'!D322/SUM('Alloy_compnt_G&amp;L'!D$308:D$367),0)</f>
        <v>0</v>
      </c>
      <c r="E322" s="73">
        <f>IFERROR('Alloy_compnt_G&amp;L'!E322/SUM('Alloy_compnt_G&amp;L'!E$308:E$367),0)</f>
        <v>0</v>
      </c>
      <c r="F322" s="73">
        <f>IFERROR('Alloy_compnt_G&amp;L'!F322/SUM('Alloy_compnt_G&amp;L'!F$308:F$367),0)</f>
        <v>0</v>
      </c>
      <c r="G322" s="73">
        <f>IFERROR('Alloy_compnt_G&amp;L'!G322/SUM('Alloy_compnt_G&amp;L'!G$308:G$367),0)</f>
        <v>0</v>
      </c>
    </row>
    <row r="323" spans="1:7" x14ac:dyDescent="0.2">
      <c r="A323" s="145" t="s">
        <v>253</v>
      </c>
      <c r="B323" s="73">
        <f>IFERROR('Alloy_compnt_G&amp;L'!B323/SUM('Alloy_compnt_G&amp;L'!B$308:B$367),0)</f>
        <v>0</v>
      </c>
      <c r="C323" s="73">
        <f>IFERROR('Alloy_compnt_G&amp;L'!C323/SUM('Alloy_compnt_G&amp;L'!C$308:C$367),0)</f>
        <v>0</v>
      </c>
      <c r="D323" s="73">
        <f>IFERROR('Alloy_compnt_G&amp;L'!D323/SUM('Alloy_compnt_G&amp;L'!D$308:D$367),0)</f>
        <v>0</v>
      </c>
      <c r="E323" s="73">
        <f>IFERROR('Alloy_compnt_G&amp;L'!E323/SUM('Alloy_compnt_G&amp;L'!E$308:E$367),0)</f>
        <v>0</v>
      </c>
      <c r="F323" s="73">
        <f>IFERROR('Alloy_compnt_G&amp;L'!F323/SUM('Alloy_compnt_G&amp;L'!F$308:F$367),0)</f>
        <v>0</v>
      </c>
      <c r="G323" s="73">
        <f>IFERROR('Alloy_compnt_G&amp;L'!G323/SUM('Alloy_compnt_G&amp;L'!G$308:G$367),0)</f>
        <v>0</v>
      </c>
    </row>
    <row r="324" spans="1:7" x14ac:dyDescent="0.2">
      <c r="A324" s="145" t="s">
        <v>254</v>
      </c>
      <c r="B324" s="73">
        <f>IFERROR('Alloy_compnt_G&amp;L'!B324/SUM('Alloy_compnt_G&amp;L'!B$308:B$367),0)</f>
        <v>0</v>
      </c>
      <c r="C324" s="73">
        <f>IFERROR('Alloy_compnt_G&amp;L'!C324/SUM('Alloy_compnt_G&amp;L'!C$308:C$367),0)</f>
        <v>0</v>
      </c>
      <c r="D324" s="73">
        <f>IFERROR('Alloy_compnt_G&amp;L'!D324/SUM('Alloy_compnt_G&amp;L'!D$308:D$367),0)</f>
        <v>0</v>
      </c>
      <c r="E324" s="73">
        <f>IFERROR('Alloy_compnt_G&amp;L'!E324/SUM('Alloy_compnt_G&amp;L'!E$308:E$367),0)</f>
        <v>0</v>
      </c>
      <c r="F324" s="73">
        <f>IFERROR('Alloy_compnt_G&amp;L'!F324/SUM('Alloy_compnt_G&amp;L'!F$308:F$367),0)</f>
        <v>0</v>
      </c>
      <c r="G324" s="73">
        <f>IFERROR('Alloy_compnt_G&amp;L'!G324/SUM('Alloy_compnt_G&amp;L'!G$308:G$367),0)</f>
        <v>0</v>
      </c>
    </row>
    <row r="325" spans="1:7" x14ac:dyDescent="0.2">
      <c r="A325" s="146" t="s">
        <v>255</v>
      </c>
      <c r="B325" s="73">
        <f>IFERROR('Alloy_compnt_G&amp;L'!B325/SUM('Alloy_compnt_G&amp;L'!B$308:B$367),0)</f>
        <v>0</v>
      </c>
      <c r="C325" s="73">
        <f>IFERROR('Alloy_compnt_G&amp;L'!C325/SUM('Alloy_compnt_G&amp;L'!C$308:C$367),0)</f>
        <v>0</v>
      </c>
      <c r="D325" s="73">
        <f>IFERROR('Alloy_compnt_G&amp;L'!D325/SUM('Alloy_compnt_G&amp;L'!D$308:D$367),0)</f>
        <v>0</v>
      </c>
      <c r="E325" s="73">
        <f>IFERROR('Alloy_compnt_G&amp;L'!E325/SUM('Alloy_compnt_G&amp;L'!E$308:E$367),0)</f>
        <v>0</v>
      </c>
      <c r="F325" s="73">
        <f>IFERROR('Alloy_compnt_G&amp;L'!F325/SUM('Alloy_compnt_G&amp;L'!F$308:F$367),0)</f>
        <v>0</v>
      </c>
      <c r="G325" s="73">
        <f>IFERROR('Alloy_compnt_G&amp;L'!G325/SUM('Alloy_compnt_G&amp;L'!G$308:G$367),0)</f>
        <v>0</v>
      </c>
    </row>
    <row r="326" spans="1:7" x14ac:dyDescent="0.2">
      <c r="A326" s="145" t="s">
        <v>256</v>
      </c>
      <c r="B326" s="73">
        <f>IFERROR('Alloy_compnt_G&amp;L'!B326/SUM('Alloy_compnt_G&amp;L'!B$308:B$367),0)</f>
        <v>0</v>
      </c>
      <c r="C326" s="73">
        <f>IFERROR('Alloy_compnt_G&amp;L'!C326/SUM('Alloy_compnt_G&amp;L'!C$308:C$367),0)</f>
        <v>0</v>
      </c>
      <c r="D326" s="73">
        <f>IFERROR('Alloy_compnt_G&amp;L'!D326/SUM('Alloy_compnt_G&amp;L'!D$308:D$367),0)</f>
        <v>0</v>
      </c>
      <c r="E326" s="73">
        <f>IFERROR('Alloy_compnt_G&amp;L'!E326/SUM('Alloy_compnt_G&amp;L'!E$308:E$367),0)</f>
        <v>0</v>
      </c>
      <c r="F326" s="73">
        <f>IFERROR('Alloy_compnt_G&amp;L'!F326/SUM('Alloy_compnt_G&amp;L'!F$308:F$367),0)</f>
        <v>0</v>
      </c>
      <c r="G326" s="73">
        <f>IFERROR('Alloy_compnt_G&amp;L'!G326/SUM('Alloy_compnt_G&amp;L'!G$308:G$367),0)</f>
        <v>0</v>
      </c>
    </row>
    <row r="327" spans="1:7" x14ac:dyDescent="0.2">
      <c r="A327" s="145" t="s">
        <v>257</v>
      </c>
      <c r="B327" s="73">
        <f>IFERROR('Alloy_compnt_G&amp;L'!B327/SUM('Alloy_compnt_G&amp;L'!B$308:B$367),0)</f>
        <v>0</v>
      </c>
      <c r="C327" s="73">
        <f>IFERROR('Alloy_compnt_G&amp;L'!C327/SUM('Alloy_compnt_G&amp;L'!C$308:C$367),0)</f>
        <v>0</v>
      </c>
      <c r="D327" s="73">
        <f>IFERROR('Alloy_compnt_G&amp;L'!D327/SUM('Alloy_compnt_G&amp;L'!D$308:D$367),0)</f>
        <v>0</v>
      </c>
      <c r="E327" s="73">
        <f>IFERROR('Alloy_compnt_G&amp;L'!E327/SUM('Alloy_compnt_G&amp;L'!E$308:E$367),0)</f>
        <v>0</v>
      </c>
      <c r="F327" s="73">
        <f>IFERROR('Alloy_compnt_G&amp;L'!F327/SUM('Alloy_compnt_G&amp;L'!F$308:F$367),0)</f>
        <v>0</v>
      </c>
      <c r="G327" s="73">
        <f>IFERROR('Alloy_compnt_G&amp;L'!G327/SUM('Alloy_compnt_G&amp;L'!G$308:G$367),0)</f>
        <v>0</v>
      </c>
    </row>
    <row r="328" spans="1:7" x14ac:dyDescent="0.2">
      <c r="A328" s="145" t="s">
        <v>258</v>
      </c>
      <c r="B328" s="73">
        <f>IFERROR('Alloy_compnt_G&amp;L'!B328/SUM('Alloy_compnt_G&amp;L'!B$308:B$367),0)</f>
        <v>0</v>
      </c>
      <c r="C328" s="73">
        <f>IFERROR('Alloy_compnt_G&amp;L'!C328/SUM('Alloy_compnt_G&amp;L'!C$308:C$367),0)</f>
        <v>0</v>
      </c>
      <c r="D328" s="73">
        <f>IFERROR('Alloy_compnt_G&amp;L'!D328/SUM('Alloy_compnt_G&amp;L'!D$308:D$367),0)</f>
        <v>0</v>
      </c>
      <c r="E328" s="73">
        <f>IFERROR('Alloy_compnt_G&amp;L'!E328/SUM('Alloy_compnt_G&amp;L'!E$308:E$367),0)</f>
        <v>0</v>
      </c>
      <c r="F328" s="73">
        <f>IFERROR('Alloy_compnt_G&amp;L'!F328/SUM('Alloy_compnt_G&amp;L'!F$308:F$367),0)</f>
        <v>0</v>
      </c>
      <c r="G328" s="73">
        <f>IFERROR('Alloy_compnt_G&amp;L'!G328/SUM('Alloy_compnt_G&amp;L'!G$308:G$367),0)</f>
        <v>0</v>
      </c>
    </row>
    <row r="329" spans="1:7" x14ac:dyDescent="0.2">
      <c r="A329" s="142" t="s">
        <v>259</v>
      </c>
      <c r="B329" s="73">
        <f>IFERROR('Alloy_compnt_G&amp;L'!B329/SUM('Alloy_compnt_G&amp;L'!B$308:B$367),0)</f>
        <v>0</v>
      </c>
      <c r="C329" s="73">
        <f>IFERROR('Alloy_compnt_G&amp;L'!C329/SUM('Alloy_compnt_G&amp;L'!C$308:C$367),0)</f>
        <v>0</v>
      </c>
      <c r="D329" s="73">
        <f>IFERROR('Alloy_compnt_G&amp;L'!D329/SUM('Alloy_compnt_G&amp;L'!D$308:D$367),0)</f>
        <v>0</v>
      </c>
      <c r="E329" s="73">
        <f>IFERROR('Alloy_compnt_G&amp;L'!E329/SUM('Alloy_compnt_G&amp;L'!E$308:E$367),0)</f>
        <v>0</v>
      </c>
      <c r="F329" s="73">
        <f>IFERROR('Alloy_compnt_G&amp;L'!F329/SUM('Alloy_compnt_G&amp;L'!F$308:F$367),0)</f>
        <v>0</v>
      </c>
      <c r="G329" s="73">
        <f>IFERROR('Alloy_compnt_G&amp;L'!G329/SUM('Alloy_compnt_G&amp;L'!G$308:G$367),0)</f>
        <v>0</v>
      </c>
    </row>
    <row r="330" spans="1:7" x14ac:dyDescent="0.2">
      <c r="A330" s="147" t="s">
        <v>260</v>
      </c>
      <c r="B330" s="73">
        <f>IFERROR('Alloy_compnt_G&amp;L'!B330/SUM('Alloy_compnt_G&amp;L'!B$308:B$367),0)</f>
        <v>0</v>
      </c>
      <c r="C330" s="73">
        <f>IFERROR('Alloy_compnt_G&amp;L'!C330/SUM('Alloy_compnt_G&amp;L'!C$308:C$367),0)</f>
        <v>0</v>
      </c>
      <c r="D330" s="73">
        <f>IFERROR('Alloy_compnt_G&amp;L'!D330/SUM('Alloy_compnt_G&amp;L'!D$308:D$367),0)</f>
        <v>0</v>
      </c>
      <c r="E330" s="73">
        <f>IFERROR('Alloy_compnt_G&amp;L'!E330/SUM('Alloy_compnt_G&amp;L'!E$308:E$367),0)</f>
        <v>0</v>
      </c>
      <c r="F330" s="73">
        <f>IFERROR('Alloy_compnt_G&amp;L'!F330/SUM('Alloy_compnt_G&amp;L'!F$308:F$367),0)</f>
        <v>0</v>
      </c>
      <c r="G330" s="73">
        <f>IFERROR('Alloy_compnt_G&amp;L'!G330/SUM('Alloy_compnt_G&amp;L'!G$308:G$367),0)</f>
        <v>0</v>
      </c>
    </row>
    <row r="331" spans="1:7" x14ac:dyDescent="0.2">
      <c r="A331" s="142" t="s">
        <v>261</v>
      </c>
      <c r="B331" s="73">
        <f>IFERROR('Alloy_compnt_G&amp;L'!B331/SUM('Alloy_compnt_G&amp;L'!B$308:B$367),0)</f>
        <v>0</v>
      </c>
      <c r="C331" s="73">
        <f>IFERROR('Alloy_compnt_G&amp;L'!C331/SUM('Alloy_compnt_G&amp;L'!C$308:C$367),0)</f>
        <v>0</v>
      </c>
      <c r="D331" s="73">
        <f>IFERROR('Alloy_compnt_G&amp;L'!D331/SUM('Alloy_compnt_G&amp;L'!D$308:D$367),0)</f>
        <v>0</v>
      </c>
      <c r="E331" s="73">
        <f>IFERROR('Alloy_compnt_G&amp;L'!E331/SUM('Alloy_compnt_G&amp;L'!E$308:E$367),0)</f>
        <v>0</v>
      </c>
      <c r="F331" s="73">
        <f>IFERROR('Alloy_compnt_G&amp;L'!F331/SUM('Alloy_compnt_G&amp;L'!F$308:F$367),0)</f>
        <v>0</v>
      </c>
      <c r="G331" s="73">
        <f>IFERROR('Alloy_compnt_G&amp;L'!G331/SUM('Alloy_compnt_G&amp;L'!G$308:G$367),0)</f>
        <v>0</v>
      </c>
    </row>
    <row r="332" spans="1:7" x14ac:dyDescent="0.2">
      <c r="A332" s="142" t="s">
        <v>262</v>
      </c>
      <c r="B332" s="73">
        <f>IFERROR('Alloy_compnt_G&amp;L'!B332/SUM('Alloy_compnt_G&amp;L'!B$308:B$367),0)</f>
        <v>0</v>
      </c>
      <c r="C332" s="73">
        <f>IFERROR('Alloy_compnt_G&amp;L'!C332/SUM('Alloy_compnt_G&amp;L'!C$308:C$367),0)</f>
        <v>0</v>
      </c>
      <c r="D332" s="73">
        <f>IFERROR('Alloy_compnt_G&amp;L'!D332/SUM('Alloy_compnt_G&amp;L'!D$308:D$367),0)</f>
        <v>0</v>
      </c>
      <c r="E332" s="73">
        <f>IFERROR('Alloy_compnt_G&amp;L'!E332/SUM('Alloy_compnt_G&amp;L'!E$308:E$367),0)</f>
        <v>0</v>
      </c>
      <c r="F332" s="73">
        <f>IFERROR('Alloy_compnt_G&amp;L'!F332/SUM('Alloy_compnt_G&amp;L'!F$308:F$367),0)</f>
        <v>0</v>
      </c>
      <c r="G332" s="73">
        <f>IFERROR('Alloy_compnt_G&amp;L'!G332/SUM('Alloy_compnt_G&amp;L'!G$308:G$367),0)</f>
        <v>0</v>
      </c>
    </row>
    <row r="333" spans="1:7" x14ac:dyDescent="0.2">
      <c r="A333" s="142" t="s">
        <v>263</v>
      </c>
      <c r="B333" s="73">
        <f>IFERROR('Alloy_compnt_G&amp;L'!B333/SUM('Alloy_compnt_G&amp;L'!B$308:B$367),0)</f>
        <v>0</v>
      </c>
      <c r="C333" s="73">
        <f>IFERROR('Alloy_compnt_G&amp;L'!C333/SUM('Alloy_compnt_G&amp;L'!C$308:C$367),0)</f>
        <v>0</v>
      </c>
      <c r="D333" s="73">
        <f>IFERROR('Alloy_compnt_G&amp;L'!D333/SUM('Alloy_compnt_G&amp;L'!D$308:D$367),0)</f>
        <v>0</v>
      </c>
      <c r="E333" s="73">
        <f>IFERROR('Alloy_compnt_G&amp;L'!E333/SUM('Alloy_compnt_G&amp;L'!E$308:E$367),0)</f>
        <v>0</v>
      </c>
      <c r="F333" s="73">
        <f>IFERROR('Alloy_compnt_G&amp;L'!F333/SUM('Alloy_compnt_G&amp;L'!F$308:F$367),0)</f>
        <v>0</v>
      </c>
      <c r="G333" s="73">
        <f>IFERROR('Alloy_compnt_G&amp;L'!G333/SUM('Alloy_compnt_G&amp;L'!G$308:G$367),0)</f>
        <v>0</v>
      </c>
    </row>
    <row r="334" spans="1:7" x14ac:dyDescent="0.2">
      <c r="A334" s="142" t="s">
        <v>264</v>
      </c>
      <c r="B334" s="73">
        <f>IFERROR('Alloy_compnt_G&amp;L'!B334/SUM('Alloy_compnt_G&amp;L'!B$308:B$367),0)</f>
        <v>0</v>
      </c>
      <c r="C334" s="73">
        <f>IFERROR('Alloy_compnt_G&amp;L'!C334/SUM('Alloy_compnt_G&amp;L'!C$308:C$367),0)</f>
        <v>0</v>
      </c>
      <c r="D334" s="73">
        <f>IFERROR('Alloy_compnt_G&amp;L'!D334/SUM('Alloy_compnt_G&amp;L'!D$308:D$367),0)</f>
        <v>0</v>
      </c>
      <c r="E334" s="73">
        <f>IFERROR('Alloy_compnt_G&amp;L'!E334/SUM('Alloy_compnt_G&amp;L'!E$308:E$367),0)</f>
        <v>0</v>
      </c>
      <c r="F334" s="73">
        <f>IFERROR('Alloy_compnt_G&amp;L'!F334/SUM('Alloy_compnt_G&amp;L'!F$308:F$367),0)</f>
        <v>0</v>
      </c>
      <c r="G334" s="73">
        <f>IFERROR('Alloy_compnt_G&amp;L'!G334/SUM('Alloy_compnt_G&amp;L'!G$308:G$367),0)</f>
        <v>0</v>
      </c>
    </row>
    <row r="335" spans="1:7" x14ac:dyDescent="0.2">
      <c r="A335" s="142" t="s">
        <v>265</v>
      </c>
      <c r="B335" s="73">
        <f>IFERROR('Alloy_compnt_G&amp;L'!B335/SUM('Alloy_compnt_G&amp;L'!B$308:B$367),0)</f>
        <v>0</v>
      </c>
      <c r="C335" s="73">
        <f>IFERROR('Alloy_compnt_G&amp;L'!C335/SUM('Alloy_compnt_G&amp;L'!C$308:C$367),0)</f>
        <v>0</v>
      </c>
      <c r="D335" s="73">
        <f>IFERROR('Alloy_compnt_G&amp;L'!D335/SUM('Alloy_compnt_G&amp;L'!D$308:D$367),0)</f>
        <v>0</v>
      </c>
      <c r="E335" s="73">
        <f>IFERROR('Alloy_compnt_G&amp;L'!E335/SUM('Alloy_compnt_G&amp;L'!E$308:E$367),0)</f>
        <v>0</v>
      </c>
      <c r="F335" s="73">
        <f>IFERROR('Alloy_compnt_G&amp;L'!F335/SUM('Alloy_compnt_G&amp;L'!F$308:F$367),0)</f>
        <v>0</v>
      </c>
      <c r="G335" s="73">
        <f>IFERROR('Alloy_compnt_G&amp;L'!G335/SUM('Alloy_compnt_G&amp;L'!G$308:G$367),0)</f>
        <v>0</v>
      </c>
    </row>
    <row r="336" spans="1:7" x14ac:dyDescent="0.2">
      <c r="A336" s="142" t="s">
        <v>266</v>
      </c>
      <c r="B336" s="73">
        <f>IFERROR('Alloy_compnt_G&amp;L'!B336/SUM('Alloy_compnt_G&amp;L'!B$308:B$367),0)</f>
        <v>0</v>
      </c>
      <c r="C336" s="73">
        <f>IFERROR('Alloy_compnt_G&amp;L'!C336/SUM('Alloy_compnt_G&amp;L'!C$308:C$367),0)</f>
        <v>0</v>
      </c>
      <c r="D336" s="73">
        <f>IFERROR('Alloy_compnt_G&amp;L'!D336/SUM('Alloy_compnt_G&amp;L'!D$308:D$367),0)</f>
        <v>0</v>
      </c>
      <c r="E336" s="73">
        <f>IFERROR('Alloy_compnt_G&amp;L'!E336/SUM('Alloy_compnt_G&amp;L'!E$308:E$367),0)</f>
        <v>0</v>
      </c>
      <c r="F336" s="73">
        <f>IFERROR('Alloy_compnt_G&amp;L'!F336/SUM('Alloy_compnt_G&amp;L'!F$308:F$367),0)</f>
        <v>0</v>
      </c>
      <c r="G336" s="73">
        <f>IFERROR('Alloy_compnt_G&amp;L'!G336/SUM('Alloy_compnt_G&amp;L'!G$308:G$367),0)</f>
        <v>0</v>
      </c>
    </row>
    <row r="337" spans="1:7" x14ac:dyDescent="0.2">
      <c r="A337" s="142" t="s">
        <v>267</v>
      </c>
      <c r="B337" s="73">
        <f>IFERROR('Alloy_compnt_G&amp;L'!B337/SUM('Alloy_compnt_G&amp;L'!B$308:B$367),0)</f>
        <v>0</v>
      </c>
      <c r="C337" s="73">
        <f>IFERROR('Alloy_compnt_G&amp;L'!C337/SUM('Alloy_compnt_G&amp;L'!C$308:C$367),0)</f>
        <v>0</v>
      </c>
      <c r="D337" s="73">
        <f>IFERROR('Alloy_compnt_G&amp;L'!D337/SUM('Alloy_compnt_G&amp;L'!D$308:D$367),0)</f>
        <v>0</v>
      </c>
      <c r="E337" s="73">
        <f>IFERROR('Alloy_compnt_G&amp;L'!E337/SUM('Alloy_compnt_G&amp;L'!E$308:E$367),0)</f>
        <v>0</v>
      </c>
      <c r="F337" s="73">
        <f>IFERROR('Alloy_compnt_G&amp;L'!F337/SUM('Alloy_compnt_G&amp;L'!F$308:F$367),0)</f>
        <v>0</v>
      </c>
      <c r="G337" s="73">
        <f>IFERROR('Alloy_compnt_G&amp;L'!G337/SUM('Alloy_compnt_G&amp;L'!G$308:G$367),0)</f>
        <v>0</v>
      </c>
    </row>
    <row r="338" spans="1:7" x14ac:dyDescent="0.2">
      <c r="A338" s="142" t="s">
        <v>268</v>
      </c>
      <c r="B338" s="73">
        <f>IFERROR('Alloy_compnt_G&amp;L'!B338/SUM('Alloy_compnt_G&amp;L'!B$308:B$367),0)</f>
        <v>0</v>
      </c>
      <c r="C338" s="73">
        <f>IFERROR('Alloy_compnt_G&amp;L'!C338/SUM('Alloy_compnt_G&amp;L'!C$308:C$367),0)</f>
        <v>0</v>
      </c>
      <c r="D338" s="73">
        <f>IFERROR('Alloy_compnt_G&amp;L'!D338/SUM('Alloy_compnt_G&amp;L'!D$308:D$367),0)</f>
        <v>0</v>
      </c>
      <c r="E338" s="73">
        <f>IFERROR('Alloy_compnt_G&amp;L'!E338/SUM('Alloy_compnt_G&amp;L'!E$308:E$367),0)</f>
        <v>0</v>
      </c>
      <c r="F338" s="73">
        <f>IFERROR('Alloy_compnt_G&amp;L'!F338/SUM('Alloy_compnt_G&amp;L'!F$308:F$367),0)</f>
        <v>0</v>
      </c>
      <c r="G338" s="73">
        <f>IFERROR('Alloy_compnt_G&amp;L'!G338/SUM('Alloy_compnt_G&amp;L'!G$308:G$367),0)</f>
        <v>0</v>
      </c>
    </row>
    <row r="339" spans="1:7" x14ac:dyDescent="0.2">
      <c r="A339" s="142" t="s">
        <v>269</v>
      </c>
      <c r="B339" s="73">
        <f>IFERROR('Alloy_compnt_G&amp;L'!B339/SUM('Alloy_compnt_G&amp;L'!B$308:B$367),0)</f>
        <v>0</v>
      </c>
      <c r="C339" s="73">
        <f>IFERROR('Alloy_compnt_G&amp;L'!C339/SUM('Alloy_compnt_G&amp;L'!C$308:C$367),0)</f>
        <v>0</v>
      </c>
      <c r="D339" s="73">
        <f>IFERROR('Alloy_compnt_G&amp;L'!D339/SUM('Alloy_compnt_G&amp;L'!D$308:D$367),0)</f>
        <v>0</v>
      </c>
      <c r="E339" s="73">
        <f>IFERROR('Alloy_compnt_G&amp;L'!E339/SUM('Alloy_compnt_G&amp;L'!E$308:E$367),0)</f>
        <v>0</v>
      </c>
      <c r="F339" s="73">
        <f>IFERROR('Alloy_compnt_G&amp;L'!F339/SUM('Alloy_compnt_G&amp;L'!F$308:F$367),0)</f>
        <v>0</v>
      </c>
      <c r="G339" s="73">
        <f>IFERROR('Alloy_compnt_G&amp;L'!G339/SUM('Alloy_compnt_G&amp;L'!G$308:G$367),0)</f>
        <v>0</v>
      </c>
    </row>
    <row r="340" spans="1:7" x14ac:dyDescent="0.2">
      <c r="A340" s="142" t="s">
        <v>270</v>
      </c>
      <c r="B340" s="73">
        <f>IFERROR('Alloy_compnt_G&amp;L'!B340/SUM('Alloy_compnt_G&amp;L'!B$308:B$367),0)</f>
        <v>0</v>
      </c>
      <c r="C340" s="73">
        <f>IFERROR('Alloy_compnt_G&amp;L'!C340/SUM('Alloy_compnt_G&amp;L'!C$308:C$367),0)</f>
        <v>0</v>
      </c>
      <c r="D340" s="73">
        <f>IFERROR('Alloy_compnt_G&amp;L'!D340/SUM('Alloy_compnt_G&amp;L'!D$308:D$367),0)</f>
        <v>0</v>
      </c>
      <c r="E340" s="73">
        <f>IFERROR('Alloy_compnt_G&amp;L'!E340/SUM('Alloy_compnt_G&amp;L'!E$308:E$367),0)</f>
        <v>0</v>
      </c>
      <c r="F340" s="73">
        <f>IFERROR('Alloy_compnt_G&amp;L'!F340/SUM('Alloy_compnt_G&amp;L'!F$308:F$367),0)</f>
        <v>0</v>
      </c>
      <c r="G340" s="73">
        <f>IFERROR('Alloy_compnt_G&amp;L'!G340/SUM('Alloy_compnt_G&amp;L'!G$308:G$367),0)</f>
        <v>0</v>
      </c>
    </row>
    <row r="341" spans="1:7" x14ac:dyDescent="0.2">
      <c r="A341" s="142" t="s">
        <v>271</v>
      </c>
      <c r="B341" s="73">
        <f>IFERROR('Alloy_compnt_G&amp;L'!B341/SUM('Alloy_compnt_G&amp;L'!B$308:B$367),0)</f>
        <v>0</v>
      </c>
      <c r="C341" s="73">
        <f>IFERROR('Alloy_compnt_G&amp;L'!C341/SUM('Alloy_compnt_G&amp;L'!C$308:C$367),0)</f>
        <v>0</v>
      </c>
      <c r="D341" s="73">
        <f>IFERROR('Alloy_compnt_G&amp;L'!D341/SUM('Alloy_compnt_G&amp;L'!D$308:D$367),0)</f>
        <v>0</v>
      </c>
      <c r="E341" s="73">
        <f>IFERROR('Alloy_compnt_G&amp;L'!E341/SUM('Alloy_compnt_G&amp;L'!E$308:E$367),0)</f>
        <v>0</v>
      </c>
      <c r="F341" s="73">
        <f>IFERROR('Alloy_compnt_G&amp;L'!F341/SUM('Alloy_compnt_G&amp;L'!F$308:F$367),0)</f>
        <v>0</v>
      </c>
      <c r="G341" s="73">
        <f>IFERROR('Alloy_compnt_G&amp;L'!G341/SUM('Alloy_compnt_G&amp;L'!G$308:G$367),0)</f>
        <v>0</v>
      </c>
    </row>
    <row r="342" spans="1:7" x14ac:dyDescent="0.2">
      <c r="A342" s="142" t="s">
        <v>272</v>
      </c>
      <c r="B342" s="73">
        <f>IFERROR('Alloy_compnt_G&amp;L'!B342/SUM('Alloy_compnt_G&amp;L'!B$308:B$367),0)</f>
        <v>0</v>
      </c>
      <c r="C342" s="73">
        <f>IFERROR('Alloy_compnt_G&amp;L'!C342/SUM('Alloy_compnt_G&amp;L'!C$308:C$367),0)</f>
        <v>0</v>
      </c>
      <c r="D342" s="73">
        <f>IFERROR('Alloy_compnt_G&amp;L'!D342/SUM('Alloy_compnt_G&amp;L'!D$308:D$367),0)</f>
        <v>0</v>
      </c>
      <c r="E342" s="73">
        <f>IFERROR('Alloy_compnt_G&amp;L'!E342/SUM('Alloy_compnt_G&amp;L'!E$308:E$367),0)</f>
        <v>0</v>
      </c>
      <c r="F342" s="73">
        <f>IFERROR('Alloy_compnt_G&amp;L'!F342/SUM('Alloy_compnt_G&amp;L'!F$308:F$367),0)</f>
        <v>0</v>
      </c>
      <c r="G342" s="73">
        <f>IFERROR('Alloy_compnt_G&amp;L'!G342/SUM('Alloy_compnt_G&amp;L'!G$308:G$367),0)</f>
        <v>0</v>
      </c>
    </row>
    <row r="343" spans="1:7" x14ac:dyDescent="0.2">
      <c r="A343" s="142" t="s">
        <v>273</v>
      </c>
      <c r="B343" s="73">
        <f>IFERROR('Alloy_compnt_G&amp;L'!B343/SUM('Alloy_compnt_G&amp;L'!B$308:B$367),0)</f>
        <v>0</v>
      </c>
      <c r="C343" s="73">
        <f>IFERROR('Alloy_compnt_G&amp;L'!C343/SUM('Alloy_compnt_G&amp;L'!C$308:C$367),0)</f>
        <v>0</v>
      </c>
      <c r="D343" s="73">
        <f>IFERROR('Alloy_compnt_G&amp;L'!D343/SUM('Alloy_compnt_G&amp;L'!D$308:D$367),0)</f>
        <v>0</v>
      </c>
      <c r="E343" s="73">
        <f>IFERROR('Alloy_compnt_G&amp;L'!E343/SUM('Alloy_compnt_G&amp;L'!E$308:E$367),0)</f>
        <v>0</v>
      </c>
      <c r="F343" s="73">
        <f>IFERROR('Alloy_compnt_G&amp;L'!F343/SUM('Alloy_compnt_G&amp;L'!F$308:F$367),0)</f>
        <v>0</v>
      </c>
      <c r="G343" s="73">
        <f>IFERROR('Alloy_compnt_G&amp;L'!G343/SUM('Alloy_compnt_G&amp;L'!G$308:G$367),0)</f>
        <v>0</v>
      </c>
    </row>
    <row r="344" spans="1:7" x14ac:dyDescent="0.2">
      <c r="A344" s="142" t="s">
        <v>274</v>
      </c>
      <c r="B344" s="73">
        <f>IFERROR('Alloy_compnt_G&amp;L'!B344/SUM('Alloy_compnt_G&amp;L'!B$308:B$367),0)</f>
        <v>0</v>
      </c>
      <c r="C344" s="73">
        <f>IFERROR('Alloy_compnt_G&amp;L'!C344/SUM('Alloy_compnt_G&amp;L'!C$308:C$367),0)</f>
        <v>0</v>
      </c>
      <c r="D344" s="73">
        <f>IFERROR('Alloy_compnt_G&amp;L'!D344/SUM('Alloy_compnt_G&amp;L'!D$308:D$367),0)</f>
        <v>0</v>
      </c>
      <c r="E344" s="73">
        <f>IFERROR('Alloy_compnt_G&amp;L'!E344/SUM('Alloy_compnt_G&amp;L'!E$308:E$367),0)</f>
        <v>0</v>
      </c>
      <c r="F344" s="73">
        <f>IFERROR('Alloy_compnt_G&amp;L'!F344/SUM('Alloy_compnt_G&amp;L'!F$308:F$367),0)</f>
        <v>0</v>
      </c>
      <c r="G344" s="73">
        <f>IFERROR('Alloy_compnt_G&amp;L'!G344/SUM('Alloy_compnt_G&amp;L'!G$308:G$367),0)</f>
        <v>0</v>
      </c>
    </row>
    <row r="345" spans="1:7" x14ac:dyDescent="0.2">
      <c r="A345" s="142" t="s">
        <v>275</v>
      </c>
      <c r="B345" s="73">
        <f>IFERROR('Alloy_compnt_G&amp;L'!B345/SUM('Alloy_compnt_G&amp;L'!B$308:B$367),0)</f>
        <v>0</v>
      </c>
      <c r="C345" s="73">
        <f>IFERROR('Alloy_compnt_G&amp;L'!C345/SUM('Alloy_compnt_G&amp;L'!C$308:C$367),0)</f>
        <v>0</v>
      </c>
      <c r="D345" s="73">
        <f>IFERROR('Alloy_compnt_G&amp;L'!D345/SUM('Alloy_compnt_G&amp;L'!D$308:D$367),0)</f>
        <v>0</v>
      </c>
      <c r="E345" s="73">
        <f>IFERROR('Alloy_compnt_G&amp;L'!E345/SUM('Alloy_compnt_G&amp;L'!E$308:E$367),0)</f>
        <v>0</v>
      </c>
      <c r="F345" s="73">
        <f>IFERROR('Alloy_compnt_G&amp;L'!F345/SUM('Alloy_compnt_G&amp;L'!F$308:F$367),0)</f>
        <v>0</v>
      </c>
      <c r="G345" s="73">
        <f>IFERROR('Alloy_compnt_G&amp;L'!G345/SUM('Alloy_compnt_G&amp;L'!G$308:G$367),0)</f>
        <v>0</v>
      </c>
    </row>
    <row r="346" spans="1:7" x14ac:dyDescent="0.2">
      <c r="A346" s="142" t="s">
        <v>276</v>
      </c>
      <c r="B346" s="73">
        <f>IFERROR('Alloy_compnt_G&amp;L'!B346/SUM('Alloy_compnt_G&amp;L'!B$308:B$367),0)</f>
        <v>0</v>
      </c>
      <c r="C346" s="73">
        <f>IFERROR('Alloy_compnt_G&amp;L'!C346/SUM('Alloy_compnt_G&amp;L'!C$308:C$367),0)</f>
        <v>0</v>
      </c>
      <c r="D346" s="73">
        <f>IFERROR('Alloy_compnt_G&amp;L'!D346/SUM('Alloy_compnt_G&amp;L'!D$308:D$367),0)</f>
        <v>0</v>
      </c>
      <c r="E346" s="73">
        <f>IFERROR('Alloy_compnt_G&amp;L'!E346/SUM('Alloy_compnt_G&amp;L'!E$308:E$367),0)</f>
        <v>0</v>
      </c>
      <c r="F346" s="73">
        <f>IFERROR('Alloy_compnt_G&amp;L'!F346/SUM('Alloy_compnt_G&amp;L'!F$308:F$367),0)</f>
        <v>0</v>
      </c>
      <c r="G346" s="73">
        <f>IFERROR('Alloy_compnt_G&amp;L'!G346/SUM('Alloy_compnt_G&amp;L'!G$308:G$367),0)</f>
        <v>0</v>
      </c>
    </row>
    <row r="347" spans="1:7" x14ac:dyDescent="0.2">
      <c r="A347" s="144" t="s">
        <v>277</v>
      </c>
      <c r="B347" s="73">
        <f>IFERROR('Alloy_compnt_G&amp;L'!B347/SUM('Alloy_compnt_G&amp;L'!B$308:B$367),0)</f>
        <v>0</v>
      </c>
      <c r="C347" s="73">
        <f>IFERROR('Alloy_compnt_G&amp;L'!C347/SUM('Alloy_compnt_G&amp;L'!C$308:C$367),0)</f>
        <v>0</v>
      </c>
      <c r="D347" s="73">
        <f>IFERROR('Alloy_compnt_G&amp;L'!D347/SUM('Alloy_compnt_G&amp;L'!D$308:D$367),0)</f>
        <v>0</v>
      </c>
      <c r="E347" s="73">
        <f>IFERROR('Alloy_compnt_G&amp;L'!E347/SUM('Alloy_compnt_G&amp;L'!E$308:E$367),0)</f>
        <v>0</v>
      </c>
      <c r="F347" s="73">
        <f>IFERROR('Alloy_compnt_G&amp;L'!F347/SUM('Alloy_compnt_G&amp;L'!F$308:F$367),0)</f>
        <v>0</v>
      </c>
      <c r="G347" s="73">
        <f>IFERROR('Alloy_compnt_G&amp;L'!G347/SUM('Alloy_compnt_G&amp;L'!G$308:G$367),0)</f>
        <v>0</v>
      </c>
    </row>
    <row r="348" spans="1:7" x14ac:dyDescent="0.2">
      <c r="A348" s="148" t="s">
        <v>278</v>
      </c>
      <c r="B348" s="73">
        <f>IFERROR('Alloy_compnt_G&amp;L'!B348/SUM('Alloy_compnt_G&amp;L'!B$308:B$367),0)</f>
        <v>0</v>
      </c>
      <c r="C348" s="73">
        <f>IFERROR('Alloy_compnt_G&amp;L'!C348/SUM('Alloy_compnt_G&amp;L'!C$308:C$367),0)</f>
        <v>0</v>
      </c>
      <c r="D348" s="73">
        <f>IFERROR('Alloy_compnt_G&amp;L'!D348/SUM('Alloy_compnt_G&amp;L'!D$308:D$367),0)</f>
        <v>0</v>
      </c>
      <c r="E348" s="73">
        <f>IFERROR('Alloy_compnt_G&amp;L'!E348/SUM('Alloy_compnt_G&amp;L'!E$308:E$367),0)</f>
        <v>0</v>
      </c>
      <c r="F348" s="73">
        <f>IFERROR('Alloy_compnt_G&amp;L'!F348/SUM('Alloy_compnt_G&amp;L'!F$308:F$367),0)</f>
        <v>0</v>
      </c>
      <c r="G348" s="73">
        <f>IFERROR('Alloy_compnt_G&amp;L'!G348/SUM('Alloy_compnt_G&amp;L'!G$308:G$367),0)</f>
        <v>0</v>
      </c>
    </row>
    <row r="349" spans="1:7" x14ac:dyDescent="0.2">
      <c r="A349" s="148" t="s">
        <v>279</v>
      </c>
      <c r="B349" s="73">
        <f>IFERROR('Alloy_compnt_G&amp;L'!B349/SUM('Alloy_compnt_G&amp;L'!B$308:B$367),0)</f>
        <v>0</v>
      </c>
      <c r="C349" s="73">
        <f>IFERROR('Alloy_compnt_G&amp;L'!C349/SUM('Alloy_compnt_G&amp;L'!C$308:C$367),0)</f>
        <v>0</v>
      </c>
      <c r="D349" s="73">
        <f>IFERROR('Alloy_compnt_G&amp;L'!D349/SUM('Alloy_compnt_G&amp;L'!D$308:D$367),0)</f>
        <v>0</v>
      </c>
      <c r="E349" s="73">
        <f>IFERROR('Alloy_compnt_G&amp;L'!E349/SUM('Alloy_compnt_G&amp;L'!E$308:E$367),0)</f>
        <v>0</v>
      </c>
      <c r="F349" s="73">
        <f>IFERROR('Alloy_compnt_G&amp;L'!F349/SUM('Alloy_compnt_G&amp;L'!F$308:F$367),0)</f>
        <v>0</v>
      </c>
      <c r="G349" s="73">
        <f>IFERROR('Alloy_compnt_G&amp;L'!G349/SUM('Alloy_compnt_G&amp;L'!G$308:G$367),0)</f>
        <v>0</v>
      </c>
    </row>
    <row r="350" spans="1:7" x14ac:dyDescent="0.2">
      <c r="A350" s="148" t="s">
        <v>280</v>
      </c>
      <c r="B350" s="73">
        <f>IFERROR('Alloy_compnt_G&amp;L'!B350/SUM('Alloy_compnt_G&amp;L'!B$308:B$367),0)</f>
        <v>0</v>
      </c>
      <c r="C350" s="73">
        <f>IFERROR('Alloy_compnt_G&amp;L'!C350/SUM('Alloy_compnt_G&amp;L'!C$308:C$367),0)</f>
        <v>0</v>
      </c>
      <c r="D350" s="73">
        <f>IFERROR('Alloy_compnt_G&amp;L'!D350/SUM('Alloy_compnt_G&amp;L'!D$308:D$367),0)</f>
        <v>0</v>
      </c>
      <c r="E350" s="73">
        <f>IFERROR('Alloy_compnt_G&amp;L'!E350/SUM('Alloy_compnt_G&amp;L'!E$308:E$367),0)</f>
        <v>0</v>
      </c>
      <c r="F350" s="73">
        <f>IFERROR('Alloy_compnt_G&amp;L'!F350/SUM('Alloy_compnt_G&amp;L'!F$308:F$367),0)</f>
        <v>0</v>
      </c>
      <c r="G350" s="73">
        <f>IFERROR('Alloy_compnt_G&amp;L'!G350/SUM('Alloy_compnt_G&amp;L'!G$308:G$367),0)</f>
        <v>0</v>
      </c>
    </row>
    <row r="351" spans="1:7" x14ac:dyDescent="0.2">
      <c r="A351" s="148" t="s">
        <v>281</v>
      </c>
      <c r="B351" s="73">
        <f>IFERROR('Alloy_compnt_G&amp;L'!B351/SUM('Alloy_compnt_G&amp;L'!B$308:B$367),0)</f>
        <v>0</v>
      </c>
      <c r="C351" s="73">
        <f>IFERROR('Alloy_compnt_G&amp;L'!C351/SUM('Alloy_compnt_G&amp;L'!C$308:C$367),0)</f>
        <v>0</v>
      </c>
      <c r="D351" s="73">
        <f>IFERROR('Alloy_compnt_G&amp;L'!D351/SUM('Alloy_compnt_G&amp;L'!D$308:D$367),0)</f>
        <v>0</v>
      </c>
      <c r="E351" s="73">
        <f>IFERROR('Alloy_compnt_G&amp;L'!E351/SUM('Alloy_compnt_G&amp;L'!E$308:E$367),0)</f>
        <v>0</v>
      </c>
      <c r="F351" s="73">
        <f>IFERROR('Alloy_compnt_G&amp;L'!F351/SUM('Alloy_compnt_G&amp;L'!F$308:F$367),0)</f>
        <v>0</v>
      </c>
      <c r="G351" s="73">
        <f>IFERROR('Alloy_compnt_G&amp;L'!G351/SUM('Alloy_compnt_G&amp;L'!G$308:G$367),0)</f>
        <v>0</v>
      </c>
    </row>
    <row r="352" spans="1:7" x14ac:dyDescent="0.2">
      <c r="A352" s="148" t="s">
        <v>282</v>
      </c>
      <c r="B352" s="73">
        <f>IFERROR('Alloy_compnt_G&amp;L'!B352/SUM('Alloy_compnt_G&amp;L'!B$308:B$367),0)</f>
        <v>0</v>
      </c>
      <c r="C352" s="73">
        <f>IFERROR('Alloy_compnt_G&amp;L'!C352/SUM('Alloy_compnt_G&amp;L'!C$308:C$367),0)</f>
        <v>0</v>
      </c>
      <c r="D352" s="73">
        <f>IFERROR('Alloy_compnt_G&amp;L'!D352/SUM('Alloy_compnt_G&amp;L'!D$308:D$367),0)</f>
        <v>0</v>
      </c>
      <c r="E352" s="73">
        <f>IFERROR('Alloy_compnt_G&amp;L'!E352/SUM('Alloy_compnt_G&amp;L'!E$308:E$367),0)</f>
        <v>0</v>
      </c>
      <c r="F352" s="73">
        <f>IFERROR('Alloy_compnt_G&amp;L'!F352/SUM('Alloy_compnt_G&amp;L'!F$308:F$367),0)</f>
        <v>0</v>
      </c>
      <c r="G352" s="73">
        <f>IFERROR('Alloy_compnt_G&amp;L'!G352/SUM('Alloy_compnt_G&amp;L'!G$308:G$367),0)</f>
        <v>0</v>
      </c>
    </row>
    <row r="353" spans="1:7" x14ac:dyDescent="0.2">
      <c r="A353" s="148" t="s">
        <v>283</v>
      </c>
      <c r="B353" s="73">
        <f>IFERROR('Alloy_compnt_G&amp;L'!B353/SUM('Alloy_compnt_G&amp;L'!B$308:B$367),0)</f>
        <v>0</v>
      </c>
      <c r="C353" s="73">
        <f>IFERROR('Alloy_compnt_G&amp;L'!C353/SUM('Alloy_compnt_G&amp;L'!C$308:C$367),0)</f>
        <v>0</v>
      </c>
      <c r="D353" s="73">
        <f>IFERROR('Alloy_compnt_G&amp;L'!D353/SUM('Alloy_compnt_G&amp;L'!D$308:D$367),0)</f>
        <v>0</v>
      </c>
      <c r="E353" s="73">
        <f>IFERROR('Alloy_compnt_G&amp;L'!E353/SUM('Alloy_compnt_G&amp;L'!E$308:E$367),0)</f>
        <v>0</v>
      </c>
      <c r="F353" s="73">
        <f>IFERROR('Alloy_compnt_G&amp;L'!F353/SUM('Alloy_compnt_G&amp;L'!F$308:F$367),0)</f>
        <v>0</v>
      </c>
      <c r="G353" s="73">
        <f>IFERROR('Alloy_compnt_G&amp;L'!G353/SUM('Alloy_compnt_G&amp;L'!G$308:G$367),0)</f>
        <v>0</v>
      </c>
    </row>
    <row r="354" spans="1:7" x14ac:dyDescent="0.2">
      <c r="A354" s="148" t="s">
        <v>284</v>
      </c>
      <c r="B354" s="73">
        <f>IFERROR('Alloy_compnt_G&amp;L'!B354/SUM('Alloy_compnt_G&amp;L'!B$308:B$367),0)</f>
        <v>0</v>
      </c>
      <c r="C354" s="73">
        <f>IFERROR('Alloy_compnt_G&amp;L'!C354/SUM('Alloy_compnt_G&amp;L'!C$308:C$367),0)</f>
        <v>0</v>
      </c>
      <c r="D354" s="73">
        <f>IFERROR('Alloy_compnt_G&amp;L'!D354/SUM('Alloy_compnt_G&amp;L'!D$308:D$367),0)</f>
        <v>0</v>
      </c>
      <c r="E354" s="73">
        <f>IFERROR('Alloy_compnt_G&amp;L'!E354/SUM('Alloy_compnt_G&amp;L'!E$308:E$367),0)</f>
        <v>0</v>
      </c>
      <c r="F354" s="73">
        <f>IFERROR('Alloy_compnt_G&amp;L'!F354/SUM('Alloy_compnt_G&amp;L'!F$308:F$367),0)</f>
        <v>0</v>
      </c>
      <c r="G354" s="73">
        <f>IFERROR('Alloy_compnt_G&amp;L'!G354/SUM('Alloy_compnt_G&amp;L'!G$308:G$367),0)</f>
        <v>0</v>
      </c>
    </row>
    <row r="355" spans="1:7" x14ac:dyDescent="0.2">
      <c r="A355" s="148" t="s">
        <v>285</v>
      </c>
      <c r="B355" s="73">
        <f>IFERROR('Alloy_compnt_G&amp;L'!B355/SUM('Alloy_compnt_G&amp;L'!B$308:B$367),0)</f>
        <v>0</v>
      </c>
      <c r="C355" s="73">
        <f>IFERROR('Alloy_compnt_G&amp;L'!C355/SUM('Alloy_compnt_G&amp;L'!C$308:C$367),0)</f>
        <v>0</v>
      </c>
      <c r="D355" s="73">
        <f>IFERROR('Alloy_compnt_G&amp;L'!D355/SUM('Alloy_compnt_G&amp;L'!D$308:D$367),0)</f>
        <v>0</v>
      </c>
      <c r="E355" s="73">
        <f>IFERROR('Alloy_compnt_G&amp;L'!E355/SUM('Alloy_compnt_G&amp;L'!E$308:E$367),0)</f>
        <v>0</v>
      </c>
      <c r="F355" s="73">
        <f>IFERROR('Alloy_compnt_G&amp;L'!F355/SUM('Alloy_compnt_G&amp;L'!F$308:F$367),0)</f>
        <v>0</v>
      </c>
      <c r="G355" s="73">
        <f>IFERROR('Alloy_compnt_G&amp;L'!G355/SUM('Alloy_compnt_G&amp;L'!G$308:G$367),0)</f>
        <v>0</v>
      </c>
    </row>
    <row r="356" spans="1:7" x14ac:dyDescent="0.2">
      <c r="A356" s="147" t="s">
        <v>286</v>
      </c>
      <c r="B356" s="73">
        <f>IFERROR('Alloy_compnt_G&amp;L'!B356/SUM('Alloy_compnt_G&amp;L'!B$308:B$367),0)</f>
        <v>0</v>
      </c>
      <c r="C356" s="73">
        <f>IFERROR('Alloy_compnt_G&amp;L'!C356/SUM('Alloy_compnt_G&amp;L'!C$308:C$367),0)</f>
        <v>0</v>
      </c>
      <c r="D356" s="73">
        <f>IFERROR('Alloy_compnt_G&amp;L'!D356/SUM('Alloy_compnt_G&amp;L'!D$308:D$367),0)</f>
        <v>0</v>
      </c>
      <c r="E356" s="73">
        <f>IFERROR('Alloy_compnt_G&amp;L'!E356/SUM('Alloy_compnt_G&amp;L'!E$308:E$367),0)</f>
        <v>0</v>
      </c>
      <c r="F356" s="73">
        <f>IFERROR('Alloy_compnt_G&amp;L'!F356/SUM('Alloy_compnt_G&amp;L'!F$308:F$367),0)</f>
        <v>0</v>
      </c>
      <c r="G356" s="73">
        <f>IFERROR('Alloy_compnt_G&amp;L'!G356/SUM('Alloy_compnt_G&amp;L'!G$308:G$367),0)</f>
        <v>0</v>
      </c>
    </row>
    <row r="357" spans="1:7" x14ac:dyDescent="0.2">
      <c r="A357" s="142" t="s">
        <v>287</v>
      </c>
      <c r="B357" s="73">
        <f>IFERROR('Alloy_compnt_G&amp;L'!B357/SUM('Alloy_compnt_G&amp;L'!B$308:B$367),0)</f>
        <v>0</v>
      </c>
      <c r="C357" s="73">
        <f>IFERROR('Alloy_compnt_G&amp;L'!C357/SUM('Alloy_compnt_G&amp;L'!C$308:C$367),0)</f>
        <v>0</v>
      </c>
      <c r="D357" s="73">
        <f>IFERROR('Alloy_compnt_G&amp;L'!D357/SUM('Alloy_compnt_G&amp;L'!D$308:D$367),0)</f>
        <v>0</v>
      </c>
      <c r="E357" s="73">
        <f>IFERROR('Alloy_compnt_G&amp;L'!E357/SUM('Alloy_compnt_G&amp;L'!E$308:E$367),0)</f>
        <v>0</v>
      </c>
      <c r="F357" s="73">
        <f>IFERROR('Alloy_compnt_G&amp;L'!F357/SUM('Alloy_compnt_G&amp;L'!F$308:F$367),0)</f>
        <v>0</v>
      </c>
      <c r="G357" s="73">
        <f>IFERROR('Alloy_compnt_G&amp;L'!G357/SUM('Alloy_compnt_G&amp;L'!G$308:G$367),0)</f>
        <v>0</v>
      </c>
    </row>
    <row r="358" spans="1:7" x14ac:dyDescent="0.2">
      <c r="A358" s="142" t="s">
        <v>288</v>
      </c>
      <c r="B358" s="73">
        <f>IFERROR('Alloy_compnt_G&amp;L'!B358/SUM('Alloy_compnt_G&amp;L'!B$308:B$367),0)</f>
        <v>0</v>
      </c>
      <c r="C358" s="73">
        <f>IFERROR('Alloy_compnt_G&amp;L'!C358/SUM('Alloy_compnt_G&amp;L'!C$308:C$367),0)</f>
        <v>0</v>
      </c>
      <c r="D358" s="73">
        <f>IFERROR('Alloy_compnt_G&amp;L'!D358/SUM('Alloy_compnt_G&amp;L'!D$308:D$367),0)</f>
        <v>0</v>
      </c>
      <c r="E358" s="73">
        <f>IFERROR('Alloy_compnt_G&amp;L'!E358/SUM('Alloy_compnt_G&amp;L'!E$308:E$367),0)</f>
        <v>0</v>
      </c>
      <c r="F358" s="73">
        <f>IFERROR('Alloy_compnt_G&amp;L'!F358/SUM('Alloy_compnt_G&amp;L'!F$308:F$367),0)</f>
        <v>0</v>
      </c>
      <c r="G358" s="73">
        <f>IFERROR('Alloy_compnt_G&amp;L'!G358/SUM('Alloy_compnt_G&amp;L'!G$308:G$367),0)</f>
        <v>0</v>
      </c>
    </row>
    <row r="359" spans="1:7" x14ac:dyDescent="0.2">
      <c r="A359" s="142" t="s">
        <v>289</v>
      </c>
      <c r="B359" s="73">
        <f>IFERROR('Alloy_compnt_G&amp;L'!B359/SUM('Alloy_compnt_G&amp;L'!B$308:B$367),0)</f>
        <v>0</v>
      </c>
      <c r="C359" s="73">
        <f>IFERROR('Alloy_compnt_G&amp;L'!C359/SUM('Alloy_compnt_G&amp;L'!C$308:C$367),0)</f>
        <v>0</v>
      </c>
      <c r="D359" s="73">
        <f>IFERROR('Alloy_compnt_G&amp;L'!D359/SUM('Alloy_compnt_G&amp;L'!D$308:D$367),0)</f>
        <v>0.24999999999999994</v>
      </c>
      <c r="E359" s="73">
        <f>IFERROR('Alloy_compnt_G&amp;L'!E359/SUM('Alloy_compnt_G&amp;L'!E$308:E$367),0)</f>
        <v>0.25</v>
      </c>
      <c r="F359" s="73">
        <f>IFERROR('Alloy_compnt_G&amp;L'!F359/SUM('Alloy_compnt_G&amp;L'!F$308:F$367),0)</f>
        <v>0</v>
      </c>
      <c r="G359" s="73">
        <f>IFERROR('Alloy_compnt_G&amp;L'!G359/SUM('Alloy_compnt_G&amp;L'!G$308:G$367),0)</f>
        <v>0</v>
      </c>
    </row>
    <row r="360" spans="1:7" x14ac:dyDescent="0.2">
      <c r="A360" s="142" t="s">
        <v>290</v>
      </c>
      <c r="B360" s="73">
        <f>IFERROR('Alloy_compnt_G&amp;L'!B360/SUM('Alloy_compnt_G&amp;L'!B$308:B$367),0)</f>
        <v>0</v>
      </c>
      <c r="C360" s="73">
        <f>IFERROR('Alloy_compnt_G&amp;L'!C360/SUM('Alloy_compnt_G&amp;L'!C$308:C$367),0)</f>
        <v>0</v>
      </c>
      <c r="D360" s="73">
        <f>IFERROR('Alloy_compnt_G&amp;L'!D360/SUM('Alloy_compnt_G&amp;L'!D$308:D$367),0)</f>
        <v>0.24999999999999994</v>
      </c>
      <c r="E360" s="73">
        <f>IFERROR('Alloy_compnt_G&amp;L'!E360/SUM('Alloy_compnt_G&amp;L'!E$308:E$367),0)</f>
        <v>0.25</v>
      </c>
      <c r="F360" s="73">
        <f>IFERROR('Alloy_compnt_G&amp;L'!F360/SUM('Alloy_compnt_G&amp;L'!F$308:F$367),0)</f>
        <v>0</v>
      </c>
      <c r="G360" s="73">
        <f>IFERROR('Alloy_compnt_G&amp;L'!G360/SUM('Alloy_compnt_G&amp;L'!G$308:G$367),0)</f>
        <v>0</v>
      </c>
    </row>
    <row r="361" spans="1:7" x14ac:dyDescent="0.2">
      <c r="A361" s="142" t="s">
        <v>291</v>
      </c>
      <c r="B361" s="73">
        <f>IFERROR('Alloy_compnt_G&amp;L'!B361/SUM('Alloy_compnt_G&amp;L'!B$308:B$367),0)</f>
        <v>0</v>
      </c>
      <c r="C361" s="73">
        <f>IFERROR('Alloy_compnt_G&amp;L'!C361/SUM('Alloy_compnt_G&amp;L'!C$308:C$367),0)</f>
        <v>0</v>
      </c>
      <c r="D361" s="73">
        <f>IFERROR('Alloy_compnt_G&amp;L'!D361/SUM('Alloy_compnt_G&amp;L'!D$308:D$367),0)</f>
        <v>0</v>
      </c>
      <c r="E361" s="73">
        <f>IFERROR('Alloy_compnt_G&amp;L'!E361/SUM('Alloy_compnt_G&amp;L'!E$308:E$367),0)</f>
        <v>0</v>
      </c>
      <c r="F361" s="73">
        <f>IFERROR('Alloy_compnt_G&amp;L'!F361/SUM('Alloy_compnt_G&amp;L'!F$308:F$367),0)</f>
        <v>0</v>
      </c>
      <c r="G361" s="73">
        <f>IFERROR('Alloy_compnt_G&amp;L'!G361/SUM('Alloy_compnt_G&amp;L'!G$308:G$367),0)</f>
        <v>0</v>
      </c>
    </row>
    <row r="362" spans="1:7" x14ac:dyDescent="0.2">
      <c r="A362" s="142" t="s">
        <v>292</v>
      </c>
      <c r="B362" s="73">
        <f>IFERROR('Alloy_compnt_G&amp;L'!B362/SUM('Alloy_compnt_G&amp;L'!B$308:B$367),0)</f>
        <v>0</v>
      </c>
      <c r="C362" s="73">
        <f>IFERROR('Alloy_compnt_G&amp;L'!C362/SUM('Alloy_compnt_G&amp;L'!C$308:C$367),0)</f>
        <v>0</v>
      </c>
      <c r="D362" s="73">
        <f>IFERROR('Alloy_compnt_G&amp;L'!D362/SUM('Alloy_compnt_G&amp;L'!D$308:D$367),0)</f>
        <v>0</v>
      </c>
      <c r="E362" s="73">
        <f>IFERROR('Alloy_compnt_G&amp;L'!E362/SUM('Alloy_compnt_G&amp;L'!E$308:E$367),0)</f>
        <v>0</v>
      </c>
      <c r="F362" s="73">
        <f>IFERROR('Alloy_compnt_G&amp;L'!F362/SUM('Alloy_compnt_G&amp;L'!F$308:F$367),0)</f>
        <v>0</v>
      </c>
      <c r="G362" s="73">
        <f>IFERROR('Alloy_compnt_G&amp;L'!G362/SUM('Alloy_compnt_G&amp;L'!G$308:G$367),0)</f>
        <v>0</v>
      </c>
    </row>
    <row r="363" spans="1:7" x14ac:dyDescent="0.2">
      <c r="A363" s="142" t="s">
        <v>293</v>
      </c>
      <c r="B363" s="73">
        <f>IFERROR('Alloy_compnt_G&amp;L'!B363/SUM('Alloy_compnt_G&amp;L'!B$308:B$367),0)</f>
        <v>0</v>
      </c>
      <c r="C363" s="73">
        <f>IFERROR('Alloy_compnt_G&amp;L'!C363/SUM('Alloy_compnt_G&amp;L'!C$308:C$367),0)</f>
        <v>0</v>
      </c>
      <c r="D363" s="73">
        <f>IFERROR('Alloy_compnt_G&amp;L'!D363/SUM('Alloy_compnt_G&amp;L'!D$308:D$367),0)</f>
        <v>0</v>
      </c>
      <c r="E363" s="73">
        <f>IFERROR('Alloy_compnt_G&amp;L'!E363/SUM('Alloy_compnt_G&amp;L'!E$308:E$367),0)</f>
        <v>0</v>
      </c>
      <c r="F363" s="73">
        <f>IFERROR('Alloy_compnt_G&amp;L'!F363/SUM('Alloy_compnt_G&amp;L'!F$308:F$367),0)</f>
        <v>0</v>
      </c>
      <c r="G363" s="73">
        <f>IFERROR('Alloy_compnt_G&amp;L'!G363/SUM('Alloy_compnt_G&amp;L'!G$308:G$367),0)</f>
        <v>0</v>
      </c>
    </row>
    <row r="364" spans="1:7" x14ac:dyDescent="0.2">
      <c r="A364" s="142" t="s">
        <v>294</v>
      </c>
      <c r="B364" s="73">
        <f>IFERROR('Alloy_compnt_G&amp;L'!B364/SUM('Alloy_compnt_G&amp;L'!B$308:B$367),0)</f>
        <v>0</v>
      </c>
      <c r="C364" s="73">
        <f>IFERROR('Alloy_compnt_G&amp;L'!C364/SUM('Alloy_compnt_G&amp;L'!C$308:C$367),0)</f>
        <v>0</v>
      </c>
      <c r="D364" s="73">
        <f>IFERROR('Alloy_compnt_G&amp;L'!D364/SUM('Alloy_compnt_G&amp;L'!D$308:D$367),0)</f>
        <v>0</v>
      </c>
      <c r="E364" s="73">
        <f>IFERROR('Alloy_compnt_G&amp;L'!E364/SUM('Alloy_compnt_G&amp;L'!E$308:E$367),0)</f>
        <v>0</v>
      </c>
      <c r="F364" s="73">
        <f>IFERROR('Alloy_compnt_G&amp;L'!F364/SUM('Alloy_compnt_G&amp;L'!F$308:F$367),0)</f>
        <v>0</v>
      </c>
      <c r="G364" s="73">
        <f>IFERROR('Alloy_compnt_G&amp;L'!G364/SUM('Alloy_compnt_G&amp;L'!G$308:G$367),0)</f>
        <v>0</v>
      </c>
    </row>
    <row r="365" spans="1:7" x14ac:dyDescent="0.2">
      <c r="A365" s="144" t="s">
        <v>295</v>
      </c>
      <c r="B365" s="73">
        <f>IFERROR('Alloy_compnt_G&amp;L'!B365/SUM('Alloy_compnt_G&amp;L'!B$308:B$367),0)</f>
        <v>0</v>
      </c>
      <c r="C365" s="73">
        <f>IFERROR('Alloy_compnt_G&amp;L'!C365/SUM('Alloy_compnt_G&amp;L'!C$308:C$367),0)</f>
        <v>0</v>
      </c>
      <c r="D365" s="73">
        <f>IFERROR('Alloy_compnt_G&amp;L'!D365/SUM('Alloy_compnt_G&amp;L'!D$308:D$367),0)</f>
        <v>0</v>
      </c>
      <c r="E365" s="73">
        <f>IFERROR('Alloy_compnt_G&amp;L'!E365/SUM('Alloy_compnt_G&amp;L'!E$308:E$367),0)</f>
        <v>0</v>
      </c>
      <c r="F365" s="73">
        <f>IFERROR('Alloy_compnt_G&amp;L'!F365/SUM('Alloy_compnt_G&amp;L'!F$308:F$367),0)</f>
        <v>0</v>
      </c>
      <c r="G365" s="73">
        <f>IFERROR('Alloy_compnt_G&amp;L'!G365/SUM('Alloy_compnt_G&amp;L'!G$308:G$367),0)</f>
        <v>0</v>
      </c>
    </row>
    <row r="366" spans="1:7" x14ac:dyDescent="0.2">
      <c r="A366" s="142" t="s">
        <v>206</v>
      </c>
      <c r="B366" s="73">
        <f>IFERROR('Alloy_compnt_G&amp;L'!B366/SUM('Alloy_compnt_G&amp;L'!B$308:B$367),0)</f>
        <v>0</v>
      </c>
      <c r="C366" s="73">
        <f>IFERROR('Alloy_compnt_G&amp;L'!C366/SUM('Alloy_compnt_G&amp;L'!C$308:C$367),0)</f>
        <v>0</v>
      </c>
      <c r="D366" s="73">
        <f>IFERROR('Alloy_compnt_G&amp;L'!D366/SUM('Alloy_compnt_G&amp;L'!D$308:D$367),0)</f>
        <v>0</v>
      </c>
      <c r="E366" s="73">
        <f>IFERROR('Alloy_compnt_G&amp;L'!E366/SUM('Alloy_compnt_G&amp;L'!E$308:E$367),0)</f>
        <v>0</v>
      </c>
      <c r="F366" s="73">
        <f>IFERROR('Alloy_compnt_G&amp;L'!F366/SUM('Alloy_compnt_G&amp;L'!F$308:F$367),0)</f>
        <v>0</v>
      </c>
      <c r="G366" s="73">
        <f>IFERROR('Alloy_compnt_G&amp;L'!G366/SUM('Alloy_compnt_G&amp;L'!G$308:G$367),0)</f>
        <v>0</v>
      </c>
    </row>
    <row r="367" spans="1:7" ht="17" thickBot="1" x14ac:dyDescent="0.25">
      <c r="A367" s="149" t="s">
        <v>208</v>
      </c>
      <c r="B367" s="73">
        <f>IFERROR('Alloy_compnt_G&amp;L'!B367/SUM('Alloy_compnt_G&amp;L'!B$308:B$367),0)</f>
        <v>0</v>
      </c>
      <c r="C367" s="73">
        <f>IFERROR('Alloy_compnt_G&amp;L'!C367/SUM('Alloy_compnt_G&amp;L'!C$308:C$367),0)</f>
        <v>0</v>
      </c>
      <c r="D367" s="73">
        <f>IFERROR('Alloy_compnt_G&amp;L'!D367/SUM('Alloy_compnt_G&amp;L'!D$308:D$367),0)</f>
        <v>0</v>
      </c>
      <c r="E367" s="73">
        <f>IFERROR('Alloy_compnt_G&amp;L'!E367/SUM('Alloy_compnt_G&amp;L'!E$308:E$367),0)</f>
        <v>0</v>
      </c>
      <c r="F367" s="73">
        <f>IFERROR('Alloy_compnt_G&amp;L'!F367/SUM('Alloy_compnt_G&amp;L'!F$308:F$367),0)</f>
        <v>0</v>
      </c>
      <c r="G367" s="73">
        <f>IFERROR('Alloy_compnt_G&amp;L'!G367/SUM('Alloy_compnt_G&amp;L'!G$308:G$367),0)</f>
        <v>0</v>
      </c>
    </row>
    <row r="368" spans="1:7" ht="17" thickTop="1" x14ac:dyDescent="0.2">
      <c r="A368" s="139" t="s">
        <v>178</v>
      </c>
      <c r="B368" s="54"/>
      <c r="C368" s="54"/>
      <c r="D368" s="54"/>
      <c r="E368" s="54"/>
      <c r="F368" s="54"/>
      <c r="G368" s="54"/>
    </row>
    <row r="369" spans="1:7" x14ac:dyDescent="0.2">
      <c r="A369" s="142" t="s">
        <v>105</v>
      </c>
      <c r="B369" s="73">
        <f>IFERROR('Alloy_compnt_G&amp;L'!B369/SUM('Alloy_compnt_G&amp;L'!B$369:B$428),0)</f>
        <v>0</v>
      </c>
      <c r="C369" s="73">
        <f>IFERROR('Alloy_compnt_G&amp;L'!C369/SUM('Alloy_compnt_G&amp;L'!C$369:C$428),0)</f>
        <v>0</v>
      </c>
      <c r="D369" s="73">
        <f>IFERROR('Alloy_compnt_G&amp;L'!D369/SUM('Alloy_compnt_G&amp;L'!D$369:D$428),0)</f>
        <v>2.0327552986512523E-2</v>
      </c>
      <c r="E369" s="73">
        <f>IFERROR('Alloy_compnt_G&amp;L'!E369/SUM('Alloy_compnt_G&amp;L'!E$369:E$428),0)</f>
        <v>2.0327552986512523E-2</v>
      </c>
      <c r="F369" s="73">
        <f>IFERROR('Alloy_compnt_G&amp;L'!F369/SUM('Alloy_compnt_G&amp;L'!F$369:F$428),0)</f>
        <v>2.0327552986512527E-2</v>
      </c>
      <c r="G369" s="73">
        <f>IFERROR('Alloy_compnt_G&amp;L'!G369/SUM('Alloy_compnt_G&amp;L'!G$369:G$428),0)</f>
        <v>2.0327552986512523E-2</v>
      </c>
    </row>
    <row r="370" spans="1:7" x14ac:dyDescent="0.2">
      <c r="A370" s="142" t="s">
        <v>106</v>
      </c>
      <c r="B370" s="73">
        <f>IFERROR('Alloy_compnt_G&amp;L'!B370/SUM('Alloy_compnt_G&amp;L'!B$369:B$428),0)</f>
        <v>0</v>
      </c>
      <c r="C370" s="73">
        <f>IFERROR('Alloy_compnt_G&amp;L'!C370/SUM('Alloy_compnt_G&amp;L'!C$369:C$428),0)</f>
        <v>0</v>
      </c>
      <c r="D370" s="73">
        <f>IFERROR('Alloy_compnt_G&amp;L'!D370/SUM('Alloy_compnt_G&amp;L'!D$369:D$428),0)</f>
        <v>1.8400770712909444E-2</v>
      </c>
      <c r="E370" s="73">
        <f>IFERROR('Alloy_compnt_G&amp;L'!E370/SUM('Alloy_compnt_G&amp;L'!E$369:E$428),0)</f>
        <v>1.8400770712909444E-2</v>
      </c>
      <c r="F370" s="73">
        <f>IFERROR('Alloy_compnt_G&amp;L'!F370/SUM('Alloy_compnt_G&amp;L'!F$369:F$428),0)</f>
        <v>1.8400770712909447E-2</v>
      </c>
      <c r="G370" s="73">
        <f>IFERROR('Alloy_compnt_G&amp;L'!G370/SUM('Alloy_compnt_G&amp;L'!G$369:G$428),0)</f>
        <v>1.8400770712909444E-2</v>
      </c>
    </row>
    <row r="371" spans="1:7" x14ac:dyDescent="0.2">
      <c r="A371" s="142" t="s">
        <v>107</v>
      </c>
      <c r="B371" s="73">
        <f>IFERROR('Alloy_compnt_G&amp;L'!B371/SUM('Alloy_compnt_G&amp;L'!B$369:B$428),0)</f>
        <v>0</v>
      </c>
      <c r="C371" s="73">
        <f>IFERROR('Alloy_compnt_G&amp;L'!C371/SUM('Alloy_compnt_G&amp;L'!C$369:C$428),0)</f>
        <v>0</v>
      </c>
      <c r="D371" s="73">
        <f>IFERROR('Alloy_compnt_G&amp;L'!D371/SUM('Alloy_compnt_G&amp;L'!D$369:D$428),0)</f>
        <v>5.7610789980732192E-2</v>
      </c>
      <c r="E371" s="73">
        <f>IFERROR('Alloy_compnt_G&amp;L'!E371/SUM('Alloy_compnt_G&amp;L'!E$369:E$428),0)</f>
        <v>5.7610789980732185E-2</v>
      </c>
      <c r="F371" s="73">
        <f>IFERROR('Alloy_compnt_G&amp;L'!F371/SUM('Alloy_compnt_G&amp;L'!F$369:F$428),0)</f>
        <v>5.7610789980732199E-2</v>
      </c>
      <c r="G371" s="73">
        <f>IFERROR('Alloy_compnt_G&amp;L'!G371/SUM('Alloy_compnt_G&amp;L'!G$369:G$428),0)</f>
        <v>5.7610789980732192E-2</v>
      </c>
    </row>
    <row r="372" spans="1:7" x14ac:dyDescent="0.2">
      <c r="A372" s="142" t="s">
        <v>91</v>
      </c>
      <c r="B372" s="73">
        <f>IFERROR('Alloy_compnt_G&amp;L'!B372/SUM('Alloy_compnt_G&amp;L'!B$369:B$428),0)</f>
        <v>0</v>
      </c>
      <c r="C372" s="73">
        <f>IFERROR('Alloy_compnt_G&amp;L'!C372/SUM('Alloy_compnt_G&amp;L'!C$369:C$428),0)</f>
        <v>0</v>
      </c>
      <c r="D372" s="73">
        <f>IFERROR('Alloy_compnt_G&amp;L'!D372/SUM('Alloy_compnt_G&amp;L'!D$369:D$428),0)</f>
        <v>0</v>
      </c>
      <c r="E372" s="73">
        <f>IFERROR('Alloy_compnt_G&amp;L'!E372/SUM('Alloy_compnt_G&amp;L'!E$369:E$428),0)</f>
        <v>0</v>
      </c>
      <c r="F372" s="73">
        <f>IFERROR('Alloy_compnt_G&amp;L'!F372/SUM('Alloy_compnt_G&amp;L'!F$369:F$428),0)</f>
        <v>0</v>
      </c>
      <c r="G372" s="73">
        <f>IFERROR('Alloy_compnt_G&amp;L'!G372/SUM('Alloy_compnt_G&amp;L'!G$369:G$428),0)</f>
        <v>0</v>
      </c>
    </row>
    <row r="373" spans="1:7" x14ac:dyDescent="0.2">
      <c r="A373" s="142" t="s">
        <v>204</v>
      </c>
      <c r="B373" s="73">
        <f>IFERROR('Alloy_compnt_G&amp;L'!B373/SUM('Alloy_compnt_G&amp;L'!B$369:B$428),0)</f>
        <v>0</v>
      </c>
      <c r="C373" s="73">
        <f>IFERROR('Alloy_compnt_G&amp;L'!C373/SUM('Alloy_compnt_G&amp;L'!C$369:C$428),0)</f>
        <v>0</v>
      </c>
      <c r="D373" s="73">
        <f>IFERROR('Alloy_compnt_G&amp;L'!D373/SUM('Alloy_compnt_G&amp;L'!D$369:D$428),0)</f>
        <v>0</v>
      </c>
      <c r="E373" s="73">
        <f>IFERROR('Alloy_compnt_G&amp;L'!E373/SUM('Alloy_compnt_G&amp;L'!E$369:E$428),0)</f>
        <v>0</v>
      </c>
      <c r="F373" s="73">
        <f>IFERROR('Alloy_compnt_G&amp;L'!F373/SUM('Alloy_compnt_G&amp;L'!F$369:F$428),0)</f>
        <v>0</v>
      </c>
      <c r="G373" s="73">
        <f>IFERROR('Alloy_compnt_G&amp;L'!G373/SUM('Alloy_compnt_G&amp;L'!G$369:G$428),0)</f>
        <v>0</v>
      </c>
    </row>
    <row r="374" spans="1:7" x14ac:dyDescent="0.2">
      <c r="A374" s="144" t="s">
        <v>104</v>
      </c>
      <c r="B374" s="73">
        <f>IFERROR('Alloy_compnt_G&amp;L'!B374/SUM('Alloy_compnt_G&amp;L'!B$369:B$428),0)</f>
        <v>0</v>
      </c>
      <c r="C374" s="73">
        <f>IFERROR('Alloy_compnt_G&amp;L'!C374/SUM('Alloy_compnt_G&amp;L'!C$369:C$428),0)</f>
        <v>0</v>
      </c>
      <c r="D374" s="73">
        <f>IFERROR('Alloy_compnt_G&amp;L'!D374/SUM('Alloy_compnt_G&amp;L'!D$369:D$428),0)</f>
        <v>0</v>
      </c>
      <c r="E374" s="73">
        <f>IFERROR('Alloy_compnt_G&amp;L'!E374/SUM('Alloy_compnt_G&amp;L'!E$369:E$428),0)</f>
        <v>0</v>
      </c>
      <c r="F374" s="73">
        <f>IFERROR('Alloy_compnt_G&amp;L'!F374/SUM('Alloy_compnt_G&amp;L'!F$369:F$428),0)</f>
        <v>0</v>
      </c>
      <c r="G374" s="73">
        <f>IFERROR('Alloy_compnt_G&amp;L'!G374/SUM('Alloy_compnt_G&amp;L'!G$369:G$428),0)</f>
        <v>0</v>
      </c>
    </row>
    <row r="375" spans="1:7" x14ac:dyDescent="0.2">
      <c r="A375" s="145" t="s">
        <v>244</v>
      </c>
      <c r="B375" s="73">
        <f>IFERROR('Alloy_compnt_G&amp;L'!B375/SUM('Alloy_compnt_G&amp;L'!B$369:B$428),0)</f>
        <v>0</v>
      </c>
      <c r="C375" s="73">
        <f>IFERROR('Alloy_compnt_G&amp;L'!C375/SUM('Alloy_compnt_G&amp;L'!C$369:C$428),0)</f>
        <v>0</v>
      </c>
      <c r="D375" s="73">
        <f>IFERROR('Alloy_compnt_G&amp;L'!D375/SUM('Alloy_compnt_G&amp;L'!D$369:D$428),0)</f>
        <v>0</v>
      </c>
      <c r="E375" s="73">
        <f>IFERROR('Alloy_compnt_G&amp;L'!E375/SUM('Alloy_compnt_G&amp;L'!E$369:E$428),0)</f>
        <v>0</v>
      </c>
      <c r="F375" s="73">
        <f>IFERROR('Alloy_compnt_G&amp;L'!F375/SUM('Alloy_compnt_G&amp;L'!F$369:F$428),0)</f>
        <v>0</v>
      </c>
      <c r="G375" s="73">
        <f>IFERROR('Alloy_compnt_G&amp;L'!G375/SUM('Alloy_compnt_G&amp;L'!G$369:G$428),0)</f>
        <v>0</v>
      </c>
    </row>
    <row r="376" spans="1:7" x14ac:dyDescent="0.2">
      <c r="A376" s="145" t="s">
        <v>245</v>
      </c>
      <c r="B376" s="73">
        <f>IFERROR('Alloy_compnt_G&amp;L'!B376/SUM('Alloy_compnt_G&amp;L'!B$369:B$428),0)</f>
        <v>0</v>
      </c>
      <c r="C376" s="73">
        <f>IFERROR('Alloy_compnt_G&amp;L'!C376/SUM('Alloy_compnt_G&amp;L'!C$369:C$428),0)</f>
        <v>0</v>
      </c>
      <c r="D376" s="73">
        <f>IFERROR('Alloy_compnt_G&amp;L'!D376/SUM('Alloy_compnt_G&amp;L'!D$369:D$428),0)</f>
        <v>0</v>
      </c>
      <c r="E376" s="73">
        <f>IFERROR('Alloy_compnt_G&amp;L'!E376/SUM('Alloy_compnt_G&amp;L'!E$369:E$428),0)</f>
        <v>0</v>
      </c>
      <c r="F376" s="73">
        <f>IFERROR('Alloy_compnt_G&amp;L'!F376/SUM('Alloy_compnt_G&amp;L'!F$369:F$428),0)</f>
        <v>0</v>
      </c>
      <c r="G376" s="73">
        <f>IFERROR('Alloy_compnt_G&amp;L'!G376/SUM('Alloy_compnt_G&amp;L'!G$369:G$428),0)</f>
        <v>0</v>
      </c>
    </row>
    <row r="377" spans="1:7" x14ac:dyDescent="0.2">
      <c r="A377" s="145" t="s">
        <v>246</v>
      </c>
      <c r="B377" s="73">
        <f>IFERROR('Alloy_compnt_G&amp;L'!B377/SUM('Alloy_compnt_G&amp;L'!B$369:B$428),0)</f>
        <v>0</v>
      </c>
      <c r="C377" s="73">
        <f>IFERROR('Alloy_compnt_G&amp;L'!C377/SUM('Alloy_compnt_G&amp;L'!C$369:C$428),0)</f>
        <v>0</v>
      </c>
      <c r="D377" s="73">
        <f>IFERROR('Alloy_compnt_G&amp;L'!D377/SUM('Alloy_compnt_G&amp;L'!D$369:D$428),0)</f>
        <v>0</v>
      </c>
      <c r="E377" s="73">
        <f>IFERROR('Alloy_compnt_G&amp;L'!E377/SUM('Alloy_compnt_G&amp;L'!E$369:E$428),0)</f>
        <v>0</v>
      </c>
      <c r="F377" s="73">
        <f>IFERROR('Alloy_compnt_G&amp;L'!F377/SUM('Alloy_compnt_G&amp;L'!F$369:F$428),0)</f>
        <v>0</v>
      </c>
      <c r="G377" s="73">
        <f>IFERROR('Alloy_compnt_G&amp;L'!G377/SUM('Alloy_compnt_G&amp;L'!G$369:G$428),0)</f>
        <v>0</v>
      </c>
    </row>
    <row r="378" spans="1:7" x14ac:dyDescent="0.2">
      <c r="A378" s="145" t="s">
        <v>247</v>
      </c>
      <c r="B378" s="73">
        <f>IFERROR('Alloy_compnt_G&amp;L'!B378/SUM('Alloy_compnt_G&amp;L'!B$369:B$428),0)</f>
        <v>0</v>
      </c>
      <c r="C378" s="73">
        <f>IFERROR('Alloy_compnt_G&amp;L'!C378/SUM('Alloy_compnt_G&amp;L'!C$369:C$428),0)</f>
        <v>0</v>
      </c>
      <c r="D378" s="73">
        <f>IFERROR('Alloy_compnt_G&amp;L'!D378/SUM('Alloy_compnt_G&amp;L'!D$369:D$428),0)</f>
        <v>0</v>
      </c>
      <c r="E378" s="73">
        <f>IFERROR('Alloy_compnt_G&amp;L'!E378/SUM('Alloy_compnt_G&amp;L'!E$369:E$428),0)</f>
        <v>0</v>
      </c>
      <c r="F378" s="73">
        <f>IFERROR('Alloy_compnt_G&amp;L'!F378/SUM('Alloy_compnt_G&amp;L'!F$369:F$428),0)</f>
        <v>0</v>
      </c>
      <c r="G378" s="73">
        <f>IFERROR('Alloy_compnt_G&amp;L'!G378/SUM('Alloy_compnt_G&amp;L'!G$369:G$428),0)</f>
        <v>0</v>
      </c>
    </row>
    <row r="379" spans="1:7" x14ac:dyDescent="0.2">
      <c r="A379" s="145" t="s">
        <v>248</v>
      </c>
      <c r="B379" s="73">
        <f>IFERROR('Alloy_compnt_G&amp;L'!B379/SUM('Alloy_compnt_G&amp;L'!B$369:B$428),0)</f>
        <v>0</v>
      </c>
      <c r="C379" s="73">
        <f>IFERROR('Alloy_compnt_G&amp;L'!C379/SUM('Alloy_compnt_G&amp;L'!C$369:C$428),0)</f>
        <v>0</v>
      </c>
      <c r="D379" s="73">
        <f>IFERROR('Alloy_compnt_G&amp;L'!D379/SUM('Alloy_compnt_G&amp;L'!D$369:D$428),0)</f>
        <v>0</v>
      </c>
      <c r="E379" s="73">
        <f>IFERROR('Alloy_compnt_G&amp;L'!E379/SUM('Alloy_compnt_G&amp;L'!E$369:E$428),0)</f>
        <v>0</v>
      </c>
      <c r="F379" s="73">
        <f>IFERROR('Alloy_compnt_G&amp;L'!F379/SUM('Alloy_compnt_G&amp;L'!F$369:F$428),0)</f>
        <v>0</v>
      </c>
      <c r="G379" s="73">
        <f>IFERROR('Alloy_compnt_G&amp;L'!G379/SUM('Alloy_compnt_G&amp;L'!G$369:G$428),0)</f>
        <v>0</v>
      </c>
    </row>
    <row r="380" spans="1:7" x14ac:dyDescent="0.2">
      <c r="A380" s="145" t="s">
        <v>249</v>
      </c>
      <c r="B380" s="73">
        <f>IFERROR('Alloy_compnt_G&amp;L'!B380/SUM('Alloy_compnt_G&amp;L'!B$369:B$428),0)</f>
        <v>0</v>
      </c>
      <c r="C380" s="73">
        <f>IFERROR('Alloy_compnt_G&amp;L'!C380/SUM('Alloy_compnt_G&amp;L'!C$369:C$428),0)</f>
        <v>0</v>
      </c>
      <c r="D380" s="73">
        <f>IFERROR('Alloy_compnt_G&amp;L'!D380/SUM('Alloy_compnt_G&amp;L'!D$369:D$428),0)</f>
        <v>0</v>
      </c>
      <c r="E380" s="73">
        <f>IFERROR('Alloy_compnt_G&amp;L'!E380/SUM('Alloy_compnt_G&amp;L'!E$369:E$428),0)</f>
        <v>0</v>
      </c>
      <c r="F380" s="73">
        <f>IFERROR('Alloy_compnt_G&amp;L'!F380/SUM('Alloy_compnt_G&amp;L'!F$369:F$428),0)</f>
        <v>0</v>
      </c>
      <c r="G380" s="73">
        <f>IFERROR('Alloy_compnt_G&amp;L'!G380/SUM('Alloy_compnt_G&amp;L'!G$369:G$428),0)</f>
        <v>0</v>
      </c>
    </row>
    <row r="381" spans="1:7" x14ac:dyDescent="0.2">
      <c r="A381" s="145" t="s">
        <v>250</v>
      </c>
      <c r="B381" s="73">
        <f>IFERROR('Alloy_compnt_G&amp;L'!B381/SUM('Alloy_compnt_G&amp;L'!B$369:B$428),0)</f>
        <v>0</v>
      </c>
      <c r="C381" s="73">
        <f>IFERROR('Alloy_compnt_G&amp;L'!C381/SUM('Alloy_compnt_G&amp;L'!C$369:C$428),0)</f>
        <v>0</v>
      </c>
      <c r="D381" s="73">
        <f>IFERROR('Alloy_compnt_G&amp;L'!D381/SUM('Alloy_compnt_G&amp;L'!D$369:D$428),0)</f>
        <v>0</v>
      </c>
      <c r="E381" s="73">
        <f>IFERROR('Alloy_compnt_G&amp;L'!E381/SUM('Alloy_compnt_G&amp;L'!E$369:E$428),0)</f>
        <v>0</v>
      </c>
      <c r="F381" s="73">
        <f>IFERROR('Alloy_compnt_G&amp;L'!F381/SUM('Alloy_compnt_G&amp;L'!F$369:F$428),0)</f>
        <v>0</v>
      </c>
      <c r="G381" s="73">
        <f>IFERROR('Alloy_compnt_G&amp;L'!G381/SUM('Alloy_compnt_G&amp;L'!G$369:G$428),0)</f>
        <v>0</v>
      </c>
    </row>
    <row r="382" spans="1:7" x14ac:dyDescent="0.2">
      <c r="A382" s="145" t="s">
        <v>251</v>
      </c>
      <c r="B382" s="73">
        <f>IFERROR('Alloy_compnt_G&amp;L'!B382/SUM('Alloy_compnt_G&amp;L'!B$369:B$428),0)</f>
        <v>0</v>
      </c>
      <c r="C382" s="73">
        <f>IFERROR('Alloy_compnt_G&amp;L'!C382/SUM('Alloy_compnt_G&amp;L'!C$369:C$428),0)</f>
        <v>0</v>
      </c>
      <c r="D382" s="73">
        <f>IFERROR('Alloy_compnt_G&amp;L'!D382/SUM('Alloy_compnt_G&amp;L'!D$369:D$428),0)</f>
        <v>0</v>
      </c>
      <c r="E382" s="73">
        <f>IFERROR('Alloy_compnt_G&amp;L'!E382/SUM('Alloy_compnt_G&amp;L'!E$369:E$428),0)</f>
        <v>0</v>
      </c>
      <c r="F382" s="73">
        <f>IFERROR('Alloy_compnt_G&amp;L'!F382/SUM('Alloy_compnt_G&amp;L'!F$369:F$428),0)</f>
        <v>0</v>
      </c>
      <c r="G382" s="73">
        <f>IFERROR('Alloy_compnt_G&amp;L'!G382/SUM('Alloy_compnt_G&amp;L'!G$369:G$428),0)</f>
        <v>0</v>
      </c>
    </row>
    <row r="383" spans="1:7" x14ac:dyDescent="0.2">
      <c r="A383" s="145" t="s">
        <v>252</v>
      </c>
      <c r="B383" s="73">
        <f>IFERROR('Alloy_compnt_G&amp;L'!B383/SUM('Alloy_compnt_G&amp;L'!B$369:B$428),0)</f>
        <v>0</v>
      </c>
      <c r="C383" s="73">
        <f>IFERROR('Alloy_compnt_G&amp;L'!C383/SUM('Alloy_compnt_G&amp;L'!C$369:C$428),0)</f>
        <v>0</v>
      </c>
      <c r="D383" s="73">
        <f>IFERROR('Alloy_compnt_G&amp;L'!D383/SUM('Alloy_compnt_G&amp;L'!D$369:D$428),0)</f>
        <v>0</v>
      </c>
      <c r="E383" s="73">
        <f>IFERROR('Alloy_compnt_G&amp;L'!E383/SUM('Alloy_compnt_G&amp;L'!E$369:E$428),0)</f>
        <v>0</v>
      </c>
      <c r="F383" s="73">
        <f>IFERROR('Alloy_compnt_G&amp;L'!F383/SUM('Alloy_compnt_G&amp;L'!F$369:F$428),0)</f>
        <v>0</v>
      </c>
      <c r="G383" s="73">
        <f>IFERROR('Alloy_compnt_G&amp;L'!G383/SUM('Alloy_compnt_G&amp;L'!G$369:G$428),0)</f>
        <v>0</v>
      </c>
    </row>
    <row r="384" spans="1:7" x14ac:dyDescent="0.2">
      <c r="A384" s="145" t="s">
        <v>253</v>
      </c>
      <c r="B384" s="73">
        <f>IFERROR('Alloy_compnt_G&amp;L'!B384/SUM('Alloy_compnt_G&amp;L'!B$369:B$428),0)</f>
        <v>0</v>
      </c>
      <c r="C384" s="73">
        <f>IFERROR('Alloy_compnt_G&amp;L'!C384/SUM('Alloy_compnt_G&amp;L'!C$369:C$428),0)</f>
        <v>0</v>
      </c>
      <c r="D384" s="73">
        <f>IFERROR('Alloy_compnt_G&amp;L'!D384/SUM('Alloy_compnt_G&amp;L'!D$369:D$428),0)</f>
        <v>0</v>
      </c>
      <c r="E384" s="73">
        <f>IFERROR('Alloy_compnt_G&amp;L'!E384/SUM('Alloy_compnt_G&amp;L'!E$369:E$428),0)</f>
        <v>0</v>
      </c>
      <c r="F384" s="73">
        <f>IFERROR('Alloy_compnt_G&amp;L'!F384/SUM('Alloy_compnt_G&amp;L'!F$369:F$428),0)</f>
        <v>0</v>
      </c>
      <c r="G384" s="73">
        <f>IFERROR('Alloy_compnt_G&amp;L'!G384/SUM('Alloy_compnt_G&amp;L'!G$369:G$428),0)</f>
        <v>0</v>
      </c>
    </row>
    <row r="385" spans="1:7" x14ac:dyDescent="0.2">
      <c r="A385" s="145" t="s">
        <v>254</v>
      </c>
      <c r="B385" s="73">
        <f>IFERROR('Alloy_compnt_G&amp;L'!B385/SUM('Alloy_compnt_G&amp;L'!B$369:B$428),0)</f>
        <v>0</v>
      </c>
      <c r="C385" s="73">
        <f>IFERROR('Alloy_compnt_G&amp;L'!C385/SUM('Alloy_compnt_G&amp;L'!C$369:C$428),0)</f>
        <v>0</v>
      </c>
      <c r="D385" s="73">
        <f>IFERROR('Alloy_compnt_G&amp;L'!D385/SUM('Alloy_compnt_G&amp;L'!D$369:D$428),0)</f>
        <v>0</v>
      </c>
      <c r="E385" s="73">
        <f>IFERROR('Alloy_compnt_G&amp;L'!E385/SUM('Alloy_compnt_G&amp;L'!E$369:E$428),0)</f>
        <v>0</v>
      </c>
      <c r="F385" s="73">
        <f>IFERROR('Alloy_compnt_G&amp;L'!F385/SUM('Alloy_compnt_G&amp;L'!F$369:F$428),0)</f>
        <v>0</v>
      </c>
      <c r="G385" s="73">
        <f>IFERROR('Alloy_compnt_G&amp;L'!G385/SUM('Alloy_compnt_G&amp;L'!G$369:G$428),0)</f>
        <v>0</v>
      </c>
    </row>
    <row r="386" spans="1:7" x14ac:dyDescent="0.2">
      <c r="A386" s="146" t="s">
        <v>255</v>
      </c>
      <c r="B386" s="73">
        <f>IFERROR('Alloy_compnt_G&amp;L'!B386/SUM('Alloy_compnt_G&amp;L'!B$369:B$428),0)</f>
        <v>0</v>
      </c>
      <c r="C386" s="73">
        <f>IFERROR('Alloy_compnt_G&amp;L'!C386/SUM('Alloy_compnt_G&amp;L'!C$369:C$428),0)</f>
        <v>0</v>
      </c>
      <c r="D386" s="73">
        <f>IFERROR('Alloy_compnt_G&amp;L'!D386/SUM('Alloy_compnt_G&amp;L'!D$369:D$428),0)</f>
        <v>0</v>
      </c>
      <c r="E386" s="73">
        <f>IFERROR('Alloy_compnt_G&amp;L'!E386/SUM('Alloy_compnt_G&amp;L'!E$369:E$428),0)</f>
        <v>0</v>
      </c>
      <c r="F386" s="73">
        <f>IFERROR('Alloy_compnt_G&amp;L'!F386/SUM('Alloy_compnt_G&amp;L'!F$369:F$428),0)</f>
        <v>0</v>
      </c>
      <c r="G386" s="73">
        <f>IFERROR('Alloy_compnt_G&amp;L'!G386/SUM('Alloy_compnt_G&amp;L'!G$369:G$428),0)</f>
        <v>0</v>
      </c>
    </row>
    <row r="387" spans="1:7" x14ac:dyDescent="0.2">
      <c r="A387" s="145" t="s">
        <v>256</v>
      </c>
      <c r="B387" s="73">
        <f>IFERROR('Alloy_compnt_G&amp;L'!B387/SUM('Alloy_compnt_G&amp;L'!B$369:B$428),0)</f>
        <v>0</v>
      </c>
      <c r="C387" s="73">
        <f>IFERROR('Alloy_compnt_G&amp;L'!C387/SUM('Alloy_compnt_G&amp;L'!C$369:C$428),0)</f>
        <v>0</v>
      </c>
      <c r="D387" s="73">
        <f>IFERROR('Alloy_compnt_G&amp;L'!D387/SUM('Alloy_compnt_G&amp;L'!D$369:D$428),0)</f>
        <v>0</v>
      </c>
      <c r="E387" s="73">
        <f>IFERROR('Alloy_compnt_G&amp;L'!E387/SUM('Alloy_compnt_G&amp;L'!E$369:E$428),0)</f>
        <v>0</v>
      </c>
      <c r="F387" s="73">
        <f>IFERROR('Alloy_compnt_G&amp;L'!F387/SUM('Alloy_compnt_G&amp;L'!F$369:F$428),0)</f>
        <v>0</v>
      </c>
      <c r="G387" s="73">
        <f>IFERROR('Alloy_compnt_G&amp;L'!G387/SUM('Alloy_compnt_G&amp;L'!G$369:G$428),0)</f>
        <v>0</v>
      </c>
    </row>
    <row r="388" spans="1:7" x14ac:dyDescent="0.2">
      <c r="A388" s="145" t="s">
        <v>257</v>
      </c>
      <c r="B388" s="73">
        <f>IFERROR('Alloy_compnt_G&amp;L'!B388/SUM('Alloy_compnt_G&amp;L'!B$369:B$428),0)</f>
        <v>0</v>
      </c>
      <c r="C388" s="73">
        <f>IFERROR('Alloy_compnt_G&amp;L'!C388/SUM('Alloy_compnt_G&amp;L'!C$369:C$428),0)</f>
        <v>0</v>
      </c>
      <c r="D388" s="73">
        <f>IFERROR('Alloy_compnt_G&amp;L'!D388/SUM('Alloy_compnt_G&amp;L'!D$369:D$428),0)</f>
        <v>0</v>
      </c>
      <c r="E388" s="73">
        <f>IFERROR('Alloy_compnt_G&amp;L'!E388/SUM('Alloy_compnt_G&amp;L'!E$369:E$428),0)</f>
        <v>0</v>
      </c>
      <c r="F388" s="73">
        <f>IFERROR('Alloy_compnt_G&amp;L'!F388/SUM('Alloy_compnt_G&amp;L'!F$369:F$428),0)</f>
        <v>0</v>
      </c>
      <c r="G388" s="73">
        <f>IFERROR('Alloy_compnt_G&amp;L'!G388/SUM('Alloy_compnt_G&amp;L'!G$369:G$428),0)</f>
        <v>0</v>
      </c>
    </row>
    <row r="389" spans="1:7" x14ac:dyDescent="0.2">
      <c r="A389" s="145" t="s">
        <v>258</v>
      </c>
      <c r="B389" s="73">
        <f>IFERROR('Alloy_compnt_G&amp;L'!B389/SUM('Alloy_compnt_G&amp;L'!B$369:B$428),0)</f>
        <v>0</v>
      </c>
      <c r="C389" s="73">
        <f>IFERROR('Alloy_compnt_G&amp;L'!C389/SUM('Alloy_compnt_G&amp;L'!C$369:C$428),0)</f>
        <v>0</v>
      </c>
      <c r="D389" s="73">
        <f>IFERROR('Alloy_compnt_G&amp;L'!D389/SUM('Alloy_compnt_G&amp;L'!D$369:D$428),0)</f>
        <v>0</v>
      </c>
      <c r="E389" s="73">
        <f>IFERROR('Alloy_compnt_G&amp;L'!E389/SUM('Alloy_compnt_G&amp;L'!E$369:E$428),0)</f>
        <v>0</v>
      </c>
      <c r="F389" s="73">
        <f>IFERROR('Alloy_compnt_G&amp;L'!F389/SUM('Alloy_compnt_G&amp;L'!F$369:F$428),0)</f>
        <v>0</v>
      </c>
      <c r="G389" s="73">
        <f>IFERROR('Alloy_compnt_G&amp;L'!G389/SUM('Alloy_compnt_G&amp;L'!G$369:G$428),0)</f>
        <v>0</v>
      </c>
    </row>
    <row r="390" spans="1:7" x14ac:dyDescent="0.2">
      <c r="A390" s="142" t="s">
        <v>259</v>
      </c>
      <c r="B390" s="73">
        <f>IFERROR('Alloy_compnt_G&amp;L'!B390/SUM('Alloy_compnt_G&amp;L'!B$369:B$428),0)</f>
        <v>0</v>
      </c>
      <c r="C390" s="73">
        <f>IFERROR('Alloy_compnt_G&amp;L'!C390/SUM('Alloy_compnt_G&amp;L'!C$369:C$428),0)</f>
        <v>0</v>
      </c>
      <c r="D390" s="73">
        <f>IFERROR('Alloy_compnt_G&amp;L'!D390/SUM('Alloy_compnt_G&amp;L'!D$369:D$428),0)</f>
        <v>0</v>
      </c>
      <c r="E390" s="73">
        <f>IFERROR('Alloy_compnt_G&amp;L'!E390/SUM('Alloy_compnt_G&amp;L'!E$369:E$428),0)</f>
        <v>0</v>
      </c>
      <c r="F390" s="73">
        <f>IFERROR('Alloy_compnt_G&amp;L'!F390/SUM('Alloy_compnt_G&amp;L'!F$369:F$428),0)</f>
        <v>0</v>
      </c>
      <c r="G390" s="73">
        <f>IFERROR('Alloy_compnt_G&amp;L'!G390/SUM('Alloy_compnt_G&amp;L'!G$369:G$428),0)</f>
        <v>0</v>
      </c>
    </row>
    <row r="391" spans="1:7" x14ac:dyDescent="0.2">
      <c r="A391" s="147" t="s">
        <v>260</v>
      </c>
      <c r="B391" s="73">
        <f>IFERROR('Alloy_compnt_G&amp;L'!B391/SUM('Alloy_compnt_G&amp;L'!B$369:B$428),0)</f>
        <v>0</v>
      </c>
      <c r="C391" s="73">
        <f>IFERROR('Alloy_compnt_G&amp;L'!C391/SUM('Alloy_compnt_G&amp;L'!C$369:C$428),0)</f>
        <v>0</v>
      </c>
      <c r="D391" s="73">
        <f>IFERROR('Alloy_compnt_G&amp;L'!D391/SUM('Alloy_compnt_G&amp;L'!D$369:D$428),0)</f>
        <v>0</v>
      </c>
      <c r="E391" s="73">
        <f>IFERROR('Alloy_compnt_G&amp;L'!E391/SUM('Alloy_compnt_G&amp;L'!E$369:E$428),0)</f>
        <v>0</v>
      </c>
      <c r="F391" s="73">
        <f>IFERROR('Alloy_compnt_G&amp;L'!F391/SUM('Alloy_compnt_G&amp;L'!F$369:F$428),0)</f>
        <v>0</v>
      </c>
      <c r="G391" s="73">
        <f>IFERROR('Alloy_compnt_G&amp;L'!G391/SUM('Alloy_compnt_G&amp;L'!G$369:G$428),0)</f>
        <v>0</v>
      </c>
    </row>
    <row r="392" spans="1:7" x14ac:dyDescent="0.2">
      <c r="A392" s="142" t="s">
        <v>261</v>
      </c>
      <c r="B392" s="73">
        <f>IFERROR('Alloy_compnt_G&amp;L'!B392/SUM('Alloy_compnt_G&amp;L'!B$369:B$428),0)</f>
        <v>0</v>
      </c>
      <c r="C392" s="73">
        <f>IFERROR('Alloy_compnt_G&amp;L'!C392/SUM('Alloy_compnt_G&amp;L'!C$369:C$428),0)</f>
        <v>0</v>
      </c>
      <c r="D392" s="73">
        <f>IFERROR('Alloy_compnt_G&amp;L'!D392/SUM('Alloy_compnt_G&amp;L'!D$369:D$428),0)</f>
        <v>0</v>
      </c>
      <c r="E392" s="73">
        <f>IFERROR('Alloy_compnt_G&amp;L'!E392/SUM('Alloy_compnt_G&amp;L'!E$369:E$428),0)</f>
        <v>0</v>
      </c>
      <c r="F392" s="73">
        <f>IFERROR('Alloy_compnt_G&amp;L'!F392/SUM('Alloy_compnt_G&amp;L'!F$369:F$428),0)</f>
        <v>0</v>
      </c>
      <c r="G392" s="73">
        <f>IFERROR('Alloy_compnt_G&amp;L'!G392/SUM('Alloy_compnt_G&amp;L'!G$369:G$428),0)</f>
        <v>0</v>
      </c>
    </row>
    <row r="393" spans="1:7" x14ac:dyDescent="0.2">
      <c r="A393" s="142" t="s">
        <v>262</v>
      </c>
      <c r="B393" s="73">
        <f>IFERROR('Alloy_compnt_G&amp;L'!B393/SUM('Alloy_compnt_G&amp;L'!B$369:B$428),0)</f>
        <v>0</v>
      </c>
      <c r="C393" s="73">
        <f>IFERROR('Alloy_compnt_G&amp;L'!C393/SUM('Alloy_compnt_G&amp;L'!C$369:C$428),0)</f>
        <v>0</v>
      </c>
      <c r="D393" s="73">
        <f>IFERROR('Alloy_compnt_G&amp;L'!D393/SUM('Alloy_compnt_G&amp;L'!D$369:D$428),0)</f>
        <v>0</v>
      </c>
      <c r="E393" s="73">
        <f>IFERROR('Alloy_compnt_G&amp;L'!E393/SUM('Alloy_compnt_G&amp;L'!E$369:E$428),0)</f>
        <v>0</v>
      </c>
      <c r="F393" s="73">
        <f>IFERROR('Alloy_compnt_G&amp;L'!F393/SUM('Alloy_compnt_G&amp;L'!F$369:F$428),0)</f>
        <v>0</v>
      </c>
      <c r="G393" s="73">
        <f>IFERROR('Alloy_compnt_G&amp;L'!G393/SUM('Alloy_compnt_G&amp;L'!G$369:G$428),0)</f>
        <v>0</v>
      </c>
    </row>
    <row r="394" spans="1:7" x14ac:dyDescent="0.2">
      <c r="A394" s="142" t="s">
        <v>263</v>
      </c>
      <c r="B394" s="73">
        <f>IFERROR('Alloy_compnt_G&amp;L'!B394/SUM('Alloy_compnt_G&amp;L'!B$369:B$428),0)</f>
        <v>0</v>
      </c>
      <c r="C394" s="73">
        <f>IFERROR('Alloy_compnt_G&amp;L'!C394/SUM('Alloy_compnt_G&amp;L'!C$369:C$428),0)</f>
        <v>0</v>
      </c>
      <c r="D394" s="73">
        <f>IFERROR('Alloy_compnt_G&amp;L'!D394/SUM('Alloy_compnt_G&amp;L'!D$369:D$428),0)</f>
        <v>0</v>
      </c>
      <c r="E394" s="73">
        <f>IFERROR('Alloy_compnt_G&amp;L'!E394/SUM('Alloy_compnt_G&amp;L'!E$369:E$428),0)</f>
        <v>0</v>
      </c>
      <c r="F394" s="73">
        <f>IFERROR('Alloy_compnt_G&amp;L'!F394/SUM('Alloy_compnt_G&amp;L'!F$369:F$428),0)</f>
        <v>0</v>
      </c>
      <c r="G394" s="73">
        <f>IFERROR('Alloy_compnt_G&amp;L'!G394/SUM('Alloy_compnt_G&amp;L'!G$369:G$428),0)</f>
        <v>0</v>
      </c>
    </row>
    <row r="395" spans="1:7" x14ac:dyDescent="0.2">
      <c r="A395" s="142" t="s">
        <v>264</v>
      </c>
      <c r="B395" s="73">
        <f>IFERROR('Alloy_compnt_G&amp;L'!B395/SUM('Alloy_compnt_G&amp;L'!B$369:B$428),0)</f>
        <v>0</v>
      </c>
      <c r="C395" s="73">
        <f>IFERROR('Alloy_compnt_G&amp;L'!C395/SUM('Alloy_compnt_G&amp;L'!C$369:C$428),0)</f>
        <v>0</v>
      </c>
      <c r="D395" s="73">
        <f>IFERROR('Alloy_compnt_G&amp;L'!D395/SUM('Alloy_compnt_G&amp;L'!D$369:D$428),0)</f>
        <v>0</v>
      </c>
      <c r="E395" s="73">
        <f>IFERROR('Alloy_compnt_G&amp;L'!E395/SUM('Alloy_compnt_G&amp;L'!E$369:E$428),0)</f>
        <v>0</v>
      </c>
      <c r="F395" s="73">
        <f>IFERROR('Alloy_compnt_G&amp;L'!F395/SUM('Alloy_compnt_G&amp;L'!F$369:F$428),0)</f>
        <v>0</v>
      </c>
      <c r="G395" s="73">
        <f>IFERROR('Alloy_compnt_G&amp;L'!G395/SUM('Alloy_compnt_G&amp;L'!G$369:G$428),0)</f>
        <v>0</v>
      </c>
    </row>
    <row r="396" spans="1:7" x14ac:dyDescent="0.2">
      <c r="A396" s="142" t="s">
        <v>265</v>
      </c>
      <c r="B396" s="73">
        <f>IFERROR('Alloy_compnt_G&amp;L'!B396/SUM('Alloy_compnt_G&amp;L'!B$369:B$428),0)</f>
        <v>0</v>
      </c>
      <c r="C396" s="73">
        <f>IFERROR('Alloy_compnt_G&amp;L'!C396/SUM('Alloy_compnt_G&amp;L'!C$369:C$428),0)</f>
        <v>0</v>
      </c>
      <c r="D396" s="73">
        <f>IFERROR('Alloy_compnt_G&amp;L'!D396/SUM('Alloy_compnt_G&amp;L'!D$369:D$428),0)</f>
        <v>0</v>
      </c>
      <c r="E396" s="73">
        <f>IFERROR('Alloy_compnt_G&amp;L'!E396/SUM('Alloy_compnt_G&amp;L'!E$369:E$428),0)</f>
        <v>0</v>
      </c>
      <c r="F396" s="73">
        <f>IFERROR('Alloy_compnt_G&amp;L'!F396/SUM('Alloy_compnt_G&amp;L'!F$369:F$428),0)</f>
        <v>0</v>
      </c>
      <c r="G396" s="73">
        <f>IFERROR('Alloy_compnt_G&amp;L'!G396/SUM('Alloy_compnt_G&amp;L'!G$369:G$428),0)</f>
        <v>0</v>
      </c>
    </row>
    <row r="397" spans="1:7" x14ac:dyDescent="0.2">
      <c r="A397" s="142" t="s">
        <v>266</v>
      </c>
      <c r="B397" s="73">
        <f>IFERROR('Alloy_compnt_G&amp;L'!B397/SUM('Alloy_compnt_G&amp;L'!B$369:B$428),0)</f>
        <v>0</v>
      </c>
      <c r="C397" s="73">
        <f>IFERROR('Alloy_compnt_G&amp;L'!C397/SUM('Alloy_compnt_G&amp;L'!C$369:C$428),0)</f>
        <v>0</v>
      </c>
      <c r="D397" s="73">
        <f>IFERROR('Alloy_compnt_G&amp;L'!D397/SUM('Alloy_compnt_G&amp;L'!D$369:D$428),0)</f>
        <v>0</v>
      </c>
      <c r="E397" s="73">
        <f>IFERROR('Alloy_compnt_G&amp;L'!E397/SUM('Alloy_compnt_G&amp;L'!E$369:E$428),0)</f>
        <v>0</v>
      </c>
      <c r="F397" s="73">
        <f>IFERROR('Alloy_compnt_G&amp;L'!F397/SUM('Alloy_compnt_G&amp;L'!F$369:F$428),0)</f>
        <v>0</v>
      </c>
      <c r="G397" s="73">
        <f>IFERROR('Alloy_compnt_G&amp;L'!G397/SUM('Alloy_compnt_G&amp;L'!G$369:G$428),0)</f>
        <v>0</v>
      </c>
    </row>
    <row r="398" spans="1:7" x14ac:dyDescent="0.2">
      <c r="A398" s="142" t="s">
        <v>267</v>
      </c>
      <c r="B398" s="73">
        <f>IFERROR('Alloy_compnt_G&amp;L'!B398/SUM('Alloy_compnt_G&amp;L'!B$369:B$428),0)</f>
        <v>0</v>
      </c>
      <c r="C398" s="73">
        <f>IFERROR('Alloy_compnt_G&amp;L'!C398/SUM('Alloy_compnt_G&amp;L'!C$369:C$428),0)</f>
        <v>0</v>
      </c>
      <c r="D398" s="73">
        <f>IFERROR('Alloy_compnt_G&amp;L'!D398/SUM('Alloy_compnt_G&amp;L'!D$369:D$428),0)</f>
        <v>0</v>
      </c>
      <c r="E398" s="73">
        <f>IFERROR('Alloy_compnt_G&amp;L'!E398/SUM('Alloy_compnt_G&amp;L'!E$369:E$428),0)</f>
        <v>0</v>
      </c>
      <c r="F398" s="73">
        <f>IFERROR('Alloy_compnt_G&amp;L'!F398/SUM('Alloy_compnt_G&amp;L'!F$369:F$428),0)</f>
        <v>0</v>
      </c>
      <c r="G398" s="73">
        <f>IFERROR('Alloy_compnt_G&amp;L'!G398/SUM('Alloy_compnt_G&amp;L'!G$369:G$428),0)</f>
        <v>0</v>
      </c>
    </row>
    <row r="399" spans="1:7" x14ac:dyDescent="0.2">
      <c r="A399" s="142" t="s">
        <v>268</v>
      </c>
      <c r="B399" s="73">
        <f>IFERROR('Alloy_compnt_G&amp;L'!B399/SUM('Alloy_compnt_G&amp;L'!B$369:B$428),0)</f>
        <v>0</v>
      </c>
      <c r="C399" s="73">
        <f>IFERROR('Alloy_compnt_G&amp;L'!C399/SUM('Alloy_compnt_G&amp;L'!C$369:C$428),0)</f>
        <v>0</v>
      </c>
      <c r="D399" s="73">
        <f>IFERROR('Alloy_compnt_G&amp;L'!D399/SUM('Alloy_compnt_G&amp;L'!D$369:D$428),0)</f>
        <v>0</v>
      </c>
      <c r="E399" s="73">
        <f>IFERROR('Alloy_compnt_G&amp;L'!E399/SUM('Alloy_compnt_G&amp;L'!E$369:E$428),0)</f>
        <v>0</v>
      </c>
      <c r="F399" s="73">
        <f>IFERROR('Alloy_compnt_G&amp;L'!F399/SUM('Alloy_compnt_G&amp;L'!F$369:F$428),0)</f>
        <v>0</v>
      </c>
      <c r="G399" s="73">
        <f>IFERROR('Alloy_compnt_G&amp;L'!G399/SUM('Alloy_compnt_G&amp;L'!G$369:G$428),0)</f>
        <v>0</v>
      </c>
    </row>
    <row r="400" spans="1:7" x14ac:dyDescent="0.2">
      <c r="A400" s="142" t="s">
        <v>269</v>
      </c>
      <c r="B400" s="73">
        <f>IFERROR('Alloy_compnt_G&amp;L'!B400/SUM('Alloy_compnt_G&amp;L'!B$369:B$428),0)</f>
        <v>0</v>
      </c>
      <c r="C400" s="73">
        <f>IFERROR('Alloy_compnt_G&amp;L'!C400/SUM('Alloy_compnt_G&amp;L'!C$369:C$428),0)</f>
        <v>0</v>
      </c>
      <c r="D400" s="73">
        <f>IFERROR('Alloy_compnt_G&amp;L'!D400/SUM('Alloy_compnt_G&amp;L'!D$369:D$428),0)</f>
        <v>0</v>
      </c>
      <c r="E400" s="73">
        <f>IFERROR('Alloy_compnt_G&amp;L'!E400/SUM('Alloy_compnt_G&amp;L'!E$369:E$428),0)</f>
        <v>0</v>
      </c>
      <c r="F400" s="73">
        <f>IFERROR('Alloy_compnt_G&amp;L'!F400/SUM('Alloy_compnt_G&amp;L'!F$369:F$428),0)</f>
        <v>0</v>
      </c>
      <c r="G400" s="73">
        <f>IFERROR('Alloy_compnt_G&amp;L'!G400/SUM('Alloy_compnt_G&amp;L'!G$369:G$428),0)</f>
        <v>0</v>
      </c>
    </row>
    <row r="401" spans="1:7" x14ac:dyDescent="0.2">
      <c r="A401" s="142" t="s">
        <v>270</v>
      </c>
      <c r="B401" s="73">
        <f>IFERROR('Alloy_compnt_G&amp;L'!B401/SUM('Alloy_compnt_G&amp;L'!B$369:B$428),0)</f>
        <v>0</v>
      </c>
      <c r="C401" s="73">
        <f>IFERROR('Alloy_compnt_G&amp;L'!C401/SUM('Alloy_compnt_G&amp;L'!C$369:C$428),0)</f>
        <v>0</v>
      </c>
      <c r="D401" s="73">
        <f>IFERROR('Alloy_compnt_G&amp;L'!D401/SUM('Alloy_compnt_G&amp;L'!D$369:D$428),0)</f>
        <v>0</v>
      </c>
      <c r="E401" s="73">
        <f>IFERROR('Alloy_compnt_G&amp;L'!E401/SUM('Alloy_compnt_G&amp;L'!E$369:E$428),0)</f>
        <v>0</v>
      </c>
      <c r="F401" s="73">
        <f>IFERROR('Alloy_compnt_G&amp;L'!F401/SUM('Alloy_compnt_G&amp;L'!F$369:F$428),0)</f>
        <v>0</v>
      </c>
      <c r="G401" s="73">
        <f>IFERROR('Alloy_compnt_G&amp;L'!G401/SUM('Alloy_compnt_G&amp;L'!G$369:G$428),0)</f>
        <v>0</v>
      </c>
    </row>
    <row r="402" spans="1:7" x14ac:dyDescent="0.2">
      <c r="A402" s="142" t="s">
        <v>271</v>
      </c>
      <c r="B402" s="73">
        <f>IFERROR('Alloy_compnt_G&amp;L'!B402/SUM('Alloy_compnt_G&amp;L'!B$369:B$428),0)</f>
        <v>0</v>
      </c>
      <c r="C402" s="73">
        <f>IFERROR('Alloy_compnt_G&amp;L'!C402/SUM('Alloy_compnt_G&amp;L'!C$369:C$428),0)</f>
        <v>0</v>
      </c>
      <c r="D402" s="73">
        <f>IFERROR('Alloy_compnt_G&amp;L'!D402/SUM('Alloy_compnt_G&amp;L'!D$369:D$428),0)</f>
        <v>0</v>
      </c>
      <c r="E402" s="73">
        <f>IFERROR('Alloy_compnt_G&amp;L'!E402/SUM('Alloy_compnt_G&amp;L'!E$369:E$428),0)</f>
        <v>0</v>
      </c>
      <c r="F402" s="73">
        <f>IFERROR('Alloy_compnt_G&amp;L'!F402/SUM('Alloy_compnt_G&amp;L'!F$369:F$428),0)</f>
        <v>0</v>
      </c>
      <c r="G402" s="73">
        <f>IFERROR('Alloy_compnt_G&amp;L'!G402/SUM('Alloy_compnt_G&amp;L'!G$369:G$428),0)</f>
        <v>0</v>
      </c>
    </row>
    <row r="403" spans="1:7" x14ac:dyDescent="0.2">
      <c r="A403" s="142" t="s">
        <v>272</v>
      </c>
      <c r="B403" s="73">
        <f>IFERROR('Alloy_compnt_G&amp;L'!B403/SUM('Alloy_compnt_G&amp;L'!B$369:B$428),0)</f>
        <v>0</v>
      </c>
      <c r="C403" s="73">
        <f>IFERROR('Alloy_compnt_G&amp;L'!C403/SUM('Alloy_compnt_G&amp;L'!C$369:C$428),0)</f>
        <v>0</v>
      </c>
      <c r="D403" s="73">
        <f>IFERROR('Alloy_compnt_G&amp;L'!D403/SUM('Alloy_compnt_G&amp;L'!D$369:D$428),0)</f>
        <v>0</v>
      </c>
      <c r="E403" s="73">
        <f>IFERROR('Alloy_compnt_G&amp;L'!E403/SUM('Alloy_compnt_G&amp;L'!E$369:E$428),0)</f>
        <v>0</v>
      </c>
      <c r="F403" s="73">
        <f>IFERROR('Alloy_compnt_G&amp;L'!F403/SUM('Alloy_compnt_G&amp;L'!F$369:F$428),0)</f>
        <v>0</v>
      </c>
      <c r="G403" s="73">
        <f>IFERROR('Alloy_compnt_G&amp;L'!G403/SUM('Alloy_compnt_G&amp;L'!G$369:G$428),0)</f>
        <v>0</v>
      </c>
    </row>
    <row r="404" spans="1:7" x14ac:dyDescent="0.2">
      <c r="A404" s="142" t="s">
        <v>273</v>
      </c>
      <c r="B404" s="73">
        <f>IFERROR('Alloy_compnt_G&amp;L'!B404/SUM('Alloy_compnt_G&amp;L'!B$369:B$428),0)</f>
        <v>0</v>
      </c>
      <c r="C404" s="73">
        <f>IFERROR('Alloy_compnt_G&amp;L'!C404/SUM('Alloy_compnt_G&amp;L'!C$369:C$428),0)</f>
        <v>0</v>
      </c>
      <c r="D404" s="73">
        <f>IFERROR('Alloy_compnt_G&amp;L'!D404/SUM('Alloy_compnt_G&amp;L'!D$369:D$428),0)</f>
        <v>0</v>
      </c>
      <c r="E404" s="73">
        <f>IFERROR('Alloy_compnt_G&amp;L'!E404/SUM('Alloy_compnt_G&amp;L'!E$369:E$428),0)</f>
        <v>0</v>
      </c>
      <c r="F404" s="73">
        <f>IFERROR('Alloy_compnt_G&amp;L'!F404/SUM('Alloy_compnt_G&amp;L'!F$369:F$428),0)</f>
        <v>0</v>
      </c>
      <c r="G404" s="73">
        <f>IFERROR('Alloy_compnt_G&amp;L'!G404/SUM('Alloy_compnt_G&amp;L'!G$369:G$428),0)</f>
        <v>0</v>
      </c>
    </row>
    <row r="405" spans="1:7" x14ac:dyDescent="0.2">
      <c r="A405" s="142" t="s">
        <v>274</v>
      </c>
      <c r="B405" s="73">
        <f>IFERROR('Alloy_compnt_G&amp;L'!B405/SUM('Alloy_compnt_G&amp;L'!B$369:B$428),0)</f>
        <v>0</v>
      </c>
      <c r="C405" s="73">
        <f>IFERROR('Alloy_compnt_G&amp;L'!C405/SUM('Alloy_compnt_G&amp;L'!C$369:C$428),0)</f>
        <v>0</v>
      </c>
      <c r="D405" s="73">
        <f>IFERROR('Alloy_compnt_G&amp;L'!D405/SUM('Alloy_compnt_G&amp;L'!D$369:D$428),0)</f>
        <v>0</v>
      </c>
      <c r="E405" s="73">
        <f>IFERROR('Alloy_compnt_G&amp;L'!E405/SUM('Alloy_compnt_G&amp;L'!E$369:E$428),0)</f>
        <v>0</v>
      </c>
      <c r="F405" s="73">
        <f>IFERROR('Alloy_compnt_G&amp;L'!F405/SUM('Alloy_compnt_G&amp;L'!F$369:F$428),0)</f>
        <v>0</v>
      </c>
      <c r="G405" s="73">
        <f>IFERROR('Alloy_compnt_G&amp;L'!G405/SUM('Alloy_compnt_G&amp;L'!G$369:G$428),0)</f>
        <v>0</v>
      </c>
    </row>
    <row r="406" spans="1:7" x14ac:dyDescent="0.2">
      <c r="A406" s="142" t="s">
        <v>275</v>
      </c>
      <c r="B406" s="73">
        <f>IFERROR('Alloy_compnt_G&amp;L'!B406/SUM('Alloy_compnt_G&amp;L'!B$369:B$428),0)</f>
        <v>0</v>
      </c>
      <c r="C406" s="73">
        <f>IFERROR('Alloy_compnt_G&amp;L'!C406/SUM('Alloy_compnt_G&amp;L'!C$369:C$428),0)</f>
        <v>0</v>
      </c>
      <c r="D406" s="73">
        <f>IFERROR('Alloy_compnt_G&amp;L'!D406/SUM('Alloy_compnt_G&amp;L'!D$369:D$428),0)</f>
        <v>0</v>
      </c>
      <c r="E406" s="73">
        <f>IFERROR('Alloy_compnt_G&amp;L'!E406/SUM('Alloy_compnt_G&amp;L'!E$369:E$428),0)</f>
        <v>0</v>
      </c>
      <c r="F406" s="73">
        <f>IFERROR('Alloy_compnt_G&amp;L'!F406/SUM('Alloy_compnt_G&amp;L'!F$369:F$428),0)</f>
        <v>0</v>
      </c>
      <c r="G406" s="73">
        <f>IFERROR('Alloy_compnt_G&amp;L'!G406/SUM('Alloy_compnt_G&amp;L'!G$369:G$428),0)</f>
        <v>0</v>
      </c>
    </row>
    <row r="407" spans="1:7" x14ac:dyDescent="0.2">
      <c r="A407" s="142" t="s">
        <v>276</v>
      </c>
      <c r="B407" s="73">
        <f>IFERROR('Alloy_compnt_G&amp;L'!B407/SUM('Alloy_compnt_G&amp;L'!B$369:B$428),0)</f>
        <v>0</v>
      </c>
      <c r="C407" s="73">
        <f>IFERROR('Alloy_compnt_G&amp;L'!C407/SUM('Alloy_compnt_G&amp;L'!C$369:C$428),0)</f>
        <v>0</v>
      </c>
      <c r="D407" s="73">
        <f>IFERROR('Alloy_compnt_G&amp;L'!D407/SUM('Alloy_compnt_G&amp;L'!D$369:D$428),0)</f>
        <v>0</v>
      </c>
      <c r="E407" s="73">
        <f>IFERROR('Alloy_compnt_G&amp;L'!E407/SUM('Alloy_compnt_G&amp;L'!E$369:E$428),0)</f>
        <v>0</v>
      </c>
      <c r="F407" s="73">
        <f>IFERROR('Alloy_compnt_G&amp;L'!F407/SUM('Alloy_compnt_G&amp;L'!F$369:F$428),0)</f>
        <v>0</v>
      </c>
      <c r="G407" s="73">
        <f>IFERROR('Alloy_compnt_G&amp;L'!G407/SUM('Alloy_compnt_G&amp;L'!G$369:G$428),0)</f>
        <v>0</v>
      </c>
    </row>
    <row r="408" spans="1:7" x14ac:dyDescent="0.2">
      <c r="A408" s="144" t="s">
        <v>277</v>
      </c>
      <c r="B408" s="73">
        <f>IFERROR('Alloy_compnt_G&amp;L'!B408/SUM('Alloy_compnt_G&amp;L'!B$369:B$428),0)</f>
        <v>0</v>
      </c>
      <c r="C408" s="73">
        <f>IFERROR('Alloy_compnt_G&amp;L'!C408/SUM('Alloy_compnt_G&amp;L'!C$369:C$428),0)</f>
        <v>0</v>
      </c>
      <c r="D408" s="73">
        <f>IFERROR('Alloy_compnt_G&amp;L'!D408/SUM('Alloy_compnt_G&amp;L'!D$369:D$428),0)</f>
        <v>0</v>
      </c>
      <c r="E408" s="73">
        <f>IFERROR('Alloy_compnt_G&amp;L'!E408/SUM('Alloy_compnt_G&amp;L'!E$369:E$428),0)</f>
        <v>0</v>
      </c>
      <c r="F408" s="73">
        <f>IFERROR('Alloy_compnt_G&amp;L'!F408/SUM('Alloy_compnt_G&amp;L'!F$369:F$428),0)</f>
        <v>0</v>
      </c>
      <c r="G408" s="73">
        <f>IFERROR('Alloy_compnt_G&amp;L'!G408/SUM('Alloy_compnt_G&amp;L'!G$369:G$428),0)</f>
        <v>0</v>
      </c>
    </row>
    <row r="409" spans="1:7" x14ac:dyDescent="0.2">
      <c r="A409" s="148" t="s">
        <v>278</v>
      </c>
      <c r="B409" s="73">
        <f>IFERROR('Alloy_compnt_G&amp;L'!B409/SUM('Alloy_compnt_G&amp;L'!B$369:B$428),0)</f>
        <v>0</v>
      </c>
      <c r="C409" s="73">
        <f>IFERROR('Alloy_compnt_G&amp;L'!C409/SUM('Alloy_compnt_G&amp;L'!C$369:C$428),0)</f>
        <v>0</v>
      </c>
      <c r="D409" s="73">
        <f>IFERROR('Alloy_compnt_G&amp;L'!D409/SUM('Alloy_compnt_G&amp;L'!D$369:D$428),0)</f>
        <v>0</v>
      </c>
      <c r="E409" s="73">
        <f>IFERROR('Alloy_compnt_G&amp;L'!E409/SUM('Alloy_compnt_G&amp;L'!E$369:E$428),0)</f>
        <v>0</v>
      </c>
      <c r="F409" s="73">
        <f>IFERROR('Alloy_compnt_G&amp;L'!F409/SUM('Alloy_compnt_G&amp;L'!F$369:F$428),0)</f>
        <v>0</v>
      </c>
      <c r="G409" s="73">
        <f>IFERROR('Alloy_compnt_G&amp;L'!G409/SUM('Alloy_compnt_G&amp;L'!G$369:G$428),0)</f>
        <v>0</v>
      </c>
    </row>
    <row r="410" spans="1:7" x14ac:dyDescent="0.2">
      <c r="A410" s="148" t="s">
        <v>279</v>
      </c>
      <c r="B410" s="73">
        <f>IFERROR('Alloy_compnt_G&amp;L'!B410/SUM('Alloy_compnt_G&amp;L'!B$369:B$428),0)</f>
        <v>0</v>
      </c>
      <c r="C410" s="73">
        <f>IFERROR('Alloy_compnt_G&amp;L'!C410/SUM('Alloy_compnt_G&amp;L'!C$369:C$428),0)</f>
        <v>0</v>
      </c>
      <c r="D410" s="73">
        <f>IFERROR('Alloy_compnt_G&amp;L'!D410/SUM('Alloy_compnt_G&amp;L'!D$369:D$428),0)</f>
        <v>0</v>
      </c>
      <c r="E410" s="73">
        <f>IFERROR('Alloy_compnt_G&amp;L'!E410/SUM('Alloy_compnt_G&amp;L'!E$369:E$428),0)</f>
        <v>0</v>
      </c>
      <c r="F410" s="73">
        <f>IFERROR('Alloy_compnt_G&amp;L'!F410/SUM('Alloy_compnt_G&amp;L'!F$369:F$428),0)</f>
        <v>0</v>
      </c>
      <c r="G410" s="73">
        <f>IFERROR('Alloy_compnt_G&amp;L'!G410/SUM('Alloy_compnt_G&amp;L'!G$369:G$428),0)</f>
        <v>0</v>
      </c>
    </row>
    <row r="411" spans="1:7" x14ac:dyDescent="0.2">
      <c r="A411" s="148" t="s">
        <v>280</v>
      </c>
      <c r="B411" s="73">
        <f>IFERROR('Alloy_compnt_G&amp;L'!B411/SUM('Alloy_compnt_G&amp;L'!B$369:B$428),0)</f>
        <v>0</v>
      </c>
      <c r="C411" s="73">
        <f>IFERROR('Alloy_compnt_G&amp;L'!C411/SUM('Alloy_compnt_G&amp;L'!C$369:C$428),0)</f>
        <v>0</v>
      </c>
      <c r="D411" s="73">
        <f>IFERROR('Alloy_compnt_G&amp;L'!D411/SUM('Alloy_compnt_G&amp;L'!D$369:D$428),0)</f>
        <v>0</v>
      </c>
      <c r="E411" s="73">
        <f>IFERROR('Alloy_compnt_G&amp;L'!E411/SUM('Alloy_compnt_G&amp;L'!E$369:E$428),0)</f>
        <v>0</v>
      </c>
      <c r="F411" s="73">
        <f>IFERROR('Alloy_compnt_G&amp;L'!F411/SUM('Alloy_compnt_G&amp;L'!F$369:F$428),0)</f>
        <v>0</v>
      </c>
      <c r="G411" s="73">
        <f>IFERROR('Alloy_compnt_G&amp;L'!G411/SUM('Alloy_compnt_G&amp;L'!G$369:G$428),0)</f>
        <v>0</v>
      </c>
    </row>
    <row r="412" spans="1:7" x14ac:dyDescent="0.2">
      <c r="A412" s="148" t="s">
        <v>281</v>
      </c>
      <c r="B412" s="73">
        <f>IFERROR('Alloy_compnt_G&amp;L'!B412/SUM('Alloy_compnt_G&amp;L'!B$369:B$428),0)</f>
        <v>0</v>
      </c>
      <c r="C412" s="73">
        <f>IFERROR('Alloy_compnt_G&amp;L'!C412/SUM('Alloy_compnt_G&amp;L'!C$369:C$428),0)</f>
        <v>0</v>
      </c>
      <c r="D412" s="73">
        <f>IFERROR('Alloy_compnt_G&amp;L'!D412/SUM('Alloy_compnt_G&amp;L'!D$369:D$428),0)</f>
        <v>0</v>
      </c>
      <c r="E412" s="73">
        <f>IFERROR('Alloy_compnt_G&amp;L'!E412/SUM('Alloy_compnt_G&amp;L'!E$369:E$428),0)</f>
        <v>0</v>
      </c>
      <c r="F412" s="73">
        <f>IFERROR('Alloy_compnt_G&amp;L'!F412/SUM('Alloy_compnt_G&amp;L'!F$369:F$428),0)</f>
        <v>0</v>
      </c>
      <c r="G412" s="73">
        <f>IFERROR('Alloy_compnt_G&amp;L'!G412/SUM('Alloy_compnt_G&amp;L'!G$369:G$428),0)</f>
        <v>0</v>
      </c>
    </row>
    <row r="413" spans="1:7" x14ac:dyDescent="0.2">
      <c r="A413" s="148" t="s">
        <v>282</v>
      </c>
      <c r="B413" s="73">
        <f>IFERROR('Alloy_compnt_G&amp;L'!B413/SUM('Alloy_compnt_G&amp;L'!B$369:B$428),0)</f>
        <v>0</v>
      </c>
      <c r="C413" s="73">
        <f>IFERROR('Alloy_compnt_G&amp;L'!C413/SUM('Alloy_compnt_G&amp;L'!C$369:C$428),0)</f>
        <v>0</v>
      </c>
      <c r="D413" s="73">
        <f>IFERROR('Alloy_compnt_G&amp;L'!D413/SUM('Alloy_compnt_G&amp;L'!D$369:D$428),0)</f>
        <v>0</v>
      </c>
      <c r="E413" s="73">
        <f>IFERROR('Alloy_compnt_G&amp;L'!E413/SUM('Alloy_compnt_G&amp;L'!E$369:E$428),0)</f>
        <v>0</v>
      </c>
      <c r="F413" s="73">
        <f>IFERROR('Alloy_compnt_G&amp;L'!F413/SUM('Alloy_compnt_G&amp;L'!F$369:F$428),0)</f>
        <v>0</v>
      </c>
      <c r="G413" s="73">
        <f>IFERROR('Alloy_compnt_G&amp;L'!G413/SUM('Alloy_compnt_G&amp;L'!G$369:G$428),0)</f>
        <v>0</v>
      </c>
    </row>
    <row r="414" spans="1:7" x14ac:dyDescent="0.2">
      <c r="A414" s="148" t="s">
        <v>283</v>
      </c>
      <c r="B414" s="73">
        <f>IFERROR('Alloy_compnt_G&amp;L'!B414/SUM('Alloy_compnt_G&amp;L'!B$369:B$428),0)</f>
        <v>0</v>
      </c>
      <c r="C414" s="73">
        <f>IFERROR('Alloy_compnt_G&amp;L'!C414/SUM('Alloy_compnt_G&amp;L'!C$369:C$428),0)</f>
        <v>0</v>
      </c>
      <c r="D414" s="73">
        <f>IFERROR('Alloy_compnt_G&amp;L'!D414/SUM('Alloy_compnt_G&amp;L'!D$369:D$428),0)</f>
        <v>0</v>
      </c>
      <c r="E414" s="73">
        <f>IFERROR('Alloy_compnt_G&amp;L'!E414/SUM('Alloy_compnt_G&amp;L'!E$369:E$428),0)</f>
        <v>0</v>
      </c>
      <c r="F414" s="73">
        <f>IFERROR('Alloy_compnt_G&amp;L'!F414/SUM('Alloy_compnt_G&amp;L'!F$369:F$428),0)</f>
        <v>0</v>
      </c>
      <c r="G414" s="73">
        <f>IFERROR('Alloy_compnt_G&amp;L'!G414/SUM('Alloy_compnt_G&amp;L'!G$369:G$428),0)</f>
        <v>0</v>
      </c>
    </row>
    <row r="415" spans="1:7" x14ac:dyDescent="0.2">
      <c r="A415" s="148" t="s">
        <v>284</v>
      </c>
      <c r="B415" s="73">
        <f>IFERROR('Alloy_compnt_G&amp;L'!B415/SUM('Alloy_compnt_G&amp;L'!B$369:B$428),0)</f>
        <v>0</v>
      </c>
      <c r="C415" s="73">
        <f>IFERROR('Alloy_compnt_G&amp;L'!C415/SUM('Alloy_compnt_G&amp;L'!C$369:C$428),0)</f>
        <v>0</v>
      </c>
      <c r="D415" s="73">
        <f>IFERROR('Alloy_compnt_G&amp;L'!D415/SUM('Alloy_compnt_G&amp;L'!D$369:D$428),0)</f>
        <v>0</v>
      </c>
      <c r="E415" s="73">
        <f>IFERROR('Alloy_compnt_G&amp;L'!E415/SUM('Alloy_compnt_G&amp;L'!E$369:E$428),0)</f>
        <v>0</v>
      </c>
      <c r="F415" s="73">
        <f>IFERROR('Alloy_compnt_G&amp;L'!F415/SUM('Alloy_compnt_G&amp;L'!F$369:F$428),0)</f>
        <v>0</v>
      </c>
      <c r="G415" s="73">
        <f>IFERROR('Alloy_compnt_G&amp;L'!G415/SUM('Alloy_compnt_G&amp;L'!G$369:G$428),0)</f>
        <v>0</v>
      </c>
    </row>
    <row r="416" spans="1:7" x14ac:dyDescent="0.2">
      <c r="A416" s="148" t="s">
        <v>285</v>
      </c>
      <c r="B416" s="73">
        <f>IFERROR('Alloy_compnt_G&amp;L'!B416/SUM('Alloy_compnt_G&amp;L'!B$369:B$428),0)</f>
        <v>0</v>
      </c>
      <c r="C416" s="73">
        <f>IFERROR('Alloy_compnt_G&amp;L'!C416/SUM('Alloy_compnt_G&amp;L'!C$369:C$428),0)</f>
        <v>0</v>
      </c>
      <c r="D416" s="73">
        <f>IFERROR('Alloy_compnt_G&amp;L'!D416/SUM('Alloy_compnt_G&amp;L'!D$369:D$428),0)</f>
        <v>0</v>
      </c>
      <c r="E416" s="73">
        <f>IFERROR('Alloy_compnt_G&amp;L'!E416/SUM('Alloy_compnt_G&amp;L'!E$369:E$428),0)</f>
        <v>0</v>
      </c>
      <c r="F416" s="73">
        <f>IFERROR('Alloy_compnt_G&amp;L'!F416/SUM('Alloy_compnt_G&amp;L'!F$369:F$428),0)</f>
        <v>0</v>
      </c>
      <c r="G416" s="73">
        <f>IFERROR('Alloy_compnt_G&amp;L'!G416/SUM('Alloy_compnt_G&amp;L'!G$369:G$428),0)</f>
        <v>0</v>
      </c>
    </row>
    <row r="417" spans="1:7" x14ac:dyDescent="0.2">
      <c r="A417" s="147" t="s">
        <v>286</v>
      </c>
      <c r="B417" s="73">
        <f>IFERROR('Alloy_compnt_G&amp;L'!B417/SUM('Alloy_compnt_G&amp;L'!B$369:B$428),0)</f>
        <v>0</v>
      </c>
      <c r="C417" s="73">
        <f>IFERROR('Alloy_compnt_G&amp;L'!C417/SUM('Alloy_compnt_G&amp;L'!C$369:C$428),0)</f>
        <v>0</v>
      </c>
      <c r="D417" s="73">
        <f>IFERROR('Alloy_compnt_G&amp;L'!D417/SUM('Alloy_compnt_G&amp;L'!D$369:D$428),0)</f>
        <v>0</v>
      </c>
      <c r="E417" s="73">
        <f>IFERROR('Alloy_compnt_G&amp;L'!E417/SUM('Alloy_compnt_G&amp;L'!E$369:E$428),0)</f>
        <v>0</v>
      </c>
      <c r="F417" s="73">
        <f>IFERROR('Alloy_compnt_G&amp;L'!F417/SUM('Alloy_compnt_G&amp;L'!F$369:F$428),0)</f>
        <v>0</v>
      </c>
      <c r="G417" s="73">
        <f>IFERROR('Alloy_compnt_G&amp;L'!G417/SUM('Alloy_compnt_G&amp;L'!G$369:G$428),0)</f>
        <v>0</v>
      </c>
    </row>
    <row r="418" spans="1:7" x14ac:dyDescent="0.2">
      <c r="A418" s="142" t="s">
        <v>287</v>
      </c>
      <c r="B418" s="73">
        <f>IFERROR('Alloy_compnt_G&amp;L'!B418/SUM('Alloy_compnt_G&amp;L'!B$369:B$428),0)</f>
        <v>0</v>
      </c>
      <c r="C418" s="73">
        <f>IFERROR('Alloy_compnt_G&amp;L'!C418/SUM('Alloy_compnt_G&amp;L'!C$369:C$428),0)</f>
        <v>0</v>
      </c>
      <c r="D418" s="73">
        <f>IFERROR('Alloy_compnt_G&amp;L'!D418/SUM('Alloy_compnt_G&amp;L'!D$369:D$428),0)</f>
        <v>0</v>
      </c>
      <c r="E418" s="73">
        <f>IFERROR('Alloy_compnt_G&amp;L'!E418/SUM('Alloy_compnt_G&amp;L'!E$369:E$428),0)</f>
        <v>0</v>
      </c>
      <c r="F418" s="73">
        <f>IFERROR('Alloy_compnt_G&amp;L'!F418/SUM('Alloy_compnt_G&amp;L'!F$369:F$428),0)</f>
        <v>0</v>
      </c>
      <c r="G418" s="73">
        <f>IFERROR('Alloy_compnt_G&amp;L'!G418/SUM('Alloy_compnt_G&amp;L'!G$369:G$428),0)</f>
        <v>0</v>
      </c>
    </row>
    <row r="419" spans="1:7" x14ac:dyDescent="0.2">
      <c r="A419" s="142" t="s">
        <v>288</v>
      </c>
      <c r="B419" s="73">
        <f>IFERROR('Alloy_compnt_G&amp;L'!B419/SUM('Alloy_compnt_G&amp;L'!B$369:B$428),0)</f>
        <v>0</v>
      </c>
      <c r="C419" s="73">
        <f>IFERROR('Alloy_compnt_G&amp;L'!C419/SUM('Alloy_compnt_G&amp;L'!C$369:C$428),0)</f>
        <v>0</v>
      </c>
      <c r="D419" s="73">
        <f>IFERROR('Alloy_compnt_G&amp;L'!D419/SUM('Alloy_compnt_G&amp;L'!D$369:D$428),0)</f>
        <v>0</v>
      </c>
      <c r="E419" s="73">
        <f>IFERROR('Alloy_compnt_G&amp;L'!E419/SUM('Alloy_compnt_G&amp;L'!E$369:E$428),0)</f>
        <v>0</v>
      </c>
      <c r="F419" s="73">
        <f>IFERROR('Alloy_compnt_G&amp;L'!F419/SUM('Alloy_compnt_G&amp;L'!F$369:F$428),0)</f>
        <v>0</v>
      </c>
      <c r="G419" s="73">
        <f>IFERROR('Alloy_compnt_G&amp;L'!G419/SUM('Alloy_compnt_G&amp;L'!G$369:G$428),0)</f>
        <v>0</v>
      </c>
    </row>
    <row r="420" spans="1:7" x14ac:dyDescent="0.2">
      <c r="A420" s="142" t="s">
        <v>289</v>
      </c>
      <c r="B420" s="73">
        <f>IFERROR('Alloy_compnt_G&amp;L'!B420/SUM('Alloy_compnt_G&amp;L'!B$369:B$428),0)</f>
        <v>0</v>
      </c>
      <c r="C420" s="73">
        <f>IFERROR('Alloy_compnt_G&amp;L'!C420/SUM('Alloy_compnt_G&amp;L'!C$369:C$428),0)</f>
        <v>0</v>
      </c>
      <c r="D420" s="73">
        <f>IFERROR('Alloy_compnt_G&amp;L'!D420/SUM('Alloy_compnt_G&amp;L'!D$369:D$428),0)</f>
        <v>0.45183044315992288</v>
      </c>
      <c r="E420" s="73">
        <f>IFERROR('Alloy_compnt_G&amp;L'!E420/SUM('Alloy_compnt_G&amp;L'!E$369:E$428),0)</f>
        <v>0.45183044315992293</v>
      </c>
      <c r="F420" s="73">
        <f>IFERROR('Alloy_compnt_G&amp;L'!F420/SUM('Alloy_compnt_G&amp;L'!F$369:F$428),0)</f>
        <v>0.45183044315992288</v>
      </c>
      <c r="G420" s="73">
        <f>IFERROR('Alloy_compnt_G&amp;L'!G420/SUM('Alloy_compnt_G&amp;L'!G$369:G$428),0)</f>
        <v>0.45183044315992288</v>
      </c>
    </row>
    <row r="421" spans="1:7" x14ac:dyDescent="0.2">
      <c r="A421" s="142" t="s">
        <v>290</v>
      </c>
      <c r="B421" s="73">
        <f>IFERROR('Alloy_compnt_G&amp;L'!B421/SUM('Alloy_compnt_G&amp;L'!B$369:B$428),0)</f>
        <v>0</v>
      </c>
      <c r="C421" s="73">
        <f>IFERROR('Alloy_compnt_G&amp;L'!C421/SUM('Alloy_compnt_G&amp;L'!C$369:C$428),0)</f>
        <v>0</v>
      </c>
      <c r="D421" s="73">
        <f>IFERROR('Alloy_compnt_G&amp;L'!D421/SUM('Alloy_compnt_G&amp;L'!D$369:D$428),0)</f>
        <v>0.45183044315992288</v>
      </c>
      <c r="E421" s="73">
        <f>IFERROR('Alloy_compnt_G&amp;L'!E421/SUM('Alloy_compnt_G&amp;L'!E$369:E$428),0)</f>
        <v>0.45183044315992293</v>
      </c>
      <c r="F421" s="73">
        <f>IFERROR('Alloy_compnt_G&amp;L'!F421/SUM('Alloy_compnt_G&amp;L'!F$369:F$428),0)</f>
        <v>0.45183044315992288</v>
      </c>
      <c r="G421" s="73">
        <f>IFERROR('Alloy_compnt_G&amp;L'!G421/SUM('Alloy_compnt_G&amp;L'!G$369:G$428),0)</f>
        <v>0.45183044315992288</v>
      </c>
    </row>
    <row r="422" spans="1:7" x14ac:dyDescent="0.2">
      <c r="A422" s="142" t="s">
        <v>291</v>
      </c>
      <c r="B422" s="73">
        <f>IFERROR('Alloy_compnt_G&amp;L'!B422/SUM('Alloy_compnt_G&amp;L'!B$369:B$428),0)</f>
        <v>0</v>
      </c>
      <c r="C422" s="73">
        <f>IFERROR('Alloy_compnt_G&amp;L'!C422/SUM('Alloy_compnt_G&amp;L'!C$369:C$428),0)</f>
        <v>0</v>
      </c>
      <c r="D422" s="73">
        <f>IFERROR('Alloy_compnt_G&amp;L'!D422/SUM('Alloy_compnt_G&amp;L'!D$369:D$428),0)</f>
        <v>0</v>
      </c>
      <c r="E422" s="73">
        <f>IFERROR('Alloy_compnt_G&amp;L'!E422/SUM('Alloy_compnt_G&amp;L'!E$369:E$428),0)</f>
        <v>0</v>
      </c>
      <c r="F422" s="73">
        <f>IFERROR('Alloy_compnt_G&amp;L'!F422/SUM('Alloy_compnt_G&amp;L'!F$369:F$428),0)</f>
        <v>0</v>
      </c>
      <c r="G422" s="73">
        <f>IFERROR('Alloy_compnt_G&amp;L'!G422/SUM('Alloy_compnt_G&amp;L'!G$369:G$428),0)</f>
        <v>0</v>
      </c>
    </row>
    <row r="423" spans="1:7" x14ac:dyDescent="0.2">
      <c r="A423" s="142" t="s">
        <v>292</v>
      </c>
      <c r="B423" s="73">
        <f>IFERROR('Alloy_compnt_G&amp;L'!B423/SUM('Alloy_compnt_G&amp;L'!B$369:B$428),0)</f>
        <v>0</v>
      </c>
      <c r="C423" s="73">
        <f>IFERROR('Alloy_compnt_G&amp;L'!C423/SUM('Alloy_compnt_G&amp;L'!C$369:C$428),0)</f>
        <v>0</v>
      </c>
      <c r="D423" s="73">
        <f>IFERROR('Alloy_compnt_G&amp;L'!D423/SUM('Alloy_compnt_G&amp;L'!D$369:D$428),0)</f>
        <v>0</v>
      </c>
      <c r="E423" s="73">
        <f>IFERROR('Alloy_compnt_G&amp;L'!E423/SUM('Alloy_compnt_G&amp;L'!E$369:E$428),0)</f>
        <v>0</v>
      </c>
      <c r="F423" s="73">
        <f>IFERROR('Alloy_compnt_G&amp;L'!F423/SUM('Alloy_compnt_G&amp;L'!F$369:F$428),0)</f>
        <v>0</v>
      </c>
      <c r="G423" s="73">
        <f>IFERROR('Alloy_compnt_G&amp;L'!G423/SUM('Alloy_compnt_G&amp;L'!G$369:G$428),0)</f>
        <v>0</v>
      </c>
    </row>
    <row r="424" spans="1:7" x14ac:dyDescent="0.2">
      <c r="A424" s="142" t="s">
        <v>293</v>
      </c>
      <c r="B424" s="73">
        <f>IFERROR('Alloy_compnt_G&amp;L'!B424/SUM('Alloy_compnt_G&amp;L'!B$369:B$428),0)</f>
        <v>0</v>
      </c>
      <c r="C424" s="73">
        <f>IFERROR('Alloy_compnt_G&amp;L'!C424/SUM('Alloy_compnt_G&amp;L'!C$369:C$428),0)</f>
        <v>0</v>
      </c>
      <c r="D424" s="73">
        <f>IFERROR('Alloy_compnt_G&amp;L'!D424/SUM('Alloy_compnt_G&amp;L'!D$369:D$428),0)</f>
        <v>0</v>
      </c>
      <c r="E424" s="73">
        <f>IFERROR('Alloy_compnt_G&amp;L'!E424/SUM('Alloy_compnt_G&amp;L'!E$369:E$428),0)</f>
        <v>0</v>
      </c>
      <c r="F424" s="73">
        <f>IFERROR('Alloy_compnt_G&amp;L'!F424/SUM('Alloy_compnt_G&amp;L'!F$369:F$428),0)</f>
        <v>0</v>
      </c>
      <c r="G424" s="73">
        <f>IFERROR('Alloy_compnt_G&amp;L'!G424/SUM('Alloy_compnt_G&amp;L'!G$369:G$428),0)</f>
        <v>0</v>
      </c>
    </row>
    <row r="425" spans="1:7" x14ac:dyDescent="0.2">
      <c r="A425" s="142" t="s">
        <v>294</v>
      </c>
      <c r="B425" s="73">
        <f>IFERROR('Alloy_compnt_G&amp;L'!B425/SUM('Alloy_compnt_G&amp;L'!B$369:B$428),0)</f>
        <v>0</v>
      </c>
      <c r="C425" s="73">
        <f>IFERROR('Alloy_compnt_G&amp;L'!C425/SUM('Alloy_compnt_G&amp;L'!C$369:C$428),0)</f>
        <v>0</v>
      </c>
      <c r="D425" s="73">
        <f>IFERROR('Alloy_compnt_G&amp;L'!D425/SUM('Alloy_compnt_G&amp;L'!D$369:D$428),0)</f>
        <v>0</v>
      </c>
      <c r="E425" s="73">
        <f>IFERROR('Alloy_compnt_G&amp;L'!E425/SUM('Alloy_compnt_G&amp;L'!E$369:E$428),0)</f>
        <v>0</v>
      </c>
      <c r="F425" s="73">
        <f>IFERROR('Alloy_compnt_G&amp;L'!F425/SUM('Alloy_compnt_G&amp;L'!F$369:F$428),0)</f>
        <v>0</v>
      </c>
      <c r="G425" s="73">
        <f>IFERROR('Alloy_compnt_G&amp;L'!G425/SUM('Alloy_compnt_G&amp;L'!G$369:G$428),0)</f>
        <v>0</v>
      </c>
    </row>
    <row r="426" spans="1:7" x14ac:dyDescent="0.2">
      <c r="A426" s="144" t="s">
        <v>295</v>
      </c>
      <c r="B426" s="73">
        <f>IFERROR('Alloy_compnt_G&amp;L'!B426/SUM('Alloy_compnt_G&amp;L'!B$369:B$428),0)</f>
        <v>0</v>
      </c>
      <c r="C426" s="73">
        <f>IFERROR('Alloy_compnt_G&amp;L'!C426/SUM('Alloy_compnt_G&amp;L'!C$369:C$428),0)</f>
        <v>0</v>
      </c>
      <c r="D426" s="73">
        <f>IFERROR('Alloy_compnt_G&amp;L'!D426/SUM('Alloy_compnt_G&amp;L'!D$369:D$428),0)</f>
        <v>0</v>
      </c>
      <c r="E426" s="73">
        <f>IFERROR('Alloy_compnt_G&amp;L'!E426/SUM('Alloy_compnt_G&amp;L'!E$369:E$428),0)</f>
        <v>0</v>
      </c>
      <c r="F426" s="73">
        <f>IFERROR('Alloy_compnt_G&amp;L'!F426/SUM('Alloy_compnt_G&amp;L'!F$369:F$428),0)</f>
        <v>0</v>
      </c>
      <c r="G426" s="73">
        <f>IFERROR('Alloy_compnt_G&amp;L'!G426/SUM('Alloy_compnt_G&amp;L'!G$369:G$428),0)</f>
        <v>0</v>
      </c>
    </row>
    <row r="427" spans="1:7" x14ac:dyDescent="0.2">
      <c r="A427" s="142" t="s">
        <v>206</v>
      </c>
      <c r="B427" s="73">
        <f>IFERROR('Alloy_compnt_G&amp;L'!B427/SUM('Alloy_compnt_G&amp;L'!B$369:B$428),0)</f>
        <v>0</v>
      </c>
      <c r="C427" s="73">
        <f>IFERROR('Alloy_compnt_G&amp;L'!C427/SUM('Alloy_compnt_G&amp;L'!C$369:C$428),0)</f>
        <v>0</v>
      </c>
      <c r="D427" s="73">
        <f>IFERROR('Alloy_compnt_G&amp;L'!D427/SUM('Alloy_compnt_G&amp;L'!D$369:D$428),0)</f>
        <v>0</v>
      </c>
      <c r="E427" s="73">
        <f>IFERROR('Alloy_compnt_G&amp;L'!E427/SUM('Alloy_compnt_G&amp;L'!E$369:E$428),0)</f>
        <v>0</v>
      </c>
      <c r="F427" s="73">
        <f>IFERROR('Alloy_compnt_G&amp;L'!F427/SUM('Alloy_compnt_G&amp;L'!F$369:F$428),0)</f>
        <v>0</v>
      </c>
      <c r="G427" s="73">
        <f>IFERROR('Alloy_compnt_G&amp;L'!G427/SUM('Alloy_compnt_G&amp;L'!G$369:G$428),0)</f>
        <v>0</v>
      </c>
    </row>
    <row r="428" spans="1:7" ht="17" thickBot="1" x14ac:dyDescent="0.25">
      <c r="A428" s="149" t="s">
        <v>208</v>
      </c>
      <c r="B428" s="73">
        <f>IFERROR('Alloy_compnt_G&amp;L'!B428/SUM('Alloy_compnt_G&amp;L'!B$369:B$428),0)</f>
        <v>0</v>
      </c>
      <c r="C428" s="73">
        <f>IFERROR('Alloy_compnt_G&amp;L'!C428/SUM('Alloy_compnt_G&amp;L'!C$369:C$428),0)</f>
        <v>0</v>
      </c>
      <c r="D428" s="73">
        <f>IFERROR('Alloy_compnt_G&amp;L'!D428/SUM('Alloy_compnt_G&amp;L'!D$369:D$428),0)</f>
        <v>0</v>
      </c>
      <c r="E428" s="73">
        <f>IFERROR('Alloy_compnt_G&amp;L'!E428/SUM('Alloy_compnt_G&amp;L'!E$369:E$428),0)</f>
        <v>0</v>
      </c>
      <c r="F428" s="73">
        <f>IFERROR('Alloy_compnt_G&amp;L'!F428/SUM('Alloy_compnt_G&amp;L'!F$369:F$428),0)</f>
        <v>0</v>
      </c>
      <c r="G428" s="73">
        <f>IFERROR('Alloy_compnt_G&amp;L'!G428/SUM('Alloy_compnt_G&amp;L'!G$369:G$428),0)</f>
        <v>0</v>
      </c>
    </row>
    <row r="429" spans="1:7" ht="17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31"/>
  <sheetViews>
    <sheetView zoomScale="70" zoomScaleNormal="70" zoomScalePageLayoutView="70" workbookViewId="0">
      <selection activeCell="A3" sqref="A3:A62"/>
    </sheetView>
  </sheetViews>
  <sheetFormatPr baseColWidth="10" defaultRowHeight="16" x14ac:dyDescent="0.2"/>
  <cols>
    <col min="1" max="1" width="29.1640625" bestFit="1" customWidth="1"/>
    <col min="2" max="2" width="24.5" bestFit="1" customWidth="1"/>
    <col min="3" max="3" width="23.1640625" bestFit="1" customWidth="1"/>
    <col min="4" max="4" width="24.1640625" bestFit="1" customWidth="1"/>
    <col min="5" max="5" width="22.83203125" bestFit="1" customWidth="1"/>
    <col min="6" max="6" width="25.1640625" bestFit="1" customWidth="1"/>
    <col min="7" max="7" width="23.83203125" bestFit="1" customWidth="1"/>
    <col min="8" max="8" width="22.83203125" style="128" bestFit="1" customWidth="1"/>
    <col min="9" max="9" width="21.5" style="128" bestFit="1" customWidth="1"/>
    <col min="10" max="10" width="12.83203125" bestFit="1" customWidth="1"/>
    <col min="14" max="14" width="17.83203125" bestFit="1" customWidth="1"/>
    <col min="18" max="18" width="12" bestFit="1" customWidth="1"/>
  </cols>
  <sheetData>
    <row r="1" spans="1:23" ht="33" thickTop="1" x14ac:dyDescent="0.2">
      <c r="A1" s="135"/>
      <c r="B1" s="136" t="s">
        <v>92</v>
      </c>
      <c r="C1" s="136" t="s">
        <v>93</v>
      </c>
      <c r="D1" s="136" t="s">
        <v>94</v>
      </c>
      <c r="E1" s="136" t="s">
        <v>95</v>
      </c>
      <c r="F1" s="136" t="s">
        <v>96</v>
      </c>
      <c r="G1" s="136" t="s">
        <v>97</v>
      </c>
      <c r="H1" s="137" t="s">
        <v>181</v>
      </c>
      <c r="I1" s="138" t="s">
        <v>182</v>
      </c>
      <c r="J1" s="1" t="s">
        <v>110</v>
      </c>
      <c r="K1" s="39" t="s">
        <v>98</v>
      </c>
      <c r="L1" s="40" t="s">
        <v>99</v>
      </c>
      <c r="M1" s="41" t="s">
        <v>100</v>
      </c>
      <c r="N1" s="1" t="s">
        <v>297</v>
      </c>
      <c r="O1" s="44" t="s">
        <v>298</v>
      </c>
      <c r="P1" s="48" t="s">
        <v>299</v>
      </c>
      <c r="Q1" s="45" t="s">
        <v>101</v>
      </c>
      <c r="R1" s="1" t="s">
        <v>111</v>
      </c>
      <c r="S1" s="44" t="s">
        <v>102</v>
      </c>
      <c r="T1" s="45" t="s">
        <v>103</v>
      </c>
      <c r="U1" s="1" t="s">
        <v>112</v>
      </c>
      <c r="V1" s="44" t="s">
        <v>108</v>
      </c>
      <c r="W1" s="45" t="s">
        <v>109</v>
      </c>
    </row>
    <row r="2" spans="1:23" x14ac:dyDescent="0.2">
      <c r="A2" s="139" t="s">
        <v>155</v>
      </c>
      <c r="B2" s="54"/>
      <c r="C2" s="54"/>
      <c r="D2" s="54"/>
      <c r="E2" s="54"/>
      <c r="F2" s="54"/>
      <c r="G2" s="54"/>
      <c r="H2" s="140"/>
      <c r="I2" s="141"/>
      <c r="J2" s="1"/>
      <c r="K2" s="42">
        <v>0.21099999999999999</v>
      </c>
      <c r="L2" s="22">
        <v>0.191</v>
      </c>
      <c r="M2" s="43">
        <v>0.59800000000000009</v>
      </c>
      <c r="N2" s="1"/>
      <c r="O2" s="46">
        <v>0</v>
      </c>
      <c r="P2" s="49">
        <v>0.13</v>
      </c>
      <c r="Q2" s="47">
        <v>0.87</v>
      </c>
      <c r="R2" s="1"/>
      <c r="S2" s="46">
        <v>0.85</v>
      </c>
      <c r="T2" s="47">
        <v>0.15000000000000002</v>
      </c>
      <c r="U2" s="3"/>
      <c r="V2" s="46">
        <v>1</v>
      </c>
      <c r="W2" s="47">
        <v>0</v>
      </c>
    </row>
    <row r="3" spans="1:23" x14ac:dyDescent="0.2">
      <c r="A3" s="142" t="s">
        <v>105</v>
      </c>
      <c r="B3" s="54">
        <f>Material_compnt_GREET2!B$3*'Alloy_compnt_G&amp;L'!$I$2</f>
        <v>92.118032378045044</v>
      </c>
      <c r="C3" s="54">
        <f>Material_compnt_GREET2!C$3*'Alloy_compnt_G&amp;L'!$I$2</f>
        <v>11.551350404267176</v>
      </c>
      <c r="D3" s="54">
        <f>Material_compnt_GREET2!D$3*'Alloy_compnt_G&amp;L'!$I$2</f>
        <v>85.456051117490333</v>
      </c>
      <c r="E3" s="54">
        <f>Material_compnt_GREET2!E$3*'Alloy_compnt_G&amp;L'!$I$2</f>
        <v>9.9659357845638628</v>
      </c>
      <c r="F3" s="54">
        <f>Material_compnt_GREET2!F$3*'Alloy_compnt_G&amp;L'!$I$2</f>
        <v>87.868894539241793</v>
      </c>
      <c r="G3" s="54">
        <f>Material_compnt_GREET2!G$3*'Alloy_compnt_G&amp;L'!$I$2</f>
        <v>9.720515686300331</v>
      </c>
      <c r="H3" s="140">
        <f>Material_compnt_GREET2!H$3*'Alloy_compnt_G&amp;L'!$I$2</f>
        <v>0</v>
      </c>
      <c r="I3" s="141">
        <f>Material_compnt_GREET2!I$3*'Alloy_compnt_G&amp;L'!$I$2</f>
        <v>0</v>
      </c>
    </row>
    <row r="4" spans="1:23" x14ac:dyDescent="0.2">
      <c r="A4" s="142" t="s">
        <v>106</v>
      </c>
      <c r="B4" s="54">
        <f>Material_compnt_GREET2!B$3*'Alloy_compnt_G&amp;L'!$J$2</f>
        <v>83.386465327993378</v>
      </c>
      <c r="C4" s="54">
        <f>Material_compnt_GREET2!C$3*'Alloy_compnt_G&amp;L'!$J$2</f>
        <v>10.456435674004885</v>
      </c>
      <c r="D4" s="54">
        <f>Material_compnt_GREET2!D$3*'Alloy_compnt_G&amp;L'!$J$2</f>
        <v>77.355951485500739</v>
      </c>
      <c r="E4" s="54">
        <f>Material_compnt_GREET2!E$3*'Alloy_compnt_G&amp;L'!$J$2</f>
        <v>9.0212973215720282</v>
      </c>
      <c r="F4" s="54">
        <f>Material_compnt_GREET2!F$3*'Alloy_compnt_G&amp;L'!$J$2</f>
        <v>79.540089369645429</v>
      </c>
      <c r="G4" s="54">
        <f>Material_compnt_GREET2!G$3*'Alloy_compnt_G&amp;L'!$J$2</f>
        <v>8.7991397918642811</v>
      </c>
      <c r="H4" s="140">
        <f>Material_compnt_GREET2!H$3*'Alloy_compnt_G&amp;L'!$J$2</f>
        <v>0</v>
      </c>
      <c r="I4" s="141">
        <f>Material_compnt_GREET2!I$3*'Alloy_compnt_G&amp;L'!$J$2</f>
        <v>0</v>
      </c>
    </row>
    <row r="5" spans="1:23" x14ac:dyDescent="0.2">
      <c r="A5" s="142" t="s">
        <v>107</v>
      </c>
      <c r="B5" s="54">
        <f>Material_compnt_GREET2!B$3*'Alloy_compnt_G&amp;L'!$K$2</f>
        <v>261.07385479654477</v>
      </c>
      <c r="C5" s="54">
        <f>Material_compnt_GREET2!C$3*'Alloy_compnt_G&amp;L'!$K$2</f>
        <v>32.737950434842524</v>
      </c>
      <c r="D5" s="54">
        <f>Material_compnt_GREET2!D$3*'Alloy_compnt_G&amp;L'!$K$2</f>
        <v>242.19297899648924</v>
      </c>
      <c r="E5" s="54">
        <f>Material_compnt_GREET2!E$3*'Alloy_compnt_G&amp;L'!$K$2</f>
        <v>28.244690043455883</v>
      </c>
      <c r="F5" s="54">
        <f>Material_compnt_GREET2!F$3*'Alloy_compnt_G&amp;L'!$K$2</f>
        <v>249.03127457093177</v>
      </c>
      <c r="G5" s="54">
        <f>Material_compnt_GREET2!G$3*'Alloy_compnt_G&amp;L'!$K$2</f>
        <v>27.54913924363791</v>
      </c>
      <c r="H5" s="54">
        <f>Material_compnt_GREET2!H$3*'Alloy_compnt_G&amp;L'!$K$2</f>
        <v>0</v>
      </c>
      <c r="I5" s="143">
        <f>Material_compnt_GREET2!I$3*'Alloy_compnt_G&amp;L'!$K$2</f>
        <v>0</v>
      </c>
    </row>
    <row r="6" spans="1:23" x14ac:dyDescent="0.2">
      <c r="A6" s="142" t="s">
        <v>91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140">
        <v>0</v>
      </c>
      <c r="I6" s="141">
        <v>0</v>
      </c>
    </row>
    <row r="7" spans="1:23" x14ac:dyDescent="0.2">
      <c r="A7" s="142" t="s">
        <v>204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140">
        <v>0</v>
      </c>
      <c r="I7" s="141">
        <v>0</v>
      </c>
    </row>
    <row r="8" spans="1:23" x14ac:dyDescent="0.2">
      <c r="A8" s="144" t="s">
        <v>104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140">
        <v>0</v>
      </c>
      <c r="I8" s="141">
        <v>0</v>
      </c>
    </row>
    <row r="9" spans="1:23" x14ac:dyDescent="0.2">
      <c r="A9" s="145" t="s">
        <v>244</v>
      </c>
      <c r="B9" s="54">
        <f>Material_compnt_GREET2!B$4*'Alloy_compnt_G&amp;L'!$M$2*Al_alloy_use_compnt!$B3</f>
        <v>0</v>
      </c>
      <c r="C9" s="54">
        <f>Material_compnt_GREET2!C$4*'Alloy_compnt_G&amp;L'!$M$2*Al_alloy_use_compnt!$B3</f>
        <v>0</v>
      </c>
      <c r="D9" s="54">
        <f>Material_compnt_GREET2!D$4*'Alloy_compnt_G&amp;L'!$M$2*Al_alloy_use_compnt!$B3</f>
        <v>0</v>
      </c>
      <c r="E9" s="54">
        <f>Material_compnt_GREET2!E$4*'Alloy_compnt_G&amp;L'!$M$2*Al_alloy_use_compnt!$B3</f>
        <v>0</v>
      </c>
      <c r="F9" s="54">
        <f>Material_compnt_GREET2!F$4*'Alloy_compnt_G&amp;L'!$M$2*Al_alloy_use_compnt!$B3</f>
        <v>0</v>
      </c>
      <c r="G9" s="54">
        <f>Material_compnt_GREET2!G$4*'Alloy_compnt_G&amp;L'!$M$2*Al_alloy_use_compnt!$B3</f>
        <v>0</v>
      </c>
      <c r="H9" s="54">
        <f>Material_compnt_GREET2!H$4*'Alloy_compnt_G&amp;L'!$M$2*Al_alloy_use_compnt!$B3</f>
        <v>0</v>
      </c>
      <c r="I9" s="143">
        <f>Material_compnt_GREET2!I$4*'Alloy_compnt_G&amp;L'!$M$2*Al_alloy_use_compnt!$B3</f>
        <v>0</v>
      </c>
    </row>
    <row r="10" spans="1:23" x14ac:dyDescent="0.2">
      <c r="A10" s="145" t="s">
        <v>245</v>
      </c>
      <c r="B10" s="54">
        <f>Material_compnt_GREET2!B$4*'Alloy_compnt_G&amp;L'!$M$2*Al_alloy_use_compnt!$B4</f>
        <v>0</v>
      </c>
      <c r="C10" s="54">
        <f>Material_compnt_GREET2!C$4*'Alloy_compnt_G&amp;L'!$M$2*Al_alloy_use_compnt!$B4</f>
        <v>0</v>
      </c>
      <c r="D10" s="54">
        <f>Material_compnt_GREET2!D$4*'Alloy_compnt_G&amp;L'!$M$2*Al_alloy_use_compnt!$B4</f>
        <v>0</v>
      </c>
      <c r="E10" s="54">
        <f>Material_compnt_GREET2!E$4*'Alloy_compnt_G&amp;L'!$M$2*Al_alloy_use_compnt!$B4</f>
        <v>0</v>
      </c>
      <c r="F10" s="54">
        <f>Material_compnt_GREET2!F$4*'Alloy_compnt_G&amp;L'!$M$2*Al_alloy_use_compnt!$B4</f>
        <v>0</v>
      </c>
      <c r="G10" s="54">
        <f>Material_compnt_GREET2!G$4*'Alloy_compnt_G&amp;L'!$M$2*Al_alloy_use_compnt!$B4</f>
        <v>0</v>
      </c>
      <c r="H10" s="54">
        <f>Material_compnt_GREET2!H$4*'Alloy_compnt_G&amp;L'!$M$2*Al_alloy_use_compnt!$B4</f>
        <v>0</v>
      </c>
      <c r="I10" s="143">
        <f>Material_compnt_GREET2!I$4*'Alloy_compnt_G&amp;L'!$M$2*Al_alloy_use_compnt!$B4</f>
        <v>0</v>
      </c>
    </row>
    <row r="11" spans="1:23" x14ac:dyDescent="0.2">
      <c r="A11" s="145" t="s">
        <v>246</v>
      </c>
      <c r="B11" s="54">
        <f>Material_compnt_GREET2!B$4*'Alloy_compnt_G&amp;L'!$M$2*Al_alloy_use_compnt!$B5</f>
        <v>0</v>
      </c>
      <c r="C11" s="54">
        <f>Material_compnt_GREET2!C$4*'Alloy_compnt_G&amp;L'!$M$2*Al_alloy_use_compnt!$B5</f>
        <v>0</v>
      </c>
      <c r="D11" s="54">
        <f>Material_compnt_GREET2!D$4*'Alloy_compnt_G&amp;L'!$M$2*Al_alloy_use_compnt!$B5</f>
        <v>0</v>
      </c>
      <c r="E11" s="54">
        <f>Material_compnt_GREET2!E$4*'Alloy_compnt_G&amp;L'!$M$2*Al_alloy_use_compnt!$B5</f>
        <v>0</v>
      </c>
      <c r="F11" s="54">
        <f>Material_compnt_GREET2!F$4*'Alloy_compnt_G&amp;L'!$M$2*Al_alloy_use_compnt!$B5</f>
        <v>0</v>
      </c>
      <c r="G11" s="54">
        <f>Material_compnt_GREET2!G$4*'Alloy_compnt_G&amp;L'!$M$2*Al_alloy_use_compnt!$B5</f>
        <v>0</v>
      </c>
      <c r="H11" s="54">
        <f>Material_compnt_GREET2!H$4*'Alloy_compnt_G&amp;L'!$M$2*Al_alloy_use_compnt!$B5</f>
        <v>0</v>
      </c>
      <c r="I11" s="143">
        <f>Material_compnt_GREET2!I$4*'Alloy_compnt_G&amp;L'!$M$2*Al_alloy_use_compnt!$B5</f>
        <v>0</v>
      </c>
    </row>
    <row r="12" spans="1:23" x14ac:dyDescent="0.2">
      <c r="A12" s="145" t="s">
        <v>247</v>
      </c>
      <c r="B12" s="54">
        <f>Material_compnt_GREET2!B$4*'Alloy_compnt_G&amp;L'!$M$2*Al_alloy_use_compnt!$B6</f>
        <v>0</v>
      </c>
      <c r="C12" s="54">
        <f>Material_compnt_GREET2!C$4*'Alloy_compnt_G&amp;L'!$M$2*Al_alloy_use_compnt!$B6</f>
        <v>0</v>
      </c>
      <c r="D12" s="54">
        <f>Material_compnt_GREET2!D$4*'Alloy_compnt_G&amp;L'!$M$2*Al_alloy_use_compnt!$B6</f>
        <v>0</v>
      </c>
      <c r="E12" s="54">
        <f>Material_compnt_GREET2!E$4*'Alloy_compnt_G&amp;L'!$M$2*Al_alloy_use_compnt!$B6</f>
        <v>0</v>
      </c>
      <c r="F12" s="54">
        <f>Material_compnt_GREET2!F$4*'Alloy_compnt_G&amp;L'!$M$2*Al_alloy_use_compnt!$B6</f>
        <v>0</v>
      </c>
      <c r="G12" s="54">
        <f>Material_compnt_GREET2!G$4*'Alloy_compnt_G&amp;L'!$M$2*Al_alloy_use_compnt!$B6</f>
        <v>0</v>
      </c>
      <c r="H12" s="54">
        <f>Material_compnt_GREET2!H$4*'Alloy_compnt_G&amp;L'!$M$2*Al_alloy_use_compnt!$B6</f>
        <v>0</v>
      </c>
      <c r="I12" s="143">
        <f>Material_compnt_GREET2!I$4*'Alloy_compnt_G&amp;L'!$M$2*Al_alloy_use_compnt!$B6</f>
        <v>0</v>
      </c>
    </row>
    <row r="13" spans="1:23" x14ac:dyDescent="0.2">
      <c r="A13" s="145" t="s">
        <v>248</v>
      </c>
      <c r="B13" s="54">
        <f>Material_compnt_GREET2!B$4*'Alloy_compnt_G&amp;L'!$M$2*Al_alloy_use_compnt!$B7</f>
        <v>0</v>
      </c>
      <c r="C13" s="54">
        <f>Material_compnt_GREET2!C$4*'Alloy_compnt_G&amp;L'!$M$2*Al_alloy_use_compnt!$B7</f>
        <v>0</v>
      </c>
      <c r="D13" s="54">
        <f>Material_compnt_GREET2!D$4*'Alloy_compnt_G&amp;L'!$M$2*Al_alloy_use_compnt!$B7</f>
        <v>0</v>
      </c>
      <c r="E13" s="54">
        <f>Material_compnt_GREET2!E$4*'Alloy_compnt_G&amp;L'!$M$2*Al_alloy_use_compnt!$B7</f>
        <v>0</v>
      </c>
      <c r="F13" s="54">
        <f>Material_compnt_GREET2!F$4*'Alloy_compnt_G&amp;L'!$M$2*Al_alloy_use_compnt!$B7</f>
        <v>0</v>
      </c>
      <c r="G13" s="54">
        <f>Material_compnt_GREET2!G$4*'Alloy_compnt_G&amp;L'!$M$2*Al_alloy_use_compnt!$B7</f>
        <v>0</v>
      </c>
      <c r="H13" s="54">
        <f>Material_compnt_GREET2!H$4*'Alloy_compnt_G&amp;L'!$M$2*Al_alloy_use_compnt!$B7</f>
        <v>0</v>
      </c>
      <c r="I13" s="143">
        <f>Material_compnt_GREET2!I$4*'Alloy_compnt_G&amp;L'!$M$2*Al_alloy_use_compnt!$B7</f>
        <v>0</v>
      </c>
    </row>
    <row r="14" spans="1:23" x14ac:dyDescent="0.2">
      <c r="A14" s="145" t="s">
        <v>249</v>
      </c>
      <c r="B14" s="54">
        <f>Material_compnt_GREET2!B$4*'Alloy_compnt_G&amp;L'!$M$2*Al_alloy_use_compnt!$B8</f>
        <v>0</v>
      </c>
      <c r="C14" s="54">
        <f>Material_compnt_GREET2!C$4*'Alloy_compnt_G&amp;L'!$M$2*Al_alloy_use_compnt!$B8</f>
        <v>0</v>
      </c>
      <c r="D14" s="54">
        <f>Material_compnt_GREET2!D$4*'Alloy_compnt_G&amp;L'!$M$2*Al_alloy_use_compnt!$B8</f>
        <v>0</v>
      </c>
      <c r="E14" s="54">
        <f>Material_compnt_GREET2!E$4*'Alloy_compnt_G&amp;L'!$M$2*Al_alloy_use_compnt!$B8</f>
        <v>0</v>
      </c>
      <c r="F14" s="54">
        <f>Material_compnt_GREET2!F$4*'Alloy_compnt_G&amp;L'!$M$2*Al_alloy_use_compnt!$B8</f>
        <v>0</v>
      </c>
      <c r="G14" s="54">
        <f>Material_compnt_GREET2!G$4*'Alloy_compnt_G&amp;L'!$M$2*Al_alloy_use_compnt!$B8</f>
        <v>0</v>
      </c>
      <c r="H14" s="54">
        <f>Material_compnt_GREET2!H$4*'Alloy_compnt_G&amp;L'!$M$2*Al_alloy_use_compnt!$B8</f>
        <v>0</v>
      </c>
      <c r="I14" s="143">
        <f>Material_compnt_GREET2!I$4*'Alloy_compnt_G&amp;L'!$M$2*Al_alloy_use_compnt!$B8</f>
        <v>0</v>
      </c>
    </row>
    <row r="15" spans="1:23" x14ac:dyDescent="0.2">
      <c r="A15" s="145" t="s">
        <v>250</v>
      </c>
      <c r="B15" s="54">
        <f>Material_compnt_GREET2!B$4*'Alloy_compnt_G&amp;L'!$M$2*Al_alloy_use_compnt!$B9</f>
        <v>0</v>
      </c>
      <c r="C15" s="54">
        <f>Material_compnt_GREET2!C$4*'Alloy_compnt_G&amp;L'!$M$2*Al_alloy_use_compnt!$B9</f>
        <v>0</v>
      </c>
      <c r="D15" s="54">
        <f>Material_compnt_GREET2!D$4*'Alloy_compnt_G&amp;L'!$M$2*Al_alloy_use_compnt!$B9</f>
        <v>0</v>
      </c>
      <c r="E15" s="54">
        <f>Material_compnt_GREET2!E$4*'Alloy_compnt_G&amp;L'!$M$2*Al_alloy_use_compnt!$B9</f>
        <v>0</v>
      </c>
      <c r="F15" s="54">
        <f>Material_compnt_GREET2!F$4*'Alloy_compnt_G&amp;L'!$M$2*Al_alloy_use_compnt!$B9</f>
        <v>0</v>
      </c>
      <c r="G15" s="54">
        <f>Material_compnt_GREET2!G$4*'Alloy_compnt_G&amp;L'!$M$2*Al_alloy_use_compnt!$B9</f>
        <v>0</v>
      </c>
      <c r="H15" s="54">
        <f>Material_compnt_GREET2!H$4*'Alloy_compnt_G&amp;L'!$M$2*Al_alloy_use_compnt!$B9</f>
        <v>0</v>
      </c>
      <c r="I15" s="143">
        <f>Material_compnt_GREET2!I$4*'Alloy_compnt_G&amp;L'!$M$2*Al_alloy_use_compnt!$B9</f>
        <v>0</v>
      </c>
    </row>
    <row r="16" spans="1:23" x14ac:dyDescent="0.2">
      <c r="A16" s="145" t="s">
        <v>251</v>
      </c>
      <c r="B16" s="54">
        <f>Material_compnt_GREET2!B$4*'Alloy_compnt_G&amp;L'!$M$2*Al_alloy_use_compnt!$B10</f>
        <v>0</v>
      </c>
      <c r="C16" s="54">
        <f>Material_compnt_GREET2!C$4*'Alloy_compnt_G&amp;L'!$M$2*Al_alloy_use_compnt!$B10</f>
        <v>0</v>
      </c>
      <c r="D16" s="54">
        <f>Material_compnt_GREET2!D$4*'Alloy_compnt_G&amp;L'!$M$2*Al_alloy_use_compnt!$B10</f>
        <v>0</v>
      </c>
      <c r="E16" s="54">
        <f>Material_compnt_GREET2!E$4*'Alloy_compnt_G&amp;L'!$M$2*Al_alloy_use_compnt!$B10</f>
        <v>0</v>
      </c>
      <c r="F16" s="54">
        <f>Material_compnt_GREET2!F$4*'Alloy_compnt_G&amp;L'!$M$2*Al_alloy_use_compnt!$B10</f>
        <v>0</v>
      </c>
      <c r="G16" s="54">
        <f>Material_compnt_GREET2!G$4*'Alloy_compnt_G&amp;L'!$M$2*Al_alloy_use_compnt!$B10</f>
        <v>0</v>
      </c>
      <c r="H16" s="54">
        <f>Material_compnt_GREET2!H$4*'Alloy_compnt_G&amp;L'!$M$2*Al_alloy_use_compnt!$B10</f>
        <v>0</v>
      </c>
      <c r="I16" s="143">
        <f>Material_compnt_GREET2!I$4*'Alloy_compnt_G&amp;L'!$M$2*Al_alloy_use_compnt!$B10</f>
        <v>0</v>
      </c>
    </row>
    <row r="17" spans="1:9" x14ac:dyDescent="0.2">
      <c r="A17" s="145" t="s">
        <v>252</v>
      </c>
      <c r="B17" s="54">
        <f>Material_compnt_GREET2!B$4*'Alloy_compnt_G&amp;L'!$M$2*Al_alloy_use_compnt!$B11</f>
        <v>0</v>
      </c>
      <c r="C17" s="54">
        <f>Material_compnt_GREET2!C$4*'Alloy_compnt_G&amp;L'!$M$2*Al_alloy_use_compnt!$B11</f>
        <v>0</v>
      </c>
      <c r="D17" s="54">
        <f>Material_compnt_GREET2!D$4*'Alloy_compnt_G&amp;L'!$M$2*Al_alloy_use_compnt!$B11</f>
        <v>0</v>
      </c>
      <c r="E17" s="54">
        <f>Material_compnt_GREET2!E$4*'Alloy_compnt_G&amp;L'!$M$2*Al_alloy_use_compnt!$B11</f>
        <v>0</v>
      </c>
      <c r="F17" s="54">
        <f>Material_compnt_GREET2!F$4*'Alloy_compnt_G&amp;L'!$M$2*Al_alloy_use_compnt!$B11</f>
        <v>0</v>
      </c>
      <c r="G17" s="54">
        <f>Material_compnt_GREET2!G$4*'Alloy_compnt_G&amp;L'!$M$2*Al_alloy_use_compnt!$B11</f>
        <v>0</v>
      </c>
      <c r="H17" s="54">
        <f>Material_compnt_GREET2!H$4*'Alloy_compnt_G&amp;L'!$M$2*Al_alloy_use_compnt!$B11</f>
        <v>0</v>
      </c>
      <c r="I17" s="143">
        <f>Material_compnt_GREET2!I$4*'Alloy_compnt_G&amp;L'!$M$2*Al_alloy_use_compnt!$B11</f>
        <v>0</v>
      </c>
    </row>
    <row r="18" spans="1:9" x14ac:dyDescent="0.2">
      <c r="A18" s="145" t="s">
        <v>253</v>
      </c>
      <c r="B18" s="54">
        <f>Material_compnt_GREET2!B$4*'Alloy_compnt_G&amp;L'!$M$2*Al_alloy_use_compnt!$B12</f>
        <v>0</v>
      </c>
      <c r="C18" s="54">
        <f>Material_compnt_GREET2!C$4*'Alloy_compnt_G&amp;L'!$M$2*Al_alloy_use_compnt!$B12</f>
        <v>0</v>
      </c>
      <c r="D18" s="54">
        <f>Material_compnt_GREET2!D$4*'Alloy_compnt_G&amp;L'!$M$2*Al_alloy_use_compnt!$B12</f>
        <v>0</v>
      </c>
      <c r="E18" s="54">
        <f>Material_compnt_GREET2!E$4*'Alloy_compnt_G&amp;L'!$M$2*Al_alloy_use_compnt!$B12</f>
        <v>0</v>
      </c>
      <c r="F18" s="54">
        <f>Material_compnt_GREET2!F$4*'Alloy_compnt_G&amp;L'!$M$2*Al_alloy_use_compnt!$B12</f>
        <v>0</v>
      </c>
      <c r="G18" s="54">
        <f>Material_compnt_GREET2!G$4*'Alloy_compnt_G&amp;L'!$M$2*Al_alloy_use_compnt!$B12</f>
        <v>0</v>
      </c>
      <c r="H18" s="54">
        <f>Material_compnt_GREET2!H$4*'Alloy_compnt_G&amp;L'!$M$2*Al_alloy_use_compnt!$B12</f>
        <v>0</v>
      </c>
      <c r="I18" s="143">
        <f>Material_compnt_GREET2!I$4*'Alloy_compnt_G&amp;L'!$M$2*Al_alloy_use_compnt!$B12</f>
        <v>0</v>
      </c>
    </row>
    <row r="19" spans="1:9" x14ac:dyDescent="0.2">
      <c r="A19" s="145" t="s">
        <v>254</v>
      </c>
      <c r="B19" s="54">
        <f>Material_compnt_GREET2!B$4*'Alloy_compnt_G&amp;L'!$M$2*Al_alloy_use_compnt!$B13</f>
        <v>0</v>
      </c>
      <c r="C19" s="54">
        <f>Material_compnt_GREET2!C$4*'Alloy_compnt_G&amp;L'!$M$2*Al_alloy_use_compnt!$B13</f>
        <v>0</v>
      </c>
      <c r="D19" s="54">
        <f>Material_compnt_GREET2!D$4*'Alloy_compnt_G&amp;L'!$M$2*Al_alloy_use_compnt!$B13</f>
        <v>0</v>
      </c>
      <c r="E19" s="54">
        <f>Material_compnt_GREET2!E$4*'Alloy_compnt_G&amp;L'!$M$2*Al_alloy_use_compnt!$B13</f>
        <v>0</v>
      </c>
      <c r="F19" s="54">
        <f>Material_compnt_GREET2!F$4*'Alloy_compnt_G&amp;L'!$M$2*Al_alloy_use_compnt!$B13</f>
        <v>0</v>
      </c>
      <c r="G19" s="54">
        <f>Material_compnt_GREET2!G$4*'Alloy_compnt_G&amp;L'!$M$2*Al_alloy_use_compnt!$B13</f>
        <v>0</v>
      </c>
      <c r="H19" s="54">
        <f>Material_compnt_GREET2!H$4*'Alloy_compnt_G&amp;L'!$M$2*Al_alloy_use_compnt!$B13</f>
        <v>0</v>
      </c>
      <c r="I19" s="143">
        <f>Material_compnt_GREET2!I$4*'Alloy_compnt_G&amp;L'!$M$2*Al_alloy_use_compnt!$B13</f>
        <v>0</v>
      </c>
    </row>
    <row r="20" spans="1:9" x14ac:dyDescent="0.2">
      <c r="A20" s="146" t="s">
        <v>255</v>
      </c>
      <c r="B20" s="54">
        <f>Material_compnt_GREET2!B$4*'Alloy_compnt_G&amp;L'!$M$2*Al_alloy_use_compnt!$B14</f>
        <v>0</v>
      </c>
      <c r="C20" s="54">
        <f>Material_compnt_GREET2!C$4*'Alloy_compnt_G&amp;L'!$M$2*Al_alloy_use_compnt!$B14</f>
        <v>0</v>
      </c>
      <c r="D20" s="54">
        <f>Material_compnt_GREET2!D$4*'Alloy_compnt_G&amp;L'!$M$2*Al_alloy_use_compnt!$B14</f>
        <v>0</v>
      </c>
      <c r="E20" s="54">
        <f>Material_compnt_GREET2!E$4*'Alloy_compnt_G&amp;L'!$M$2*Al_alloy_use_compnt!$B14</f>
        <v>0</v>
      </c>
      <c r="F20" s="54">
        <f>Material_compnt_GREET2!F$4*'Alloy_compnt_G&amp;L'!$M$2*Al_alloy_use_compnt!$B14</f>
        <v>0</v>
      </c>
      <c r="G20" s="54">
        <f>Material_compnt_GREET2!G$4*'Alloy_compnt_G&amp;L'!$M$2*Al_alloy_use_compnt!$B14</f>
        <v>0</v>
      </c>
      <c r="H20" s="54">
        <f>Material_compnt_GREET2!H$4*'Alloy_compnt_G&amp;L'!$M$2*Al_alloy_use_compnt!$B14</f>
        <v>0</v>
      </c>
      <c r="I20" s="143">
        <f>Material_compnt_GREET2!I$4*'Alloy_compnt_G&amp;L'!$M$2*Al_alloy_use_compnt!$B14</f>
        <v>0</v>
      </c>
    </row>
    <row r="21" spans="1:9" x14ac:dyDescent="0.2">
      <c r="A21" s="145" t="s">
        <v>256</v>
      </c>
      <c r="B21" s="54">
        <f>Material_compnt_GREET2!B$4*'Alloy_compnt_G&amp;L'!$M$2*Al_alloy_use_compnt!$B15</f>
        <v>0</v>
      </c>
      <c r="C21" s="54">
        <f>Material_compnt_GREET2!C$4*'Alloy_compnt_G&amp;L'!$M$2*Al_alloy_use_compnt!$B15</f>
        <v>0</v>
      </c>
      <c r="D21" s="54">
        <f>Material_compnt_GREET2!D$4*'Alloy_compnt_G&amp;L'!$M$2*Al_alloy_use_compnt!$B15</f>
        <v>0</v>
      </c>
      <c r="E21" s="54">
        <f>Material_compnt_GREET2!E$4*'Alloy_compnt_G&amp;L'!$M$2*Al_alloy_use_compnt!$B15</f>
        <v>0</v>
      </c>
      <c r="F21" s="54">
        <f>Material_compnt_GREET2!F$4*'Alloy_compnt_G&amp;L'!$M$2*Al_alloy_use_compnt!$B15</f>
        <v>0</v>
      </c>
      <c r="G21" s="54">
        <f>Material_compnt_GREET2!G$4*'Alloy_compnt_G&amp;L'!$M$2*Al_alloy_use_compnt!$B15</f>
        <v>0</v>
      </c>
      <c r="H21" s="54">
        <f>Material_compnt_GREET2!H$4*'Alloy_compnt_G&amp;L'!$M$2*Al_alloy_use_compnt!$B15</f>
        <v>0</v>
      </c>
      <c r="I21" s="143">
        <f>Material_compnt_GREET2!I$4*'Alloy_compnt_G&amp;L'!$M$2*Al_alloy_use_compnt!$B15</f>
        <v>0</v>
      </c>
    </row>
    <row r="22" spans="1:9" x14ac:dyDescent="0.2">
      <c r="A22" s="145" t="s">
        <v>257</v>
      </c>
      <c r="B22" s="54">
        <f>Material_compnt_GREET2!B$4*'Alloy_compnt_G&amp;L'!$M$2*Al_alloy_use_compnt!$B16</f>
        <v>0</v>
      </c>
      <c r="C22" s="54">
        <f>Material_compnt_GREET2!C$4*'Alloy_compnt_G&amp;L'!$M$2*Al_alloy_use_compnt!$B16</f>
        <v>0</v>
      </c>
      <c r="D22" s="54">
        <f>Material_compnt_GREET2!D$4*'Alloy_compnt_G&amp;L'!$M$2*Al_alloy_use_compnt!$B16</f>
        <v>0</v>
      </c>
      <c r="E22" s="54">
        <f>Material_compnt_GREET2!E$4*'Alloy_compnt_G&amp;L'!$M$2*Al_alloy_use_compnt!$B16</f>
        <v>0</v>
      </c>
      <c r="F22" s="54">
        <f>Material_compnt_GREET2!F$4*'Alloy_compnt_G&amp;L'!$M$2*Al_alloy_use_compnt!$B16</f>
        <v>0</v>
      </c>
      <c r="G22" s="54">
        <f>Material_compnt_GREET2!G$4*'Alloy_compnt_G&amp;L'!$M$2*Al_alloy_use_compnt!$B16</f>
        <v>0</v>
      </c>
      <c r="H22" s="54">
        <f>Material_compnt_GREET2!H$4*'Alloy_compnt_G&amp;L'!$M$2*Al_alloy_use_compnt!$B16</f>
        <v>0</v>
      </c>
      <c r="I22" s="143">
        <f>Material_compnt_GREET2!I$4*'Alloy_compnt_G&amp;L'!$M$2*Al_alloy_use_compnt!$B16</f>
        <v>0</v>
      </c>
    </row>
    <row r="23" spans="1:9" x14ac:dyDescent="0.2">
      <c r="A23" s="145" t="s">
        <v>258</v>
      </c>
      <c r="B23" s="54">
        <f>Material_compnt_GREET2!B$4*'Alloy_compnt_G&amp;L'!$M$2*Al_alloy_use_compnt!$B17</f>
        <v>0</v>
      </c>
      <c r="C23" s="54">
        <f>Material_compnt_GREET2!C$4*'Alloy_compnt_G&amp;L'!$M$2*Al_alloy_use_compnt!$B17</f>
        <v>0</v>
      </c>
      <c r="D23" s="54">
        <f>Material_compnt_GREET2!D$4*'Alloy_compnt_G&amp;L'!$M$2*Al_alloy_use_compnt!$B17</f>
        <v>0</v>
      </c>
      <c r="E23" s="54">
        <f>Material_compnt_GREET2!E$4*'Alloy_compnt_G&amp;L'!$M$2*Al_alloy_use_compnt!$B17</f>
        <v>0</v>
      </c>
      <c r="F23" s="54">
        <f>Material_compnt_GREET2!F$4*'Alloy_compnt_G&amp;L'!$M$2*Al_alloy_use_compnt!$B17</f>
        <v>0</v>
      </c>
      <c r="G23" s="54">
        <f>Material_compnt_GREET2!G$4*'Alloy_compnt_G&amp;L'!$M$2*Al_alloy_use_compnt!$B17</f>
        <v>0</v>
      </c>
      <c r="H23" s="54">
        <f>Material_compnt_GREET2!H$4*'Alloy_compnt_G&amp;L'!$M$2*Al_alloy_use_compnt!$B17</f>
        <v>0</v>
      </c>
      <c r="I23" s="143">
        <f>Material_compnt_GREET2!I$4*'Alloy_compnt_G&amp;L'!$M$2*Al_alloy_use_compnt!$B17</f>
        <v>0</v>
      </c>
    </row>
    <row r="24" spans="1:9" x14ac:dyDescent="0.2">
      <c r="A24" s="142" t="s">
        <v>259</v>
      </c>
      <c r="B24" s="54">
        <f>Material_compnt_GREET2!B$4*'Alloy_compnt_G&amp;L'!$M$2*Al_alloy_use_compnt!$B18</f>
        <v>0</v>
      </c>
      <c r="C24" s="54">
        <f>Material_compnt_GREET2!C$4*'Alloy_compnt_G&amp;L'!$M$2*Al_alloy_use_compnt!$B18</f>
        <v>0</v>
      </c>
      <c r="D24" s="54">
        <f>Material_compnt_GREET2!D$4*'Alloy_compnt_G&amp;L'!$M$2*Al_alloy_use_compnt!$B18</f>
        <v>0</v>
      </c>
      <c r="E24" s="54">
        <f>Material_compnt_GREET2!E$4*'Alloy_compnt_G&amp;L'!$M$2*Al_alloy_use_compnt!$B18</f>
        <v>0</v>
      </c>
      <c r="F24" s="54">
        <f>Material_compnt_GREET2!F$4*'Alloy_compnt_G&amp;L'!$M$2*Al_alloy_use_compnt!$B18</f>
        <v>0</v>
      </c>
      <c r="G24" s="54">
        <f>Material_compnt_GREET2!G$4*'Alloy_compnt_G&amp;L'!$M$2*Al_alloy_use_compnt!$B18</f>
        <v>0</v>
      </c>
      <c r="H24" s="54">
        <f>Material_compnt_GREET2!H$4*'Alloy_compnt_G&amp;L'!$M$2*Al_alloy_use_compnt!$B18</f>
        <v>0</v>
      </c>
      <c r="I24" s="143">
        <f>Material_compnt_GREET2!I$4*'Alloy_compnt_G&amp;L'!$M$2*Al_alloy_use_compnt!$B18</f>
        <v>0</v>
      </c>
    </row>
    <row r="25" spans="1:9" x14ac:dyDescent="0.2">
      <c r="A25" s="147" t="s">
        <v>260</v>
      </c>
      <c r="B25" s="54">
        <f>Material_compnt_GREET2!B$4*'Alloy_compnt_G&amp;L'!$M$2*Al_alloy_use_compnt!$B19</f>
        <v>0</v>
      </c>
      <c r="C25" s="54">
        <f>Material_compnt_GREET2!C$4*'Alloy_compnt_G&amp;L'!$M$2*Al_alloy_use_compnt!$B19</f>
        <v>0</v>
      </c>
      <c r="D25" s="54">
        <f>Material_compnt_GREET2!D$4*'Alloy_compnt_G&amp;L'!$M$2*Al_alloy_use_compnt!$B19</f>
        <v>0</v>
      </c>
      <c r="E25" s="54">
        <f>Material_compnt_GREET2!E$4*'Alloy_compnt_G&amp;L'!$M$2*Al_alloy_use_compnt!$B19</f>
        <v>0</v>
      </c>
      <c r="F25" s="54">
        <f>Material_compnt_GREET2!F$4*'Alloy_compnt_G&amp;L'!$M$2*Al_alloy_use_compnt!$B19</f>
        <v>0</v>
      </c>
      <c r="G25" s="54">
        <f>Material_compnt_GREET2!G$4*'Alloy_compnt_G&amp;L'!$M$2*Al_alloy_use_compnt!$B19</f>
        <v>0</v>
      </c>
      <c r="H25" s="54">
        <f>Material_compnt_GREET2!H$4*'Alloy_compnt_G&amp;L'!$M$2*Al_alloy_use_compnt!$B19</f>
        <v>0</v>
      </c>
      <c r="I25" s="143">
        <f>Material_compnt_GREET2!I$4*'Alloy_compnt_G&amp;L'!$M$2*Al_alloy_use_compnt!$B19</f>
        <v>0</v>
      </c>
    </row>
    <row r="26" spans="1:9" x14ac:dyDescent="0.2">
      <c r="A26" s="142" t="s">
        <v>261</v>
      </c>
      <c r="B26" s="54">
        <f>Material_compnt_GREET2!B$4*'Alloy_compnt_G&amp;L'!$N$2*Al_alloy_use_compnt!$B3</f>
        <v>0</v>
      </c>
      <c r="C26" s="54">
        <f>Material_compnt_GREET2!C$4*'Alloy_compnt_G&amp;L'!$N$2*Al_alloy_use_compnt!$B3</f>
        <v>0</v>
      </c>
      <c r="D26" s="54">
        <f>Material_compnt_GREET2!D$4*'Alloy_compnt_G&amp;L'!$N$2*Al_alloy_use_compnt!$B3</f>
        <v>0</v>
      </c>
      <c r="E26" s="54">
        <f>Material_compnt_GREET2!E$4*'Alloy_compnt_G&amp;L'!$N$2*Al_alloy_use_compnt!$B3</f>
        <v>0</v>
      </c>
      <c r="F26" s="54">
        <f>Material_compnt_GREET2!F$4*'Alloy_compnt_G&amp;L'!$N$2*Al_alloy_use_compnt!$B3</f>
        <v>0</v>
      </c>
      <c r="G26" s="54">
        <f>Material_compnt_GREET2!G$4*'Alloy_compnt_G&amp;L'!$N$2*Al_alloy_use_compnt!$B3</f>
        <v>0</v>
      </c>
      <c r="H26" s="54">
        <f>Material_compnt_GREET2!H$4*'Alloy_compnt_G&amp;L'!$N$2*Al_alloy_use_compnt!$B3</f>
        <v>0</v>
      </c>
      <c r="I26" s="143">
        <f>Material_compnt_GREET2!I$4*'Alloy_compnt_G&amp;L'!$N$2*Al_alloy_use_compnt!$B3</f>
        <v>0</v>
      </c>
    </row>
    <row r="27" spans="1:9" x14ac:dyDescent="0.2">
      <c r="A27" s="142" t="s">
        <v>262</v>
      </c>
      <c r="B27" s="54">
        <f>Material_compnt_GREET2!B$4*'Alloy_compnt_G&amp;L'!$N$2*Al_alloy_use_compnt!$B4</f>
        <v>0</v>
      </c>
      <c r="C27" s="54">
        <f>Material_compnt_GREET2!C$4*'Alloy_compnt_G&amp;L'!$N$2*Al_alloy_use_compnt!$B4</f>
        <v>0</v>
      </c>
      <c r="D27" s="54">
        <f>Material_compnt_GREET2!D$4*'Alloy_compnt_G&amp;L'!$N$2*Al_alloy_use_compnt!$B4</f>
        <v>0</v>
      </c>
      <c r="E27" s="54">
        <f>Material_compnt_GREET2!E$4*'Alloy_compnt_G&amp;L'!$N$2*Al_alloy_use_compnt!$B4</f>
        <v>0</v>
      </c>
      <c r="F27" s="54">
        <f>Material_compnt_GREET2!F$4*'Alloy_compnt_G&amp;L'!$N$2*Al_alloy_use_compnt!$B4</f>
        <v>0</v>
      </c>
      <c r="G27" s="54">
        <f>Material_compnt_GREET2!G$4*'Alloy_compnt_G&amp;L'!$N$2*Al_alloy_use_compnt!$B4</f>
        <v>0</v>
      </c>
      <c r="H27" s="54">
        <f>Material_compnt_GREET2!H$4*'Alloy_compnt_G&amp;L'!$N$2*Al_alloy_use_compnt!$B4</f>
        <v>0</v>
      </c>
      <c r="I27" s="143">
        <f>Material_compnt_GREET2!I$4*'Alloy_compnt_G&amp;L'!$N$2*Al_alloy_use_compnt!$B4</f>
        <v>0</v>
      </c>
    </row>
    <row r="28" spans="1:9" x14ac:dyDescent="0.2">
      <c r="A28" s="142" t="s">
        <v>263</v>
      </c>
      <c r="B28" s="54">
        <f>Material_compnt_GREET2!B$4*'Alloy_compnt_G&amp;L'!$N$2*Al_alloy_use_compnt!$B5</f>
        <v>0</v>
      </c>
      <c r="C28" s="54">
        <f>Material_compnt_GREET2!C$4*'Alloy_compnt_G&amp;L'!$N$2*Al_alloy_use_compnt!$B5</f>
        <v>0</v>
      </c>
      <c r="D28" s="54">
        <f>Material_compnt_GREET2!D$4*'Alloy_compnt_G&amp;L'!$N$2*Al_alloy_use_compnt!$B5</f>
        <v>0</v>
      </c>
      <c r="E28" s="54">
        <f>Material_compnt_GREET2!E$4*'Alloy_compnt_G&amp;L'!$N$2*Al_alloy_use_compnt!$B5</f>
        <v>0</v>
      </c>
      <c r="F28" s="54">
        <f>Material_compnt_GREET2!F$4*'Alloy_compnt_G&amp;L'!$N$2*Al_alloy_use_compnt!$B5</f>
        <v>0</v>
      </c>
      <c r="G28" s="54">
        <f>Material_compnt_GREET2!G$4*'Alloy_compnt_G&amp;L'!$N$2*Al_alloy_use_compnt!$B5</f>
        <v>0</v>
      </c>
      <c r="H28" s="54">
        <f>Material_compnt_GREET2!H$4*'Alloy_compnt_G&amp;L'!$N$2*Al_alloy_use_compnt!$B5</f>
        <v>0</v>
      </c>
      <c r="I28" s="143">
        <f>Material_compnt_GREET2!I$4*'Alloy_compnt_G&amp;L'!$N$2*Al_alloy_use_compnt!$B5</f>
        <v>0</v>
      </c>
    </row>
    <row r="29" spans="1:9" x14ac:dyDescent="0.2">
      <c r="A29" s="142" t="s">
        <v>264</v>
      </c>
      <c r="B29" s="54">
        <f>Material_compnt_GREET2!B$4*'Alloy_compnt_G&amp;L'!$N$2*Al_alloy_use_compnt!$B6</f>
        <v>3.2315462890625563E-2</v>
      </c>
      <c r="C29" s="54">
        <f>Material_compnt_GREET2!C$4*'Alloy_compnt_G&amp;L'!$N$2*Al_alloy_use_compnt!$B6</f>
        <v>1.8996688974890599</v>
      </c>
      <c r="D29" s="54">
        <f>Material_compnt_GREET2!D$4*'Alloy_compnt_G&amp;L'!$N$2*Al_alloy_use_compnt!$B6</f>
        <v>2.9978406804581675E-2</v>
      </c>
      <c r="E29" s="54">
        <f>Material_compnt_GREET2!E$4*'Alloy_compnt_G&amp;L'!$N$2*Al_alloy_use_compnt!$B6</f>
        <v>1.7715420983257049</v>
      </c>
      <c r="F29" s="54">
        <f>Material_compnt_GREET2!F$4*'Alloy_compnt_G&amp;L'!$N$2*Al_alloy_use_compnt!$B6</f>
        <v>3.0824844250580387E-2</v>
      </c>
      <c r="G29" s="54">
        <f>Material_compnt_GREET2!G$4*'Alloy_compnt_G&amp;L'!$N$2*Al_alloy_use_compnt!$B6</f>
        <v>1.8107391074009604</v>
      </c>
      <c r="H29" s="54">
        <f>Material_compnt_GREET2!H$4*'Alloy_compnt_G&amp;L'!$N$2*Al_alloy_use_compnt!$B6</f>
        <v>0</v>
      </c>
      <c r="I29" s="143">
        <f>Material_compnt_GREET2!I$4*'Alloy_compnt_G&amp;L'!$N$2*Al_alloy_use_compnt!$B6</f>
        <v>0</v>
      </c>
    </row>
    <row r="30" spans="1:9" x14ac:dyDescent="0.2">
      <c r="A30" s="142" t="s">
        <v>265</v>
      </c>
      <c r="B30" s="54">
        <f>Material_compnt_GREET2!B$4*'Alloy_compnt_G&amp;L'!$N$2*Al_alloy_use_compnt!$B7</f>
        <v>0</v>
      </c>
      <c r="C30" s="54">
        <f>Material_compnt_GREET2!C$4*'Alloy_compnt_G&amp;L'!$N$2*Al_alloy_use_compnt!$B7</f>
        <v>0</v>
      </c>
      <c r="D30" s="54">
        <f>Material_compnt_GREET2!D$4*'Alloy_compnt_G&amp;L'!$N$2*Al_alloy_use_compnt!$B7</f>
        <v>0</v>
      </c>
      <c r="E30" s="54">
        <f>Material_compnt_GREET2!E$4*'Alloy_compnt_G&amp;L'!$N$2*Al_alloy_use_compnt!$B7</f>
        <v>0</v>
      </c>
      <c r="F30" s="54">
        <f>Material_compnt_GREET2!F$4*'Alloy_compnt_G&amp;L'!$N$2*Al_alloy_use_compnt!$B7</f>
        <v>0</v>
      </c>
      <c r="G30" s="54">
        <f>Material_compnt_GREET2!G$4*'Alloy_compnt_G&amp;L'!$N$2*Al_alloy_use_compnt!$B7</f>
        <v>0</v>
      </c>
      <c r="H30" s="54">
        <f>Material_compnt_GREET2!H$4*'Alloy_compnt_G&amp;L'!$N$2*Al_alloy_use_compnt!$B7</f>
        <v>0</v>
      </c>
      <c r="I30" s="143">
        <f>Material_compnt_GREET2!I$4*'Alloy_compnt_G&amp;L'!$N$2*Al_alloy_use_compnt!$B7</f>
        <v>0</v>
      </c>
    </row>
    <row r="31" spans="1:9" x14ac:dyDescent="0.2">
      <c r="A31" s="142" t="s">
        <v>266</v>
      </c>
      <c r="B31" s="54">
        <f>Material_compnt_GREET2!B$4*'Alloy_compnt_G&amp;L'!$N$2*Al_alloy_use_compnt!$B8</f>
        <v>6.4630925781251125E-2</v>
      </c>
      <c r="C31" s="54">
        <f>Material_compnt_GREET2!C$4*'Alloy_compnt_G&amp;L'!$N$2*Al_alloy_use_compnt!$B8</f>
        <v>3.7993377949781197</v>
      </c>
      <c r="D31" s="54">
        <f>Material_compnt_GREET2!D$4*'Alloy_compnt_G&amp;L'!$N$2*Al_alloy_use_compnt!$B8</f>
        <v>5.9956813609163349E-2</v>
      </c>
      <c r="E31" s="54">
        <f>Material_compnt_GREET2!E$4*'Alloy_compnt_G&amp;L'!$N$2*Al_alloy_use_compnt!$B8</f>
        <v>3.5430841966514097</v>
      </c>
      <c r="F31" s="54">
        <f>Material_compnt_GREET2!F$4*'Alloy_compnt_G&amp;L'!$N$2*Al_alloy_use_compnt!$B8</f>
        <v>6.1649688501160774E-2</v>
      </c>
      <c r="G31" s="54">
        <f>Material_compnt_GREET2!G$4*'Alloy_compnt_G&amp;L'!$N$2*Al_alloy_use_compnt!$B8</f>
        <v>3.6214782148019209</v>
      </c>
      <c r="H31" s="54">
        <f>Material_compnt_GREET2!H$4*'Alloy_compnt_G&amp;L'!$N$2*Al_alloy_use_compnt!$B8</f>
        <v>0</v>
      </c>
      <c r="I31" s="143">
        <f>Material_compnt_GREET2!I$4*'Alloy_compnt_G&amp;L'!$N$2*Al_alloy_use_compnt!$B8</f>
        <v>0</v>
      </c>
    </row>
    <row r="32" spans="1:9" x14ac:dyDescent="0.2">
      <c r="A32" s="142" t="s">
        <v>267</v>
      </c>
      <c r="B32" s="54">
        <f>Material_compnt_GREET2!B$4*'Alloy_compnt_G&amp;L'!$N$2*Al_alloy_use_compnt!$B9</f>
        <v>0.19389277734375335</v>
      </c>
      <c r="C32" s="54">
        <f>Material_compnt_GREET2!C$4*'Alloy_compnt_G&amp;L'!$N$2*Al_alloy_use_compnt!$B9</f>
        <v>11.398013384934359</v>
      </c>
      <c r="D32" s="54">
        <f>Material_compnt_GREET2!D$4*'Alloy_compnt_G&amp;L'!$N$2*Al_alloy_use_compnt!$B9</f>
        <v>0.17987044082749004</v>
      </c>
      <c r="E32" s="54">
        <f>Material_compnt_GREET2!E$4*'Alloy_compnt_G&amp;L'!$N$2*Al_alloy_use_compnt!$B9</f>
        <v>10.629252589954227</v>
      </c>
      <c r="F32" s="54">
        <f>Material_compnt_GREET2!F$4*'Alloy_compnt_G&amp;L'!$N$2*Al_alloy_use_compnt!$B9</f>
        <v>0.18494906550348228</v>
      </c>
      <c r="G32" s="54">
        <f>Material_compnt_GREET2!G$4*'Alloy_compnt_G&amp;L'!$N$2*Al_alloy_use_compnt!$B9</f>
        <v>10.864434644405762</v>
      </c>
      <c r="H32" s="54">
        <f>Material_compnt_GREET2!H$4*'Alloy_compnt_G&amp;L'!$N$2*Al_alloy_use_compnt!$B9</f>
        <v>0</v>
      </c>
      <c r="I32" s="143">
        <f>Material_compnt_GREET2!I$4*'Alloy_compnt_G&amp;L'!$N$2*Al_alloy_use_compnt!$B9</f>
        <v>0</v>
      </c>
    </row>
    <row r="33" spans="1:9" x14ac:dyDescent="0.2">
      <c r="A33" s="142" t="s">
        <v>268</v>
      </c>
      <c r="B33" s="54">
        <f>Material_compnt_GREET2!B$4*'Alloy_compnt_G&amp;L'!$N$2*Al_alloy_use_compnt!$B10</f>
        <v>6.4630925781251125E-2</v>
      </c>
      <c r="C33" s="54">
        <f>Material_compnt_GREET2!C$4*'Alloy_compnt_G&amp;L'!$N$2*Al_alloy_use_compnt!$B10</f>
        <v>3.7993377949781197</v>
      </c>
      <c r="D33" s="54">
        <f>Material_compnt_GREET2!D$4*'Alloy_compnt_G&amp;L'!$N$2*Al_alloy_use_compnt!$B10</f>
        <v>5.9956813609163349E-2</v>
      </c>
      <c r="E33" s="54">
        <f>Material_compnt_GREET2!E$4*'Alloy_compnt_G&amp;L'!$N$2*Al_alloy_use_compnt!$B10</f>
        <v>3.5430841966514097</v>
      </c>
      <c r="F33" s="54">
        <f>Material_compnt_GREET2!F$4*'Alloy_compnt_G&amp;L'!$N$2*Al_alloy_use_compnt!$B10</f>
        <v>6.1649688501160774E-2</v>
      </c>
      <c r="G33" s="54">
        <f>Material_compnt_GREET2!G$4*'Alloy_compnt_G&amp;L'!$N$2*Al_alloy_use_compnt!$B10</f>
        <v>3.6214782148019209</v>
      </c>
      <c r="H33" s="54">
        <f>Material_compnt_GREET2!H$4*'Alloy_compnt_G&amp;L'!$N$2*Al_alloy_use_compnt!$B10</f>
        <v>0</v>
      </c>
      <c r="I33" s="143">
        <f>Material_compnt_GREET2!I$4*'Alloy_compnt_G&amp;L'!$N$2*Al_alloy_use_compnt!$B10</f>
        <v>0</v>
      </c>
    </row>
    <row r="34" spans="1:9" x14ac:dyDescent="0.2">
      <c r="A34" s="142" t="s">
        <v>269</v>
      </c>
      <c r="B34" s="54">
        <f>Material_compnt_GREET2!B$4*'Alloy_compnt_G&amp;L'!$N$2*Al_alloy_use_compnt!$B11</f>
        <v>0.14541958300781502</v>
      </c>
      <c r="C34" s="54">
        <f>Material_compnt_GREET2!C$4*'Alloy_compnt_G&amp;L'!$N$2*Al_alloy_use_compnt!$B11</f>
        <v>8.5485100387007691</v>
      </c>
      <c r="D34" s="54">
        <f>Material_compnt_GREET2!D$4*'Alloy_compnt_G&amp;L'!$N$2*Al_alloy_use_compnt!$B11</f>
        <v>0.13490283062061753</v>
      </c>
      <c r="E34" s="54">
        <f>Material_compnt_GREET2!E$4*'Alloy_compnt_G&amp;L'!$N$2*Al_alloy_use_compnt!$B11</f>
        <v>7.9719394424656711</v>
      </c>
      <c r="F34" s="54">
        <f>Material_compnt_GREET2!F$4*'Alloy_compnt_G&amp;L'!$N$2*Al_alloy_use_compnt!$B11</f>
        <v>0.13871179912761172</v>
      </c>
      <c r="G34" s="54">
        <f>Material_compnt_GREET2!G$4*'Alloy_compnt_G&amp;L'!$N$2*Al_alloy_use_compnt!$B11</f>
        <v>8.1483259833043213</v>
      </c>
      <c r="H34" s="54">
        <f>Material_compnt_GREET2!H$4*'Alloy_compnt_G&amp;L'!$N$2*Al_alloy_use_compnt!$B11</f>
        <v>0</v>
      </c>
      <c r="I34" s="143">
        <f>Material_compnt_GREET2!I$4*'Alloy_compnt_G&amp;L'!$N$2*Al_alloy_use_compnt!$B11</f>
        <v>0</v>
      </c>
    </row>
    <row r="35" spans="1:9" x14ac:dyDescent="0.2">
      <c r="A35" s="142" t="s">
        <v>270</v>
      </c>
      <c r="B35" s="54">
        <f>Material_compnt_GREET2!B$4*'Alloy_compnt_G&amp;L'!$N$2*Al_alloy_use_compnt!$B12</f>
        <v>0</v>
      </c>
      <c r="C35" s="54">
        <f>Material_compnt_GREET2!C$4*'Alloy_compnt_G&amp;L'!$N$2*Al_alloy_use_compnt!$B12</f>
        <v>0</v>
      </c>
      <c r="D35" s="54">
        <f>Material_compnt_GREET2!D$4*'Alloy_compnt_G&amp;L'!$N$2*Al_alloy_use_compnt!$B12</f>
        <v>0</v>
      </c>
      <c r="E35" s="54">
        <f>Material_compnt_GREET2!E$4*'Alloy_compnt_G&amp;L'!$N$2*Al_alloy_use_compnt!$B12</f>
        <v>0</v>
      </c>
      <c r="F35" s="54">
        <f>Material_compnt_GREET2!F$4*'Alloy_compnt_G&amp;L'!$N$2*Al_alloy_use_compnt!$B12</f>
        <v>0</v>
      </c>
      <c r="G35" s="54">
        <f>Material_compnt_GREET2!G$4*'Alloy_compnt_G&amp;L'!$N$2*Al_alloy_use_compnt!$B12</f>
        <v>0</v>
      </c>
      <c r="H35" s="54">
        <f>Material_compnt_GREET2!H$4*'Alloy_compnt_G&amp;L'!$N$2*Al_alloy_use_compnt!$B12</f>
        <v>0</v>
      </c>
      <c r="I35" s="143">
        <f>Material_compnt_GREET2!I$4*'Alloy_compnt_G&amp;L'!$N$2*Al_alloy_use_compnt!$B12</f>
        <v>0</v>
      </c>
    </row>
    <row r="36" spans="1:9" x14ac:dyDescent="0.2">
      <c r="A36" s="142" t="s">
        <v>271</v>
      </c>
      <c r="B36" s="54">
        <f>Material_compnt_GREET2!B$4*'Alloy_compnt_G&amp;L'!$N$2*Al_alloy_use_compnt!$B13</f>
        <v>0</v>
      </c>
      <c r="C36" s="54">
        <f>Material_compnt_GREET2!C$4*'Alloy_compnt_G&amp;L'!$N$2*Al_alloy_use_compnt!$B13</f>
        <v>0</v>
      </c>
      <c r="D36" s="54">
        <f>Material_compnt_GREET2!D$4*'Alloy_compnt_G&amp;L'!$N$2*Al_alloy_use_compnt!$B13</f>
        <v>0</v>
      </c>
      <c r="E36" s="54">
        <f>Material_compnt_GREET2!E$4*'Alloy_compnt_G&amp;L'!$N$2*Al_alloy_use_compnt!$B13</f>
        <v>0</v>
      </c>
      <c r="F36" s="54">
        <f>Material_compnt_GREET2!F$4*'Alloy_compnt_G&amp;L'!$N$2*Al_alloy_use_compnt!$B13</f>
        <v>0</v>
      </c>
      <c r="G36" s="54">
        <f>Material_compnt_GREET2!G$4*'Alloy_compnt_G&amp;L'!$N$2*Al_alloy_use_compnt!$B13</f>
        <v>0</v>
      </c>
      <c r="H36" s="54">
        <f>Material_compnt_GREET2!H$4*'Alloy_compnt_G&amp;L'!$N$2*Al_alloy_use_compnt!$B13</f>
        <v>0</v>
      </c>
      <c r="I36" s="143">
        <f>Material_compnt_GREET2!I$4*'Alloy_compnt_G&amp;L'!$N$2*Al_alloy_use_compnt!$B13</f>
        <v>0</v>
      </c>
    </row>
    <row r="37" spans="1:9" x14ac:dyDescent="0.2">
      <c r="A37" s="142" t="s">
        <v>272</v>
      </c>
      <c r="B37" s="54">
        <f>Material_compnt_GREET2!B$4*'Alloy_compnt_G&amp;L'!$N$2*Al_alloy_use_compnt!$B14</f>
        <v>0</v>
      </c>
      <c r="C37" s="54">
        <f>Material_compnt_GREET2!C$4*'Alloy_compnt_G&amp;L'!$N$2*Al_alloy_use_compnt!$B14</f>
        <v>0</v>
      </c>
      <c r="D37" s="54">
        <f>Material_compnt_GREET2!D$4*'Alloy_compnt_G&amp;L'!$N$2*Al_alloy_use_compnt!$B14</f>
        <v>0</v>
      </c>
      <c r="E37" s="54">
        <f>Material_compnt_GREET2!E$4*'Alloy_compnt_G&amp;L'!$N$2*Al_alloy_use_compnt!$B14</f>
        <v>0</v>
      </c>
      <c r="F37" s="54">
        <f>Material_compnt_GREET2!F$4*'Alloy_compnt_G&amp;L'!$N$2*Al_alloy_use_compnt!$B14</f>
        <v>0</v>
      </c>
      <c r="G37" s="54">
        <f>Material_compnt_GREET2!G$4*'Alloy_compnt_G&amp;L'!$N$2*Al_alloy_use_compnt!$B14</f>
        <v>0</v>
      </c>
      <c r="H37" s="54">
        <f>Material_compnt_GREET2!H$4*'Alloy_compnt_G&amp;L'!$N$2*Al_alloy_use_compnt!$B14</f>
        <v>0</v>
      </c>
      <c r="I37" s="143">
        <f>Material_compnt_GREET2!I$4*'Alloy_compnt_G&amp;L'!$N$2*Al_alloy_use_compnt!$B14</f>
        <v>0</v>
      </c>
    </row>
    <row r="38" spans="1:9" x14ac:dyDescent="0.2">
      <c r="A38" s="142" t="s">
        <v>273</v>
      </c>
      <c r="B38" s="54">
        <f>Material_compnt_GREET2!B$4*'Alloy_compnt_G&amp;L'!$N$2*Al_alloy_use_compnt!$B15</f>
        <v>0</v>
      </c>
      <c r="C38" s="54">
        <f>Material_compnt_GREET2!C$4*'Alloy_compnt_G&amp;L'!$N$2*Al_alloy_use_compnt!$B15</f>
        <v>0</v>
      </c>
      <c r="D38" s="54">
        <f>Material_compnt_GREET2!D$4*'Alloy_compnt_G&amp;L'!$N$2*Al_alloy_use_compnt!$B15</f>
        <v>0</v>
      </c>
      <c r="E38" s="54">
        <f>Material_compnt_GREET2!E$4*'Alloy_compnt_G&amp;L'!$N$2*Al_alloy_use_compnt!$B15</f>
        <v>0</v>
      </c>
      <c r="F38" s="54">
        <f>Material_compnt_GREET2!F$4*'Alloy_compnt_G&amp;L'!$N$2*Al_alloy_use_compnt!$B15</f>
        <v>0</v>
      </c>
      <c r="G38" s="54">
        <f>Material_compnt_GREET2!G$4*'Alloy_compnt_G&amp;L'!$N$2*Al_alloy_use_compnt!$B15</f>
        <v>0</v>
      </c>
      <c r="H38" s="54">
        <f>Material_compnt_GREET2!H$4*'Alloy_compnt_G&amp;L'!$N$2*Al_alloy_use_compnt!$B15</f>
        <v>0</v>
      </c>
      <c r="I38" s="143">
        <f>Material_compnt_GREET2!I$4*'Alloy_compnt_G&amp;L'!$N$2*Al_alloy_use_compnt!$B15</f>
        <v>0</v>
      </c>
    </row>
    <row r="39" spans="1:9" x14ac:dyDescent="0.2">
      <c r="A39" s="142" t="s">
        <v>274</v>
      </c>
      <c r="B39" s="54">
        <f>Material_compnt_GREET2!B$4*'Alloy_compnt_G&amp;L'!$N$2*Al_alloy_use_compnt!$B16</f>
        <v>0</v>
      </c>
      <c r="C39" s="54">
        <f>Material_compnt_GREET2!C$4*'Alloy_compnt_G&amp;L'!$N$2*Al_alloy_use_compnt!$B16</f>
        <v>0</v>
      </c>
      <c r="D39" s="54">
        <f>Material_compnt_GREET2!D$4*'Alloy_compnt_G&amp;L'!$N$2*Al_alloy_use_compnt!$B16</f>
        <v>0</v>
      </c>
      <c r="E39" s="54">
        <f>Material_compnt_GREET2!E$4*'Alloy_compnt_G&amp;L'!$N$2*Al_alloy_use_compnt!$B16</f>
        <v>0</v>
      </c>
      <c r="F39" s="54">
        <f>Material_compnt_GREET2!F$4*'Alloy_compnt_G&amp;L'!$N$2*Al_alloy_use_compnt!$B16</f>
        <v>0</v>
      </c>
      <c r="G39" s="54">
        <f>Material_compnt_GREET2!G$4*'Alloy_compnt_G&amp;L'!$N$2*Al_alloy_use_compnt!$B16</f>
        <v>0</v>
      </c>
      <c r="H39" s="54">
        <f>Material_compnt_GREET2!H$4*'Alloy_compnt_G&amp;L'!$N$2*Al_alloy_use_compnt!$B16</f>
        <v>0</v>
      </c>
      <c r="I39" s="143">
        <f>Material_compnt_GREET2!I$4*'Alloy_compnt_G&amp;L'!$N$2*Al_alloy_use_compnt!$B16</f>
        <v>0</v>
      </c>
    </row>
    <row r="40" spans="1:9" x14ac:dyDescent="0.2">
      <c r="A40" s="142" t="s">
        <v>275</v>
      </c>
      <c r="B40" s="54">
        <f>Material_compnt_GREET2!B$4*'Alloy_compnt_G&amp;L'!$N$2*Al_alloy_use_compnt!$B17</f>
        <v>0</v>
      </c>
      <c r="C40" s="54">
        <f>Material_compnt_GREET2!C$4*'Alloy_compnt_G&amp;L'!$N$2*Al_alloy_use_compnt!$B17</f>
        <v>0</v>
      </c>
      <c r="D40" s="54">
        <f>Material_compnt_GREET2!D$4*'Alloy_compnt_G&amp;L'!$N$2*Al_alloy_use_compnt!$B17</f>
        <v>0</v>
      </c>
      <c r="E40" s="54">
        <f>Material_compnt_GREET2!E$4*'Alloy_compnt_G&amp;L'!$N$2*Al_alloy_use_compnt!$B17</f>
        <v>0</v>
      </c>
      <c r="F40" s="54">
        <f>Material_compnt_GREET2!F$4*'Alloy_compnt_G&amp;L'!$N$2*Al_alloy_use_compnt!$B17</f>
        <v>0</v>
      </c>
      <c r="G40" s="54">
        <f>Material_compnt_GREET2!G$4*'Alloy_compnt_G&amp;L'!$N$2*Al_alloy_use_compnt!$B17</f>
        <v>0</v>
      </c>
      <c r="H40" s="54">
        <f>Material_compnt_GREET2!H$4*'Alloy_compnt_G&amp;L'!$N$2*Al_alloy_use_compnt!$B17</f>
        <v>0</v>
      </c>
      <c r="I40" s="143">
        <f>Material_compnt_GREET2!I$4*'Alloy_compnt_G&amp;L'!$N$2*Al_alloy_use_compnt!$B17</f>
        <v>0</v>
      </c>
    </row>
    <row r="41" spans="1:9" x14ac:dyDescent="0.2">
      <c r="A41" s="142" t="s">
        <v>276</v>
      </c>
      <c r="B41" s="54">
        <f>Material_compnt_GREET2!B$4*'Alloy_compnt_G&amp;L'!$N$2*Al_alloy_use_compnt!$B18</f>
        <v>8.0788657226563906E-2</v>
      </c>
      <c r="C41" s="54">
        <f>Material_compnt_GREET2!C$4*'Alloy_compnt_G&amp;L'!$N$2*Al_alloy_use_compnt!$B18</f>
        <v>4.7491722437226498</v>
      </c>
      <c r="D41" s="54">
        <f>Material_compnt_GREET2!D$4*'Alloy_compnt_G&amp;L'!$N$2*Al_alloy_use_compnt!$B18</f>
        <v>7.4946017011454188E-2</v>
      </c>
      <c r="E41" s="54">
        <f>Material_compnt_GREET2!E$4*'Alloy_compnt_G&amp;L'!$N$2*Al_alloy_use_compnt!$B18</f>
        <v>4.4288552458142618</v>
      </c>
      <c r="F41" s="54">
        <f>Material_compnt_GREET2!F$4*'Alloy_compnt_G&amp;L'!$N$2*Al_alloy_use_compnt!$B18</f>
        <v>7.7062110626450964E-2</v>
      </c>
      <c r="G41" s="54">
        <f>Material_compnt_GREET2!G$4*'Alloy_compnt_G&amp;L'!$N$2*Al_alloy_use_compnt!$B18</f>
        <v>4.5268477685024013</v>
      </c>
      <c r="H41" s="54">
        <f>Material_compnt_GREET2!H$4*'Alloy_compnt_G&amp;L'!$N$2*Al_alloy_use_compnt!$B18</f>
        <v>0</v>
      </c>
      <c r="I41" s="143">
        <f>Material_compnt_GREET2!I$4*'Alloy_compnt_G&amp;L'!$N$2*Al_alloy_use_compnt!$B18</f>
        <v>0</v>
      </c>
    </row>
    <row r="42" spans="1:9" x14ac:dyDescent="0.2">
      <c r="A42" s="144" t="s">
        <v>277</v>
      </c>
      <c r="B42" s="54">
        <f>Material_compnt_GREET2!B$4*'Alloy_compnt_G&amp;L'!$N$2*Al_alloy_use_compnt!$B19</f>
        <v>0</v>
      </c>
      <c r="C42" s="54">
        <f>Material_compnt_GREET2!C$4*'Alloy_compnt_G&amp;L'!$N$2*Al_alloy_use_compnt!$B19</f>
        <v>0</v>
      </c>
      <c r="D42" s="54">
        <f>Material_compnt_GREET2!D$4*'Alloy_compnt_G&amp;L'!$N$2*Al_alloy_use_compnt!$B19</f>
        <v>0</v>
      </c>
      <c r="E42" s="54">
        <f>Material_compnt_GREET2!E$4*'Alloy_compnt_G&amp;L'!$N$2*Al_alloy_use_compnt!$B19</f>
        <v>0</v>
      </c>
      <c r="F42" s="54">
        <f>Material_compnt_GREET2!F$4*'Alloy_compnt_G&amp;L'!$N$2*Al_alloy_use_compnt!$B19</f>
        <v>0</v>
      </c>
      <c r="G42" s="54">
        <f>Material_compnt_GREET2!G$4*'Alloy_compnt_G&amp;L'!$N$2*Al_alloy_use_compnt!$B19</f>
        <v>0</v>
      </c>
      <c r="H42" s="54">
        <f>Material_compnt_GREET2!H$4*'Alloy_compnt_G&amp;L'!$N$2*Al_alloy_use_compnt!$B19</f>
        <v>0</v>
      </c>
      <c r="I42" s="143">
        <f>Material_compnt_GREET2!I$4*'Alloy_compnt_G&amp;L'!$N$2*Al_alloy_use_compnt!$B19</f>
        <v>0</v>
      </c>
    </row>
    <row r="43" spans="1:9" x14ac:dyDescent="0.2">
      <c r="A43" s="148" t="s">
        <v>278</v>
      </c>
      <c r="B43" s="54">
        <f>Material_compnt_GREET2!B$4*'Alloy_compnt_G&amp;L'!$O$2*Al_alloy_use_compnt!$B20</f>
        <v>0</v>
      </c>
      <c r="C43" s="54">
        <f>Material_compnt_GREET2!C$4*'Alloy_compnt_G&amp;L'!$O$2*Al_alloy_use_compnt!$B20</f>
        <v>0</v>
      </c>
      <c r="D43" s="54">
        <f>Material_compnt_GREET2!D$4*'Alloy_compnt_G&amp;L'!$O$2*Al_alloy_use_compnt!$B20</f>
        <v>0</v>
      </c>
      <c r="E43" s="54">
        <f>Material_compnt_GREET2!E$4*'Alloy_compnt_G&amp;L'!$O$2*Al_alloy_use_compnt!$B20</f>
        <v>0</v>
      </c>
      <c r="F43" s="54">
        <f>Material_compnt_GREET2!F$4*'Alloy_compnt_G&amp;L'!$O$2*Al_alloy_use_compnt!$B20</f>
        <v>0</v>
      </c>
      <c r="G43" s="54">
        <f>Material_compnt_GREET2!G$4*'Alloy_compnt_G&amp;L'!$O$2*Al_alloy_use_compnt!$B20</f>
        <v>0</v>
      </c>
      <c r="H43" s="54">
        <f>Material_compnt_GREET2!H$4*'Alloy_compnt_G&amp;L'!$O$2*Al_alloy_use_compnt!$B20</f>
        <v>0</v>
      </c>
      <c r="I43" s="143">
        <f>Material_compnt_GREET2!I$4*'Alloy_compnt_G&amp;L'!$O$2*Al_alloy_use_compnt!$B20</f>
        <v>0</v>
      </c>
    </row>
    <row r="44" spans="1:9" x14ac:dyDescent="0.2">
      <c r="A44" s="148" t="s">
        <v>279</v>
      </c>
      <c r="B44" s="54">
        <f>Material_compnt_GREET2!B$4*'Alloy_compnt_G&amp;L'!$O$2*Al_alloy_use_compnt!$B21</f>
        <v>0</v>
      </c>
      <c r="C44" s="54">
        <f>Material_compnt_GREET2!C$4*'Alloy_compnt_G&amp;L'!$O$2*Al_alloy_use_compnt!$B21</f>
        <v>0</v>
      </c>
      <c r="D44" s="54">
        <f>Material_compnt_GREET2!D$4*'Alloy_compnt_G&amp;L'!$O$2*Al_alloy_use_compnt!$B21</f>
        <v>0</v>
      </c>
      <c r="E44" s="54">
        <f>Material_compnt_GREET2!E$4*'Alloy_compnt_G&amp;L'!$O$2*Al_alloy_use_compnt!$B21</f>
        <v>0</v>
      </c>
      <c r="F44" s="54">
        <f>Material_compnt_GREET2!F$4*'Alloy_compnt_G&amp;L'!$O$2*Al_alloy_use_compnt!$B21</f>
        <v>0</v>
      </c>
      <c r="G44" s="54">
        <f>Material_compnt_GREET2!G$4*'Alloy_compnt_G&amp;L'!$O$2*Al_alloy_use_compnt!$B21</f>
        <v>0</v>
      </c>
      <c r="H44" s="54">
        <f>Material_compnt_GREET2!H$4*'Alloy_compnt_G&amp;L'!$O$2*Al_alloy_use_compnt!$B21</f>
        <v>0</v>
      </c>
      <c r="I44" s="143">
        <f>Material_compnt_GREET2!I$4*'Alloy_compnt_G&amp;L'!$O$2*Al_alloy_use_compnt!$B21</f>
        <v>0</v>
      </c>
    </row>
    <row r="45" spans="1:9" x14ac:dyDescent="0.2">
      <c r="A45" s="148" t="s">
        <v>280</v>
      </c>
      <c r="B45" s="54">
        <f>Material_compnt_GREET2!B$4*'Alloy_compnt_G&amp;L'!$O$2*Al_alloy_use_compnt!$B22</f>
        <v>0</v>
      </c>
      <c r="C45" s="54">
        <f>Material_compnt_GREET2!C$4*'Alloy_compnt_G&amp;L'!$O$2*Al_alloy_use_compnt!$B22</f>
        <v>0</v>
      </c>
      <c r="D45" s="54">
        <f>Material_compnt_GREET2!D$4*'Alloy_compnt_G&amp;L'!$O$2*Al_alloy_use_compnt!$B22</f>
        <v>0</v>
      </c>
      <c r="E45" s="54">
        <f>Material_compnt_GREET2!E$4*'Alloy_compnt_G&amp;L'!$O$2*Al_alloy_use_compnt!$B22</f>
        <v>0</v>
      </c>
      <c r="F45" s="54">
        <f>Material_compnt_GREET2!F$4*'Alloy_compnt_G&amp;L'!$O$2*Al_alloy_use_compnt!$B22</f>
        <v>0</v>
      </c>
      <c r="G45" s="54">
        <f>Material_compnt_GREET2!G$4*'Alloy_compnt_G&amp;L'!$O$2*Al_alloy_use_compnt!$B22</f>
        <v>0</v>
      </c>
      <c r="H45" s="54">
        <f>Material_compnt_GREET2!H$4*'Alloy_compnt_G&amp;L'!$O$2*Al_alloy_use_compnt!$B22</f>
        <v>0</v>
      </c>
      <c r="I45" s="143">
        <f>Material_compnt_GREET2!I$4*'Alloy_compnt_G&amp;L'!$O$2*Al_alloy_use_compnt!$B22</f>
        <v>0</v>
      </c>
    </row>
    <row r="46" spans="1:9" x14ac:dyDescent="0.2">
      <c r="A46" s="148" t="s">
        <v>281</v>
      </c>
      <c r="B46" s="54">
        <f>Material_compnt_GREET2!B$4*'Alloy_compnt_G&amp;L'!$O$2*Al_alloy_use_compnt!$B23</f>
        <v>0</v>
      </c>
      <c r="C46" s="54">
        <f>Material_compnt_GREET2!C$4*'Alloy_compnt_G&amp;L'!$O$2*Al_alloy_use_compnt!$B23</f>
        <v>0</v>
      </c>
      <c r="D46" s="54">
        <f>Material_compnt_GREET2!D$4*'Alloy_compnt_G&amp;L'!$O$2*Al_alloy_use_compnt!$B23</f>
        <v>0</v>
      </c>
      <c r="E46" s="54">
        <f>Material_compnt_GREET2!E$4*'Alloy_compnt_G&amp;L'!$O$2*Al_alloy_use_compnt!$B23</f>
        <v>0</v>
      </c>
      <c r="F46" s="54">
        <f>Material_compnt_GREET2!F$4*'Alloy_compnt_G&amp;L'!$O$2*Al_alloy_use_compnt!$B23</f>
        <v>0</v>
      </c>
      <c r="G46" s="54">
        <f>Material_compnt_GREET2!G$4*'Alloy_compnt_G&amp;L'!$O$2*Al_alloy_use_compnt!$B23</f>
        <v>0</v>
      </c>
      <c r="H46" s="54">
        <f>Material_compnt_GREET2!H$4*'Alloy_compnt_G&amp;L'!$O$2*Al_alloy_use_compnt!$B23</f>
        <v>0</v>
      </c>
      <c r="I46" s="143">
        <f>Material_compnt_GREET2!I$4*'Alloy_compnt_G&amp;L'!$O$2*Al_alloy_use_compnt!$B23</f>
        <v>0</v>
      </c>
    </row>
    <row r="47" spans="1:9" x14ac:dyDescent="0.2">
      <c r="A47" s="148" t="s">
        <v>282</v>
      </c>
      <c r="B47" s="54">
        <f>Material_compnt_GREET2!B$4*'Alloy_compnt_G&amp;L'!$O$2*Al_alloy_use_compnt!$B24</f>
        <v>0</v>
      </c>
      <c r="C47" s="54">
        <f>Material_compnt_GREET2!C$4*'Alloy_compnt_G&amp;L'!$O$2*Al_alloy_use_compnt!$B24</f>
        <v>0</v>
      </c>
      <c r="D47" s="54">
        <f>Material_compnt_GREET2!D$4*'Alloy_compnt_G&amp;L'!$O$2*Al_alloy_use_compnt!$B24</f>
        <v>0</v>
      </c>
      <c r="E47" s="54">
        <f>Material_compnt_GREET2!E$4*'Alloy_compnt_G&amp;L'!$O$2*Al_alloy_use_compnt!$B24</f>
        <v>0</v>
      </c>
      <c r="F47" s="54">
        <f>Material_compnt_GREET2!F$4*'Alloy_compnt_G&amp;L'!$O$2*Al_alloy_use_compnt!$B24</f>
        <v>0</v>
      </c>
      <c r="G47" s="54">
        <f>Material_compnt_GREET2!G$4*'Alloy_compnt_G&amp;L'!$O$2*Al_alloy_use_compnt!$B24</f>
        <v>0</v>
      </c>
      <c r="H47" s="54">
        <f>Material_compnt_GREET2!H$4*'Alloy_compnt_G&amp;L'!$O$2*Al_alloy_use_compnt!$B24</f>
        <v>0</v>
      </c>
      <c r="I47" s="143">
        <f>Material_compnt_GREET2!I$4*'Alloy_compnt_G&amp;L'!$O$2*Al_alloy_use_compnt!$B24</f>
        <v>0</v>
      </c>
    </row>
    <row r="48" spans="1:9" x14ac:dyDescent="0.2">
      <c r="A48" s="148" t="s">
        <v>283</v>
      </c>
      <c r="B48" s="54">
        <f>Material_compnt_GREET2!B$4*'Alloy_compnt_G&amp;L'!$O$2*Al_alloy_use_compnt!$B25</f>
        <v>0</v>
      </c>
      <c r="C48" s="54">
        <f>Material_compnt_GREET2!C$4*'Alloy_compnt_G&amp;L'!$O$2*Al_alloy_use_compnt!$B25</f>
        <v>0</v>
      </c>
      <c r="D48" s="54">
        <f>Material_compnt_GREET2!D$4*'Alloy_compnt_G&amp;L'!$O$2*Al_alloy_use_compnt!$B25</f>
        <v>0</v>
      </c>
      <c r="E48" s="54">
        <f>Material_compnt_GREET2!E$4*'Alloy_compnt_G&amp;L'!$O$2*Al_alloy_use_compnt!$B25</f>
        <v>0</v>
      </c>
      <c r="F48" s="54">
        <f>Material_compnt_GREET2!F$4*'Alloy_compnt_G&amp;L'!$O$2*Al_alloy_use_compnt!$B25</f>
        <v>0</v>
      </c>
      <c r="G48" s="54">
        <f>Material_compnt_GREET2!G$4*'Alloy_compnt_G&amp;L'!$O$2*Al_alloy_use_compnt!$B25</f>
        <v>0</v>
      </c>
      <c r="H48" s="54">
        <f>Material_compnt_GREET2!H$4*'Alloy_compnt_G&amp;L'!$O$2*Al_alloy_use_compnt!$B25</f>
        <v>0</v>
      </c>
      <c r="I48" s="143">
        <f>Material_compnt_GREET2!I$4*'Alloy_compnt_G&amp;L'!$O$2*Al_alloy_use_compnt!$B25</f>
        <v>0</v>
      </c>
    </row>
    <row r="49" spans="1:9" x14ac:dyDescent="0.2">
      <c r="A49" s="148" t="s">
        <v>284</v>
      </c>
      <c r="B49" s="54">
        <f>Material_compnt_GREET2!B$4*'Alloy_compnt_G&amp;L'!$O$2*Al_alloy_use_compnt!$B26</f>
        <v>0</v>
      </c>
      <c r="C49" s="54">
        <f>Material_compnt_GREET2!C$4*'Alloy_compnt_G&amp;L'!$O$2*Al_alloy_use_compnt!$B26</f>
        <v>0</v>
      </c>
      <c r="D49" s="54">
        <f>Material_compnt_GREET2!D$4*'Alloy_compnt_G&amp;L'!$O$2*Al_alloy_use_compnt!$B26</f>
        <v>0</v>
      </c>
      <c r="E49" s="54">
        <f>Material_compnt_GREET2!E$4*'Alloy_compnt_G&amp;L'!$O$2*Al_alloy_use_compnt!$B26</f>
        <v>0</v>
      </c>
      <c r="F49" s="54">
        <f>Material_compnt_GREET2!F$4*'Alloy_compnt_G&amp;L'!$O$2*Al_alloy_use_compnt!$B26</f>
        <v>0</v>
      </c>
      <c r="G49" s="54">
        <f>Material_compnt_GREET2!G$4*'Alloy_compnt_G&amp;L'!$O$2*Al_alloy_use_compnt!$B26</f>
        <v>0</v>
      </c>
      <c r="H49" s="54">
        <f>Material_compnt_GREET2!H$4*'Alloy_compnt_G&amp;L'!$O$2*Al_alloy_use_compnt!$B26</f>
        <v>0</v>
      </c>
      <c r="I49" s="143">
        <f>Material_compnt_GREET2!I$4*'Alloy_compnt_G&amp;L'!$O$2*Al_alloy_use_compnt!$B26</f>
        <v>0</v>
      </c>
    </row>
    <row r="50" spans="1:9" x14ac:dyDescent="0.2">
      <c r="A50" s="148" t="s">
        <v>285</v>
      </c>
      <c r="B50" s="54">
        <f>Material_compnt_GREET2!B$4*'Alloy_compnt_G&amp;L'!$O$2*Al_alloy_use_compnt!$B27</f>
        <v>0</v>
      </c>
      <c r="C50" s="54">
        <f>Material_compnt_GREET2!C$4*'Alloy_compnt_G&amp;L'!$O$2*Al_alloy_use_compnt!$B27</f>
        <v>0</v>
      </c>
      <c r="D50" s="54">
        <f>Material_compnt_GREET2!D$4*'Alloy_compnt_G&amp;L'!$O$2*Al_alloy_use_compnt!$B27</f>
        <v>0</v>
      </c>
      <c r="E50" s="54">
        <f>Material_compnt_GREET2!E$4*'Alloy_compnt_G&amp;L'!$O$2*Al_alloy_use_compnt!$B27</f>
        <v>0</v>
      </c>
      <c r="F50" s="54">
        <f>Material_compnt_GREET2!F$4*'Alloy_compnt_G&amp;L'!$O$2*Al_alloy_use_compnt!$B27</f>
        <v>0</v>
      </c>
      <c r="G50" s="54">
        <f>Material_compnt_GREET2!G$4*'Alloy_compnt_G&amp;L'!$O$2*Al_alloy_use_compnt!$B27</f>
        <v>0</v>
      </c>
      <c r="H50" s="54">
        <f>Material_compnt_GREET2!H$4*'Alloy_compnt_G&amp;L'!$O$2*Al_alloy_use_compnt!$B27</f>
        <v>0</v>
      </c>
      <c r="I50" s="143">
        <f>Material_compnt_GREET2!I$4*'Alloy_compnt_G&amp;L'!$O$2*Al_alloy_use_compnt!$B27</f>
        <v>0</v>
      </c>
    </row>
    <row r="51" spans="1:9" x14ac:dyDescent="0.2">
      <c r="A51" s="147" t="s">
        <v>286</v>
      </c>
      <c r="B51" s="54">
        <f>Material_compnt_GREET2!B$4*'Alloy_compnt_G&amp;L'!$O$2*Al_alloy_use_compnt!$B28</f>
        <v>3.89277037590151</v>
      </c>
      <c r="C51" s="54">
        <f>Material_compnt_GREET2!C$4*'Alloy_compnt_G&amp;L'!$O$2*Al_alloy_use_compnt!$B28</f>
        <v>228.83703795906672</v>
      </c>
      <c r="D51" s="54">
        <f>Material_compnt_GREET2!D$4*'Alloy_compnt_G&amp;L'!$O$2*Al_alloy_use_compnt!$B28</f>
        <v>3.6112450043057613</v>
      </c>
      <c r="E51" s="54">
        <f>Material_compnt_GREET2!E$4*'Alloy_compnt_G&amp;L'!$O$2*Al_alloy_use_compnt!$B28</f>
        <v>213.40268661369643</v>
      </c>
      <c r="F51" s="54">
        <f>Material_compnt_GREET2!F$4*'Alloy_compnt_G&amp;L'!$O$2*Al_alloy_use_compnt!$B28</f>
        <v>3.7132081612622212</v>
      </c>
      <c r="G51" s="54">
        <f>Material_compnt_GREET2!G$4*'Alloy_compnt_G&amp;L'!$O$2*Al_alloy_use_compnt!$B28</f>
        <v>218.12441862999259</v>
      </c>
      <c r="H51" s="54">
        <f>Material_compnt_GREET2!H$4*'Alloy_compnt_G&amp;L'!$O$2*Al_alloy_use_compnt!$B28</f>
        <v>0</v>
      </c>
      <c r="I51" s="143">
        <f>Material_compnt_GREET2!I$4*'Alloy_compnt_G&amp;L'!$O$2*Al_alloy_use_compnt!$B28</f>
        <v>0</v>
      </c>
    </row>
    <row r="52" spans="1:9" x14ac:dyDescent="0.2">
      <c r="A52" s="142" t="s">
        <v>287</v>
      </c>
      <c r="B52" s="54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140">
        <v>0</v>
      </c>
      <c r="I52" s="141">
        <v>0</v>
      </c>
    </row>
    <row r="53" spans="1:9" x14ac:dyDescent="0.2">
      <c r="A53" s="142" t="s">
        <v>288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140">
        <v>0</v>
      </c>
      <c r="I53" s="141">
        <v>0</v>
      </c>
    </row>
    <row r="54" spans="1:9" x14ac:dyDescent="0.2">
      <c r="A54" s="142" t="s">
        <v>289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140">
        <v>0</v>
      </c>
      <c r="I54" s="141">
        <v>0</v>
      </c>
    </row>
    <row r="55" spans="1:9" x14ac:dyDescent="0.2">
      <c r="A55" s="142" t="s">
        <v>290</v>
      </c>
      <c r="B55" s="54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140">
        <v>0</v>
      </c>
      <c r="I55" s="141">
        <v>0</v>
      </c>
    </row>
    <row r="56" spans="1:9" x14ac:dyDescent="0.2">
      <c r="A56" s="142" t="s">
        <v>291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140">
        <v>0</v>
      </c>
      <c r="I56" s="141">
        <v>0</v>
      </c>
    </row>
    <row r="57" spans="1:9" x14ac:dyDescent="0.2">
      <c r="A57" s="142" t="s">
        <v>292</v>
      </c>
      <c r="B57" s="54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140">
        <v>0</v>
      </c>
      <c r="I57" s="141">
        <v>0</v>
      </c>
    </row>
    <row r="58" spans="1:9" x14ac:dyDescent="0.2">
      <c r="A58" s="142" t="s">
        <v>293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140">
        <v>0</v>
      </c>
      <c r="I58" s="141">
        <v>0</v>
      </c>
    </row>
    <row r="59" spans="1:9" x14ac:dyDescent="0.2">
      <c r="A59" s="142" t="s">
        <v>294</v>
      </c>
      <c r="B59" s="54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140">
        <v>0</v>
      </c>
      <c r="I59" s="141">
        <v>0</v>
      </c>
    </row>
    <row r="60" spans="1:9" x14ac:dyDescent="0.2">
      <c r="A60" s="144" t="s">
        <v>295</v>
      </c>
      <c r="B60" s="54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140">
        <v>0</v>
      </c>
      <c r="I60" s="141">
        <v>0</v>
      </c>
    </row>
    <row r="61" spans="1:9" x14ac:dyDescent="0.2">
      <c r="A61" s="142" t="s">
        <v>206</v>
      </c>
      <c r="B61" s="54">
        <f>Material_compnt_GREET2!B$8*'Alloy_compnt_G&amp;L'!$T$2</f>
        <v>0.25568278331044403</v>
      </c>
      <c r="C61" s="54">
        <f>Material_compnt_GREET2!C$8*'Alloy_compnt_G&amp;L'!$T$2</f>
        <v>4.4388435010633494</v>
      </c>
      <c r="D61" s="54">
        <f>Material_compnt_GREET2!D$8*'Alloy_compnt_G&amp;L'!$T$2</f>
        <v>0.23719179010218464</v>
      </c>
      <c r="E61" s="54">
        <f>Material_compnt_GREET2!E$8*'Alloy_compnt_G&amp;L'!$T$2</f>
        <v>4.0484505556792962</v>
      </c>
      <c r="F61" s="54">
        <f>Material_compnt_GREET2!F$8*'Alloy_compnt_G&amp;L'!$T$2</f>
        <v>0.24388887758700961</v>
      </c>
      <c r="G61" s="54">
        <f>Material_compnt_GREET2!G$8*'Alloy_compnt_G&amp;L'!$T$2</f>
        <v>4.0254286650118658</v>
      </c>
      <c r="H61" s="54">
        <f>Material_compnt_GREET2!H$8*'Alloy_compnt_G&amp;L'!$T$2</f>
        <v>0</v>
      </c>
      <c r="I61" s="143">
        <f>Material_compnt_GREET2!I$8*'Alloy_compnt_G&amp;L'!$T$2</f>
        <v>0</v>
      </c>
    </row>
    <row r="62" spans="1:9" ht="17" thickBot="1" x14ac:dyDescent="0.25">
      <c r="A62" s="149" t="s">
        <v>208</v>
      </c>
      <c r="B62" s="54">
        <f>Material_compnt_GREET2!B$8*'Alloy_compnt_G&amp;L'!$U$2</f>
        <v>0</v>
      </c>
      <c r="C62" s="54">
        <f>Material_compnt_GREET2!C$8*'Alloy_compnt_G&amp;L'!$U$2</f>
        <v>0</v>
      </c>
      <c r="D62" s="54">
        <f>Material_compnt_GREET2!D$8*'Alloy_compnt_G&amp;L'!$U$2</f>
        <v>0</v>
      </c>
      <c r="E62" s="54">
        <f>Material_compnt_GREET2!E$8*'Alloy_compnt_G&amp;L'!$U$2</f>
        <v>0</v>
      </c>
      <c r="F62" s="54">
        <f>Material_compnt_GREET2!F$8*'Alloy_compnt_G&amp;L'!$U$2</f>
        <v>0</v>
      </c>
      <c r="G62" s="54">
        <f>Material_compnt_GREET2!G$8*'Alloy_compnt_G&amp;L'!$U$2</f>
        <v>0</v>
      </c>
      <c r="H62" s="54">
        <f>Material_compnt_GREET2!H$8*'Alloy_compnt_G&amp;L'!$U$2</f>
        <v>0</v>
      </c>
      <c r="I62" s="143">
        <f>Material_compnt_GREET2!I$8*'Alloy_compnt_G&amp;L'!$U$2</f>
        <v>0</v>
      </c>
    </row>
    <row r="63" spans="1:9" ht="17" thickTop="1" x14ac:dyDescent="0.2">
      <c r="A63" s="150" t="s">
        <v>164</v>
      </c>
      <c r="B63" s="54"/>
      <c r="C63" s="54"/>
      <c r="D63" s="54"/>
      <c r="E63" s="54"/>
      <c r="F63" s="54"/>
      <c r="G63" s="54"/>
      <c r="H63" s="140"/>
      <c r="I63" s="141"/>
    </row>
    <row r="64" spans="1:9" x14ac:dyDescent="0.2">
      <c r="A64" s="142" t="s">
        <v>105</v>
      </c>
      <c r="B64" s="54">
        <f>Material_compnt_GREET2!B$16*'Alloy_compnt_G&amp;L'!$I$2</f>
        <v>28.519738428973596</v>
      </c>
      <c r="C64" s="54">
        <f>Material_compnt_GREET2!C$16*'Alloy_compnt_G&amp;L'!$I$2</f>
        <v>38.65537900758185</v>
      </c>
      <c r="D64" s="54">
        <f>Material_compnt_GREET2!D$16*'Alloy_compnt_G&amp;L'!$I$2</f>
        <v>39.267174261490851</v>
      </c>
      <c r="E64" s="54">
        <f>Material_compnt_GREET2!E$16*'Alloy_compnt_G&amp;L'!$I$2</f>
        <v>42.738625468431415</v>
      </c>
      <c r="F64" s="54">
        <f>Material_compnt_GREET2!F$16*'Alloy_compnt_G&amp;L'!$I$2</f>
        <v>6.4921069493102088</v>
      </c>
      <c r="G64" s="54">
        <f>Material_compnt_GREET2!G$16*'Alloy_compnt_G&amp;L'!$I$2</f>
        <v>0</v>
      </c>
      <c r="H64" s="54">
        <f>Material_compnt_GREET2!H$16*'Alloy_compnt_G&amp;L'!$I$2</f>
        <v>0</v>
      </c>
      <c r="I64" s="143">
        <f>Material_compnt_GREET2!I$16*'Alloy_compnt_G&amp;L'!$I$2</f>
        <v>0</v>
      </c>
    </row>
    <row r="65" spans="1:9" x14ac:dyDescent="0.2">
      <c r="A65" s="142" t="s">
        <v>106</v>
      </c>
      <c r="B65" s="54">
        <f>Material_compnt_GREET2!B$16*'Alloy_compnt_G&amp;L'!$J$2</f>
        <v>25.816445686890791</v>
      </c>
      <c r="C65" s="54">
        <f>Material_compnt_GREET2!C$16*'Alloy_compnt_G&amp;L'!$J$2</f>
        <v>34.991362040038545</v>
      </c>
      <c r="D65" s="54">
        <f>Material_compnt_GREET2!D$16*'Alloy_compnt_G&amp;L'!$J$2</f>
        <v>35.545167222486981</v>
      </c>
      <c r="E65" s="54">
        <f>Material_compnt_GREET2!E$16*'Alloy_compnt_G&amp;L'!$J$2</f>
        <v>38.687570921660665</v>
      </c>
      <c r="F65" s="54">
        <f>Material_compnt_GREET2!F$16*'Alloy_compnt_G&amp;L'!$J$2</f>
        <v>5.8767413616978672</v>
      </c>
      <c r="G65" s="54">
        <f>Material_compnt_GREET2!G$16*'Alloy_compnt_G&amp;L'!$J$2</f>
        <v>0</v>
      </c>
      <c r="H65" s="54">
        <f>Material_compnt_GREET2!H$16*'Alloy_compnt_G&amp;L'!$J$2</f>
        <v>0</v>
      </c>
      <c r="I65" s="143">
        <f>Material_compnt_GREET2!I$16*'Alloy_compnt_G&amp;L'!$J$2</f>
        <v>0</v>
      </c>
    </row>
    <row r="66" spans="1:9" x14ac:dyDescent="0.2">
      <c r="A66" s="142" t="s">
        <v>107</v>
      </c>
      <c r="B66" s="54">
        <f>Material_compnt_GREET2!B$16*'Alloy_compnt_G&amp;L'!$K$2</f>
        <v>80.828452988275899</v>
      </c>
      <c r="C66" s="54">
        <f>Material_compnt_GREET2!C$16*'Alloy_compnt_G&amp;L'!$K$2</f>
        <v>109.55410732954478</v>
      </c>
      <c r="D66" s="54">
        <f>Material_compnt_GREET2!D$16*'Alloy_compnt_G&amp;L'!$K$2</f>
        <v>111.28801046621579</v>
      </c>
      <c r="E66" s="54">
        <f>Material_compnt_GREET2!E$16*'Alloy_compnt_G&amp;L'!$K$2</f>
        <v>121.12653094844545</v>
      </c>
      <c r="F66" s="54">
        <f>Material_compnt_GREET2!F$16*'Alloy_compnt_G&amp;L'!$K$2</f>
        <v>18.399431069609033</v>
      </c>
      <c r="G66" s="54">
        <f>Material_compnt_GREET2!G$16*'Alloy_compnt_G&amp;L'!$K$2</f>
        <v>0</v>
      </c>
      <c r="H66" s="54">
        <f>Material_compnt_GREET2!H$16*'Alloy_compnt_G&amp;L'!$K$2</f>
        <v>0</v>
      </c>
      <c r="I66" s="143">
        <f>Material_compnt_GREET2!I$16*'Alloy_compnt_G&amp;L'!$K$2</f>
        <v>0</v>
      </c>
    </row>
    <row r="67" spans="1:9" x14ac:dyDescent="0.2">
      <c r="A67" s="142" t="s">
        <v>91</v>
      </c>
      <c r="B67" s="54">
        <f>Material_compnt_GREET2!B17</f>
        <v>0</v>
      </c>
      <c r="C67" s="54">
        <f>Material_compnt_GREET2!C17</f>
        <v>12.035092229156835</v>
      </c>
      <c r="D67" s="54">
        <f>Material_compnt_GREET2!D17</f>
        <v>0</v>
      </c>
      <c r="E67" s="54">
        <f>Material_compnt_GREET2!E17</f>
        <v>10.010843196303336</v>
      </c>
      <c r="F67" s="54">
        <f>Material_compnt_GREET2!F17</f>
        <v>0</v>
      </c>
      <c r="G67" s="54">
        <f>Material_compnt_GREET2!G17</f>
        <v>0</v>
      </c>
      <c r="H67" s="54">
        <f>Material_compnt_GREET2!H17</f>
        <v>0</v>
      </c>
      <c r="I67" s="143">
        <f>Material_compnt_GREET2!I17</f>
        <v>0</v>
      </c>
    </row>
    <row r="68" spans="1:9" x14ac:dyDescent="0.2">
      <c r="A68" s="142" t="s">
        <v>204</v>
      </c>
      <c r="B68" s="54">
        <f>Material_compnt_GREET2!B$18*$S$2</f>
        <v>83.186134886117699</v>
      </c>
      <c r="C68" s="54">
        <f>Material_compnt_GREET2!C$18*$S$2</f>
        <v>15.060580692319871</v>
      </c>
      <c r="D68" s="54">
        <f>Material_compnt_GREET2!D$18*$S$2</f>
        <v>71.845115952086687</v>
      </c>
      <c r="E68" s="54">
        <f>Material_compnt_GREET2!E$18*$S$2</f>
        <v>12.480184518058159</v>
      </c>
      <c r="F68" s="54">
        <f>Material_compnt_GREET2!F$18*$S$2</f>
        <v>0</v>
      </c>
      <c r="G68" s="54">
        <f>Material_compnt_GREET2!G$18*$S$2</f>
        <v>0</v>
      </c>
      <c r="H68" s="54">
        <f>Material_compnt_GREET2!H$18*$S$2</f>
        <v>0</v>
      </c>
      <c r="I68" s="143">
        <f>Material_compnt_GREET2!I$18*$S$2</f>
        <v>0</v>
      </c>
    </row>
    <row r="69" spans="1:9" x14ac:dyDescent="0.2">
      <c r="A69" s="144" t="s">
        <v>104</v>
      </c>
      <c r="B69" s="54">
        <f>Material_compnt_GREET2!B$18*'Alloy_compnt_G&amp;L'!$R$2</f>
        <v>14.679906156373715</v>
      </c>
      <c r="C69" s="54">
        <f>Material_compnt_GREET2!C$18*'Alloy_compnt_G&amp;L'!$R$2</f>
        <v>2.6577495339388011</v>
      </c>
      <c r="D69" s="54">
        <f>Material_compnt_GREET2!D$18*'Alloy_compnt_G&amp;L'!$R$2</f>
        <v>12.678549873897653</v>
      </c>
      <c r="E69" s="54">
        <f>Material_compnt_GREET2!E$18*'Alloy_compnt_G&amp;L'!$R$2</f>
        <v>2.2023855031867345</v>
      </c>
      <c r="F69" s="54">
        <f>Material_compnt_GREET2!F$18*'Alloy_compnt_G&amp;L'!$R$2</f>
        <v>0</v>
      </c>
      <c r="G69" s="54">
        <f>Material_compnt_GREET2!G$18*'Alloy_compnt_G&amp;L'!$R$2</f>
        <v>0</v>
      </c>
      <c r="H69" s="54">
        <f>Material_compnt_GREET2!H$18*'Alloy_compnt_G&amp;L'!$R$2</f>
        <v>0</v>
      </c>
      <c r="I69" s="143">
        <f>Material_compnt_GREET2!I$18*'Alloy_compnt_G&amp;L'!$R$2</f>
        <v>0</v>
      </c>
    </row>
    <row r="70" spans="1:9" x14ac:dyDescent="0.2">
      <c r="A70" s="145" t="s">
        <v>244</v>
      </c>
      <c r="B70" s="54">
        <f>Material_compnt_GREET2!B$19*'Alloy_compnt_G&amp;L'!$M$2*Al_alloy_use_compnt!$C3</f>
        <v>0</v>
      </c>
      <c r="C70" s="54">
        <f>Material_compnt_GREET2!C$19*'Alloy_compnt_G&amp;L'!$M$2*Al_alloy_use_compnt!$C3</f>
        <v>0</v>
      </c>
      <c r="D70" s="54">
        <f>Material_compnt_GREET2!D$19*'Alloy_compnt_G&amp;L'!$M$2*Al_alloy_use_compnt!$C3</f>
        <v>0</v>
      </c>
      <c r="E70" s="54">
        <f>Material_compnt_GREET2!E$19*'Alloy_compnt_G&amp;L'!$M$2*Al_alloy_use_compnt!$C3</f>
        <v>0</v>
      </c>
      <c r="F70" s="54">
        <f>Material_compnt_GREET2!F$19*'Alloy_compnt_G&amp;L'!$M$2*Al_alloy_use_compnt!$C3</f>
        <v>0</v>
      </c>
      <c r="G70" s="54">
        <f>Material_compnt_GREET2!G$19*'Alloy_compnt_G&amp;L'!$M$2*Al_alloy_use_compnt!$C3</f>
        <v>0</v>
      </c>
      <c r="H70" s="54">
        <f>Material_compnt_GREET2!H$19*'Alloy_compnt_G&amp;L'!$M$2*Al_alloy_use_compnt!$C3</f>
        <v>0</v>
      </c>
      <c r="I70" s="143">
        <f>Material_compnt_GREET2!I$19*'Alloy_compnt_G&amp;L'!$M$2*Al_alloy_use_compnt!$C3</f>
        <v>0</v>
      </c>
    </row>
    <row r="71" spans="1:9" x14ac:dyDescent="0.2">
      <c r="A71" s="145" t="s">
        <v>245</v>
      </c>
      <c r="B71" s="54">
        <f>Material_compnt_GREET2!B$19*'Alloy_compnt_G&amp;L'!$M$2*Al_alloy_use_compnt!$C4</f>
        <v>0</v>
      </c>
      <c r="C71" s="54">
        <f>Material_compnt_GREET2!C$19*'Alloy_compnt_G&amp;L'!$M$2*Al_alloy_use_compnt!$C4</f>
        <v>0</v>
      </c>
      <c r="D71" s="54">
        <f>Material_compnt_GREET2!D$19*'Alloy_compnt_G&amp;L'!$M$2*Al_alloy_use_compnt!$C4</f>
        <v>0</v>
      </c>
      <c r="E71" s="54">
        <f>Material_compnt_GREET2!E$19*'Alloy_compnt_G&amp;L'!$M$2*Al_alloy_use_compnt!$C4</f>
        <v>0</v>
      </c>
      <c r="F71" s="54">
        <f>Material_compnt_GREET2!F$19*'Alloy_compnt_G&amp;L'!$M$2*Al_alloy_use_compnt!$C4</f>
        <v>0</v>
      </c>
      <c r="G71" s="54">
        <f>Material_compnt_GREET2!G$19*'Alloy_compnt_G&amp;L'!$M$2*Al_alloy_use_compnt!$C4</f>
        <v>0</v>
      </c>
      <c r="H71" s="54">
        <f>Material_compnt_GREET2!H$19*'Alloy_compnt_G&amp;L'!$M$2*Al_alloy_use_compnt!$C4</f>
        <v>0</v>
      </c>
      <c r="I71" s="143">
        <f>Material_compnt_GREET2!I$19*'Alloy_compnt_G&amp;L'!$M$2*Al_alloy_use_compnt!$C4</f>
        <v>0</v>
      </c>
    </row>
    <row r="72" spans="1:9" x14ac:dyDescent="0.2">
      <c r="A72" s="145" t="s">
        <v>246</v>
      </c>
      <c r="B72" s="54">
        <f>Material_compnt_GREET2!B$19*'Alloy_compnt_G&amp;L'!$M$2*Al_alloy_use_compnt!$C5</f>
        <v>0</v>
      </c>
      <c r="C72" s="54">
        <f>Material_compnt_GREET2!C$19*'Alloy_compnt_G&amp;L'!$M$2*Al_alloy_use_compnt!$C5</f>
        <v>0</v>
      </c>
      <c r="D72" s="54">
        <f>Material_compnt_GREET2!D$19*'Alloy_compnt_G&amp;L'!$M$2*Al_alloy_use_compnt!$C5</f>
        <v>0</v>
      </c>
      <c r="E72" s="54">
        <f>Material_compnt_GREET2!E$19*'Alloy_compnt_G&amp;L'!$M$2*Al_alloy_use_compnt!$C5</f>
        <v>0</v>
      </c>
      <c r="F72" s="54">
        <f>Material_compnt_GREET2!F$19*'Alloy_compnt_G&amp;L'!$M$2*Al_alloy_use_compnt!$C5</f>
        <v>0</v>
      </c>
      <c r="G72" s="54">
        <f>Material_compnt_GREET2!G$19*'Alloy_compnt_G&amp;L'!$M$2*Al_alloy_use_compnt!$C5</f>
        <v>0</v>
      </c>
      <c r="H72" s="54">
        <f>Material_compnt_GREET2!H$19*'Alloy_compnt_G&amp;L'!$M$2*Al_alloy_use_compnt!$C5</f>
        <v>0</v>
      </c>
      <c r="I72" s="143">
        <f>Material_compnt_GREET2!I$19*'Alloy_compnt_G&amp;L'!$M$2*Al_alloy_use_compnt!$C5</f>
        <v>0</v>
      </c>
    </row>
    <row r="73" spans="1:9" x14ac:dyDescent="0.2">
      <c r="A73" s="145" t="s">
        <v>247</v>
      </c>
      <c r="B73" s="54">
        <f>Material_compnt_GREET2!B$19*'Alloy_compnt_G&amp;L'!$M$2*Al_alloy_use_compnt!$C6</f>
        <v>0</v>
      </c>
      <c r="C73" s="54">
        <f>Material_compnt_GREET2!C$19*'Alloy_compnt_G&amp;L'!$M$2*Al_alloy_use_compnt!$C6</f>
        <v>0</v>
      </c>
      <c r="D73" s="54">
        <f>Material_compnt_GREET2!D$19*'Alloy_compnt_G&amp;L'!$M$2*Al_alloy_use_compnt!$C6</f>
        <v>0</v>
      </c>
      <c r="E73" s="54">
        <f>Material_compnt_GREET2!E$19*'Alloy_compnt_G&amp;L'!$M$2*Al_alloy_use_compnt!$C6</f>
        <v>0</v>
      </c>
      <c r="F73" s="54">
        <f>Material_compnt_GREET2!F$19*'Alloy_compnt_G&amp;L'!$M$2*Al_alloy_use_compnt!$C6</f>
        <v>0</v>
      </c>
      <c r="G73" s="54">
        <f>Material_compnt_GREET2!G$19*'Alloy_compnt_G&amp;L'!$M$2*Al_alloy_use_compnt!$C6</f>
        <v>0</v>
      </c>
      <c r="H73" s="54">
        <f>Material_compnt_GREET2!H$19*'Alloy_compnt_G&amp;L'!$M$2*Al_alloy_use_compnt!$C6</f>
        <v>0</v>
      </c>
      <c r="I73" s="143">
        <f>Material_compnt_GREET2!I$19*'Alloy_compnt_G&amp;L'!$M$2*Al_alloy_use_compnt!$C6</f>
        <v>0</v>
      </c>
    </row>
    <row r="74" spans="1:9" x14ac:dyDescent="0.2">
      <c r="A74" s="145" t="s">
        <v>248</v>
      </c>
      <c r="B74" s="54">
        <f>Material_compnt_GREET2!B$19*'Alloy_compnt_G&amp;L'!$M$2*Al_alloy_use_compnt!$C7</f>
        <v>0</v>
      </c>
      <c r="C74" s="54">
        <f>Material_compnt_GREET2!C$19*'Alloy_compnt_G&amp;L'!$M$2*Al_alloy_use_compnt!$C7</f>
        <v>0</v>
      </c>
      <c r="D74" s="54">
        <f>Material_compnt_GREET2!D$19*'Alloy_compnt_G&amp;L'!$M$2*Al_alloy_use_compnt!$C7</f>
        <v>0</v>
      </c>
      <c r="E74" s="54">
        <f>Material_compnt_GREET2!E$19*'Alloy_compnt_G&amp;L'!$M$2*Al_alloy_use_compnt!$C7</f>
        <v>0</v>
      </c>
      <c r="F74" s="54">
        <f>Material_compnt_GREET2!F$19*'Alloy_compnt_G&amp;L'!$M$2*Al_alloy_use_compnt!$C7</f>
        <v>0</v>
      </c>
      <c r="G74" s="54">
        <f>Material_compnt_GREET2!G$19*'Alloy_compnt_G&amp;L'!$M$2*Al_alloy_use_compnt!$C7</f>
        <v>0</v>
      </c>
      <c r="H74" s="54">
        <f>Material_compnt_GREET2!H$19*'Alloy_compnt_G&amp;L'!$M$2*Al_alloy_use_compnt!$C7</f>
        <v>0</v>
      </c>
      <c r="I74" s="143">
        <f>Material_compnt_GREET2!I$19*'Alloy_compnt_G&amp;L'!$M$2*Al_alloy_use_compnt!$C7</f>
        <v>0</v>
      </c>
    </row>
    <row r="75" spans="1:9" x14ac:dyDescent="0.2">
      <c r="A75" s="145" t="s">
        <v>249</v>
      </c>
      <c r="B75" s="54">
        <f>Material_compnt_GREET2!B$19*'Alloy_compnt_G&amp;L'!$M$2*Al_alloy_use_compnt!$C8</f>
        <v>0</v>
      </c>
      <c r="C75" s="54">
        <f>Material_compnt_GREET2!C$19*'Alloy_compnt_G&amp;L'!$M$2*Al_alloy_use_compnt!$C8</f>
        <v>0</v>
      </c>
      <c r="D75" s="54">
        <f>Material_compnt_GREET2!D$19*'Alloy_compnt_G&amp;L'!$M$2*Al_alloy_use_compnt!$C8</f>
        <v>0</v>
      </c>
      <c r="E75" s="54">
        <f>Material_compnt_GREET2!E$19*'Alloy_compnt_G&amp;L'!$M$2*Al_alloy_use_compnt!$C8</f>
        <v>0</v>
      </c>
      <c r="F75" s="54">
        <f>Material_compnt_GREET2!F$19*'Alloy_compnt_G&amp;L'!$M$2*Al_alloy_use_compnt!$C8</f>
        <v>0</v>
      </c>
      <c r="G75" s="54">
        <f>Material_compnt_GREET2!G$19*'Alloy_compnt_G&amp;L'!$M$2*Al_alloy_use_compnt!$C8</f>
        <v>0</v>
      </c>
      <c r="H75" s="54">
        <f>Material_compnt_GREET2!H$19*'Alloy_compnt_G&amp;L'!$M$2*Al_alloy_use_compnt!$C8</f>
        <v>0</v>
      </c>
      <c r="I75" s="143">
        <f>Material_compnt_GREET2!I$19*'Alloy_compnt_G&amp;L'!$M$2*Al_alloy_use_compnt!$C8</f>
        <v>0</v>
      </c>
    </row>
    <row r="76" spans="1:9" x14ac:dyDescent="0.2">
      <c r="A76" s="145" t="s">
        <v>250</v>
      </c>
      <c r="B76" s="54">
        <f>Material_compnt_GREET2!B$19*'Alloy_compnt_G&amp;L'!$M$2*Al_alloy_use_compnt!$C9</f>
        <v>0</v>
      </c>
      <c r="C76" s="54">
        <f>Material_compnt_GREET2!C$19*'Alloy_compnt_G&amp;L'!$M$2*Al_alloy_use_compnt!$C9</f>
        <v>0</v>
      </c>
      <c r="D76" s="54">
        <f>Material_compnt_GREET2!D$19*'Alloy_compnt_G&amp;L'!$M$2*Al_alloy_use_compnt!$C9</f>
        <v>0</v>
      </c>
      <c r="E76" s="54">
        <f>Material_compnt_GREET2!E$19*'Alloy_compnt_G&amp;L'!$M$2*Al_alloy_use_compnt!$C9</f>
        <v>0</v>
      </c>
      <c r="F76" s="54">
        <f>Material_compnt_GREET2!F$19*'Alloy_compnt_G&amp;L'!$M$2*Al_alloy_use_compnt!$C9</f>
        <v>0</v>
      </c>
      <c r="G76" s="54">
        <f>Material_compnt_GREET2!G$19*'Alloy_compnt_G&amp;L'!$M$2*Al_alloy_use_compnt!$C9</f>
        <v>0</v>
      </c>
      <c r="H76" s="54">
        <f>Material_compnt_GREET2!H$19*'Alloy_compnt_G&amp;L'!$M$2*Al_alloy_use_compnt!$C9</f>
        <v>0</v>
      </c>
      <c r="I76" s="143">
        <f>Material_compnt_GREET2!I$19*'Alloy_compnt_G&amp;L'!$M$2*Al_alloy_use_compnt!$C9</f>
        <v>0</v>
      </c>
    </row>
    <row r="77" spans="1:9" x14ac:dyDescent="0.2">
      <c r="A77" s="145" t="s">
        <v>251</v>
      </c>
      <c r="B77" s="54">
        <f>Material_compnt_GREET2!B$19*'Alloy_compnt_G&amp;L'!$M$2*Al_alloy_use_compnt!$C10</f>
        <v>0</v>
      </c>
      <c r="C77" s="54">
        <f>Material_compnt_GREET2!C$19*'Alloy_compnt_G&amp;L'!$M$2*Al_alloy_use_compnt!$C10</f>
        <v>0</v>
      </c>
      <c r="D77" s="54">
        <f>Material_compnt_GREET2!D$19*'Alloy_compnt_G&amp;L'!$M$2*Al_alloy_use_compnt!$C10</f>
        <v>0</v>
      </c>
      <c r="E77" s="54">
        <f>Material_compnt_GREET2!E$19*'Alloy_compnt_G&amp;L'!$M$2*Al_alloy_use_compnt!$C10</f>
        <v>0</v>
      </c>
      <c r="F77" s="54">
        <f>Material_compnt_GREET2!F$19*'Alloy_compnt_G&amp;L'!$M$2*Al_alloy_use_compnt!$C10</f>
        <v>0</v>
      </c>
      <c r="G77" s="54">
        <f>Material_compnt_GREET2!G$19*'Alloy_compnt_G&amp;L'!$M$2*Al_alloy_use_compnt!$C10</f>
        <v>0</v>
      </c>
      <c r="H77" s="54">
        <f>Material_compnt_GREET2!H$19*'Alloy_compnt_G&amp;L'!$M$2*Al_alloy_use_compnt!$C10</f>
        <v>0</v>
      </c>
      <c r="I77" s="143">
        <f>Material_compnt_GREET2!I$19*'Alloy_compnt_G&amp;L'!$M$2*Al_alloy_use_compnt!$C10</f>
        <v>0</v>
      </c>
    </row>
    <row r="78" spans="1:9" x14ac:dyDescent="0.2">
      <c r="A78" s="145" t="s">
        <v>252</v>
      </c>
      <c r="B78" s="54">
        <f>Material_compnt_GREET2!B$19*'Alloy_compnt_G&amp;L'!$M$2*Al_alloy_use_compnt!$C11</f>
        <v>0</v>
      </c>
      <c r="C78" s="54">
        <f>Material_compnt_GREET2!C$19*'Alloy_compnt_G&amp;L'!$M$2*Al_alloy_use_compnt!$C11</f>
        <v>0</v>
      </c>
      <c r="D78" s="54">
        <f>Material_compnt_GREET2!D$19*'Alloy_compnt_G&amp;L'!$M$2*Al_alloy_use_compnt!$C11</f>
        <v>0</v>
      </c>
      <c r="E78" s="54">
        <f>Material_compnt_GREET2!E$19*'Alloy_compnt_G&amp;L'!$M$2*Al_alloy_use_compnt!$C11</f>
        <v>0</v>
      </c>
      <c r="F78" s="54">
        <f>Material_compnt_GREET2!F$19*'Alloy_compnt_G&amp;L'!$M$2*Al_alloy_use_compnt!$C11</f>
        <v>0</v>
      </c>
      <c r="G78" s="54">
        <f>Material_compnt_GREET2!G$19*'Alloy_compnt_G&amp;L'!$M$2*Al_alloy_use_compnt!$C11</f>
        <v>0</v>
      </c>
      <c r="H78" s="54">
        <f>Material_compnt_GREET2!H$19*'Alloy_compnt_G&amp;L'!$M$2*Al_alloy_use_compnt!$C11</f>
        <v>0</v>
      </c>
      <c r="I78" s="143">
        <f>Material_compnt_GREET2!I$19*'Alloy_compnt_G&amp;L'!$M$2*Al_alloy_use_compnt!$C11</f>
        <v>0</v>
      </c>
    </row>
    <row r="79" spans="1:9" x14ac:dyDescent="0.2">
      <c r="A79" s="145" t="s">
        <v>253</v>
      </c>
      <c r="B79" s="54">
        <f>Material_compnt_GREET2!B$19*'Alloy_compnt_G&amp;L'!$M$2*Al_alloy_use_compnt!$C12</f>
        <v>0</v>
      </c>
      <c r="C79" s="54">
        <f>Material_compnt_GREET2!C$19*'Alloy_compnt_G&amp;L'!$M$2*Al_alloy_use_compnt!$C12</f>
        <v>0</v>
      </c>
      <c r="D79" s="54">
        <f>Material_compnt_GREET2!D$19*'Alloy_compnt_G&amp;L'!$M$2*Al_alloy_use_compnt!$C12</f>
        <v>0</v>
      </c>
      <c r="E79" s="54">
        <f>Material_compnt_GREET2!E$19*'Alloy_compnt_G&amp;L'!$M$2*Al_alloy_use_compnt!$C12</f>
        <v>0</v>
      </c>
      <c r="F79" s="54">
        <f>Material_compnt_GREET2!F$19*'Alloy_compnt_G&amp;L'!$M$2*Al_alloy_use_compnt!$C12</f>
        <v>0</v>
      </c>
      <c r="G79" s="54">
        <f>Material_compnt_GREET2!G$19*'Alloy_compnt_G&amp;L'!$M$2*Al_alloy_use_compnt!$C12</f>
        <v>0</v>
      </c>
      <c r="H79" s="54">
        <f>Material_compnt_GREET2!H$19*'Alloy_compnt_G&amp;L'!$M$2*Al_alloy_use_compnt!$C12</f>
        <v>0</v>
      </c>
      <c r="I79" s="143">
        <f>Material_compnt_GREET2!I$19*'Alloy_compnt_G&amp;L'!$M$2*Al_alloy_use_compnt!$C12</f>
        <v>0</v>
      </c>
    </row>
    <row r="80" spans="1:9" x14ac:dyDescent="0.2">
      <c r="A80" s="145" t="s">
        <v>254</v>
      </c>
      <c r="B80" s="54">
        <f>Material_compnt_GREET2!B$19*'Alloy_compnt_G&amp;L'!$M$2*Al_alloy_use_compnt!$C13</f>
        <v>0</v>
      </c>
      <c r="C80" s="54">
        <f>Material_compnt_GREET2!C$19*'Alloy_compnt_G&amp;L'!$M$2*Al_alloy_use_compnt!$C13</f>
        <v>0</v>
      </c>
      <c r="D80" s="54">
        <f>Material_compnt_GREET2!D$19*'Alloy_compnt_G&amp;L'!$M$2*Al_alloy_use_compnt!$C13</f>
        <v>0</v>
      </c>
      <c r="E80" s="54">
        <f>Material_compnt_GREET2!E$19*'Alloy_compnt_G&amp;L'!$M$2*Al_alloy_use_compnt!$C13</f>
        <v>0</v>
      </c>
      <c r="F80" s="54">
        <f>Material_compnt_GREET2!F$19*'Alloy_compnt_G&amp;L'!$M$2*Al_alloy_use_compnt!$C13</f>
        <v>0</v>
      </c>
      <c r="G80" s="54">
        <f>Material_compnt_GREET2!G$19*'Alloy_compnt_G&amp;L'!$M$2*Al_alloy_use_compnt!$C13</f>
        <v>0</v>
      </c>
      <c r="H80" s="54">
        <f>Material_compnt_GREET2!H$19*'Alloy_compnt_G&amp;L'!$M$2*Al_alloy_use_compnt!$C13</f>
        <v>0</v>
      </c>
      <c r="I80" s="143">
        <f>Material_compnt_GREET2!I$19*'Alloy_compnt_G&amp;L'!$M$2*Al_alloy_use_compnt!$C13</f>
        <v>0</v>
      </c>
    </row>
    <row r="81" spans="1:9" x14ac:dyDescent="0.2">
      <c r="A81" s="146" t="s">
        <v>255</v>
      </c>
      <c r="B81" s="54">
        <f>Material_compnt_GREET2!B$19*'Alloy_compnt_G&amp;L'!$M$2*Al_alloy_use_compnt!$C14</f>
        <v>0</v>
      </c>
      <c r="C81" s="54">
        <f>Material_compnt_GREET2!C$19*'Alloy_compnt_G&amp;L'!$M$2*Al_alloy_use_compnt!$C14</f>
        <v>0</v>
      </c>
      <c r="D81" s="54">
        <f>Material_compnt_GREET2!D$19*'Alloy_compnt_G&amp;L'!$M$2*Al_alloy_use_compnt!$C14</f>
        <v>0</v>
      </c>
      <c r="E81" s="54">
        <f>Material_compnt_GREET2!E$19*'Alloy_compnt_G&amp;L'!$M$2*Al_alloy_use_compnt!$C14</f>
        <v>0</v>
      </c>
      <c r="F81" s="54">
        <f>Material_compnt_GREET2!F$19*'Alloy_compnt_G&amp;L'!$M$2*Al_alloy_use_compnt!$C14</f>
        <v>0</v>
      </c>
      <c r="G81" s="54">
        <f>Material_compnt_GREET2!G$19*'Alloy_compnt_G&amp;L'!$M$2*Al_alloy_use_compnt!$C14</f>
        <v>0</v>
      </c>
      <c r="H81" s="54">
        <f>Material_compnt_GREET2!H$19*'Alloy_compnt_G&amp;L'!$M$2*Al_alloy_use_compnt!$C14</f>
        <v>0</v>
      </c>
      <c r="I81" s="143">
        <f>Material_compnt_GREET2!I$19*'Alloy_compnt_G&amp;L'!$M$2*Al_alloy_use_compnt!$C14</f>
        <v>0</v>
      </c>
    </row>
    <row r="82" spans="1:9" x14ac:dyDescent="0.2">
      <c r="A82" s="145" t="s">
        <v>256</v>
      </c>
      <c r="B82" s="54">
        <f>Material_compnt_GREET2!B$19*'Alloy_compnt_G&amp;L'!$M$2*Al_alloy_use_compnt!$C15</f>
        <v>0</v>
      </c>
      <c r="C82" s="54">
        <f>Material_compnt_GREET2!C$19*'Alloy_compnt_G&amp;L'!$M$2*Al_alloy_use_compnt!$C15</f>
        <v>0</v>
      </c>
      <c r="D82" s="54">
        <f>Material_compnt_GREET2!D$19*'Alloy_compnt_G&amp;L'!$M$2*Al_alloy_use_compnt!$C15</f>
        <v>0</v>
      </c>
      <c r="E82" s="54">
        <f>Material_compnt_GREET2!E$19*'Alloy_compnt_G&amp;L'!$M$2*Al_alloy_use_compnt!$C15</f>
        <v>0</v>
      </c>
      <c r="F82" s="54">
        <f>Material_compnt_GREET2!F$19*'Alloy_compnt_G&amp;L'!$M$2*Al_alloy_use_compnt!$C15</f>
        <v>0</v>
      </c>
      <c r="G82" s="54">
        <f>Material_compnt_GREET2!G$19*'Alloy_compnt_G&amp;L'!$M$2*Al_alloy_use_compnt!$C15</f>
        <v>0</v>
      </c>
      <c r="H82" s="54">
        <f>Material_compnt_GREET2!H$19*'Alloy_compnt_G&amp;L'!$M$2*Al_alloy_use_compnt!$C15</f>
        <v>0</v>
      </c>
      <c r="I82" s="143">
        <f>Material_compnt_GREET2!I$19*'Alloy_compnt_G&amp;L'!$M$2*Al_alloy_use_compnt!$C15</f>
        <v>0</v>
      </c>
    </row>
    <row r="83" spans="1:9" x14ac:dyDescent="0.2">
      <c r="A83" s="145" t="s">
        <v>257</v>
      </c>
      <c r="B83" s="54">
        <f>Material_compnt_GREET2!B$19*'Alloy_compnt_G&amp;L'!$M$2*Al_alloy_use_compnt!$C16</f>
        <v>0</v>
      </c>
      <c r="C83" s="54">
        <f>Material_compnt_GREET2!C$19*'Alloy_compnt_G&amp;L'!$M$2*Al_alloy_use_compnt!$C16</f>
        <v>0</v>
      </c>
      <c r="D83" s="54">
        <f>Material_compnt_GREET2!D$19*'Alloy_compnt_G&amp;L'!$M$2*Al_alloy_use_compnt!$C16</f>
        <v>0</v>
      </c>
      <c r="E83" s="54">
        <f>Material_compnt_GREET2!E$19*'Alloy_compnt_G&amp;L'!$M$2*Al_alloy_use_compnt!$C16</f>
        <v>0</v>
      </c>
      <c r="F83" s="54">
        <f>Material_compnt_GREET2!F$19*'Alloy_compnt_G&amp;L'!$M$2*Al_alloy_use_compnt!$C16</f>
        <v>0</v>
      </c>
      <c r="G83" s="54">
        <f>Material_compnt_GREET2!G$19*'Alloy_compnt_G&amp;L'!$M$2*Al_alloy_use_compnt!$C16</f>
        <v>0</v>
      </c>
      <c r="H83" s="54">
        <f>Material_compnt_GREET2!H$19*'Alloy_compnt_G&amp;L'!$M$2*Al_alloy_use_compnt!$C16</f>
        <v>0</v>
      </c>
      <c r="I83" s="143">
        <f>Material_compnt_GREET2!I$19*'Alloy_compnt_G&amp;L'!$M$2*Al_alloy_use_compnt!$C16</f>
        <v>0</v>
      </c>
    </row>
    <row r="84" spans="1:9" x14ac:dyDescent="0.2">
      <c r="A84" s="145" t="s">
        <v>258</v>
      </c>
      <c r="B84" s="54">
        <f>Material_compnt_GREET2!B$19*'Alloy_compnt_G&amp;L'!$M$2*Al_alloy_use_compnt!$C17</f>
        <v>0</v>
      </c>
      <c r="C84" s="54">
        <f>Material_compnt_GREET2!C$19*'Alloy_compnt_G&amp;L'!$M$2*Al_alloy_use_compnt!$C17</f>
        <v>0</v>
      </c>
      <c r="D84" s="54">
        <f>Material_compnt_GREET2!D$19*'Alloy_compnt_G&amp;L'!$M$2*Al_alloy_use_compnt!$C17</f>
        <v>0</v>
      </c>
      <c r="E84" s="54">
        <f>Material_compnt_GREET2!E$19*'Alloy_compnt_G&amp;L'!$M$2*Al_alloy_use_compnt!$C17</f>
        <v>0</v>
      </c>
      <c r="F84" s="54">
        <f>Material_compnt_GREET2!F$19*'Alloy_compnt_G&amp;L'!$M$2*Al_alloy_use_compnt!$C17</f>
        <v>0</v>
      </c>
      <c r="G84" s="54">
        <f>Material_compnt_GREET2!G$19*'Alloy_compnt_G&amp;L'!$M$2*Al_alloy_use_compnt!$C17</f>
        <v>0</v>
      </c>
      <c r="H84" s="54">
        <f>Material_compnt_GREET2!H$19*'Alloy_compnt_G&amp;L'!$M$2*Al_alloy_use_compnt!$C17</f>
        <v>0</v>
      </c>
      <c r="I84" s="143">
        <f>Material_compnt_GREET2!I$19*'Alloy_compnt_G&amp;L'!$M$2*Al_alloy_use_compnt!$C17</f>
        <v>0</v>
      </c>
    </row>
    <row r="85" spans="1:9" x14ac:dyDescent="0.2">
      <c r="A85" s="142" t="s">
        <v>259</v>
      </c>
      <c r="B85" s="54">
        <f>Material_compnt_GREET2!B$19*'Alloy_compnt_G&amp;L'!$M$2*Al_alloy_use_compnt!$C18</f>
        <v>0</v>
      </c>
      <c r="C85" s="54">
        <f>Material_compnt_GREET2!C$19*'Alloy_compnt_G&amp;L'!$M$2*Al_alloy_use_compnt!$C18</f>
        <v>0</v>
      </c>
      <c r="D85" s="54">
        <f>Material_compnt_GREET2!D$19*'Alloy_compnt_G&amp;L'!$M$2*Al_alloy_use_compnt!$C18</f>
        <v>0</v>
      </c>
      <c r="E85" s="54">
        <f>Material_compnt_GREET2!E$19*'Alloy_compnt_G&amp;L'!$M$2*Al_alloy_use_compnt!$C18</f>
        <v>0</v>
      </c>
      <c r="F85" s="54">
        <f>Material_compnt_GREET2!F$19*'Alloy_compnt_G&amp;L'!$M$2*Al_alloy_use_compnt!$C18</f>
        <v>0</v>
      </c>
      <c r="G85" s="54">
        <f>Material_compnt_GREET2!G$19*'Alloy_compnt_G&amp;L'!$M$2*Al_alloy_use_compnt!$C18</f>
        <v>0</v>
      </c>
      <c r="H85" s="54">
        <f>Material_compnt_GREET2!H$19*'Alloy_compnt_G&amp;L'!$M$2*Al_alloy_use_compnt!$C18</f>
        <v>0</v>
      </c>
      <c r="I85" s="143">
        <f>Material_compnt_GREET2!I$19*'Alloy_compnt_G&amp;L'!$M$2*Al_alloy_use_compnt!$C18</f>
        <v>0</v>
      </c>
    </row>
    <row r="86" spans="1:9" x14ac:dyDescent="0.2">
      <c r="A86" s="147" t="s">
        <v>260</v>
      </c>
      <c r="B86" s="54">
        <f>Material_compnt_GREET2!B$19*'Alloy_compnt_G&amp;L'!$M$2*Al_alloy_use_compnt!$C19</f>
        <v>0</v>
      </c>
      <c r="C86" s="54">
        <f>Material_compnt_GREET2!C$19*'Alloy_compnt_G&amp;L'!$M$2*Al_alloy_use_compnt!$C19</f>
        <v>0</v>
      </c>
      <c r="D86" s="54">
        <f>Material_compnt_GREET2!D$19*'Alloy_compnt_G&amp;L'!$M$2*Al_alloy_use_compnt!$C19</f>
        <v>0</v>
      </c>
      <c r="E86" s="54">
        <f>Material_compnt_GREET2!E$19*'Alloy_compnt_G&amp;L'!$M$2*Al_alloy_use_compnt!$C19</f>
        <v>0</v>
      </c>
      <c r="F86" s="54">
        <f>Material_compnt_GREET2!F$19*'Alloy_compnt_G&amp;L'!$M$2*Al_alloy_use_compnt!$C19</f>
        <v>0</v>
      </c>
      <c r="G86" s="54">
        <f>Material_compnt_GREET2!G$19*'Alloy_compnt_G&amp;L'!$M$2*Al_alloy_use_compnt!$C19</f>
        <v>0</v>
      </c>
      <c r="H86" s="54">
        <f>Material_compnt_GREET2!H$19*'Alloy_compnt_G&amp;L'!$M$2*Al_alloy_use_compnt!$C19</f>
        <v>0</v>
      </c>
      <c r="I86" s="143">
        <f>Material_compnt_GREET2!I$19*'Alloy_compnt_G&amp;L'!$M$2*Al_alloy_use_compnt!$C19</f>
        <v>0</v>
      </c>
    </row>
    <row r="87" spans="1:9" x14ac:dyDescent="0.2">
      <c r="A87" s="142" t="s">
        <v>261</v>
      </c>
      <c r="B87" s="54">
        <f>Material_compnt_GREET2!B$19*'Alloy_compnt_G&amp;L'!$N$2*Al_alloy_use_compnt!$C3</f>
        <v>0</v>
      </c>
      <c r="C87" s="54">
        <f>Material_compnt_GREET2!C$19*'Alloy_compnt_G&amp;L'!$N$2*Al_alloy_use_compnt!$C3</f>
        <v>0</v>
      </c>
      <c r="D87" s="54">
        <f>Material_compnt_GREET2!D$19*'Alloy_compnt_G&amp;L'!$N$2*Al_alloy_use_compnt!$C3</f>
        <v>0</v>
      </c>
      <c r="E87" s="54">
        <f>Material_compnt_GREET2!E$19*'Alloy_compnt_G&amp;L'!$N$2*Al_alloy_use_compnt!$C3</f>
        <v>0</v>
      </c>
      <c r="F87" s="54">
        <f>Material_compnt_GREET2!F$19*'Alloy_compnt_G&amp;L'!$N$2*Al_alloy_use_compnt!$C3</f>
        <v>0</v>
      </c>
      <c r="G87" s="54">
        <f>Material_compnt_GREET2!G$19*'Alloy_compnt_G&amp;L'!$N$2*Al_alloy_use_compnt!$C3</f>
        <v>0</v>
      </c>
      <c r="H87" s="54">
        <f>Material_compnt_GREET2!H$19*'Alloy_compnt_G&amp;L'!$N$2*Al_alloy_use_compnt!$C3</f>
        <v>0</v>
      </c>
      <c r="I87" s="143">
        <f>Material_compnt_GREET2!I$19*'Alloy_compnt_G&amp;L'!$N$2*Al_alloy_use_compnt!$C3</f>
        <v>0</v>
      </c>
    </row>
    <row r="88" spans="1:9" x14ac:dyDescent="0.2">
      <c r="A88" s="142" t="s">
        <v>262</v>
      </c>
      <c r="B88" s="54">
        <f>Material_compnt_GREET2!B$19*'Alloy_compnt_G&amp;L'!$N$2*Al_alloy_use_compnt!$C4</f>
        <v>0</v>
      </c>
      <c r="C88" s="54">
        <f>Material_compnt_GREET2!C$19*'Alloy_compnt_G&amp;L'!$N$2*Al_alloy_use_compnt!$C4</f>
        <v>0</v>
      </c>
      <c r="D88" s="54">
        <f>Material_compnt_GREET2!D$19*'Alloy_compnt_G&amp;L'!$N$2*Al_alloy_use_compnt!$C4</f>
        <v>0</v>
      </c>
      <c r="E88" s="54">
        <f>Material_compnt_GREET2!E$19*'Alloy_compnt_G&amp;L'!$N$2*Al_alloy_use_compnt!$C4</f>
        <v>0</v>
      </c>
      <c r="F88" s="54">
        <f>Material_compnt_GREET2!F$19*'Alloy_compnt_G&amp;L'!$N$2*Al_alloy_use_compnt!$C4</f>
        <v>0</v>
      </c>
      <c r="G88" s="54">
        <f>Material_compnt_GREET2!G$19*'Alloy_compnt_G&amp;L'!$N$2*Al_alloy_use_compnt!$C4</f>
        <v>0</v>
      </c>
      <c r="H88" s="54">
        <f>Material_compnt_GREET2!H$19*'Alloy_compnt_G&amp;L'!$N$2*Al_alloy_use_compnt!$C4</f>
        <v>0</v>
      </c>
      <c r="I88" s="143">
        <f>Material_compnt_GREET2!I$19*'Alloy_compnt_G&amp;L'!$N$2*Al_alloy_use_compnt!$C4</f>
        <v>0</v>
      </c>
    </row>
    <row r="89" spans="1:9" x14ac:dyDescent="0.2">
      <c r="A89" s="142" t="s">
        <v>263</v>
      </c>
      <c r="B89" s="54">
        <f>Material_compnt_GREET2!B$19*'Alloy_compnt_G&amp;L'!$N$2*Al_alloy_use_compnt!$C5</f>
        <v>0</v>
      </c>
      <c r="C89" s="54">
        <f>Material_compnt_GREET2!C$19*'Alloy_compnt_G&amp;L'!$N$2*Al_alloy_use_compnt!$C5</f>
        <v>0</v>
      </c>
      <c r="D89" s="54">
        <f>Material_compnt_GREET2!D$19*'Alloy_compnt_G&amp;L'!$N$2*Al_alloy_use_compnt!$C5</f>
        <v>0</v>
      </c>
      <c r="E89" s="54">
        <f>Material_compnt_GREET2!E$19*'Alloy_compnt_G&amp;L'!$N$2*Al_alloy_use_compnt!$C5</f>
        <v>0</v>
      </c>
      <c r="F89" s="54">
        <f>Material_compnt_GREET2!F$19*'Alloy_compnt_G&amp;L'!$N$2*Al_alloy_use_compnt!$C5</f>
        <v>0</v>
      </c>
      <c r="G89" s="54">
        <f>Material_compnt_GREET2!G$19*'Alloy_compnt_G&amp;L'!$N$2*Al_alloy_use_compnt!$C5</f>
        <v>0</v>
      </c>
      <c r="H89" s="54">
        <f>Material_compnt_GREET2!H$19*'Alloy_compnt_G&amp;L'!$N$2*Al_alloy_use_compnt!$C5</f>
        <v>0</v>
      </c>
      <c r="I89" s="143">
        <f>Material_compnt_GREET2!I$19*'Alloy_compnt_G&amp;L'!$N$2*Al_alloy_use_compnt!$C5</f>
        <v>0</v>
      </c>
    </row>
    <row r="90" spans="1:9" x14ac:dyDescent="0.2">
      <c r="A90" s="142" t="s">
        <v>264</v>
      </c>
      <c r="B90" s="54">
        <f>Material_compnt_GREET2!B$19*'Alloy_compnt_G&amp;L'!$N$2*Al_alloy_use_compnt!$C6</f>
        <v>0</v>
      </c>
      <c r="C90" s="54">
        <f>Material_compnt_GREET2!C$19*'Alloy_compnt_G&amp;L'!$N$2*Al_alloy_use_compnt!$C6</f>
        <v>0</v>
      </c>
      <c r="D90" s="54">
        <f>Material_compnt_GREET2!D$19*'Alloy_compnt_G&amp;L'!$N$2*Al_alloy_use_compnt!$C6</f>
        <v>0</v>
      </c>
      <c r="E90" s="54">
        <f>Material_compnt_GREET2!E$19*'Alloy_compnt_G&amp;L'!$N$2*Al_alloy_use_compnt!$C6</f>
        <v>0</v>
      </c>
      <c r="F90" s="54">
        <f>Material_compnt_GREET2!F$19*'Alloy_compnt_G&amp;L'!$N$2*Al_alloy_use_compnt!$C6</f>
        <v>0</v>
      </c>
      <c r="G90" s="54">
        <f>Material_compnt_GREET2!G$19*'Alloy_compnt_G&amp;L'!$N$2*Al_alloy_use_compnt!$C6</f>
        <v>0</v>
      </c>
      <c r="H90" s="54">
        <f>Material_compnt_GREET2!H$19*'Alloy_compnt_G&amp;L'!$N$2*Al_alloy_use_compnt!$C6</f>
        <v>0</v>
      </c>
      <c r="I90" s="143">
        <f>Material_compnt_GREET2!I$19*'Alloy_compnt_G&amp;L'!$N$2*Al_alloy_use_compnt!$C6</f>
        <v>0</v>
      </c>
    </row>
    <row r="91" spans="1:9" x14ac:dyDescent="0.2">
      <c r="A91" s="142" t="s">
        <v>265</v>
      </c>
      <c r="B91" s="54">
        <f>Material_compnt_GREET2!B$19*'Alloy_compnt_G&amp;L'!$N$2*Al_alloy_use_compnt!$C7</f>
        <v>0</v>
      </c>
      <c r="C91" s="54">
        <f>Material_compnt_GREET2!C$19*'Alloy_compnt_G&amp;L'!$N$2*Al_alloy_use_compnt!$C7</f>
        <v>0</v>
      </c>
      <c r="D91" s="54">
        <f>Material_compnt_GREET2!D$19*'Alloy_compnt_G&amp;L'!$N$2*Al_alloy_use_compnt!$C7</f>
        <v>0</v>
      </c>
      <c r="E91" s="54">
        <f>Material_compnt_GREET2!E$19*'Alloy_compnt_G&amp;L'!$N$2*Al_alloy_use_compnt!$C7</f>
        <v>0</v>
      </c>
      <c r="F91" s="54">
        <f>Material_compnt_GREET2!F$19*'Alloy_compnt_G&amp;L'!$N$2*Al_alloy_use_compnt!$C7</f>
        <v>0</v>
      </c>
      <c r="G91" s="54">
        <f>Material_compnt_GREET2!G$19*'Alloy_compnt_G&amp;L'!$N$2*Al_alloy_use_compnt!$C7</f>
        <v>0</v>
      </c>
      <c r="H91" s="54">
        <f>Material_compnt_GREET2!H$19*'Alloy_compnt_G&amp;L'!$N$2*Al_alloy_use_compnt!$C7</f>
        <v>0</v>
      </c>
      <c r="I91" s="143">
        <f>Material_compnt_GREET2!I$19*'Alloy_compnt_G&amp;L'!$N$2*Al_alloy_use_compnt!$C7</f>
        <v>0</v>
      </c>
    </row>
    <row r="92" spans="1:9" x14ac:dyDescent="0.2">
      <c r="A92" s="142" t="s">
        <v>266</v>
      </c>
      <c r="B92" s="54">
        <f>Material_compnt_GREET2!B$19*'Alloy_compnt_G&amp;L'!$N$2*Al_alloy_use_compnt!$C8</f>
        <v>0</v>
      </c>
      <c r="C92" s="54">
        <f>Material_compnt_GREET2!C$19*'Alloy_compnt_G&amp;L'!$N$2*Al_alloy_use_compnt!$C8</f>
        <v>9.7785124361899289E-2</v>
      </c>
      <c r="D92" s="54">
        <f>Material_compnt_GREET2!D$19*'Alloy_compnt_G&amp;L'!$N$2*Al_alloy_use_compnt!$C8</f>
        <v>0</v>
      </c>
      <c r="E92" s="54">
        <f>Material_compnt_GREET2!E$19*'Alloy_compnt_G&amp;L'!$N$2*Al_alloy_use_compnt!$C8</f>
        <v>0.14640858174593632</v>
      </c>
      <c r="F92" s="54">
        <f>Material_compnt_GREET2!F$19*'Alloy_compnt_G&amp;L'!$N$2*Al_alloy_use_compnt!$C8</f>
        <v>0</v>
      </c>
      <c r="G92" s="54">
        <f>Material_compnt_GREET2!G$19*'Alloy_compnt_G&amp;L'!$N$2*Al_alloy_use_compnt!$C8</f>
        <v>0.34440559023998818</v>
      </c>
      <c r="H92" s="54">
        <f>Material_compnt_GREET2!H$19*'Alloy_compnt_G&amp;L'!$N$2*Al_alloy_use_compnt!$C8</f>
        <v>0</v>
      </c>
      <c r="I92" s="143">
        <f>Material_compnt_GREET2!I$19*'Alloy_compnt_G&amp;L'!$N$2*Al_alloy_use_compnt!$C8</f>
        <v>0</v>
      </c>
    </row>
    <row r="93" spans="1:9" x14ac:dyDescent="0.2">
      <c r="A93" s="142" t="s">
        <v>267</v>
      </c>
      <c r="B93" s="54">
        <f>Material_compnt_GREET2!B$19*'Alloy_compnt_G&amp;L'!$N$2*Al_alloy_use_compnt!$C9</f>
        <v>0</v>
      </c>
      <c r="C93" s="54">
        <f>Material_compnt_GREET2!C$19*'Alloy_compnt_G&amp;L'!$N$2*Al_alloy_use_compnt!$C9</f>
        <v>9.7785124361899289E-2</v>
      </c>
      <c r="D93" s="54">
        <f>Material_compnt_GREET2!D$19*'Alloy_compnt_G&amp;L'!$N$2*Al_alloy_use_compnt!$C9</f>
        <v>0</v>
      </c>
      <c r="E93" s="54">
        <f>Material_compnt_GREET2!E$19*'Alloy_compnt_G&amp;L'!$N$2*Al_alloy_use_compnt!$C9</f>
        <v>0.14640858174593632</v>
      </c>
      <c r="F93" s="54">
        <f>Material_compnt_GREET2!F$19*'Alloy_compnt_G&amp;L'!$N$2*Al_alloy_use_compnt!$C9</f>
        <v>0</v>
      </c>
      <c r="G93" s="54">
        <f>Material_compnt_GREET2!G$19*'Alloy_compnt_G&amp;L'!$N$2*Al_alloy_use_compnt!$C9</f>
        <v>0.34440559023998818</v>
      </c>
      <c r="H93" s="54">
        <f>Material_compnt_GREET2!H$19*'Alloy_compnt_G&amp;L'!$N$2*Al_alloy_use_compnt!$C9</f>
        <v>0</v>
      </c>
      <c r="I93" s="143">
        <f>Material_compnt_GREET2!I$19*'Alloy_compnt_G&amp;L'!$N$2*Al_alloy_use_compnt!$C9</f>
        <v>0</v>
      </c>
    </row>
    <row r="94" spans="1:9" x14ac:dyDescent="0.2">
      <c r="A94" s="142" t="s">
        <v>268</v>
      </c>
      <c r="B94" s="54">
        <f>Material_compnt_GREET2!B$19*'Alloy_compnt_G&amp;L'!$N$2*Al_alloy_use_compnt!$C10</f>
        <v>0</v>
      </c>
      <c r="C94" s="54">
        <f>Material_compnt_GREET2!C$19*'Alloy_compnt_G&amp;L'!$N$2*Al_alloy_use_compnt!$C10</f>
        <v>0</v>
      </c>
      <c r="D94" s="54">
        <f>Material_compnt_GREET2!D$19*'Alloy_compnt_G&amp;L'!$N$2*Al_alloy_use_compnt!$C10</f>
        <v>0</v>
      </c>
      <c r="E94" s="54">
        <f>Material_compnt_GREET2!E$19*'Alloy_compnt_G&amp;L'!$N$2*Al_alloy_use_compnt!$C10</f>
        <v>0</v>
      </c>
      <c r="F94" s="54">
        <f>Material_compnt_GREET2!F$19*'Alloy_compnt_G&amp;L'!$N$2*Al_alloy_use_compnt!$C10</f>
        <v>0</v>
      </c>
      <c r="G94" s="54">
        <f>Material_compnt_GREET2!G$19*'Alloy_compnt_G&amp;L'!$N$2*Al_alloy_use_compnt!$C10</f>
        <v>0</v>
      </c>
      <c r="H94" s="54">
        <f>Material_compnt_GREET2!H$19*'Alloy_compnt_G&amp;L'!$N$2*Al_alloy_use_compnt!$C10</f>
        <v>0</v>
      </c>
      <c r="I94" s="143">
        <f>Material_compnt_GREET2!I$19*'Alloy_compnt_G&amp;L'!$N$2*Al_alloy_use_compnt!$C10</f>
        <v>0</v>
      </c>
    </row>
    <row r="95" spans="1:9" x14ac:dyDescent="0.2">
      <c r="A95" s="142" t="s">
        <v>269</v>
      </c>
      <c r="B95" s="54">
        <f>Material_compnt_GREET2!B$19*'Alloy_compnt_G&amp;L'!$N$2*Al_alloy_use_compnt!$C11</f>
        <v>0</v>
      </c>
      <c r="C95" s="54">
        <f>Material_compnt_GREET2!C$19*'Alloy_compnt_G&amp;L'!$N$2*Al_alloy_use_compnt!$C11</f>
        <v>0</v>
      </c>
      <c r="D95" s="54">
        <f>Material_compnt_GREET2!D$19*'Alloy_compnt_G&amp;L'!$N$2*Al_alloy_use_compnt!$C11</f>
        <v>0</v>
      </c>
      <c r="E95" s="54">
        <f>Material_compnt_GREET2!E$19*'Alloy_compnt_G&amp;L'!$N$2*Al_alloy_use_compnt!$C11</f>
        <v>0</v>
      </c>
      <c r="F95" s="54">
        <f>Material_compnt_GREET2!F$19*'Alloy_compnt_G&amp;L'!$N$2*Al_alloy_use_compnt!$C11</f>
        <v>0</v>
      </c>
      <c r="G95" s="54">
        <f>Material_compnt_GREET2!G$19*'Alloy_compnt_G&amp;L'!$N$2*Al_alloy_use_compnt!$C11</f>
        <v>0</v>
      </c>
      <c r="H95" s="54">
        <f>Material_compnt_GREET2!H$19*'Alloy_compnt_G&amp;L'!$N$2*Al_alloy_use_compnt!$C11</f>
        <v>0</v>
      </c>
      <c r="I95" s="143">
        <f>Material_compnt_GREET2!I$19*'Alloy_compnt_G&amp;L'!$N$2*Al_alloy_use_compnt!$C11</f>
        <v>0</v>
      </c>
    </row>
    <row r="96" spans="1:9" x14ac:dyDescent="0.2">
      <c r="A96" s="142" t="s">
        <v>270</v>
      </c>
      <c r="B96" s="54">
        <f>Material_compnt_GREET2!B$19*'Alloy_compnt_G&amp;L'!$N$2*Al_alloy_use_compnt!$C12</f>
        <v>0</v>
      </c>
      <c r="C96" s="54">
        <f>Material_compnt_GREET2!C$19*'Alloy_compnt_G&amp;L'!$N$2*Al_alloy_use_compnt!$C12</f>
        <v>0</v>
      </c>
      <c r="D96" s="54">
        <f>Material_compnt_GREET2!D$19*'Alloy_compnt_G&amp;L'!$N$2*Al_alloy_use_compnt!$C12</f>
        <v>0</v>
      </c>
      <c r="E96" s="54">
        <f>Material_compnt_GREET2!E$19*'Alloy_compnt_G&amp;L'!$N$2*Al_alloy_use_compnt!$C12</f>
        <v>0</v>
      </c>
      <c r="F96" s="54">
        <f>Material_compnt_GREET2!F$19*'Alloy_compnt_G&amp;L'!$N$2*Al_alloy_use_compnt!$C12</f>
        <v>0</v>
      </c>
      <c r="G96" s="54">
        <f>Material_compnt_GREET2!G$19*'Alloy_compnt_G&amp;L'!$N$2*Al_alloy_use_compnt!$C12</f>
        <v>0</v>
      </c>
      <c r="H96" s="54">
        <f>Material_compnt_GREET2!H$19*'Alloy_compnt_G&amp;L'!$N$2*Al_alloy_use_compnt!$C12</f>
        <v>0</v>
      </c>
      <c r="I96" s="143">
        <f>Material_compnt_GREET2!I$19*'Alloy_compnt_G&amp;L'!$N$2*Al_alloy_use_compnt!$C12</f>
        <v>0</v>
      </c>
    </row>
    <row r="97" spans="1:9" x14ac:dyDescent="0.2">
      <c r="A97" s="142" t="s">
        <v>271</v>
      </c>
      <c r="B97" s="54">
        <f>Material_compnt_GREET2!B$19*'Alloy_compnt_G&amp;L'!$N$2*Al_alloy_use_compnt!$C13</f>
        <v>0</v>
      </c>
      <c r="C97" s="54">
        <f>Material_compnt_GREET2!C$19*'Alloy_compnt_G&amp;L'!$N$2*Al_alloy_use_compnt!$C13</f>
        <v>0</v>
      </c>
      <c r="D97" s="54">
        <f>Material_compnt_GREET2!D$19*'Alloy_compnt_G&amp;L'!$N$2*Al_alloy_use_compnt!$C13</f>
        <v>0</v>
      </c>
      <c r="E97" s="54">
        <f>Material_compnt_GREET2!E$19*'Alloy_compnt_G&amp;L'!$N$2*Al_alloy_use_compnt!$C13</f>
        <v>0</v>
      </c>
      <c r="F97" s="54">
        <f>Material_compnt_GREET2!F$19*'Alloy_compnt_G&amp;L'!$N$2*Al_alloy_use_compnt!$C13</f>
        <v>0</v>
      </c>
      <c r="G97" s="54">
        <f>Material_compnt_GREET2!G$19*'Alloy_compnt_G&amp;L'!$N$2*Al_alloy_use_compnt!$C13</f>
        <v>0</v>
      </c>
      <c r="H97" s="54">
        <f>Material_compnt_GREET2!H$19*'Alloy_compnt_G&amp;L'!$N$2*Al_alloy_use_compnt!$C13</f>
        <v>0</v>
      </c>
      <c r="I97" s="143">
        <f>Material_compnt_GREET2!I$19*'Alloy_compnt_G&amp;L'!$N$2*Al_alloy_use_compnt!$C13</f>
        <v>0</v>
      </c>
    </row>
    <row r="98" spans="1:9" x14ac:dyDescent="0.2">
      <c r="A98" s="142" t="s">
        <v>272</v>
      </c>
      <c r="B98" s="54">
        <f>Material_compnt_GREET2!B$19*'Alloy_compnt_G&amp;L'!$N$2*Al_alloy_use_compnt!$C14</f>
        <v>0</v>
      </c>
      <c r="C98" s="54">
        <f>Material_compnt_GREET2!C$19*'Alloy_compnt_G&amp;L'!$N$2*Al_alloy_use_compnt!$C14</f>
        <v>0</v>
      </c>
      <c r="D98" s="54">
        <f>Material_compnt_GREET2!D$19*'Alloy_compnt_G&amp;L'!$N$2*Al_alloy_use_compnt!$C14</f>
        <v>0</v>
      </c>
      <c r="E98" s="54">
        <f>Material_compnt_GREET2!E$19*'Alloy_compnt_G&amp;L'!$N$2*Al_alloy_use_compnt!$C14</f>
        <v>0</v>
      </c>
      <c r="F98" s="54">
        <f>Material_compnt_GREET2!F$19*'Alloy_compnt_G&amp;L'!$N$2*Al_alloy_use_compnt!$C14</f>
        <v>0</v>
      </c>
      <c r="G98" s="54">
        <f>Material_compnt_GREET2!G$19*'Alloy_compnt_G&amp;L'!$N$2*Al_alloy_use_compnt!$C14</f>
        <v>0</v>
      </c>
      <c r="H98" s="54">
        <f>Material_compnt_GREET2!H$19*'Alloy_compnt_G&amp;L'!$N$2*Al_alloy_use_compnt!$C14</f>
        <v>0</v>
      </c>
      <c r="I98" s="143">
        <f>Material_compnt_GREET2!I$19*'Alloy_compnt_G&amp;L'!$N$2*Al_alloy_use_compnt!$C14</f>
        <v>0</v>
      </c>
    </row>
    <row r="99" spans="1:9" x14ac:dyDescent="0.2">
      <c r="A99" s="142" t="s">
        <v>273</v>
      </c>
      <c r="B99" s="54">
        <f>Material_compnt_GREET2!B$19*'Alloy_compnt_G&amp;L'!$N$2*Al_alloy_use_compnt!$C15</f>
        <v>0</v>
      </c>
      <c r="C99" s="54">
        <f>Material_compnt_GREET2!C$19*'Alloy_compnt_G&amp;L'!$N$2*Al_alloy_use_compnt!$C15</f>
        <v>0</v>
      </c>
      <c r="D99" s="54">
        <f>Material_compnt_GREET2!D$19*'Alloy_compnt_G&amp;L'!$N$2*Al_alloy_use_compnt!$C15</f>
        <v>0</v>
      </c>
      <c r="E99" s="54">
        <f>Material_compnt_GREET2!E$19*'Alloy_compnt_G&amp;L'!$N$2*Al_alloy_use_compnt!$C15</f>
        <v>0</v>
      </c>
      <c r="F99" s="54">
        <f>Material_compnt_GREET2!F$19*'Alloy_compnt_G&amp;L'!$N$2*Al_alloy_use_compnt!$C15</f>
        <v>0</v>
      </c>
      <c r="G99" s="54">
        <f>Material_compnt_GREET2!G$19*'Alloy_compnt_G&amp;L'!$N$2*Al_alloy_use_compnt!$C15</f>
        <v>0</v>
      </c>
      <c r="H99" s="54">
        <f>Material_compnt_GREET2!H$19*'Alloy_compnt_G&amp;L'!$N$2*Al_alloy_use_compnt!$C15</f>
        <v>0</v>
      </c>
      <c r="I99" s="143">
        <f>Material_compnt_GREET2!I$19*'Alloy_compnt_G&amp;L'!$N$2*Al_alloy_use_compnt!$C15</f>
        <v>0</v>
      </c>
    </row>
    <row r="100" spans="1:9" x14ac:dyDescent="0.2">
      <c r="A100" s="142" t="s">
        <v>274</v>
      </c>
      <c r="B100" s="54">
        <f>Material_compnt_GREET2!B$19*'Alloy_compnt_G&amp;L'!$N$2*Al_alloy_use_compnt!$C16</f>
        <v>0</v>
      </c>
      <c r="C100" s="54">
        <f>Material_compnt_GREET2!C$19*'Alloy_compnt_G&amp;L'!$N$2*Al_alloy_use_compnt!$C16</f>
        <v>0.39114049744759716</v>
      </c>
      <c r="D100" s="54">
        <f>Material_compnt_GREET2!D$19*'Alloy_compnt_G&amp;L'!$N$2*Al_alloy_use_compnt!$C16</f>
        <v>0</v>
      </c>
      <c r="E100" s="54">
        <f>Material_compnt_GREET2!E$19*'Alloy_compnt_G&amp;L'!$N$2*Al_alloy_use_compnt!$C16</f>
        <v>0.58563432698374529</v>
      </c>
      <c r="F100" s="54">
        <f>Material_compnt_GREET2!F$19*'Alloy_compnt_G&amp;L'!$N$2*Al_alloy_use_compnt!$C16</f>
        <v>0</v>
      </c>
      <c r="G100" s="54">
        <f>Material_compnt_GREET2!G$19*'Alloy_compnt_G&amp;L'!$N$2*Al_alloy_use_compnt!$C16</f>
        <v>1.3776223609599527</v>
      </c>
      <c r="H100" s="54">
        <f>Material_compnt_GREET2!H$19*'Alloy_compnt_G&amp;L'!$N$2*Al_alloy_use_compnt!$C16</f>
        <v>0</v>
      </c>
      <c r="I100" s="143">
        <f>Material_compnt_GREET2!I$19*'Alloy_compnt_G&amp;L'!$N$2*Al_alloy_use_compnt!$C16</f>
        <v>0</v>
      </c>
    </row>
    <row r="101" spans="1:9" x14ac:dyDescent="0.2">
      <c r="A101" s="142" t="s">
        <v>275</v>
      </c>
      <c r="B101" s="54">
        <f>Material_compnt_GREET2!B$19*'Alloy_compnt_G&amp;L'!$N$2*Al_alloy_use_compnt!$C17</f>
        <v>0</v>
      </c>
      <c r="C101" s="54">
        <f>Material_compnt_GREET2!C$19*'Alloy_compnt_G&amp;L'!$N$2*Al_alloy_use_compnt!$C17</f>
        <v>0</v>
      </c>
      <c r="D101" s="54">
        <f>Material_compnt_GREET2!D$19*'Alloy_compnt_G&amp;L'!$N$2*Al_alloy_use_compnt!$C17</f>
        <v>0</v>
      </c>
      <c r="E101" s="54">
        <f>Material_compnt_GREET2!E$19*'Alloy_compnt_G&amp;L'!$N$2*Al_alloy_use_compnt!$C17</f>
        <v>0</v>
      </c>
      <c r="F101" s="54">
        <f>Material_compnt_GREET2!F$19*'Alloy_compnt_G&amp;L'!$N$2*Al_alloy_use_compnt!$C17</f>
        <v>0</v>
      </c>
      <c r="G101" s="54">
        <f>Material_compnt_GREET2!G$19*'Alloy_compnt_G&amp;L'!$N$2*Al_alloy_use_compnt!$C17</f>
        <v>0</v>
      </c>
      <c r="H101" s="54">
        <f>Material_compnt_GREET2!H$19*'Alloy_compnt_G&amp;L'!$N$2*Al_alloy_use_compnt!$C17</f>
        <v>0</v>
      </c>
      <c r="I101" s="143">
        <f>Material_compnt_GREET2!I$19*'Alloy_compnt_G&amp;L'!$N$2*Al_alloy_use_compnt!$C17</f>
        <v>0</v>
      </c>
    </row>
    <row r="102" spans="1:9" x14ac:dyDescent="0.2">
      <c r="A102" s="142" t="s">
        <v>276</v>
      </c>
      <c r="B102" s="54">
        <f>Material_compnt_GREET2!B$19*'Alloy_compnt_G&amp;L'!$N$2*Al_alloy_use_compnt!$C18</f>
        <v>0</v>
      </c>
      <c r="C102" s="54">
        <f>Material_compnt_GREET2!C$19*'Alloy_compnt_G&amp;L'!$N$2*Al_alloy_use_compnt!$C18</f>
        <v>0</v>
      </c>
      <c r="D102" s="54">
        <f>Material_compnt_GREET2!D$19*'Alloy_compnt_G&amp;L'!$N$2*Al_alloy_use_compnt!$C18</f>
        <v>0</v>
      </c>
      <c r="E102" s="54">
        <f>Material_compnt_GREET2!E$19*'Alloy_compnt_G&amp;L'!$N$2*Al_alloy_use_compnt!$C18</f>
        <v>0</v>
      </c>
      <c r="F102" s="54">
        <f>Material_compnt_GREET2!F$19*'Alloy_compnt_G&amp;L'!$N$2*Al_alloy_use_compnt!$C18</f>
        <v>0</v>
      </c>
      <c r="G102" s="54">
        <f>Material_compnt_GREET2!G$19*'Alloy_compnt_G&amp;L'!$N$2*Al_alloy_use_compnt!$C18</f>
        <v>0</v>
      </c>
      <c r="H102" s="54">
        <f>Material_compnt_GREET2!H$19*'Alloy_compnt_G&amp;L'!$N$2*Al_alloy_use_compnt!$C18</f>
        <v>0</v>
      </c>
      <c r="I102" s="143">
        <f>Material_compnt_GREET2!I$19*'Alloy_compnt_G&amp;L'!$N$2*Al_alloy_use_compnt!$C18</f>
        <v>0</v>
      </c>
    </row>
    <row r="103" spans="1:9" x14ac:dyDescent="0.2">
      <c r="A103" s="144" t="s">
        <v>277</v>
      </c>
      <c r="B103" s="54">
        <f>Material_compnt_GREET2!B$19*'Alloy_compnt_G&amp;L'!$N$2*Al_alloy_use_compnt!$C19</f>
        <v>0</v>
      </c>
      <c r="C103" s="54">
        <f>Material_compnt_GREET2!C$19*'Alloy_compnt_G&amp;L'!$N$2*Al_alloy_use_compnt!$C19</f>
        <v>0.19557024872379858</v>
      </c>
      <c r="D103" s="54">
        <f>Material_compnt_GREET2!D$19*'Alloy_compnt_G&amp;L'!$N$2*Al_alloy_use_compnt!$C19</f>
        <v>0</v>
      </c>
      <c r="E103" s="54">
        <f>Material_compnt_GREET2!E$19*'Alloy_compnt_G&amp;L'!$N$2*Al_alloy_use_compnt!$C19</f>
        <v>0.29281716349187265</v>
      </c>
      <c r="F103" s="54">
        <f>Material_compnt_GREET2!F$19*'Alloy_compnt_G&amp;L'!$N$2*Al_alloy_use_compnt!$C19</f>
        <v>0</v>
      </c>
      <c r="G103" s="54">
        <f>Material_compnt_GREET2!G$19*'Alloy_compnt_G&amp;L'!$N$2*Al_alloy_use_compnt!$C19</f>
        <v>0.68881118047997636</v>
      </c>
      <c r="H103" s="54">
        <f>Material_compnt_GREET2!H$19*'Alloy_compnt_G&amp;L'!$N$2*Al_alloy_use_compnt!$C19</f>
        <v>0</v>
      </c>
      <c r="I103" s="143">
        <f>Material_compnt_GREET2!I$19*'Alloy_compnt_G&amp;L'!$N$2*Al_alloy_use_compnt!$C19</f>
        <v>0</v>
      </c>
    </row>
    <row r="104" spans="1:9" x14ac:dyDescent="0.2">
      <c r="A104" s="148" t="s">
        <v>278</v>
      </c>
      <c r="B104" s="54">
        <f>Material_compnt_GREET2!B$19*'Alloy_compnt_G&amp;L'!$O$2*Al_alloy_use_compnt!$C20</f>
        <v>0</v>
      </c>
      <c r="C104" s="54">
        <f>Material_compnt_GREET2!C$19*'Alloy_compnt_G&amp;L'!$O$2*Al_alloy_use_compnt!$C20</f>
        <v>0</v>
      </c>
      <c r="D104" s="54">
        <f>Material_compnt_GREET2!D$19*'Alloy_compnt_G&amp;L'!$O$2*Al_alloy_use_compnt!$C20</f>
        <v>0</v>
      </c>
      <c r="E104" s="54">
        <f>Material_compnt_GREET2!E$19*'Alloy_compnt_G&amp;L'!$O$2*Al_alloy_use_compnt!$C20</f>
        <v>0</v>
      </c>
      <c r="F104" s="54">
        <f>Material_compnt_GREET2!F$19*'Alloy_compnt_G&amp;L'!$O$2*Al_alloy_use_compnt!$C20</f>
        <v>0</v>
      </c>
      <c r="G104" s="54">
        <f>Material_compnt_GREET2!G$19*'Alloy_compnt_G&amp;L'!$O$2*Al_alloy_use_compnt!$C20</f>
        <v>0</v>
      </c>
      <c r="H104" s="54">
        <f>Material_compnt_GREET2!H$19*'Alloy_compnt_G&amp;L'!$O$2*Al_alloy_use_compnt!$C20</f>
        <v>0</v>
      </c>
      <c r="I104" s="143">
        <f>Material_compnt_GREET2!I$19*'Alloy_compnt_G&amp;L'!$O$2*Al_alloy_use_compnt!$C20</f>
        <v>0</v>
      </c>
    </row>
    <row r="105" spans="1:9" x14ac:dyDescent="0.2">
      <c r="A105" s="148" t="s">
        <v>279</v>
      </c>
      <c r="B105" s="54">
        <f>Material_compnt_GREET2!B$19*'Alloy_compnt_G&amp;L'!$O$2*Al_alloy_use_compnt!$C21</f>
        <v>0</v>
      </c>
      <c r="C105" s="54">
        <f>Material_compnt_GREET2!C$19*'Alloy_compnt_G&amp;L'!$O$2*Al_alloy_use_compnt!$C21</f>
        <v>0</v>
      </c>
      <c r="D105" s="54">
        <f>Material_compnt_GREET2!D$19*'Alloy_compnt_G&amp;L'!$O$2*Al_alloy_use_compnt!$C21</f>
        <v>0</v>
      </c>
      <c r="E105" s="54">
        <f>Material_compnt_GREET2!E$19*'Alloy_compnt_G&amp;L'!$O$2*Al_alloy_use_compnt!$C21</f>
        <v>0</v>
      </c>
      <c r="F105" s="54">
        <f>Material_compnt_GREET2!F$19*'Alloy_compnt_G&amp;L'!$O$2*Al_alloy_use_compnt!$C21</f>
        <v>0</v>
      </c>
      <c r="G105" s="54">
        <f>Material_compnt_GREET2!G$19*'Alloy_compnt_G&amp;L'!$O$2*Al_alloy_use_compnt!$C21</f>
        <v>0</v>
      </c>
      <c r="H105" s="54">
        <f>Material_compnt_GREET2!H$19*'Alloy_compnt_G&amp;L'!$O$2*Al_alloy_use_compnt!$C21</f>
        <v>0</v>
      </c>
      <c r="I105" s="143">
        <f>Material_compnt_GREET2!I$19*'Alloy_compnt_G&amp;L'!$O$2*Al_alloy_use_compnt!$C21</f>
        <v>0</v>
      </c>
    </row>
    <row r="106" spans="1:9" x14ac:dyDescent="0.2">
      <c r="A106" s="148" t="s">
        <v>280</v>
      </c>
      <c r="B106" s="54">
        <f>Material_compnt_GREET2!B$19*'Alloy_compnt_G&amp;L'!$O$2*Al_alloy_use_compnt!$C22</f>
        <v>0</v>
      </c>
      <c r="C106" s="54">
        <f>Material_compnt_GREET2!C$19*'Alloy_compnt_G&amp;L'!$O$2*Al_alloy_use_compnt!$C22</f>
        <v>2.6176325598416117</v>
      </c>
      <c r="D106" s="54">
        <f>Material_compnt_GREET2!D$19*'Alloy_compnt_G&amp;L'!$O$2*Al_alloy_use_compnt!$C22</f>
        <v>0</v>
      </c>
      <c r="E106" s="54">
        <f>Material_compnt_GREET2!E$19*'Alloy_compnt_G&amp;L'!$O$2*Al_alloy_use_compnt!$C22</f>
        <v>3.9192451113527569</v>
      </c>
      <c r="F106" s="54">
        <f>Material_compnt_GREET2!F$19*'Alloy_compnt_G&amp;L'!$O$2*Al_alloy_use_compnt!$C22</f>
        <v>0</v>
      </c>
      <c r="G106" s="54">
        <f>Material_compnt_GREET2!G$19*'Alloy_compnt_G&amp;L'!$O$2*Al_alloy_use_compnt!$C22</f>
        <v>9.2194727233473763</v>
      </c>
      <c r="H106" s="54">
        <f>Material_compnt_GREET2!H$19*'Alloy_compnt_G&amp;L'!$O$2*Al_alloy_use_compnt!$C22</f>
        <v>0</v>
      </c>
      <c r="I106" s="143">
        <f>Material_compnt_GREET2!I$19*'Alloy_compnt_G&amp;L'!$O$2*Al_alloy_use_compnt!$C22</f>
        <v>0</v>
      </c>
    </row>
    <row r="107" spans="1:9" x14ac:dyDescent="0.2">
      <c r="A107" s="148" t="s">
        <v>281</v>
      </c>
      <c r="B107" s="54">
        <f>Material_compnt_GREET2!B$19*'Alloy_compnt_G&amp;L'!$O$2*Al_alloy_use_compnt!$C23</f>
        <v>0</v>
      </c>
      <c r="C107" s="54">
        <f>Material_compnt_GREET2!C$19*'Alloy_compnt_G&amp;L'!$O$2*Al_alloy_use_compnt!$C23</f>
        <v>2.6176325598416117</v>
      </c>
      <c r="D107" s="54">
        <f>Material_compnt_GREET2!D$19*'Alloy_compnt_G&amp;L'!$O$2*Al_alloy_use_compnt!$C23</f>
        <v>0</v>
      </c>
      <c r="E107" s="54">
        <f>Material_compnt_GREET2!E$19*'Alloy_compnt_G&amp;L'!$O$2*Al_alloy_use_compnt!$C23</f>
        <v>3.9192451113527569</v>
      </c>
      <c r="F107" s="54">
        <f>Material_compnt_GREET2!F$19*'Alloy_compnt_G&amp;L'!$O$2*Al_alloy_use_compnt!$C23</f>
        <v>0</v>
      </c>
      <c r="G107" s="54">
        <f>Material_compnt_GREET2!G$19*'Alloy_compnt_G&amp;L'!$O$2*Al_alloy_use_compnt!$C23</f>
        <v>9.2194727233473763</v>
      </c>
      <c r="H107" s="54">
        <f>Material_compnt_GREET2!H$19*'Alloy_compnt_G&amp;L'!$O$2*Al_alloy_use_compnt!$C23</f>
        <v>0</v>
      </c>
      <c r="I107" s="143">
        <f>Material_compnt_GREET2!I$19*'Alloy_compnt_G&amp;L'!$O$2*Al_alloy_use_compnt!$C23</f>
        <v>0</v>
      </c>
    </row>
    <row r="108" spans="1:9" x14ac:dyDescent="0.2">
      <c r="A108" s="148" t="s">
        <v>282</v>
      </c>
      <c r="B108" s="54">
        <f>Material_compnt_GREET2!B$19*'Alloy_compnt_G&amp;L'!$O$2*Al_alloy_use_compnt!$C24</f>
        <v>0</v>
      </c>
      <c r="C108" s="54">
        <f>Material_compnt_GREET2!C$19*'Alloy_compnt_G&amp;L'!$O$2*Al_alloy_use_compnt!$C24</f>
        <v>0</v>
      </c>
      <c r="D108" s="54">
        <f>Material_compnt_GREET2!D$19*'Alloy_compnt_G&amp;L'!$O$2*Al_alloy_use_compnt!$C24</f>
        <v>0</v>
      </c>
      <c r="E108" s="54">
        <f>Material_compnt_GREET2!E$19*'Alloy_compnt_G&amp;L'!$O$2*Al_alloy_use_compnt!$C24</f>
        <v>0</v>
      </c>
      <c r="F108" s="54">
        <f>Material_compnt_GREET2!F$19*'Alloy_compnt_G&amp;L'!$O$2*Al_alloy_use_compnt!$C24</f>
        <v>0</v>
      </c>
      <c r="G108" s="54">
        <f>Material_compnt_GREET2!G$19*'Alloy_compnt_G&amp;L'!$O$2*Al_alloy_use_compnt!$C24</f>
        <v>0</v>
      </c>
      <c r="H108" s="54">
        <f>Material_compnt_GREET2!H$19*'Alloy_compnt_G&amp;L'!$O$2*Al_alloy_use_compnt!$C24</f>
        <v>0</v>
      </c>
      <c r="I108" s="143">
        <f>Material_compnt_GREET2!I$19*'Alloy_compnt_G&amp;L'!$O$2*Al_alloy_use_compnt!$C24</f>
        <v>0</v>
      </c>
    </row>
    <row r="109" spans="1:9" x14ac:dyDescent="0.2">
      <c r="A109" s="148" t="s">
        <v>283</v>
      </c>
      <c r="B109" s="54">
        <f>Material_compnt_GREET2!B$19*'Alloy_compnt_G&amp;L'!$O$2*Al_alloy_use_compnt!$C25</f>
        <v>0</v>
      </c>
      <c r="C109" s="54">
        <f>Material_compnt_GREET2!C$19*'Alloy_compnt_G&amp;L'!$O$2*Al_alloy_use_compnt!$C25</f>
        <v>0</v>
      </c>
      <c r="D109" s="54">
        <f>Material_compnt_GREET2!D$19*'Alloy_compnt_G&amp;L'!$O$2*Al_alloy_use_compnt!$C25</f>
        <v>0</v>
      </c>
      <c r="E109" s="54">
        <f>Material_compnt_GREET2!E$19*'Alloy_compnt_G&amp;L'!$O$2*Al_alloy_use_compnt!$C25</f>
        <v>0</v>
      </c>
      <c r="F109" s="54">
        <f>Material_compnt_GREET2!F$19*'Alloy_compnt_G&amp;L'!$O$2*Al_alloy_use_compnt!$C25</f>
        <v>0</v>
      </c>
      <c r="G109" s="54">
        <f>Material_compnt_GREET2!G$19*'Alloy_compnt_G&amp;L'!$O$2*Al_alloy_use_compnt!$C25</f>
        <v>0</v>
      </c>
      <c r="H109" s="54">
        <f>Material_compnt_GREET2!H$19*'Alloy_compnt_G&amp;L'!$O$2*Al_alloy_use_compnt!$C25</f>
        <v>0</v>
      </c>
      <c r="I109" s="143">
        <f>Material_compnt_GREET2!I$19*'Alloy_compnt_G&amp;L'!$O$2*Al_alloy_use_compnt!$C25</f>
        <v>0</v>
      </c>
    </row>
    <row r="110" spans="1:9" x14ac:dyDescent="0.2">
      <c r="A110" s="148" t="s">
        <v>284</v>
      </c>
      <c r="B110" s="54">
        <f>Material_compnt_GREET2!B$19*'Alloy_compnt_G&amp;L'!$O$2*Al_alloy_use_compnt!$C26</f>
        <v>0</v>
      </c>
      <c r="C110" s="54">
        <f>Material_compnt_GREET2!C$19*'Alloy_compnt_G&amp;L'!$O$2*Al_alloy_use_compnt!$C26</f>
        <v>0</v>
      </c>
      <c r="D110" s="54">
        <f>Material_compnt_GREET2!D$19*'Alloy_compnt_G&amp;L'!$O$2*Al_alloy_use_compnt!$C26</f>
        <v>0</v>
      </c>
      <c r="E110" s="54">
        <f>Material_compnt_GREET2!E$19*'Alloy_compnt_G&amp;L'!$O$2*Al_alloy_use_compnt!$C26</f>
        <v>0</v>
      </c>
      <c r="F110" s="54">
        <f>Material_compnt_GREET2!F$19*'Alloy_compnt_G&amp;L'!$O$2*Al_alloy_use_compnt!$C26</f>
        <v>0</v>
      </c>
      <c r="G110" s="54">
        <f>Material_compnt_GREET2!G$19*'Alloy_compnt_G&amp;L'!$O$2*Al_alloy_use_compnt!$C26</f>
        <v>0</v>
      </c>
      <c r="H110" s="54">
        <f>Material_compnt_GREET2!H$19*'Alloy_compnt_G&amp;L'!$O$2*Al_alloy_use_compnt!$C26</f>
        <v>0</v>
      </c>
      <c r="I110" s="143">
        <f>Material_compnt_GREET2!I$19*'Alloy_compnt_G&amp;L'!$O$2*Al_alloy_use_compnt!$C26</f>
        <v>0</v>
      </c>
    </row>
    <row r="111" spans="1:9" x14ac:dyDescent="0.2">
      <c r="A111" s="148" t="s">
        <v>285</v>
      </c>
      <c r="B111" s="54">
        <f>Material_compnt_GREET2!B$19*'Alloy_compnt_G&amp;L'!$O$2*Al_alloy_use_compnt!$C27</f>
        <v>0</v>
      </c>
      <c r="C111" s="54">
        <f>Material_compnt_GREET2!C$19*'Alloy_compnt_G&amp;L'!$O$2*Al_alloy_use_compnt!$C27</f>
        <v>0</v>
      </c>
      <c r="D111" s="54">
        <f>Material_compnt_GREET2!D$19*'Alloy_compnt_G&amp;L'!$O$2*Al_alloy_use_compnt!$C27</f>
        <v>0</v>
      </c>
      <c r="E111" s="54">
        <f>Material_compnt_GREET2!E$19*'Alloy_compnt_G&amp;L'!$O$2*Al_alloy_use_compnt!$C27</f>
        <v>0</v>
      </c>
      <c r="F111" s="54">
        <f>Material_compnt_GREET2!F$19*'Alloy_compnt_G&amp;L'!$O$2*Al_alloy_use_compnt!$C27</f>
        <v>0</v>
      </c>
      <c r="G111" s="54">
        <f>Material_compnt_GREET2!G$19*'Alloy_compnt_G&amp;L'!$O$2*Al_alloy_use_compnt!$C27</f>
        <v>0</v>
      </c>
      <c r="H111" s="54">
        <f>Material_compnt_GREET2!H$19*'Alloy_compnt_G&amp;L'!$O$2*Al_alloy_use_compnt!$C27</f>
        <v>0</v>
      </c>
      <c r="I111" s="143">
        <f>Material_compnt_GREET2!I$19*'Alloy_compnt_G&amp;L'!$O$2*Al_alloy_use_compnt!$C27</f>
        <v>0</v>
      </c>
    </row>
    <row r="112" spans="1:9" x14ac:dyDescent="0.2">
      <c r="A112" s="147" t="s">
        <v>286</v>
      </c>
      <c r="B112" s="54">
        <f>Material_compnt_GREET2!B$19*'Alloy_compnt_G&amp;L'!$O$2*Al_alloy_use_compnt!$C28</f>
        <v>0</v>
      </c>
      <c r="C112" s="54">
        <f>Material_compnt_GREET2!C$19*'Alloy_compnt_G&amp;L'!$O$2*Al_alloy_use_compnt!$C28</f>
        <v>0</v>
      </c>
      <c r="D112" s="54">
        <f>Material_compnt_GREET2!D$19*'Alloy_compnt_G&amp;L'!$O$2*Al_alloy_use_compnt!$C28</f>
        <v>0</v>
      </c>
      <c r="E112" s="54">
        <f>Material_compnt_GREET2!E$19*'Alloy_compnt_G&amp;L'!$O$2*Al_alloy_use_compnt!$C28</f>
        <v>0</v>
      </c>
      <c r="F112" s="54">
        <f>Material_compnt_GREET2!F$19*'Alloy_compnt_G&amp;L'!$O$2*Al_alloy_use_compnt!$C28</f>
        <v>0</v>
      </c>
      <c r="G112" s="54">
        <f>Material_compnt_GREET2!G$19*'Alloy_compnt_G&amp;L'!$O$2*Al_alloy_use_compnt!$C28</f>
        <v>0</v>
      </c>
      <c r="H112" s="54">
        <f>Material_compnt_GREET2!H$19*'Alloy_compnt_G&amp;L'!$O$2*Al_alloy_use_compnt!$C28</f>
        <v>0</v>
      </c>
      <c r="I112" s="143">
        <f>Material_compnt_GREET2!I$19*'Alloy_compnt_G&amp;L'!$O$2*Al_alloy_use_compnt!$C28</f>
        <v>0</v>
      </c>
    </row>
    <row r="113" spans="1:9" x14ac:dyDescent="0.2">
      <c r="A113" s="142" t="s">
        <v>287</v>
      </c>
      <c r="B113" s="54">
        <f>Material_compnt_GREET2!B$20*Al_alloy_use_compnt!$C20</f>
        <v>0</v>
      </c>
      <c r="C113" s="54">
        <f>Material_compnt_GREET2!C$20*Al_alloy_use_compnt!$C20</f>
        <v>0</v>
      </c>
      <c r="D113" s="54">
        <f>Material_compnt_GREET2!D$20*Al_alloy_use_compnt!$C20</f>
        <v>0</v>
      </c>
      <c r="E113" s="54">
        <f>Material_compnt_GREET2!E$20*Al_alloy_use_compnt!$C20</f>
        <v>0</v>
      </c>
      <c r="F113" s="54">
        <f>Material_compnt_GREET2!F$20*Al_alloy_use_compnt!$C20</f>
        <v>0</v>
      </c>
      <c r="G113" s="54">
        <f>Material_compnt_GREET2!G$20*Al_alloy_use_compnt!$C20</f>
        <v>0</v>
      </c>
      <c r="H113" s="54">
        <f>Material_compnt_GREET2!H$20*Al_alloy_use_compnt!$C20</f>
        <v>0</v>
      </c>
      <c r="I113" s="143">
        <f>Material_compnt_GREET2!I$20*Al_alloy_use_compnt!$C20</f>
        <v>0</v>
      </c>
    </row>
    <row r="114" spans="1:9" x14ac:dyDescent="0.2">
      <c r="A114" s="142" t="s">
        <v>288</v>
      </c>
      <c r="B114" s="54">
        <f>Material_compnt_GREET2!B$20*Al_alloy_use_compnt!$C21</f>
        <v>0</v>
      </c>
      <c r="C114" s="54">
        <f>Material_compnt_GREET2!C$20*Al_alloy_use_compnt!$C21</f>
        <v>0</v>
      </c>
      <c r="D114" s="54">
        <f>Material_compnt_GREET2!D$20*Al_alloy_use_compnt!$C21</f>
        <v>0</v>
      </c>
      <c r="E114" s="54">
        <f>Material_compnt_GREET2!E$20*Al_alloy_use_compnt!$C21</f>
        <v>0</v>
      </c>
      <c r="F114" s="54">
        <f>Material_compnt_GREET2!F$20*Al_alloy_use_compnt!$C21</f>
        <v>0</v>
      </c>
      <c r="G114" s="54">
        <f>Material_compnt_GREET2!G$20*Al_alloy_use_compnt!$C21</f>
        <v>0</v>
      </c>
      <c r="H114" s="54">
        <f>Material_compnt_GREET2!H$20*Al_alloy_use_compnt!$C21</f>
        <v>0</v>
      </c>
      <c r="I114" s="143">
        <f>Material_compnt_GREET2!I$20*Al_alloy_use_compnt!$C21</f>
        <v>0</v>
      </c>
    </row>
    <row r="115" spans="1:9" x14ac:dyDescent="0.2">
      <c r="A115" s="142" t="s">
        <v>289</v>
      </c>
      <c r="B115" s="54">
        <f>Material_compnt_GREET2!B$20*Al_alloy_use_compnt!$C22</f>
        <v>29.257155626339223</v>
      </c>
      <c r="C115" s="54">
        <f>Material_compnt_GREET2!C$20*Al_alloy_use_compnt!$C22</f>
        <v>29.753422455415503</v>
      </c>
      <c r="D115" s="54">
        <f>Material_compnt_GREET2!D$20*Al_alloy_use_compnt!$C22</f>
        <v>25.394171531052315</v>
      </c>
      <c r="E115" s="54">
        <f>Material_compnt_GREET2!E$20*Al_alloy_use_compnt!$C22</f>
        <v>24.860260604153282</v>
      </c>
      <c r="F115" s="54">
        <f>Material_compnt_GREET2!F$20*Al_alloy_use_compnt!$C22</f>
        <v>0</v>
      </c>
      <c r="G115" s="54">
        <f>Material_compnt_GREET2!G$20*Al_alloy_use_compnt!$C22</f>
        <v>0</v>
      </c>
      <c r="H115" s="54">
        <f>Material_compnt_GREET2!H$20*Al_alloy_use_compnt!$C22</f>
        <v>0</v>
      </c>
      <c r="I115" s="143">
        <f>Material_compnt_GREET2!I$20*Al_alloy_use_compnt!$C22</f>
        <v>0</v>
      </c>
    </row>
    <row r="116" spans="1:9" x14ac:dyDescent="0.2">
      <c r="A116" s="142" t="s">
        <v>290</v>
      </c>
      <c r="B116" s="54">
        <f>Material_compnt_GREET2!B$20*Al_alloy_use_compnt!$C23</f>
        <v>29.257155626339223</v>
      </c>
      <c r="C116" s="54">
        <f>Material_compnt_GREET2!C$20*Al_alloy_use_compnt!$C23</f>
        <v>29.753422455415503</v>
      </c>
      <c r="D116" s="54">
        <f>Material_compnt_GREET2!D$20*Al_alloy_use_compnt!$C23</f>
        <v>25.394171531052315</v>
      </c>
      <c r="E116" s="54">
        <f>Material_compnt_GREET2!E$20*Al_alloy_use_compnt!$C23</f>
        <v>24.860260604153282</v>
      </c>
      <c r="F116" s="54">
        <f>Material_compnt_GREET2!F$20*Al_alloy_use_compnt!$C23</f>
        <v>0</v>
      </c>
      <c r="G116" s="54">
        <f>Material_compnt_GREET2!G$20*Al_alloy_use_compnt!$C23</f>
        <v>0</v>
      </c>
      <c r="H116" s="54">
        <f>Material_compnt_GREET2!H$20*Al_alloy_use_compnt!$C23</f>
        <v>0</v>
      </c>
      <c r="I116" s="143">
        <f>Material_compnt_GREET2!I$20*Al_alloy_use_compnt!$C23</f>
        <v>0</v>
      </c>
    </row>
    <row r="117" spans="1:9" x14ac:dyDescent="0.2">
      <c r="A117" s="142" t="s">
        <v>291</v>
      </c>
      <c r="B117" s="54">
        <f>Material_compnt_GREET2!B$20*Al_alloy_use_compnt!$C24</f>
        <v>0</v>
      </c>
      <c r="C117" s="54">
        <f>Material_compnt_GREET2!C$20*Al_alloy_use_compnt!$C24</f>
        <v>0</v>
      </c>
      <c r="D117" s="54">
        <f>Material_compnt_GREET2!D$20*Al_alloy_use_compnt!$C24</f>
        <v>0</v>
      </c>
      <c r="E117" s="54">
        <f>Material_compnt_GREET2!E$20*Al_alloy_use_compnt!$C24</f>
        <v>0</v>
      </c>
      <c r="F117" s="54">
        <f>Material_compnt_GREET2!F$20*Al_alloy_use_compnt!$C24</f>
        <v>0</v>
      </c>
      <c r="G117" s="54">
        <f>Material_compnt_GREET2!G$20*Al_alloy_use_compnt!$C24</f>
        <v>0</v>
      </c>
      <c r="H117" s="54">
        <f>Material_compnt_GREET2!H$20*Al_alloy_use_compnt!$C24</f>
        <v>0</v>
      </c>
      <c r="I117" s="143">
        <f>Material_compnt_GREET2!I$20*Al_alloy_use_compnt!$C24</f>
        <v>0</v>
      </c>
    </row>
    <row r="118" spans="1:9" x14ac:dyDescent="0.2">
      <c r="A118" s="142" t="s">
        <v>292</v>
      </c>
      <c r="B118" s="54">
        <f>Material_compnt_GREET2!B$20*Al_alloy_use_compnt!$C25</f>
        <v>0</v>
      </c>
      <c r="C118" s="54">
        <f>Material_compnt_GREET2!C$20*Al_alloy_use_compnt!$C25</f>
        <v>0</v>
      </c>
      <c r="D118" s="54">
        <f>Material_compnt_GREET2!D$20*Al_alloy_use_compnt!$C25</f>
        <v>0</v>
      </c>
      <c r="E118" s="54">
        <f>Material_compnt_GREET2!E$20*Al_alloy_use_compnt!$C25</f>
        <v>0</v>
      </c>
      <c r="F118" s="54">
        <f>Material_compnt_GREET2!F$20*Al_alloy_use_compnt!$C25</f>
        <v>0</v>
      </c>
      <c r="G118" s="54">
        <f>Material_compnt_GREET2!G$20*Al_alloy_use_compnt!$C25</f>
        <v>0</v>
      </c>
      <c r="H118" s="54">
        <f>Material_compnt_GREET2!H$20*Al_alloy_use_compnt!$C25</f>
        <v>0</v>
      </c>
      <c r="I118" s="143">
        <f>Material_compnt_GREET2!I$20*Al_alloy_use_compnt!$C25</f>
        <v>0</v>
      </c>
    </row>
    <row r="119" spans="1:9" x14ac:dyDescent="0.2">
      <c r="A119" s="142" t="s">
        <v>293</v>
      </c>
      <c r="B119" s="54">
        <f>Material_compnt_GREET2!B$20*Al_alloy_use_compnt!$C26</f>
        <v>0</v>
      </c>
      <c r="C119" s="54">
        <f>Material_compnt_GREET2!C$20*Al_alloy_use_compnt!$C26</f>
        <v>0</v>
      </c>
      <c r="D119" s="54">
        <f>Material_compnt_GREET2!D$20*Al_alloy_use_compnt!$C26</f>
        <v>0</v>
      </c>
      <c r="E119" s="54">
        <f>Material_compnt_GREET2!E$20*Al_alloy_use_compnt!$C26</f>
        <v>0</v>
      </c>
      <c r="F119" s="54">
        <f>Material_compnt_GREET2!F$20*Al_alloy_use_compnt!$C26</f>
        <v>0</v>
      </c>
      <c r="G119" s="54">
        <f>Material_compnt_GREET2!G$20*Al_alloy_use_compnt!$C26</f>
        <v>0</v>
      </c>
      <c r="H119" s="54">
        <f>Material_compnt_GREET2!H$20*Al_alloy_use_compnt!$C26</f>
        <v>0</v>
      </c>
      <c r="I119" s="143">
        <f>Material_compnt_GREET2!I$20*Al_alloy_use_compnt!$C26</f>
        <v>0</v>
      </c>
    </row>
    <row r="120" spans="1:9" x14ac:dyDescent="0.2">
      <c r="A120" s="142" t="s">
        <v>294</v>
      </c>
      <c r="B120" s="54">
        <f>Material_compnt_GREET2!B$20*Al_alloy_use_compnt!$C27</f>
        <v>0</v>
      </c>
      <c r="C120" s="54">
        <f>Material_compnt_GREET2!C$20*Al_alloy_use_compnt!$C27</f>
        <v>0</v>
      </c>
      <c r="D120" s="54">
        <f>Material_compnt_GREET2!D$20*Al_alloy_use_compnt!$C27</f>
        <v>0</v>
      </c>
      <c r="E120" s="54">
        <f>Material_compnt_GREET2!E$20*Al_alloy_use_compnt!$C27</f>
        <v>0</v>
      </c>
      <c r="F120" s="54">
        <f>Material_compnt_GREET2!F$20*Al_alloy_use_compnt!$C27</f>
        <v>0</v>
      </c>
      <c r="G120" s="54">
        <f>Material_compnt_GREET2!G$20*Al_alloy_use_compnt!$C27</f>
        <v>0</v>
      </c>
      <c r="H120" s="54">
        <f>Material_compnt_GREET2!H$20*Al_alloy_use_compnt!$C27</f>
        <v>0</v>
      </c>
      <c r="I120" s="143">
        <f>Material_compnt_GREET2!I$20*Al_alloy_use_compnt!$C27</f>
        <v>0</v>
      </c>
    </row>
    <row r="121" spans="1:9" x14ac:dyDescent="0.2">
      <c r="A121" s="144" t="s">
        <v>295</v>
      </c>
      <c r="B121" s="54">
        <f>Material_compnt_GREET2!B$20*Al_alloy_use_compnt!$C28</f>
        <v>0</v>
      </c>
      <c r="C121" s="54">
        <f>Material_compnt_GREET2!C$20*Al_alloy_use_compnt!$C28</f>
        <v>0</v>
      </c>
      <c r="D121" s="54">
        <f>Material_compnt_GREET2!D$20*Al_alloy_use_compnt!$C28</f>
        <v>0</v>
      </c>
      <c r="E121" s="54">
        <f>Material_compnt_GREET2!E$20*Al_alloy_use_compnt!$C28</f>
        <v>0</v>
      </c>
      <c r="F121" s="54">
        <f>Material_compnt_GREET2!F$20*Al_alloy_use_compnt!$C28</f>
        <v>0</v>
      </c>
      <c r="G121" s="54">
        <f>Material_compnt_GREET2!G$20*Al_alloy_use_compnt!$C28</f>
        <v>0</v>
      </c>
      <c r="H121" s="54">
        <f>Material_compnt_GREET2!H$20*Al_alloy_use_compnt!$C28</f>
        <v>0</v>
      </c>
      <c r="I121" s="143">
        <f>Material_compnt_GREET2!I$20*Al_alloy_use_compnt!$C28</f>
        <v>0</v>
      </c>
    </row>
    <row r="122" spans="1:9" x14ac:dyDescent="0.2">
      <c r="A122" s="142" t="s">
        <v>206</v>
      </c>
      <c r="B122" s="54">
        <v>0</v>
      </c>
      <c r="C122" s="54">
        <v>0</v>
      </c>
      <c r="D122" s="54">
        <v>0</v>
      </c>
      <c r="E122" s="54">
        <v>0</v>
      </c>
      <c r="F122" s="54">
        <v>0</v>
      </c>
      <c r="G122" s="54">
        <v>0</v>
      </c>
      <c r="H122" s="140">
        <v>0</v>
      </c>
      <c r="I122" s="141">
        <v>0</v>
      </c>
    </row>
    <row r="123" spans="1:9" ht="17" thickBot="1" x14ac:dyDescent="0.25">
      <c r="A123" s="149" t="s">
        <v>208</v>
      </c>
      <c r="B123" s="54">
        <v>0</v>
      </c>
      <c r="C123" s="54">
        <v>0</v>
      </c>
      <c r="D123" s="54">
        <v>0</v>
      </c>
      <c r="E123" s="54">
        <v>0</v>
      </c>
      <c r="F123" s="54">
        <v>0</v>
      </c>
      <c r="G123" s="54">
        <v>0</v>
      </c>
      <c r="H123" s="140">
        <v>0</v>
      </c>
      <c r="I123" s="141">
        <v>0</v>
      </c>
    </row>
    <row r="124" spans="1:9" ht="17" thickTop="1" x14ac:dyDescent="0.2">
      <c r="A124" s="139" t="s">
        <v>173</v>
      </c>
      <c r="B124" s="54"/>
      <c r="C124" s="54"/>
      <c r="D124" s="54"/>
      <c r="E124" s="54"/>
      <c r="F124" s="54"/>
      <c r="G124" s="54"/>
      <c r="H124" s="140"/>
      <c r="I124" s="141"/>
    </row>
    <row r="125" spans="1:9" x14ac:dyDescent="0.2">
      <c r="A125" s="142" t="s">
        <v>105</v>
      </c>
      <c r="B125" s="54">
        <f>Material_compnt_GREET2!B$37*'Alloy_compnt_G&amp;L'!$I$2</f>
        <v>4.6063998752909123</v>
      </c>
      <c r="C125" s="54">
        <f>Material_compnt_GREET2!C$37*'Alloy_compnt_G&amp;L'!$I$2</f>
        <v>4.5595862100108153</v>
      </c>
      <c r="D125" s="54">
        <f>Material_compnt_GREET2!D$37*'Alloy_compnt_G&amp;L'!$I$2</f>
        <v>9.3786128839845553</v>
      </c>
      <c r="E125" s="54">
        <f>Material_compnt_GREET2!E$37*'Alloy_compnt_G&amp;L'!$I$2</f>
        <v>9.3081771396099011</v>
      </c>
      <c r="F125" s="54">
        <f>Material_compnt_GREET2!F$37*'Alloy_compnt_G&amp;L'!$I$2</f>
        <v>9.3895764346271928</v>
      </c>
      <c r="G125" s="54">
        <f>Material_compnt_GREET2!G$37*'Alloy_compnt_G&amp;L'!$I$2</f>
        <v>9.3168457138879894</v>
      </c>
      <c r="H125" s="54">
        <f>Material_compnt_GREET2!H$37*'Alloy_compnt_G&amp;L'!$I$2</f>
        <v>0</v>
      </c>
      <c r="I125" s="143">
        <f>Material_compnt_GREET2!I$37*'Alloy_compnt_G&amp;L'!$I$2</f>
        <v>0</v>
      </c>
    </row>
    <row r="126" spans="1:9" x14ac:dyDescent="0.2">
      <c r="A126" s="142" t="s">
        <v>106</v>
      </c>
      <c r="B126" s="54">
        <f>Material_compnt_GREET2!B$37*'Alloy_compnt_G&amp;L'!$J$2</f>
        <v>4.1697742946946175</v>
      </c>
      <c r="C126" s="54">
        <f>Material_compnt_GREET2!C$37*'Alloy_compnt_G&amp;L'!$J$2</f>
        <v>4.1273979436590791</v>
      </c>
      <c r="D126" s="54">
        <f>Material_compnt_GREET2!D$37*'Alloy_compnt_G&amp;L'!$J$2</f>
        <v>8.4896448381092426</v>
      </c>
      <c r="E126" s="54">
        <f>Material_compnt_GREET2!E$37*'Alloy_compnt_G&amp;L'!$J$2</f>
        <v>8.4258854676089641</v>
      </c>
      <c r="F126" s="54">
        <f>Material_compnt_GREET2!F$37*'Alloy_compnt_G&amp;L'!$J$2</f>
        <v>8.4995691896388337</v>
      </c>
      <c r="G126" s="54">
        <f>Material_compnt_GREET2!G$37*'Alloy_compnt_G&amp;L'!$J$2</f>
        <v>8.4337323760787033</v>
      </c>
      <c r="H126" s="54">
        <f>Material_compnt_GREET2!H$37*'Alloy_compnt_G&amp;L'!$J$2</f>
        <v>0</v>
      </c>
      <c r="I126" s="143">
        <f>Material_compnt_GREET2!I$37*'Alloy_compnt_G&amp;L'!$J$2</f>
        <v>0</v>
      </c>
    </row>
    <row r="127" spans="1:9" x14ac:dyDescent="0.2">
      <c r="A127" s="142" t="s">
        <v>107</v>
      </c>
      <c r="B127" s="54">
        <f>Material_compnt_GREET2!B$37*'Alloy_compnt_G&amp;L'!$K$2</f>
        <v>13.055104859829223</v>
      </c>
      <c r="C127" s="54">
        <f>Material_compnt_GREET2!C$37*'Alloy_compnt_G&amp;L'!$K$2</f>
        <v>12.92242916391691</v>
      </c>
      <c r="D127" s="54">
        <f>Material_compnt_GREET2!D$37*'Alloy_compnt_G&amp;L'!$K$2</f>
        <v>26.580144571671873</v>
      </c>
      <c r="E127" s="54">
        <f>Material_compnt_GREET2!E$37*'Alloy_compnt_G&amp;L'!$K$2</f>
        <v>26.380520992828068</v>
      </c>
      <c r="F127" s="54">
        <f>Material_compnt_GREET2!F$37*'Alloy_compnt_G&amp;L'!$K$2</f>
        <v>26.611216625151954</v>
      </c>
      <c r="G127" s="54">
        <f>Material_compnt_GREET2!G$37*'Alloy_compnt_G&amp;L'!$K$2</f>
        <v>26.405088800497722</v>
      </c>
      <c r="H127" s="54">
        <f>Material_compnt_GREET2!H$37*'Alloy_compnt_G&amp;L'!$K$2</f>
        <v>0</v>
      </c>
      <c r="I127" s="143">
        <f>Material_compnt_GREET2!I$37*'Alloy_compnt_G&amp;L'!$K$2</f>
        <v>0</v>
      </c>
    </row>
    <row r="128" spans="1:9" x14ac:dyDescent="0.2">
      <c r="A128" s="142" t="s">
        <v>91</v>
      </c>
      <c r="B128" s="54">
        <v>0</v>
      </c>
      <c r="C128" s="54">
        <v>0</v>
      </c>
      <c r="D128" s="54">
        <v>0</v>
      </c>
      <c r="E128" s="54">
        <v>0</v>
      </c>
      <c r="F128" s="54">
        <v>0</v>
      </c>
      <c r="G128" s="54">
        <v>0</v>
      </c>
      <c r="H128" s="140">
        <v>0</v>
      </c>
      <c r="I128" s="141">
        <v>0</v>
      </c>
    </row>
    <row r="129" spans="1:9" x14ac:dyDescent="0.2">
      <c r="A129" s="142" t="s">
        <v>204</v>
      </c>
      <c r="B129" s="54">
        <f>Material_compnt_GREET2!B$39*'Alloy_compnt_G&amp;L'!$Q$2</f>
        <v>18.556587175342539</v>
      </c>
      <c r="C129" s="54">
        <f>Material_compnt_GREET2!C$39*'Alloy_compnt_G&amp;L'!$Q$2</f>
        <v>0</v>
      </c>
      <c r="D129" s="54">
        <f>Material_compnt_GREET2!D$39*'Alloy_compnt_G&amp;L'!$Q$2</f>
        <v>0</v>
      </c>
      <c r="E129" s="54">
        <f>Material_compnt_GREET2!E$39*'Alloy_compnt_G&amp;L'!$Q$2</f>
        <v>0</v>
      </c>
      <c r="F129" s="54">
        <f>Material_compnt_GREET2!F$39*'Alloy_compnt_G&amp;L'!$Q$2</f>
        <v>0</v>
      </c>
      <c r="G129" s="54">
        <f>Material_compnt_GREET2!G$39*'Alloy_compnt_G&amp;L'!$Q$2</f>
        <v>0</v>
      </c>
      <c r="H129" s="54">
        <f>Material_compnt_GREET2!H$39*'Alloy_compnt_G&amp;L'!$Q$2</f>
        <v>0</v>
      </c>
      <c r="I129" s="143">
        <f>Material_compnt_GREET2!I$39*'Alloy_compnt_G&amp;L'!$Q$2</f>
        <v>0</v>
      </c>
    </row>
    <row r="130" spans="1:9" x14ac:dyDescent="0.2">
      <c r="A130" s="144" t="s">
        <v>104</v>
      </c>
      <c r="B130" s="54">
        <f>Material_compnt_GREET2!B$39*'Alloy_compnt_G&amp;L'!$R$2</f>
        <v>3.2746918544722132</v>
      </c>
      <c r="C130" s="54">
        <f>Material_compnt_GREET2!C$39*'Alloy_compnt_G&amp;L'!$R$2</f>
        <v>0</v>
      </c>
      <c r="D130" s="54">
        <f>Material_compnt_GREET2!D$39*'Alloy_compnt_G&amp;L'!$R$2</f>
        <v>0</v>
      </c>
      <c r="E130" s="54">
        <f>Material_compnt_GREET2!E$39*'Alloy_compnt_G&amp;L'!$R$2</f>
        <v>0</v>
      </c>
      <c r="F130" s="54">
        <f>Material_compnt_GREET2!F$39*'Alloy_compnt_G&amp;L'!$R$2</f>
        <v>0</v>
      </c>
      <c r="G130" s="54">
        <f>Material_compnt_GREET2!G$39*'Alloy_compnt_G&amp;L'!$R$2</f>
        <v>0</v>
      </c>
      <c r="H130" s="54">
        <f>Material_compnt_GREET2!H$39*'Alloy_compnt_G&amp;L'!$R$2</f>
        <v>0</v>
      </c>
      <c r="I130" s="143">
        <f>Material_compnt_GREET2!I$39*'Alloy_compnt_G&amp;L'!$R$2</f>
        <v>0</v>
      </c>
    </row>
    <row r="131" spans="1:9" x14ac:dyDescent="0.2">
      <c r="A131" s="145" t="s">
        <v>244</v>
      </c>
      <c r="B131" s="54">
        <f>Material_compnt_GREET2!B$41*'Alloy_compnt_G&amp;L'!$M$2*Al_alloy_use_compnt!$D3</f>
        <v>0</v>
      </c>
      <c r="C131" s="54">
        <f>Material_compnt_GREET2!C$41*'Alloy_compnt_G&amp;L'!$M$2*Al_alloy_use_compnt!$D3</f>
        <v>0</v>
      </c>
      <c r="D131" s="54">
        <f>Material_compnt_GREET2!D$41*'Alloy_compnt_G&amp;L'!$M$2*Al_alloy_use_compnt!$D3</f>
        <v>0</v>
      </c>
      <c r="E131" s="54">
        <f>Material_compnt_GREET2!E$41*'Alloy_compnt_G&amp;L'!$M$2*Al_alloy_use_compnt!$D3</f>
        <v>0</v>
      </c>
      <c r="F131" s="54">
        <f>Material_compnt_GREET2!F$41*'Alloy_compnt_G&amp;L'!$M$2*Al_alloy_use_compnt!$D3</f>
        <v>0</v>
      </c>
      <c r="G131" s="54">
        <f>Material_compnt_GREET2!G$41*'Alloy_compnt_G&amp;L'!$M$2*Al_alloy_use_compnt!$D3</f>
        <v>0</v>
      </c>
      <c r="H131" s="54">
        <f>Material_compnt_GREET2!H$41*'Alloy_compnt_G&amp;L'!$M$2*Al_alloy_use_compnt!$D3</f>
        <v>0</v>
      </c>
      <c r="I131" s="143">
        <f>Material_compnt_GREET2!I$41*'Alloy_compnt_G&amp;L'!$M$2*Al_alloy_use_compnt!$D3</f>
        <v>0</v>
      </c>
    </row>
    <row r="132" spans="1:9" x14ac:dyDescent="0.2">
      <c r="A132" s="145" t="s">
        <v>245</v>
      </c>
      <c r="B132" s="54">
        <f>Material_compnt_GREET2!B$41*'Alloy_compnt_G&amp;L'!$M$2*Al_alloy_use_compnt!$D4</f>
        <v>0</v>
      </c>
      <c r="C132" s="54">
        <f>Material_compnt_GREET2!C$41*'Alloy_compnt_G&amp;L'!$M$2*Al_alloy_use_compnt!$D4</f>
        <v>0</v>
      </c>
      <c r="D132" s="54">
        <f>Material_compnt_GREET2!D$41*'Alloy_compnt_G&amp;L'!$M$2*Al_alloy_use_compnt!$D4</f>
        <v>0</v>
      </c>
      <c r="E132" s="54">
        <f>Material_compnt_GREET2!E$41*'Alloy_compnt_G&amp;L'!$M$2*Al_alloy_use_compnt!$D4</f>
        <v>0</v>
      </c>
      <c r="F132" s="54">
        <f>Material_compnt_GREET2!F$41*'Alloy_compnt_G&amp;L'!$M$2*Al_alloy_use_compnt!$D4</f>
        <v>0</v>
      </c>
      <c r="G132" s="54">
        <f>Material_compnt_GREET2!G$41*'Alloy_compnt_G&amp;L'!$M$2*Al_alloy_use_compnt!$D4</f>
        <v>0</v>
      </c>
      <c r="H132" s="54">
        <f>Material_compnt_GREET2!H$41*'Alloy_compnt_G&amp;L'!$M$2*Al_alloy_use_compnt!$D4</f>
        <v>0</v>
      </c>
      <c r="I132" s="143">
        <f>Material_compnt_GREET2!I$41*'Alloy_compnt_G&amp;L'!$M$2*Al_alloy_use_compnt!$D4</f>
        <v>0</v>
      </c>
    </row>
    <row r="133" spans="1:9" x14ac:dyDescent="0.2">
      <c r="A133" s="145" t="s">
        <v>246</v>
      </c>
      <c r="B133" s="54">
        <f>Material_compnt_GREET2!B$41*'Alloy_compnt_G&amp;L'!$M$2*Al_alloy_use_compnt!$D5</f>
        <v>0</v>
      </c>
      <c r="C133" s="54">
        <f>Material_compnt_GREET2!C$41*'Alloy_compnt_G&amp;L'!$M$2*Al_alloy_use_compnt!$D5</f>
        <v>0</v>
      </c>
      <c r="D133" s="54">
        <f>Material_compnt_GREET2!D$41*'Alloy_compnt_G&amp;L'!$M$2*Al_alloy_use_compnt!$D5</f>
        <v>0</v>
      </c>
      <c r="E133" s="54">
        <f>Material_compnt_GREET2!E$41*'Alloy_compnt_G&amp;L'!$M$2*Al_alloy_use_compnt!$D5</f>
        <v>0</v>
      </c>
      <c r="F133" s="54">
        <f>Material_compnt_GREET2!F$41*'Alloy_compnt_G&amp;L'!$M$2*Al_alloy_use_compnt!$D5</f>
        <v>0</v>
      </c>
      <c r="G133" s="54">
        <f>Material_compnt_GREET2!G$41*'Alloy_compnt_G&amp;L'!$M$2*Al_alloy_use_compnt!$D5</f>
        <v>0</v>
      </c>
      <c r="H133" s="54">
        <f>Material_compnt_GREET2!H$41*'Alloy_compnt_G&amp;L'!$M$2*Al_alloy_use_compnt!$D5</f>
        <v>0</v>
      </c>
      <c r="I133" s="143">
        <f>Material_compnt_GREET2!I$41*'Alloy_compnt_G&amp;L'!$M$2*Al_alloy_use_compnt!$D5</f>
        <v>0</v>
      </c>
    </row>
    <row r="134" spans="1:9" x14ac:dyDescent="0.2">
      <c r="A134" s="145" t="s">
        <v>247</v>
      </c>
      <c r="B134" s="54">
        <f>Material_compnt_GREET2!B$41*'Alloy_compnt_G&amp;L'!$M$2*Al_alloy_use_compnt!$D6</f>
        <v>0</v>
      </c>
      <c r="C134" s="54">
        <f>Material_compnt_GREET2!C$41*'Alloy_compnt_G&amp;L'!$M$2*Al_alloy_use_compnt!$D6</f>
        <v>0</v>
      </c>
      <c r="D134" s="54">
        <f>Material_compnt_GREET2!D$41*'Alloy_compnt_G&amp;L'!$M$2*Al_alloy_use_compnt!$D6</f>
        <v>0</v>
      </c>
      <c r="E134" s="54">
        <f>Material_compnt_GREET2!E$41*'Alloy_compnt_G&amp;L'!$M$2*Al_alloy_use_compnt!$D6</f>
        <v>0</v>
      </c>
      <c r="F134" s="54">
        <f>Material_compnt_GREET2!F$41*'Alloy_compnt_G&amp;L'!$M$2*Al_alloy_use_compnt!$D6</f>
        <v>0</v>
      </c>
      <c r="G134" s="54">
        <f>Material_compnt_GREET2!G$41*'Alloy_compnt_G&amp;L'!$M$2*Al_alloy_use_compnt!$D6</f>
        <v>0</v>
      </c>
      <c r="H134" s="54">
        <f>Material_compnt_GREET2!H$41*'Alloy_compnt_G&amp;L'!$M$2*Al_alloy_use_compnt!$D6</f>
        <v>0</v>
      </c>
      <c r="I134" s="143">
        <f>Material_compnt_GREET2!I$41*'Alloy_compnt_G&amp;L'!$M$2*Al_alloy_use_compnt!$D6</f>
        <v>0</v>
      </c>
    </row>
    <row r="135" spans="1:9" x14ac:dyDescent="0.2">
      <c r="A135" s="145" t="s">
        <v>248</v>
      </c>
      <c r="B135" s="54">
        <f>Material_compnt_GREET2!B$41*'Alloy_compnt_G&amp;L'!$M$2*Al_alloy_use_compnt!$D7</f>
        <v>0</v>
      </c>
      <c r="C135" s="54">
        <f>Material_compnt_GREET2!C$41*'Alloy_compnt_G&amp;L'!$M$2*Al_alloy_use_compnt!$D7</f>
        <v>0</v>
      </c>
      <c r="D135" s="54">
        <f>Material_compnt_GREET2!D$41*'Alloy_compnt_G&amp;L'!$M$2*Al_alloy_use_compnt!$D7</f>
        <v>0</v>
      </c>
      <c r="E135" s="54">
        <f>Material_compnt_GREET2!E$41*'Alloy_compnt_G&amp;L'!$M$2*Al_alloy_use_compnt!$D7</f>
        <v>0</v>
      </c>
      <c r="F135" s="54">
        <f>Material_compnt_GREET2!F$41*'Alloy_compnt_G&amp;L'!$M$2*Al_alloy_use_compnt!$D7</f>
        <v>0</v>
      </c>
      <c r="G135" s="54">
        <f>Material_compnt_GREET2!G$41*'Alloy_compnt_G&amp;L'!$M$2*Al_alloy_use_compnt!$D7</f>
        <v>0</v>
      </c>
      <c r="H135" s="54">
        <f>Material_compnt_GREET2!H$41*'Alloy_compnt_G&amp;L'!$M$2*Al_alloy_use_compnt!$D7</f>
        <v>0</v>
      </c>
      <c r="I135" s="143">
        <f>Material_compnt_GREET2!I$41*'Alloy_compnt_G&amp;L'!$M$2*Al_alloy_use_compnt!$D7</f>
        <v>0</v>
      </c>
    </row>
    <row r="136" spans="1:9" x14ac:dyDescent="0.2">
      <c r="A136" s="145" t="s">
        <v>249</v>
      </c>
      <c r="B136" s="54">
        <f>Material_compnt_GREET2!B$41*'Alloy_compnt_G&amp;L'!$M$2*Al_alloy_use_compnt!$D8</f>
        <v>0</v>
      </c>
      <c r="C136" s="54">
        <f>Material_compnt_GREET2!C$41*'Alloy_compnt_G&amp;L'!$M$2*Al_alloy_use_compnt!$D8</f>
        <v>0</v>
      </c>
      <c r="D136" s="54">
        <f>Material_compnt_GREET2!D$41*'Alloy_compnt_G&amp;L'!$M$2*Al_alloy_use_compnt!$D8</f>
        <v>0</v>
      </c>
      <c r="E136" s="54">
        <f>Material_compnt_GREET2!E$41*'Alloy_compnt_G&amp;L'!$M$2*Al_alloy_use_compnt!$D8</f>
        <v>0</v>
      </c>
      <c r="F136" s="54">
        <f>Material_compnt_GREET2!F$41*'Alloy_compnt_G&amp;L'!$M$2*Al_alloy_use_compnt!$D8</f>
        <v>0</v>
      </c>
      <c r="G136" s="54">
        <f>Material_compnt_GREET2!G$41*'Alloy_compnt_G&amp;L'!$M$2*Al_alloy_use_compnt!$D8</f>
        <v>0</v>
      </c>
      <c r="H136" s="54">
        <f>Material_compnt_GREET2!H$41*'Alloy_compnt_G&amp;L'!$M$2*Al_alloy_use_compnt!$D8</f>
        <v>0</v>
      </c>
      <c r="I136" s="143">
        <f>Material_compnt_GREET2!I$41*'Alloy_compnt_G&amp;L'!$M$2*Al_alloy_use_compnt!$D8</f>
        <v>0</v>
      </c>
    </row>
    <row r="137" spans="1:9" x14ac:dyDescent="0.2">
      <c r="A137" s="145" t="s">
        <v>250</v>
      </c>
      <c r="B137" s="54">
        <f>Material_compnt_GREET2!B$41*'Alloy_compnt_G&amp;L'!$M$2*Al_alloy_use_compnt!$D9</f>
        <v>0</v>
      </c>
      <c r="C137" s="54">
        <f>Material_compnt_GREET2!C$41*'Alloy_compnt_G&amp;L'!$M$2*Al_alloy_use_compnt!$D9</f>
        <v>0</v>
      </c>
      <c r="D137" s="54">
        <f>Material_compnt_GREET2!D$41*'Alloy_compnt_G&amp;L'!$M$2*Al_alloy_use_compnt!$D9</f>
        <v>0</v>
      </c>
      <c r="E137" s="54">
        <f>Material_compnt_GREET2!E$41*'Alloy_compnt_G&amp;L'!$M$2*Al_alloy_use_compnt!$D9</f>
        <v>0</v>
      </c>
      <c r="F137" s="54">
        <f>Material_compnt_GREET2!F$41*'Alloy_compnt_G&amp;L'!$M$2*Al_alloy_use_compnt!$D9</f>
        <v>0</v>
      </c>
      <c r="G137" s="54">
        <f>Material_compnt_GREET2!G$41*'Alloy_compnt_G&amp;L'!$M$2*Al_alloy_use_compnt!$D9</f>
        <v>0</v>
      </c>
      <c r="H137" s="54">
        <f>Material_compnt_GREET2!H$41*'Alloy_compnt_G&amp;L'!$M$2*Al_alloy_use_compnt!$D9</f>
        <v>0</v>
      </c>
      <c r="I137" s="143">
        <f>Material_compnt_GREET2!I$41*'Alloy_compnt_G&amp;L'!$M$2*Al_alloy_use_compnt!$D9</f>
        <v>0</v>
      </c>
    </row>
    <row r="138" spans="1:9" x14ac:dyDescent="0.2">
      <c r="A138" s="145" t="s">
        <v>251</v>
      </c>
      <c r="B138" s="54">
        <f>Material_compnt_GREET2!B$41*'Alloy_compnt_G&amp;L'!$M$2*Al_alloy_use_compnt!$D10</f>
        <v>0</v>
      </c>
      <c r="C138" s="54">
        <f>Material_compnt_GREET2!C$41*'Alloy_compnt_G&amp;L'!$M$2*Al_alloy_use_compnt!$D10</f>
        <v>0</v>
      </c>
      <c r="D138" s="54">
        <f>Material_compnt_GREET2!D$41*'Alloy_compnt_G&amp;L'!$M$2*Al_alloy_use_compnt!$D10</f>
        <v>0</v>
      </c>
      <c r="E138" s="54">
        <f>Material_compnt_GREET2!E$41*'Alloy_compnt_G&amp;L'!$M$2*Al_alloy_use_compnt!$D10</f>
        <v>0</v>
      </c>
      <c r="F138" s="54">
        <f>Material_compnt_GREET2!F$41*'Alloy_compnt_G&amp;L'!$M$2*Al_alloy_use_compnt!$D10</f>
        <v>0</v>
      </c>
      <c r="G138" s="54">
        <f>Material_compnt_GREET2!G$41*'Alloy_compnt_G&amp;L'!$M$2*Al_alloy_use_compnt!$D10</f>
        <v>0</v>
      </c>
      <c r="H138" s="54">
        <f>Material_compnt_GREET2!H$41*'Alloy_compnt_G&amp;L'!$M$2*Al_alloy_use_compnt!$D10</f>
        <v>0</v>
      </c>
      <c r="I138" s="143">
        <f>Material_compnt_GREET2!I$41*'Alloy_compnt_G&amp;L'!$M$2*Al_alloy_use_compnt!$D10</f>
        <v>0</v>
      </c>
    </row>
    <row r="139" spans="1:9" x14ac:dyDescent="0.2">
      <c r="A139" s="145" t="s">
        <v>252</v>
      </c>
      <c r="B139" s="54">
        <f>Material_compnt_GREET2!B$41*'Alloy_compnt_G&amp;L'!$M$2*Al_alloy_use_compnt!$D11</f>
        <v>0</v>
      </c>
      <c r="C139" s="54">
        <f>Material_compnt_GREET2!C$41*'Alloy_compnt_G&amp;L'!$M$2*Al_alloy_use_compnt!$D11</f>
        <v>0</v>
      </c>
      <c r="D139" s="54">
        <f>Material_compnt_GREET2!D$41*'Alloy_compnt_G&amp;L'!$M$2*Al_alloy_use_compnt!$D11</f>
        <v>0</v>
      </c>
      <c r="E139" s="54">
        <f>Material_compnt_GREET2!E$41*'Alloy_compnt_G&amp;L'!$M$2*Al_alloy_use_compnt!$D11</f>
        <v>0</v>
      </c>
      <c r="F139" s="54">
        <f>Material_compnt_GREET2!F$41*'Alloy_compnt_G&amp;L'!$M$2*Al_alloy_use_compnt!$D11</f>
        <v>0</v>
      </c>
      <c r="G139" s="54">
        <f>Material_compnt_GREET2!G$41*'Alloy_compnt_G&amp;L'!$M$2*Al_alloy_use_compnt!$D11</f>
        <v>0</v>
      </c>
      <c r="H139" s="54">
        <f>Material_compnt_GREET2!H$41*'Alloy_compnt_G&amp;L'!$M$2*Al_alloy_use_compnt!$D11</f>
        <v>0</v>
      </c>
      <c r="I139" s="143">
        <f>Material_compnt_GREET2!I$41*'Alloy_compnt_G&amp;L'!$M$2*Al_alloy_use_compnt!$D11</f>
        <v>0</v>
      </c>
    </row>
    <row r="140" spans="1:9" x14ac:dyDescent="0.2">
      <c r="A140" s="145" t="s">
        <v>253</v>
      </c>
      <c r="B140" s="54">
        <f>Material_compnt_GREET2!B$41*'Alloy_compnt_G&amp;L'!$M$2*Al_alloy_use_compnt!$D12</f>
        <v>0</v>
      </c>
      <c r="C140" s="54">
        <f>Material_compnt_GREET2!C$41*'Alloy_compnt_G&amp;L'!$M$2*Al_alloy_use_compnt!$D12</f>
        <v>0</v>
      </c>
      <c r="D140" s="54">
        <f>Material_compnt_GREET2!D$41*'Alloy_compnt_G&amp;L'!$M$2*Al_alloy_use_compnt!$D12</f>
        <v>0</v>
      </c>
      <c r="E140" s="54">
        <f>Material_compnt_GREET2!E$41*'Alloy_compnt_G&amp;L'!$M$2*Al_alloy_use_compnt!$D12</f>
        <v>0</v>
      </c>
      <c r="F140" s="54">
        <f>Material_compnt_GREET2!F$41*'Alloy_compnt_G&amp;L'!$M$2*Al_alloy_use_compnt!$D12</f>
        <v>0</v>
      </c>
      <c r="G140" s="54">
        <f>Material_compnt_GREET2!G$41*'Alloy_compnt_G&amp;L'!$M$2*Al_alloy_use_compnt!$D12</f>
        <v>0</v>
      </c>
      <c r="H140" s="54">
        <f>Material_compnt_GREET2!H$41*'Alloy_compnt_G&amp;L'!$M$2*Al_alloy_use_compnt!$D12</f>
        <v>0</v>
      </c>
      <c r="I140" s="143">
        <f>Material_compnt_GREET2!I$41*'Alloy_compnt_G&amp;L'!$M$2*Al_alloy_use_compnt!$D12</f>
        <v>0</v>
      </c>
    </row>
    <row r="141" spans="1:9" x14ac:dyDescent="0.2">
      <c r="A141" s="145" t="s">
        <v>254</v>
      </c>
      <c r="B141" s="54">
        <f>Material_compnt_GREET2!B$41*'Alloy_compnt_G&amp;L'!$M$2*Al_alloy_use_compnt!$D13</f>
        <v>0</v>
      </c>
      <c r="C141" s="54">
        <f>Material_compnt_GREET2!C$41*'Alloy_compnt_G&amp;L'!$M$2*Al_alloy_use_compnt!$D13</f>
        <v>0</v>
      </c>
      <c r="D141" s="54">
        <f>Material_compnt_GREET2!D$41*'Alloy_compnt_G&amp;L'!$M$2*Al_alloy_use_compnt!$D13</f>
        <v>0</v>
      </c>
      <c r="E141" s="54">
        <f>Material_compnt_GREET2!E$41*'Alloy_compnt_G&amp;L'!$M$2*Al_alloy_use_compnt!$D13</f>
        <v>0</v>
      </c>
      <c r="F141" s="54">
        <f>Material_compnt_GREET2!F$41*'Alloy_compnt_G&amp;L'!$M$2*Al_alloy_use_compnt!$D13</f>
        <v>0</v>
      </c>
      <c r="G141" s="54">
        <f>Material_compnt_GREET2!G$41*'Alloy_compnt_G&amp;L'!$M$2*Al_alloy_use_compnt!$D13</f>
        <v>0</v>
      </c>
      <c r="H141" s="54">
        <f>Material_compnt_GREET2!H$41*'Alloy_compnt_G&amp;L'!$M$2*Al_alloy_use_compnt!$D13</f>
        <v>0</v>
      </c>
      <c r="I141" s="143">
        <f>Material_compnt_GREET2!I$41*'Alloy_compnt_G&amp;L'!$M$2*Al_alloy_use_compnt!$D13</f>
        <v>0</v>
      </c>
    </row>
    <row r="142" spans="1:9" x14ac:dyDescent="0.2">
      <c r="A142" s="146" t="s">
        <v>255</v>
      </c>
      <c r="B142" s="54">
        <f>Material_compnt_GREET2!B$41*'Alloy_compnt_G&amp;L'!$M$2*Al_alloy_use_compnt!$D14</f>
        <v>0</v>
      </c>
      <c r="C142" s="54">
        <f>Material_compnt_GREET2!C$41*'Alloy_compnt_G&amp;L'!$M$2*Al_alloy_use_compnt!$D14</f>
        <v>0</v>
      </c>
      <c r="D142" s="54">
        <f>Material_compnt_GREET2!D$41*'Alloy_compnt_G&amp;L'!$M$2*Al_alloy_use_compnt!$D14</f>
        <v>0</v>
      </c>
      <c r="E142" s="54">
        <f>Material_compnt_GREET2!E$41*'Alloy_compnt_G&amp;L'!$M$2*Al_alloy_use_compnt!$D14</f>
        <v>0</v>
      </c>
      <c r="F142" s="54">
        <f>Material_compnt_GREET2!F$41*'Alloy_compnt_G&amp;L'!$M$2*Al_alloy_use_compnt!$D14</f>
        <v>0</v>
      </c>
      <c r="G142" s="54">
        <f>Material_compnt_GREET2!G$41*'Alloy_compnt_G&amp;L'!$M$2*Al_alloy_use_compnt!$D14</f>
        <v>0</v>
      </c>
      <c r="H142" s="54">
        <f>Material_compnt_GREET2!H$41*'Alloy_compnt_G&amp;L'!$M$2*Al_alloy_use_compnt!$D14</f>
        <v>0</v>
      </c>
      <c r="I142" s="143">
        <f>Material_compnt_GREET2!I$41*'Alloy_compnt_G&amp;L'!$M$2*Al_alloy_use_compnt!$D14</f>
        <v>0</v>
      </c>
    </row>
    <row r="143" spans="1:9" x14ac:dyDescent="0.2">
      <c r="A143" s="145" t="s">
        <v>256</v>
      </c>
      <c r="B143" s="54">
        <f>Material_compnt_GREET2!B$41*'Alloy_compnt_G&amp;L'!$M$2*Al_alloy_use_compnt!$D15</f>
        <v>0</v>
      </c>
      <c r="C143" s="54">
        <f>Material_compnt_GREET2!C$41*'Alloy_compnt_G&amp;L'!$M$2*Al_alloy_use_compnt!$D15</f>
        <v>0</v>
      </c>
      <c r="D143" s="54">
        <f>Material_compnt_GREET2!D$41*'Alloy_compnt_G&amp;L'!$M$2*Al_alloy_use_compnt!$D15</f>
        <v>0</v>
      </c>
      <c r="E143" s="54">
        <f>Material_compnt_GREET2!E$41*'Alloy_compnt_G&amp;L'!$M$2*Al_alloy_use_compnt!$D15</f>
        <v>0</v>
      </c>
      <c r="F143" s="54">
        <f>Material_compnt_GREET2!F$41*'Alloy_compnt_G&amp;L'!$M$2*Al_alloy_use_compnt!$D15</f>
        <v>0</v>
      </c>
      <c r="G143" s="54">
        <f>Material_compnt_GREET2!G$41*'Alloy_compnt_G&amp;L'!$M$2*Al_alloy_use_compnt!$D15</f>
        <v>0</v>
      </c>
      <c r="H143" s="54">
        <f>Material_compnt_GREET2!H$41*'Alloy_compnt_G&amp;L'!$M$2*Al_alloy_use_compnt!$D15</f>
        <v>0</v>
      </c>
      <c r="I143" s="143">
        <f>Material_compnt_GREET2!I$41*'Alloy_compnt_G&amp;L'!$M$2*Al_alloy_use_compnt!$D15</f>
        <v>0</v>
      </c>
    </row>
    <row r="144" spans="1:9" x14ac:dyDescent="0.2">
      <c r="A144" s="145" t="s">
        <v>257</v>
      </c>
      <c r="B144" s="54">
        <f>Material_compnt_GREET2!B$41*'Alloy_compnt_G&amp;L'!$M$2*Al_alloy_use_compnt!$D16</f>
        <v>0</v>
      </c>
      <c r="C144" s="54">
        <f>Material_compnt_GREET2!C$41*'Alloy_compnt_G&amp;L'!$M$2*Al_alloy_use_compnt!$D16</f>
        <v>0</v>
      </c>
      <c r="D144" s="54">
        <f>Material_compnt_GREET2!D$41*'Alloy_compnt_G&amp;L'!$M$2*Al_alloy_use_compnt!$D16</f>
        <v>0</v>
      </c>
      <c r="E144" s="54">
        <f>Material_compnt_GREET2!E$41*'Alloy_compnt_G&amp;L'!$M$2*Al_alloy_use_compnt!$D16</f>
        <v>0</v>
      </c>
      <c r="F144" s="54">
        <f>Material_compnt_GREET2!F$41*'Alloy_compnt_G&amp;L'!$M$2*Al_alloy_use_compnt!$D16</f>
        <v>0</v>
      </c>
      <c r="G144" s="54">
        <f>Material_compnt_GREET2!G$41*'Alloy_compnt_G&amp;L'!$M$2*Al_alloy_use_compnt!$D16</f>
        <v>0</v>
      </c>
      <c r="H144" s="54">
        <f>Material_compnt_GREET2!H$41*'Alloy_compnt_G&amp;L'!$M$2*Al_alloy_use_compnt!$D16</f>
        <v>0</v>
      </c>
      <c r="I144" s="143">
        <f>Material_compnt_GREET2!I$41*'Alloy_compnt_G&amp;L'!$M$2*Al_alloy_use_compnt!$D16</f>
        <v>0</v>
      </c>
    </row>
    <row r="145" spans="1:9" x14ac:dyDescent="0.2">
      <c r="A145" s="145" t="s">
        <v>258</v>
      </c>
      <c r="B145" s="54">
        <f>Material_compnt_GREET2!B$41*'Alloy_compnt_G&amp;L'!$M$2*Al_alloy_use_compnt!$D17</f>
        <v>0</v>
      </c>
      <c r="C145" s="54">
        <f>Material_compnt_GREET2!C$41*'Alloy_compnt_G&amp;L'!$M$2*Al_alloy_use_compnt!$D17</f>
        <v>0</v>
      </c>
      <c r="D145" s="54">
        <f>Material_compnt_GREET2!D$41*'Alloy_compnt_G&amp;L'!$M$2*Al_alloy_use_compnt!$D17</f>
        <v>0</v>
      </c>
      <c r="E145" s="54">
        <f>Material_compnt_GREET2!E$41*'Alloy_compnt_G&amp;L'!$M$2*Al_alloy_use_compnt!$D17</f>
        <v>0</v>
      </c>
      <c r="F145" s="54">
        <f>Material_compnt_GREET2!F$41*'Alloy_compnt_G&amp;L'!$M$2*Al_alloy_use_compnt!$D17</f>
        <v>0</v>
      </c>
      <c r="G145" s="54">
        <f>Material_compnt_GREET2!G$41*'Alloy_compnt_G&amp;L'!$M$2*Al_alloy_use_compnt!$D17</f>
        <v>0</v>
      </c>
      <c r="H145" s="54">
        <f>Material_compnt_GREET2!H$41*'Alloy_compnt_G&amp;L'!$M$2*Al_alloy_use_compnt!$D17</f>
        <v>0</v>
      </c>
      <c r="I145" s="143">
        <f>Material_compnt_GREET2!I$41*'Alloy_compnt_G&amp;L'!$M$2*Al_alloy_use_compnt!$D17</f>
        <v>0</v>
      </c>
    </row>
    <row r="146" spans="1:9" x14ac:dyDescent="0.2">
      <c r="A146" s="142" t="s">
        <v>259</v>
      </c>
      <c r="B146" s="54">
        <f>Material_compnt_GREET2!B$41*'Alloy_compnt_G&amp;L'!$M$2*Al_alloy_use_compnt!$D18</f>
        <v>0</v>
      </c>
      <c r="C146" s="54">
        <f>Material_compnt_GREET2!C$41*'Alloy_compnt_G&amp;L'!$M$2*Al_alloy_use_compnt!$D18</f>
        <v>0</v>
      </c>
      <c r="D146" s="54">
        <f>Material_compnt_GREET2!D$41*'Alloy_compnt_G&amp;L'!$M$2*Al_alloy_use_compnt!$D18</f>
        <v>0</v>
      </c>
      <c r="E146" s="54">
        <f>Material_compnt_GREET2!E$41*'Alloy_compnt_G&amp;L'!$M$2*Al_alloy_use_compnt!$D18</f>
        <v>0</v>
      </c>
      <c r="F146" s="54">
        <f>Material_compnt_GREET2!F$41*'Alloy_compnt_G&amp;L'!$M$2*Al_alloy_use_compnt!$D18</f>
        <v>0</v>
      </c>
      <c r="G146" s="54">
        <f>Material_compnt_GREET2!G$41*'Alloy_compnt_G&amp;L'!$M$2*Al_alloy_use_compnt!$D18</f>
        <v>0</v>
      </c>
      <c r="H146" s="54">
        <f>Material_compnt_GREET2!H$41*'Alloy_compnt_G&amp;L'!$M$2*Al_alloy_use_compnt!$D18</f>
        <v>0</v>
      </c>
      <c r="I146" s="143">
        <f>Material_compnt_GREET2!I$41*'Alloy_compnt_G&amp;L'!$M$2*Al_alloy_use_compnt!$D18</f>
        <v>0</v>
      </c>
    </row>
    <row r="147" spans="1:9" x14ac:dyDescent="0.2">
      <c r="A147" s="147" t="s">
        <v>260</v>
      </c>
      <c r="B147" s="54">
        <f>Material_compnt_GREET2!B$41*'Alloy_compnt_G&amp;L'!$M$2*Al_alloy_use_compnt!$D19</f>
        <v>0</v>
      </c>
      <c r="C147" s="54">
        <f>Material_compnt_GREET2!C$41*'Alloy_compnt_G&amp;L'!$M$2*Al_alloy_use_compnt!$D19</f>
        <v>0</v>
      </c>
      <c r="D147" s="54">
        <f>Material_compnt_GREET2!D$41*'Alloy_compnt_G&amp;L'!$M$2*Al_alloy_use_compnt!$D19</f>
        <v>0</v>
      </c>
      <c r="E147" s="54">
        <f>Material_compnt_GREET2!E$41*'Alloy_compnt_G&amp;L'!$M$2*Al_alloy_use_compnt!$D19</f>
        <v>0</v>
      </c>
      <c r="F147" s="54">
        <f>Material_compnt_GREET2!F$41*'Alloy_compnt_G&amp;L'!$M$2*Al_alloy_use_compnt!$D19</f>
        <v>0</v>
      </c>
      <c r="G147" s="54">
        <f>Material_compnt_GREET2!G$41*'Alloy_compnt_G&amp;L'!$M$2*Al_alloy_use_compnt!$D19</f>
        <v>0</v>
      </c>
      <c r="H147" s="54">
        <f>Material_compnt_GREET2!H$41*'Alloy_compnt_G&amp;L'!$M$2*Al_alloy_use_compnt!$D19</f>
        <v>0</v>
      </c>
      <c r="I147" s="143">
        <f>Material_compnt_GREET2!I$41*'Alloy_compnt_G&amp;L'!$M$2*Al_alloy_use_compnt!$D19</f>
        <v>0</v>
      </c>
    </row>
    <row r="148" spans="1:9" x14ac:dyDescent="0.2">
      <c r="A148" s="142" t="s">
        <v>261</v>
      </c>
      <c r="B148" s="54">
        <f>Material_compnt_GREET2!B$41*'Alloy_compnt_G&amp;L'!$N$2*Al_alloy_use_compnt!$D3</f>
        <v>0</v>
      </c>
      <c r="C148" s="54">
        <f>Material_compnt_GREET2!C$41*'Alloy_compnt_G&amp;L'!$N$2*Al_alloy_use_compnt!$D3</f>
        <v>0</v>
      </c>
      <c r="D148" s="54">
        <f>Material_compnt_GREET2!D$41*'Alloy_compnt_G&amp;L'!$N$2*Al_alloy_use_compnt!$D3</f>
        <v>0</v>
      </c>
      <c r="E148" s="54">
        <f>Material_compnt_GREET2!E$41*'Alloy_compnt_G&amp;L'!$N$2*Al_alloy_use_compnt!$D3</f>
        <v>0</v>
      </c>
      <c r="F148" s="54">
        <f>Material_compnt_GREET2!F$41*'Alloy_compnt_G&amp;L'!$N$2*Al_alloy_use_compnt!$D3</f>
        <v>0</v>
      </c>
      <c r="G148" s="54">
        <f>Material_compnt_GREET2!G$41*'Alloy_compnt_G&amp;L'!$N$2*Al_alloy_use_compnt!$D3</f>
        <v>0</v>
      </c>
      <c r="H148" s="54">
        <f>Material_compnt_GREET2!H$41*'Alloy_compnt_G&amp;L'!$N$2*Al_alloy_use_compnt!$D3</f>
        <v>0</v>
      </c>
      <c r="I148" s="143">
        <f>Material_compnt_GREET2!I$41*'Alloy_compnt_G&amp;L'!$N$2*Al_alloy_use_compnt!$D3</f>
        <v>0</v>
      </c>
    </row>
    <row r="149" spans="1:9" x14ac:dyDescent="0.2">
      <c r="A149" s="142" t="s">
        <v>262</v>
      </c>
      <c r="B149" s="54">
        <f>Material_compnt_GREET2!B$41*'Alloy_compnt_G&amp;L'!$N$2*Al_alloy_use_compnt!$D4</f>
        <v>0</v>
      </c>
      <c r="C149" s="54">
        <f>Material_compnt_GREET2!C$41*'Alloy_compnt_G&amp;L'!$N$2*Al_alloy_use_compnt!$D4</f>
        <v>0</v>
      </c>
      <c r="D149" s="54">
        <f>Material_compnt_GREET2!D$41*'Alloy_compnt_G&amp;L'!$N$2*Al_alloy_use_compnt!$D4</f>
        <v>0</v>
      </c>
      <c r="E149" s="54">
        <f>Material_compnt_GREET2!E$41*'Alloy_compnt_G&amp;L'!$N$2*Al_alloy_use_compnt!$D4</f>
        <v>0</v>
      </c>
      <c r="F149" s="54">
        <f>Material_compnt_GREET2!F$41*'Alloy_compnt_G&amp;L'!$N$2*Al_alloy_use_compnt!$D4</f>
        <v>0</v>
      </c>
      <c r="G149" s="54">
        <f>Material_compnt_GREET2!G$41*'Alloy_compnt_G&amp;L'!$N$2*Al_alloy_use_compnt!$D4</f>
        <v>0</v>
      </c>
      <c r="H149" s="54">
        <f>Material_compnt_GREET2!H$41*'Alloy_compnt_G&amp;L'!$N$2*Al_alloy_use_compnt!$D4</f>
        <v>0</v>
      </c>
      <c r="I149" s="143">
        <f>Material_compnt_GREET2!I$41*'Alloy_compnt_G&amp;L'!$N$2*Al_alloy_use_compnt!$D4</f>
        <v>0</v>
      </c>
    </row>
    <row r="150" spans="1:9" x14ac:dyDescent="0.2">
      <c r="A150" s="142" t="s">
        <v>263</v>
      </c>
      <c r="B150" s="54">
        <f>Material_compnt_GREET2!B$41*'Alloy_compnt_G&amp;L'!$N$2*Al_alloy_use_compnt!$D5</f>
        <v>0</v>
      </c>
      <c r="C150" s="54">
        <f>Material_compnt_GREET2!C$41*'Alloy_compnt_G&amp;L'!$N$2*Al_alloy_use_compnt!$D5</f>
        <v>0</v>
      </c>
      <c r="D150" s="54">
        <f>Material_compnt_GREET2!D$41*'Alloy_compnt_G&amp;L'!$N$2*Al_alloy_use_compnt!$D5</f>
        <v>0</v>
      </c>
      <c r="E150" s="54">
        <f>Material_compnt_GREET2!E$41*'Alloy_compnt_G&amp;L'!$N$2*Al_alloy_use_compnt!$D5</f>
        <v>0</v>
      </c>
      <c r="F150" s="54">
        <f>Material_compnt_GREET2!F$41*'Alloy_compnt_G&amp;L'!$N$2*Al_alloy_use_compnt!$D5</f>
        <v>0</v>
      </c>
      <c r="G150" s="54">
        <f>Material_compnt_GREET2!G$41*'Alloy_compnt_G&amp;L'!$N$2*Al_alloy_use_compnt!$D5</f>
        <v>0</v>
      </c>
      <c r="H150" s="54">
        <f>Material_compnt_GREET2!H$41*'Alloy_compnt_G&amp;L'!$N$2*Al_alloy_use_compnt!$D5</f>
        <v>0</v>
      </c>
      <c r="I150" s="143">
        <f>Material_compnt_GREET2!I$41*'Alloy_compnt_G&amp;L'!$N$2*Al_alloy_use_compnt!$D5</f>
        <v>0</v>
      </c>
    </row>
    <row r="151" spans="1:9" x14ac:dyDescent="0.2">
      <c r="A151" s="142" t="s">
        <v>264</v>
      </c>
      <c r="B151" s="54">
        <f>Material_compnt_GREET2!B$41*'Alloy_compnt_G&amp;L'!$N$2*Al_alloy_use_compnt!$D6</f>
        <v>0</v>
      </c>
      <c r="C151" s="54">
        <f>Material_compnt_GREET2!C$41*'Alloy_compnt_G&amp;L'!$N$2*Al_alloy_use_compnt!$D6</f>
        <v>0</v>
      </c>
      <c r="D151" s="54">
        <f>Material_compnt_GREET2!D$41*'Alloy_compnt_G&amp;L'!$N$2*Al_alloy_use_compnt!$D6</f>
        <v>0</v>
      </c>
      <c r="E151" s="54">
        <f>Material_compnt_GREET2!E$41*'Alloy_compnt_G&amp;L'!$N$2*Al_alloy_use_compnt!$D6</f>
        <v>0</v>
      </c>
      <c r="F151" s="54">
        <f>Material_compnt_GREET2!F$41*'Alloy_compnt_G&amp;L'!$N$2*Al_alloy_use_compnt!$D6</f>
        <v>0</v>
      </c>
      <c r="G151" s="54">
        <f>Material_compnt_GREET2!G$41*'Alloy_compnt_G&amp;L'!$N$2*Al_alloy_use_compnt!$D6</f>
        <v>0</v>
      </c>
      <c r="H151" s="54">
        <f>Material_compnt_GREET2!H$41*'Alloy_compnt_G&amp;L'!$N$2*Al_alloy_use_compnt!$D6</f>
        <v>0</v>
      </c>
      <c r="I151" s="143">
        <f>Material_compnt_GREET2!I$41*'Alloy_compnt_G&amp;L'!$N$2*Al_alloy_use_compnt!$D6</f>
        <v>0</v>
      </c>
    </row>
    <row r="152" spans="1:9" x14ac:dyDescent="0.2">
      <c r="A152" s="142" t="s">
        <v>265</v>
      </c>
      <c r="B152" s="54">
        <f>Material_compnt_GREET2!B$41*'Alloy_compnt_G&amp;L'!$N$2*Al_alloy_use_compnt!$D7</f>
        <v>0</v>
      </c>
      <c r="C152" s="54">
        <f>Material_compnt_GREET2!C$41*'Alloy_compnt_G&amp;L'!$N$2*Al_alloy_use_compnt!$D7</f>
        <v>0</v>
      </c>
      <c r="D152" s="54">
        <f>Material_compnt_GREET2!D$41*'Alloy_compnt_G&amp;L'!$N$2*Al_alloy_use_compnt!$D7</f>
        <v>0</v>
      </c>
      <c r="E152" s="54">
        <f>Material_compnt_GREET2!E$41*'Alloy_compnt_G&amp;L'!$N$2*Al_alloy_use_compnt!$D7</f>
        <v>0</v>
      </c>
      <c r="F152" s="54">
        <f>Material_compnt_GREET2!F$41*'Alloy_compnt_G&amp;L'!$N$2*Al_alloy_use_compnt!$D7</f>
        <v>0</v>
      </c>
      <c r="G152" s="54">
        <f>Material_compnt_GREET2!G$41*'Alloy_compnt_G&amp;L'!$N$2*Al_alloy_use_compnt!$D7</f>
        <v>0</v>
      </c>
      <c r="H152" s="54">
        <f>Material_compnt_GREET2!H$41*'Alloy_compnt_G&amp;L'!$N$2*Al_alloy_use_compnt!$D7</f>
        <v>0</v>
      </c>
      <c r="I152" s="143">
        <f>Material_compnt_GREET2!I$41*'Alloy_compnt_G&amp;L'!$N$2*Al_alloy_use_compnt!$D7</f>
        <v>0</v>
      </c>
    </row>
    <row r="153" spans="1:9" x14ac:dyDescent="0.2">
      <c r="A153" s="142" t="s">
        <v>266</v>
      </c>
      <c r="B153" s="54">
        <f>Material_compnt_GREET2!B$41*'Alloy_compnt_G&amp;L'!$N$2*Al_alloy_use_compnt!$D8</f>
        <v>0</v>
      </c>
      <c r="C153" s="54">
        <f>Material_compnt_GREET2!C$41*'Alloy_compnt_G&amp;L'!$N$2*Al_alloy_use_compnt!$D8</f>
        <v>0</v>
      </c>
      <c r="D153" s="54">
        <f>Material_compnt_GREET2!D$41*'Alloy_compnt_G&amp;L'!$N$2*Al_alloy_use_compnt!$D8</f>
        <v>0</v>
      </c>
      <c r="E153" s="54">
        <f>Material_compnt_GREET2!E$41*'Alloy_compnt_G&amp;L'!$N$2*Al_alloy_use_compnt!$D8</f>
        <v>0</v>
      </c>
      <c r="F153" s="54">
        <f>Material_compnt_GREET2!F$41*'Alloy_compnt_G&amp;L'!$N$2*Al_alloy_use_compnt!$D8</f>
        <v>0</v>
      </c>
      <c r="G153" s="54">
        <f>Material_compnt_GREET2!G$41*'Alloy_compnt_G&amp;L'!$N$2*Al_alloy_use_compnt!$D8</f>
        <v>0</v>
      </c>
      <c r="H153" s="54">
        <f>Material_compnt_GREET2!H$41*'Alloy_compnt_G&amp;L'!$N$2*Al_alloy_use_compnt!$D8</f>
        <v>0</v>
      </c>
      <c r="I153" s="143">
        <f>Material_compnt_GREET2!I$41*'Alloy_compnt_G&amp;L'!$N$2*Al_alloy_use_compnt!$D8</f>
        <v>0</v>
      </c>
    </row>
    <row r="154" spans="1:9" x14ac:dyDescent="0.2">
      <c r="A154" s="142" t="s">
        <v>267</v>
      </c>
      <c r="B154" s="54">
        <f>Material_compnt_GREET2!B$41*'Alloy_compnt_G&amp;L'!$N$2*Al_alloy_use_compnt!$D9</f>
        <v>0</v>
      </c>
      <c r="C154" s="54">
        <f>Material_compnt_GREET2!C$41*'Alloy_compnt_G&amp;L'!$N$2*Al_alloy_use_compnt!$D9</f>
        <v>0</v>
      </c>
      <c r="D154" s="54">
        <f>Material_compnt_GREET2!D$41*'Alloy_compnt_G&amp;L'!$N$2*Al_alloy_use_compnt!$D9</f>
        <v>0</v>
      </c>
      <c r="E154" s="54">
        <f>Material_compnt_GREET2!E$41*'Alloy_compnt_G&amp;L'!$N$2*Al_alloy_use_compnt!$D9</f>
        <v>0</v>
      </c>
      <c r="F154" s="54">
        <f>Material_compnt_GREET2!F$41*'Alloy_compnt_G&amp;L'!$N$2*Al_alloy_use_compnt!$D9</f>
        <v>0</v>
      </c>
      <c r="G154" s="54">
        <f>Material_compnt_GREET2!G$41*'Alloy_compnt_G&amp;L'!$N$2*Al_alloy_use_compnt!$D9</f>
        <v>0</v>
      </c>
      <c r="H154" s="54">
        <f>Material_compnt_GREET2!H$41*'Alloy_compnt_G&amp;L'!$N$2*Al_alloy_use_compnt!$D9</f>
        <v>0</v>
      </c>
      <c r="I154" s="143">
        <f>Material_compnt_GREET2!I$41*'Alloy_compnt_G&amp;L'!$N$2*Al_alloy_use_compnt!$D9</f>
        <v>0</v>
      </c>
    </row>
    <row r="155" spans="1:9" x14ac:dyDescent="0.2">
      <c r="A155" s="142" t="s">
        <v>268</v>
      </c>
      <c r="B155" s="54">
        <f>Material_compnt_GREET2!B$41*'Alloy_compnt_G&amp;L'!$N$2*Al_alloy_use_compnt!$D10</f>
        <v>0</v>
      </c>
      <c r="C155" s="54">
        <f>Material_compnt_GREET2!C$41*'Alloy_compnt_G&amp;L'!$N$2*Al_alloy_use_compnt!$D10</f>
        <v>0</v>
      </c>
      <c r="D155" s="54">
        <f>Material_compnt_GREET2!D$41*'Alloy_compnt_G&amp;L'!$N$2*Al_alloy_use_compnt!$D10</f>
        <v>0</v>
      </c>
      <c r="E155" s="54">
        <f>Material_compnt_GREET2!E$41*'Alloy_compnt_G&amp;L'!$N$2*Al_alloy_use_compnt!$D10</f>
        <v>0</v>
      </c>
      <c r="F155" s="54">
        <f>Material_compnt_GREET2!F$41*'Alloy_compnt_G&amp;L'!$N$2*Al_alloy_use_compnt!$D10</f>
        <v>0</v>
      </c>
      <c r="G155" s="54">
        <f>Material_compnt_GREET2!G$41*'Alloy_compnt_G&amp;L'!$N$2*Al_alloy_use_compnt!$D10</f>
        <v>0</v>
      </c>
      <c r="H155" s="54">
        <f>Material_compnt_GREET2!H$41*'Alloy_compnt_G&amp;L'!$N$2*Al_alloy_use_compnt!$D10</f>
        <v>0</v>
      </c>
      <c r="I155" s="143">
        <f>Material_compnt_GREET2!I$41*'Alloy_compnt_G&amp;L'!$N$2*Al_alloy_use_compnt!$D10</f>
        <v>0</v>
      </c>
    </row>
    <row r="156" spans="1:9" x14ac:dyDescent="0.2">
      <c r="A156" s="142" t="s">
        <v>269</v>
      </c>
      <c r="B156" s="54">
        <f>Material_compnt_GREET2!B$41*'Alloy_compnt_G&amp;L'!$N$2*Al_alloy_use_compnt!$D11</f>
        <v>0</v>
      </c>
      <c r="C156" s="54">
        <f>Material_compnt_GREET2!C$41*'Alloy_compnt_G&amp;L'!$N$2*Al_alloy_use_compnt!$D11</f>
        <v>0</v>
      </c>
      <c r="D156" s="54">
        <f>Material_compnt_GREET2!D$41*'Alloy_compnt_G&amp;L'!$N$2*Al_alloy_use_compnt!$D11</f>
        <v>0</v>
      </c>
      <c r="E156" s="54">
        <f>Material_compnt_GREET2!E$41*'Alloy_compnt_G&amp;L'!$N$2*Al_alloy_use_compnt!$D11</f>
        <v>0</v>
      </c>
      <c r="F156" s="54">
        <f>Material_compnt_GREET2!F$41*'Alloy_compnt_G&amp;L'!$N$2*Al_alloy_use_compnt!$D11</f>
        <v>0</v>
      </c>
      <c r="G156" s="54">
        <f>Material_compnt_GREET2!G$41*'Alloy_compnt_G&amp;L'!$N$2*Al_alloy_use_compnt!$D11</f>
        <v>0</v>
      </c>
      <c r="H156" s="54">
        <f>Material_compnt_GREET2!H$41*'Alloy_compnt_G&amp;L'!$N$2*Al_alloy_use_compnt!$D11</f>
        <v>0</v>
      </c>
      <c r="I156" s="143">
        <f>Material_compnt_GREET2!I$41*'Alloy_compnt_G&amp;L'!$N$2*Al_alloy_use_compnt!$D11</f>
        <v>0</v>
      </c>
    </row>
    <row r="157" spans="1:9" x14ac:dyDescent="0.2">
      <c r="A157" s="142" t="s">
        <v>270</v>
      </c>
      <c r="B157" s="54">
        <f>Material_compnt_GREET2!B$41*'Alloy_compnt_G&amp;L'!$N$2*Al_alloy_use_compnt!$D12</f>
        <v>0</v>
      </c>
      <c r="C157" s="54">
        <f>Material_compnt_GREET2!C$41*'Alloy_compnt_G&amp;L'!$N$2*Al_alloy_use_compnt!$D12</f>
        <v>0</v>
      </c>
      <c r="D157" s="54">
        <f>Material_compnt_GREET2!D$41*'Alloy_compnt_G&amp;L'!$N$2*Al_alloy_use_compnt!$D12</f>
        <v>0</v>
      </c>
      <c r="E157" s="54">
        <f>Material_compnt_GREET2!E$41*'Alloy_compnt_G&amp;L'!$N$2*Al_alloy_use_compnt!$D12</f>
        <v>0</v>
      </c>
      <c r="F157" s="54">
        <f>Material_compnt_GREET2!F$41*'Alloy_compnt_G&amp;L'!$N$2*Al_alloy_use_compnt!$D12</f>
        <v>0</v>
      </c>
      <c r="G157" s="54">
        <f>Material_compnt_GREET2!G$41*'Alloy_compnt_G&amp;L'!$N$2*Al_alloy_use_compnt!$D12</f>
        <v>0</v>
      </c>
      <c r="H157" s="54">
        <f>Material_compnt_GREET2!H$41*'Alloy_compnt_G&amp;L'!$N$2*Al_alloy_use_compnt!$D12</f>
        <v>0</v>
      </c>
      <c r="I157" s="143">
        <f>Material_compnt_GREET2!I$41*'Alloy_compnt_G&amp;L'!$N$2*Al_alloy_use_compnt!$D12</f>
        <v>0</v>
      </c>
    </row>
    <row r="158" spans="1:9" x14ac:dyDescent="0.2">
      <c r="A158" s="142" t="s">
        <v>271</v>
      </c>
      <c r="B158" s="54">
        <f>Material_compnt_GREET2!B$41*'Alloy_compnt_G&amp;L'!$N$2*Al_alloy_use_compnt!$D13</f>
        <v>0</v>
      </c>
      <c r="C158" s="54">
        <f>Material_compnt_GREET2!C$41*'Alloy_compnt_G&amp;L'!$N$2*Al_alloy_use_compnt!$D13</f>
        <v>0</v>
      </c>
      <c r="D158" s="54">
        <f>Material_compnt_GREET2!D$41*'Alloy_compnt_G&amp;L'!$N$2*Al_alloy_use_compnt!$D13</f>
        <v>0</v>
      </c>
      <c r="E158" s="54">
        <f>Material_compnt_GREET2!E$41*'Alloy_compnt_G&amp;L'!$N$2*Al_alloy_use_compnt!$D13</f>
        <v>0</v>
      </c>
      <c r="F158" s="54">
        <f>Material_compnt_GREET2!F$41*'Alloy_compnt_G&amp;L'!$N$2*Al_alloy_use_compnt!$D13</f>
        <v>0</v>
      </c>
      <c r="G158" s="54">
        <f>Material_compnt_GREET2!G$41*'Alloy_compnt_G&amp;L'!$N$2*Al_alloy_use_compnt!$D13</f>
        <v>0</v>
      </c>
      <c r="H158" s="54">
        <f>Material_compnt_GREET2!H$41*'Alloy_compnt_G&amp;L'!$N$2*Al_alloy_use_compnt!$D13</f>
        <v>0</v>
      </c>
      <c r="I158" s="143">
        <f>Material_compnt_GREET2!I$41*'Alloy_compnt_G&amp;L'!$N$2*Al_alloy_use_compnt!$D13</f>
        <v>0</v>
      </c>
    </row>
    <row r="159" spans="1:9" x14ac:dyDescent="0.2">
      <c r="A159" s="142" t="s">
        <v>272</v>
      </c>
      <c r="B159" s="54">
        <f>Material_compnt_GREET2!B$41*'Alloy_compnt_G&amp;L'!$N$2*Al_alloy_use_compnt!$D14</f>
        <v>0</v>
      </c>
      <c r="C159" s="54">
        <f>Material_compnt_GREET2!C$41*'Alloy_compnt_G&amp;L'!$N$2*Al_alloy_use_compnt!$D14</f>
        <v>0</v>
      </c>
      <c r="D159" s="54">
        <f>Material_compnt_GREET2!D$41*'Alloy_compnt_G&amp;L'!$N$2*Al_alloy_use_compnt!$D14</f>
        <v>0</v>
      </c>
      <c r="E159" s="54">
        <f>Material_compnt_GREET2!E$41*'Alloy_compnt_G&amp;L'!$N$2*Al_alloy_use_compnt!$D14</f>
        <v>0</v>
      </c>
      <c r="F159" s="54">
        <f>Material_compnt_GREET2!F$41*'Alloy_compnt_G&amp;L'!$N$2*Al_alloy_use_compnt!$D14</f>
        <v>0</v>
      </c>
      <c r="G159" s="54">
        <f>Material_compnt_GREET2!G$41*'Alloy_compnt_G&amp;L'!$N$2*Al_alloy_use_compnt!$D14</f>
        <v>0</v>
      </c>
      <c r="H159" s="54">
        <f>Material_compnt_GREET2!H$41*'Alloy_compnt_G&amp;L'!$N$2*Al_alloy_use_compnt!$D14</f>
        <v>0</v>
      </c>
      <c r="I159" s="143">
        <f>Material_compnt_GREET2!I$41*'Alloy_compnt_G&amp;L'!$N$2*Al_alloy_use_compnt!$D14</f>
        <v>0</v>
      </c>
    </row>
    <row r="160" spans="1:9" x14ac:dyDescent="0.2">
      <c r="A160" s="142" t="s">
        <v>273</v>
      </c>
      <c r="B160" s="54">
        <f>Material_compnt_GREET2!B$41*'Alloy_compnt_G&amp;L'!$N$2*Al_alloy_use_compnt!$D15</f>
        <v>0</v>
      </c>
      <c r="C160" s="54">
        <f>Material_compnt_GREET2!C$41*'Alloy_compnt_G&amp;L'!$N$2*Al_alloy_use_compnt!$D15</f>
        <v>0</v>
      </c>
      <c r="D160" s="54">
        <f>Material_compnt_GREET2!D$41*'Alloy_compnt_G&amp;L'!$N$2*Al_alloy_use_compnt!$D15</f>
        <v>0</v>
      </c>
      <c r="E160" s="54">
        <f>Material_compnt_GREET2!E$41*'Alloy_compnt_G&amp;L'!$N$2*Al_alloy_use_compnt!$D15</f>
        <v>0</v>
      </c>
      <c r="F160" s="54">
        <f>Material_compnt_GREET2!F$41*'Alloy_compnt_G&amp;L'!$N$2*Al_alloy_use_compnt!$D15</f>
        <v>0</v>
      </c>
      <c r="G160" s="54">
        <f>Material_compnt_GREET2!G$41*'Alloy_compnt_G&amp;L'!$N$2*Al_alloy_use_compnt!$D15</f>
        <v>0</v>
      </c>
      <c r="H160" s="54">
        <f>Material_compnt_GREET2!H$41*'Alloy_compnt_G&amp;L'!$N$2*Al_alloy_use_compnt!$D15</f>
        <v>0</v>
      </c>
      <c r="I160" s="143">
        <f>Material_compnt_GREET2!I$41*'Alloy_compnt_G&amp;L'!$N$2*Al_alloy_use_compnt!$D15</f>
        <v>0</v>
      </c>
    </row>
    <row r="161" spans="1:9" x14ac:dyDescent="0.2">
      <c r="A161" s="142" t="s">
        <v>274</v>
      </c>
      <c r="B161" s="54">
        <f>Material_compnt_GREET2!B$41*'Alloy_compnt_G&amp;L'!$N$2*Al_alloy_use_compnt!$D16</f>
        <v>2.8380662738759179</v>
      </c>
      <c r="C161" s="54">
        <f>Material_compnt_GREET2!C$41*'Alloy_compnt_G&amp;L'!$N$2*Al_alloy_use_compnt!$D16</f>
        <v>2.8092237312862847</v>
      </c>
      <c r="D161" s="54">
        <f>Material_compnt_GREET2!D$41*'Alloy_compnt_G&amp;L'!$N$2*Al_alloy_use_compnt!$D16</f>
        <v>1.9101792721287727</v>
      </c>
      <c r="E161" s="54">
        <f>Material_compnt_GREET2!E$41*'Alloy_compnt_G&amp;L'!$N$2*Al_alloy_use_compnt!$D16</f>
        <v>1.8958333447954054</v>
      </c>
      <c r="F161" s="54">
        <f>Material_compnt_GREET2!F$41*'Alloy_compnt_G&amp;L'!$N$2*Al_alloy_use_compnt!$D16</f>
        <v>1.9124122619584587</v>
      </c>
      <c r="G161" s="54">
        <f>Material_compnt_GREET2!G$41*'Alloy_compnt_G&amp;L'!$N$2*Al_alloy_use_compnt!$D16</f>
        <v>1.8975989076893798</v>
      </c>
      <c r="H161" s="54">
        <f>Material_compnt_GREET2!H$41*'Alloy_compnt_G&amp;L'!$N$2*Al_alloy_use_compnt!$D16</f>
        <v>0</v>
      </c>
      <c r="I161" s="143">
        <f>Material_compnt_GREET2!I$41*'Alloy_compnt_G&amp;L'!$N$2*Al_alloy_use_compnt!$D16</f>
        <v>0</v>
      </c>
    </row>
    <row r="162" spans="1:9" x14ac:dyDescent="0.2">
      <c r="A162" s="142" t="s">
        <v>275</v>
      </c>
      <c r="B162" s="54">
        <f>Material_compnt_GREET2!B$41*'Alloy_compnt_G&amp;L'!$N$2*Al_alloy_use_compnt!$D17</f>
        <v>0</v>
      </c>
      <c r="C162" s="54">
        <f>Material_compnt_GREET2!C$41*'Alloy_compnt_G&amp;L'!$N$2*Al_alloy_use_compnt!$D17</f>
        <v>0</v>
      </c>
      <c r="D162" s="54">
        <f>Material_compnt_GREET2!D$41*'Alloy_compnt_G&amp;L'!$N$2*Al_alloy_use_compnt!$D17</f>
        <v>0</v>
      </c>
      <c r="E162" s="54">
        <f>Material_compnt_GREET2!E$41*'Alloy_compnt_G&amp;L'!$N$2*Al_alloy_use_compnt!$D17</f>
        <v>0</v>
      </c>
      <c r="F162" s="54">
        <f>Material_compnt_GREET2!F$41*'Alloy_compnt_G&amp;L'!$N$2*Al_alloy_use_compnt!$D17</f>
        <v>0</v>
      </c>
      <c r="G162" s="54">
        <f>Material_compnt_GREET2!G$41*'Alloy_compnt_G&amp;L'!$N$2*Al_alloy_use_compnt!$D17</f>
        <v>0</v>
      </c>
      <c r="H162" s="54">
        <f>Material_compnt_GREET2!H$41*'Alloy_compnt_G&amp;L'!$N$2*Al_alloy_use_compnt!$D17</f>
        <v>0</v>
      </c>
      <c r="I162" s="143">
        <f>Material_compnt_GREET2!I$41*'Alloy_compnt_G&amp;L'!$N$2*Al_alloy_use_compnt!$D17</f>
        <v>0</v>
      </c>
    </row>
    <row r="163" spans="1:9" x14ac:dyDescent="0.2">
      <c r="A163" s="142" t="s">
        <v>276</v>
      </c>
      <c r="B163" s="54">
        <f>Material_compnt_GREET2!B$41*'Alloy_compnt_G&amp;L'!$N$2*Al_alloy_use_compnt!$D18</f>
        <v>0</v>
      </c>
      <c r="C163" s="54">
        <f>Material_compnt_GREET2!C$41*'Alloy_compnt_G&amp;L'!$N$2*Al_alloy_use_compnt!$D18</f>
        <v>0</v>
      </c>
      <c r="D163" s="54">
        <f>Material_compnt_GREET2!D$41*'Alloy_compnt_G&amp;L'!$N$2*Al_alloy_use_compnt!$D18</f>
        <v>0</v>
      </c>
      <c r="E163" s="54">
        <f>Material_compnt_GREET2!E$41*'Alloy_compnt_G&amp;L'!$N$2*Al_alloy_use_compnt!$D18</f>
        <v>0</v>
      </c>
      <c r="F163" s="54">
        <f>Material_compnt_GREET2!F$41*'Alloy_compnt_G&amp;L'!$N$2*Al_alloy_use_compnt!$D18</f>
        <v>0</v>
      </c>
      <c r="G163" s="54">
        <f>Material_compnt_GREET2!G$41*'Alloy_compnt_G&amp;L'!$N$2*Al_alloy_use_compnt!$D18</f>
        <v>0</v>
      </c>
      <c r="H163" s="54">
        <f>Material_compnt_GREET2!H$41*'Alloy_compnt_G&amp;L'!$N$2*Al_alloy_use_compnt!$D18</f>
        <v>0</v>
      </c>
      <c r="I163" s="143">
        <f>Material_compnt_GREET2!I$41*'Alloy_compnt_G&amp;L'!$N$2*Al_alloy_use_compnt!$D18</f>
        <v>0</v>
      </c>
    </row>
    <row r="164" spans="1:9" x14ac:dyDescent="0.2">
      <c r="A164" s="144" t="s">
        <v>277</v>
      </c>
      <c r="B164" s="54">
        <f>Material_compnt_GREET2!B$41*'Alloy_compnt_G&amp;L'!$N$2*Al_alloy_use_compnt!$D19</f>
        <v>0</v>
      </c>
      <c r="C164" s="54">
        <f>Material_compnt_GREET2!C$41*'Alloy_compnt_G&amp;L'!$N$2*Al_alloy_use_compnt!$D19</f>
        <v>0</v>
      </c>
      <c r="D164" s="54">
        <f>Material_compnt_GREET2!D$41*'Alloy_compnt_G&amp;L'!$N$2*Al_alloy_use_compnt!$D19</f>
        <v>0</v>
      </c>
      <c r="E164" s="54">
        <f>Material_compnt_GREET2!E$41*'Alloy_compnt_G&amp;L'!$N$2*Al_alloy_use_compnt!$D19</f>
        <v>0</v>
      </c>
      <c r="F164" s="54">
        <f>Material_compnt_GREET2!F$41*'Alloy_compnt_G&amp;L'!$N$2*Al_alloy_use_compnt!$D19</f>
        <v>0</v>
      </c>
      <c r="G164" s="54">
        <f>Material_compnt_GREET2!G$41*'Alloy_compnt_G&amp;L'!$N$2*Al_alloy_use_compnt!$D19</f>
        <v>0</v>
      </c>
      <c r="H164" s="54">
        <f>Material_compnt_GREET2!H$41*'Alloy_compnt_G&amp;L'!$N$2*Al_alloy_use_compnt!$D19</f>
        <v>0</v>
      </c>
      <c r="I164" s="143">
        <f>Material_compnt_GREET2!I$41*'Alloy_compnt_G&amp;L'!$N$2*Al_alloy_use_compnt!$D19</f>
        <v>0</v>
      </c>
    </row>
    <row r="165" spans="1:9" x14ac:dyDescent="0.2">
      <c r="A165" s="148" t="s">
        <v>278</v>
      </c>
      <c r="B165" s="54">
        <f>Material_compnt_GREET2!B$41*'Alloy_compnt_G&amp;L'!$O$2*Al_alloy_use_compnt!$D20</f>
        <v>0</v>
      </c>
      <c r="C165" s="54">
        <f>Material_compnt_GREET2!C$41*'Alloy_compnt_G&amp;L'!$O$2*Al_alloy_use_compnt!$D20</f>
        <v>0</v>
      </c>
      <c r="D165" s="54">
        <f>Material_compnt_GREET2!D$41*'Alloy_compnt_G&amp;L'!$O$2*Al_alloy_use_compnt!$D20</f>
        <v>0</v>
      </c>
      <c r="E165" s="54">
        <f>Material_compnt_GREET2!E$41*'Alloy_compnt_G&amp;L'!$O$2*Al_alloy_use_compnt!$D20</f>
        <v>0</v>
      </c>
      <c r="F165" s="54">
        <f>Material_compnt_GREET2!F$41*'Alloy_compnt_G&amp;L'!$O$2*Al_alloy_use_compnt!$D20</f>
        <v>0</v>
      </c>
      <c r="G165" s="54">
        <f>Material_compnt_GREET2!G$41*'Alloy_compnt_G&amp;L'!$O$2*Al_alloy_use_compnt!$D20</f>
        <v>0</v>
      </c>
      <c r="H165" s="54">
        <f>Material_compnt_GREET2!H$41*'Alloy_compnt_G&amp;L'!$O$2*Al_alloy_use_compnt!$D20</f>
        <v>0</v>
      </c>
      <c r="I165" s="143">
        <f>Material_compnt_GREET2!I$41*'Alloy_compnt_G&amp;L'!$O$2*Al_alloy_use_compnt!$D20</f>
        <v>0</v>
      </c>
    </row>
    <row r="166" spans="1:9" x14ac:dyDescent="0.2">
      <c r="A166" s="148" t="s">
        <v>279</v>
      </c>
      <c r="B166" s="54">
        <f>Material_compnt_GREET2!B$41*'Alloy_compnt_G&amp;L'!$O$2*Al_alloy_use_compnt!$D21</f>
        <v>2.110356972882093</v>
      </c>
      <c r="C166" s="54">
        <f>Material_compnt_GREET2!C$41*'Alloy_compnt_G&amp;L'!$O$2*Al_alloy_use_compnt!$D21</f>
        <v>2.0889099540333911</v>
      </c>
      <c r="D166" s="54">
        <f>Material_compnt_GREET2!D$41*'Alloy_compnt_G&amp;L'!$O$2*Al_alloy_use_compnt!$D21</f>
        <v>1.4203897151726772</v>
      </c>
      <c r="E166" s="54">
        <f>Material_compnt_GREET2!E$41*'Alloy_compnt_G&amp;L'!$O$2*Al_alloy_use_compnt!$D21</f>
        <v>1.4097222307453015</v>
      </c>
      <c r="F166" s="54">
        <f>Material_compnt_GREET2!F$41*'Alloy_compnt_G&amp;L'!$O$2*Al_alloy_use_compnt!$D21</f>
        <v>1.4220501435075721</v>
      </c>
      <c r="G166" s="54">
        <f>Material_compnt_GREET2!G$41*'Alloy_compnt_G&amp;L'!$O$2*Al_alloy_use_compnt!$D21</f>
        <v>1.4110350852049234</v>
      </c>
      <c r="H166" s="54">
        <f>Material_compnt_GREET2!H$41*'Alloy_compnt_G&amp;L'!$O$2*Al_alloy_use_compnt!$D21</f>
        <v>0</v>
      </c>
      <c r="I166" s="143">
        <f>Material_compnt_GREET2!I$41*'Alloy_compnt_G&amp;L'!$O$2*Al_alloy_use_compnt!$D21</f>
        <v>0</v>
      </c>
    </row>
    <row r="167" spans="1:9" x14ac:dyDescent="0.2">
      <c r="A167" s="148" t="s">
        <v>280</v>
      </c>
      <c r="B167" s="54">
        <f>Material_compnt_GREET2!B$41*'Alloy_compnt_G&amp;L'!$O$2*Al_alloy_use_compnt!$D22</f>
        <v>0</v>
      </c>
      <c r="C167" s="54">
        <f>Material_compnt_GREET2!C$41*'Alloy_compnt_G&amp;L'!$O$2*Al_alloy_use_compnt!$D22</f>
        <v>0</v>
      </c>
      <c r="D167" s="54">
        <f>Material_compnt_GREET2!D$41*'Alloy_compnt_G&amp;L'!$O$2*Al_alloy_use_compnt!$D22</f>
        <v>0</v>
      </c>
      <c r="E167" s="54">
        <f>Material_compnt_GREET2!E$41*'Alloy_compnt_G&amp;L'!$O$2*Al_alloy_use_compnt!$D22</f>
        <v>0</v>
      </c>
      <c r="F167" s="54">
        <f>Material_compnt_GREET2!F$41*'Alloy_compnt_G&amp;L'!$O$2*Al_alloy_use_compnt!$D22</f>
        <v>0</v>
      </c>
      <c r="G167" s="54">
        <f>Material_compnt_GREET2!G$41*'Alloy_compnt_G&amp;L'!$O$2*Al_alloy_use_compnt!$D22</f>
        <v>0</v>
      </c>
      <c r="H167" s="54">
        <f>Material_compnt_GREET2!H$41*'Alloy_compnt_G&amp;L'!$O$2*Al_alloy_use_compnt!$D22</f>
        <v>0</v>
      </c>
      <c r="I167" s="143">
        <f>Material_compnt_GREET2!I$41*'Alloy_compnt_G&amp;L'!$O$2*Al_alloy_use_compnt!$D22</f>
        <v>0</v>
      </c>
    </row>
    <row r="168" spans="1:9" x14ac:dyDescent="0.2">
      <c r="A168" s="148" t="s">
        <v>281</v>
      </c>
      <c r="B168" s="54">
        <f>Material_compnt_GREET2!B$41*'Alloy_compnt_G&amp;L'!$O$2*Al_alloy_use_compnt!$D23</f>
        <v>0</v>
      </c>
      <c r="C168" s="54">
        <f>Material_compnt_GREET2!C$41*'Alloy_compnt_G&amp;L'!$O$2*Al_alloy_use_compnt!$D23</f>
        <v>0</v>
      </c>
      <c r="D168" s="54">
        <f>Material_compnt_GREET2!D$41*'Alloy_compnt_G&amp;L'!$O$2*Al_alloy_use_compnt!$D23</f>
        <v>0</v>
      </c>
      <c r="E168" s="54">
        <f>Material_compnt_GREET2!E$41*'Alloy_compnt_G&amp;L'!$O$2*Al_alloy_use_compnt!$D23</f>
        <v>0</v>
      </c>
      <c r="F168" s="54">
        <f>Material_compnt_GREET2!F$41*'Alloy_compnt_G&amp;L'!$O$2*Al_alloy_use_compnt!$D23</f>
        <v>0</v>
      </c>
      <c r="G168" s="54">
        <f>Material_compnt_GREET2!G$41*'Alloy_compnt_G&amp;L'!$O$2*Al_alloy_use_compnt!$D23</f>
        <v>0</v>
      </c>
      <c r="H168" s="54">
        <f>Material_compnt_GREET2!H$41*'Alloy_compnt_G&amp;L'!$O$2*Al_alloy_use_compnt!$D23</f>
        <v>0</v>
      </c>
      <c r="I168" s="143">
        <f>Material_compnt_GREET2!I$41*'Alloy_compnt_G&amp;L'!$O$2*Al_alloy_use_compnt!$D23</f>
        <v>0</v>
      </c>
    </row>
    <row r="169" spans="1:9" x14ac:dyDescent="0.2">
      <c r="A169" s="148" t="s">
        <v>282</v>
      </c>
      <c r="B169" s="54">
        <f>Material_compnt_GREET2!B$41*'Alloy_compnt_G&amp;L'!$O$2*Al_alloy_use_compnt!$D24</f>
        <v>8.441427891528372</v>
      </c>
      <c r="C169" s="54">
        <f>Material_compnt_GREET2!C$41*'Alloy_compnt_G&amp;L'!$O$2*Al_alloy_use_compnt!$D24</f>
        <v>8.3556398161335643</v>
      </c>
      <c r="D169" s="54">
        <f>Material_compnt_GREET2!D$41*'Alloy_compnt_G&amp;L'!$O$2*Al_alloy_use_compnt!$D24</f>
        <v>5.6815588606907088</v>
      </c>
      <c r="E169" s="54">
        <f>Material_compnt_GREET2!E$41*'Alloy_compnt_G&amp;L'!$O$2*Al_alloy_use_compnt!$D24</f>
        <v>5.6388889229812058</v>
      </c>
      <c r="F169" s="54">
        <f>Material_compnt_GREET2!F$41*'Alloy_compnt_G&amp;L'!$O$2*Al_alloy_use_compnt!$D24</f>
        <v>5.6882005740302883</v>
      </c>
      <c r="G169" s="54">
        <f>Material_compnt_GREET2!G$41*'Alloy_compnt_G&amp;L'!$O$2*Al_alloy_use_compnt!$D24</f>
        <v>5.6441403408196935</v>
      </c>
      <c r="H169" s="54">
        <f>Material_compnt_GREET2!H$41*'Alloy_compnt_G&amp;L'!$O$2*Al_alloy_use_compnt!$D24</f>
        <v>0</v>
      </c>
      <c r="I169" s="143">
        <f>Material_compnt_GREET2!I$41*'Alloy_compnt_G&amp;L'!$O$2*Al_alloy_use_compnt!$D24</f>
        <v>0</v>
      </c>
    </row>
    <row r="170" spans="1:9" x14ac:dyDescent="0.2">
      <c r="A170" s="148" t="s">
        <v>283</v>
      </c>
      <c r="B170" s="54">
        <f>Material_compnt_GREET2!B$41*'Alloy_compnt_G&amp;L'!$O$2*Al_alloy_use_compnt!$D25</f>
        <v>8.441427891528372</v>
      </c>
      <c r="C170" s="54">
        <f>Material_compnt_GREET2!C$41*'Alloy_compnt_G&amp;L'!$O$2*Al_alloy_use_compnt!$D25</f>
        <v>8.3556398161335643</v>
      </c>
      <c r="D170" s="54">
        <f>Material_compnt_GREET2!D$41*'Alloy_compnt_G&amp;L'!$O$2*Al_alloy_use_compnt!$D25</f>
        <v>5.6815588606907088</v>
      </c>
      <c r="E170" s="54">
        <f>Material_compnt_GREET2!E$41*'Alloy_compnt_G&amp;L'!$O$2*Al_alloy_use_compnt!$D25</f>
        <v>5.6388889229812058</v>
      </c>
      <c r="F170" s="54">
        <f>Material_compnt_GREET2!F$41*'Alloy_compnt_G&amp;L'!$O$2*Al_alloy_use_compnt!$D25</f>
        <v>5.6882005740302883</v>
      </c>
      <c r="G170" s="54">
        <f>Material_compnt_GREET2!G$41*'Alloy_compnt_G&amp;L'!$O$2*Al_alloy_use_compnt!$D25</f>
        <v>5.6441403408196935</v>
      </c>
      <c r="H170" s="54">
        <f>Material_compnt_GREET2!H$41*'Alloy_compnt_G&amp;L'!$O$2*Al_alloy_use_compnt!$D25</f>
        <v>0</v>
      </c>
      <c r="I170" s="143">
        <f>Material_compnt_GREET2!I$41*'Alloy_compnt_G&amp;L'!$O$2*Al_alloy_use_compnt!$D25</f>
        <v>0</v>
      </c>
    </row>
    <row r="171" spans="1:9" x14ac:dyDescent="0.2">
      <c r="A171" s="148" t="s">
        <v>284</v>
      </c>
      <c r="B171" s="54">
        <f>Material_compnt_GREET2!B$41*'Alloy_compnt_G&amp;L'!$O$2*Al_alloy_use_compnt!$D26</f>
        <v>0</v>
      </c>
      <c r="C171" s="54">
        <f>Material_compnt_GREET2!C$41*'Alloy_compnt_G&amp;L'!$O$2*Al_alloy_use_compnt!$D26</f>
        <v>0</v>
      </c>
      <c r="D171" s="54">
        <f>Material_compnt_GREET2!D$41*'Alloy_compnt_G&amp;L'!$O$2*Al_alloy_use_compnt!$D26</f>
        <v>0</v>
      </c>
      <c r="E171" s="54">
        <f>Material_compnt_GREET2!E$41*'Alloy_compnt_G&amp;L'!$O$2*Al_alloy_use_compnt!$D26</f>
        <v>0</v>
      </c>
      <c r="F171" s="54">
        <f>Material_compnt_GREET2!F$41*'Alloy_compnt_G&amp;L'!$O$2*Al_alloy_use_compnt!$D26</f>
        <v>0</v>
      </c>
      <c r="G171" s="54">
        <f>Material_compnt_GREET2!G$41*'Alloy_compnt_G&amp;L'!$O$2*Al_alloy_use_compnt!$D26</f>
        <v>0</v>
      </c>
      <c r="H171" s="54">
        <f>Material_compnt_GREET2!H$41*'Alloy_compnt_G&amp;L'!$O$2*Al_alloy_use_compnt!$D26</f>
        <v>0</v>
      </c>
      <c r="I171" s="143">
        <f>Material_compnt_GREET2!I$41*'Alloy_compnt_G&amp;L'!$O$2*Al_alloy_use_compnt!$D26</f>
        <v>0</v>
      </c>
    </row>
    <row r="172" spans="1:9" x14ac:dyDescent="0.2">
      <c r="A172" s="148" t="s">
        <v>285</v>
      </c>
      <c r="B172" s="54">
        <f>Material_compnt_GREET2!B$41*'Alloy_compnt_G&amp;L'!$O$2*Al_alloy_use_compnt!$D27</f>
        <v>0</v>
      </c>
      <c r="C172" s="54">
        <f>Material_compnt_GREET2!C$41*'Alloy_compnt_G&amp;L'!$O$2*Al_alloy_use_compnt!$D27</f>
        <v>0</v>
      </c>
      <c r="D172" s="54">
        <f>Material_compnt_GREET2!D$41*'Alloy_compnt_G&amp;L'!$O$2*Al_alloy_use_compnt!$D27</f>
        <v>0</v>
      </c>
      <c r="E172" s="54">
        <f>Material_compnt_GREET2!E$41*'Alloy_compnt_G&amp;L'!$O$2*Al_alloy_use_compnt!$D27</f>
        <v>0</v>
      </c>
      <c r="F172" s="54">
        <f>Material_compnt_GREET2!F$41*'Alloy_compnt_G&amp;L'!$O$2*Al_alloy_use_compnt!$D27</f>
        <v>0</v>
      </c>
      <c r="G172" s="54">
        <f>Material_compnt_GREET2!G$41*'Alloy_compnt_G&amp;L'!$O$2*Al_alloy_use_compnt!$D27</f>
        <v>0</v>
      </c>
      <c r="H172" s="54">
        <f>Material_compnt_GREET2!H$41*'Alloy_compnt_G&amp;L'!$O$2*Al_alloy_use_compnt!$D27</f>
        <v>0</v>
      </c>
      <c r="I172" s="143">
        <f>Material_compnt_GREET2!I$41*'Alloy_compnt_G&amp;L'!$O$2*Al_alloy_use_compnt!$D27</f>
        <v>0</v>
      </c>
    </row>
    <row r="173" spans="1:9" x14ac:dyDescent="0.2">
      <c r="A173" s="147" t="s">
        <v>286</v>
      </c>
      <c r="B173" s="54">
        <f>Material_compnt_GREET2!B$41*'Alloy_compnt_G&amp;L'!$O$2*Al_alloy_use_compnt!$D28</f>
        <v>0</v>
      </c>
      <c r="C173" s="54">
        <f>Material_compnt_GREET2!C$41*'Alloy_compnt_G&amp;L'!$O$2*Al_alloy_use_compnt!$D28</f>
        <v>0</v>
      </c>
      <c r="D173" s="54">
        <f>Material_compnt_GREET2!D$41*'Alloy_compnt_G&amp;L'!$O$2*Al_alloy_use_compnt!$D28</f>
        <v>0</v>
      </c>
      <c r="E173" s="54">
        <f>Material_compnt_GREET2!E$41*'Alloy_compnt_G&amp;L'!$O$2*Al_alloy_use_compnt!$D28</f>
        <v>0</v>
      </c>
      <c r="F173" s="54">
        <f>Material_compnt_GREET2!F$41*'Alloy_compnt_G&amp;L'!$O$2*Al_alloy_use_compnt!$D28</f>
        <v>0</v>
      </c>
      <c r="G173" s="54">
        <f>Material_compnt_GREET2!G$41*'Alloy_compnt_G&amp;L'!$O$2*Al_alloy_use_compnt!$D28</f>
        <v>0</v>
      </c>
      <c r="H173" s="54">
        <f>Material_compnt_GREET2!H$41*'Alloy_compnt_G&amp;L'!$O$2*Al_alloy_use_compnt!$D28</f>
        <v>0</v>
      </c>
      <c r="I173" s="143">
        <f>Material_compnt_GREET2!I$41*'Alloy_compnt_G&amp;L'!$O$2*Al_alloy_use_compnt!$D28</f>
        <v>0</v>
      </c>
    </row>
    <row r="174" spans="1:9" x14ac:dyDescent="0.2">
      <c r="A174" s="142" t="s">
        <v>287</v>
      </c>
      <c r="B174" s="54">
        <f>Material_compnt_GREET2!B$42*Al_alloy_use_compnt!$D20</f>
        <v>0</v>
      </c>
      <c r="C174" s="54">
        <f>Material_compnt_GREET2!C$42*Al_alloy_use_compnt!$D20</f>
        <v>0</v>
      </c>
      <c r="D174" s="54">
        <f>Material_compnt_GREET2!D$42*Al_alloy_use_compnt!$D20</f>
        <v>0</v>
      </c>
      <c r="E174" s="54">
        <f>Material_compnt_GREET2!E$42*Al_alloy_use_compnt!$D20</f>
        <v>0</v>
      </c>
      <c r="F174" s="54">
        <f>Material_compnt_GREET2!F$42*Al_alloy_use_compnt!$D20</f>
        <v>0</v>
      </c>
      <c r="G174" s="54">
        <f>Material_compnt_GREET2!G$42*Al_alloy_use_compnt!$D20</f>
        <v>0</v>
      </c>
      <c r="H174" s="54">
        <f>Material_compnt_GREET2!H$42*Al_alloy_use_compnt!$D20</f>
        <v>0</v>
      </c>
      <c r="I174" s="143">
        <f>Material_compnt_GREET2!I$42*Al_alloy_use_compnt!$D20</f>
        <v>0</v>
      </c>
    </row>
    <row r="175" spans="1:9" x14ac:dyDescent="0.2">
      <c r="A175" s="142" t="s">
        <v>288</v>
      </c>
      <c r="B175" s="54">
        <f>Material_compnt_GREET2!B$42*Al_alloy_use_compnt!$D21</f>
        <v>0</v>
      </c>
      <c r="C175" s="54">
        <f>Material_compnt_GREET2!C$42*Al_alloy_use_compnt!$D21</f>
        <v>2.4010459241763118</v>
      </c>
      <c r="D175" s="54">
        <f>Material_compnt_GREET2!D$42*Al_alloy_use_compnt!$D21</f>
        <v>0</v>
      </c>
      <c r="E175" s="54">
        <f>Material_compnt_GREET2!E$42*Al_alloy_use_compnt!$D21</f>
        <v>0</v>
      </c>
      <c r="F175" s="54">
        <f>Material_compnt_GREET2!F$42*Al_alloy_use_compnt!$D21</f>
        <v>0</v>
      </c>
      <c r="G175" s="54">
        <f>Material_compnt_GREET2!G$42*Al_alloy_use_compnt!$D21</f>
        <v>0</v>
      </c>
      <c r="H175" s="54">
        <f>Material_compnt_GREET2!H$42*Al_alloy_use_compnt!$D21</f>
        <v>0</v>
      </c>
      <c r="I175" s="143">
        <f>Material_compnt_GREET2!I$42*Al_alloy_use_compnt!$D21</f>
        <v>0</v>
      </c>
    </row>
    <row r="176" spans="1:9" x14ac:dyDescent="0.2">
      <c r="A176" s="142" t="s">
        <v>289</v>
      </c>
      <c r="B176" s="54">
        <f>Material_compnt_GREET2!B$42*Al_alloy_use_compnt!$D22</f>
        <v>0</v>
      </c>
      <c r="C176" s="54">
        <f>Material_compnt_GREET2!C$42*Al_alloy_use_compnt!$D22</f>
        <v>0</v>
      </c>
      <c r="D176" s="54">
        <f>Material_compnt_GREET2!D$42*Al_alloy_use_compnt!$D22</f>
        <v>0</v>
      </c>
      <c r="E176" s="54">
        <f>Material_compnt_GREET2!E$42*Al_alloy_use_compnt!$D22</f>
        <v>0</v>
      </c>
      <c r="F176" s="54">
        <f>Material_compnt_GREET2!F$42*Al_alloy_use_compnt!$D22</f>
        <v>0</v>
      </c>
      <c r="G176" s="54">
        <f>Material_compnt_GREET2!G$42*Al_alloy_use_compnt!$D22</f>
        <v>0</v>
      </c>
      <c r="H176" s="54">
        <f>Material_compnt_GREET2!H$42*Al_alloy_use_compnt!$D22</f>
        <v>0</v>
      </c>
      <c r="I176" s="143">
        <f>Material_compnt_GREET2!I$42*Al_alloy_use_compnt!$D22</f>
        <v>0</v>
      </c>
    </row>
    <row r="177" spans="1:9" x14ac:dyDescent="0.2">
      <c r="A177" s="142" t="s">
        <v>290</v>
      </c>
      <c r="B177" s="54">
        <f>Material_compnt_GREET2!B$42*Al_alloy_use_compnt!$D23</f>
        <v>0</v>
      </c>
      <c r="C177" s="54">
        <f>Material_compnt_GREET2!C$42*Al_alloy_use_compnt!$D23</f>
        <v>0</v>
      </c>
      <c r="D177" s="54">
        <f>Material_compnt_GREET2!D$42*Al_alloy_use_compnt!$D23</f>
        <v>0</v>
      </c>
      <c r="E177" s="54">
        <f>Material_compnt_GREET2!E$42*Al_alloy_use_compnt!$D23</f>
        <v>0</v>
      </c>
      <c r="F177" s="54">
        <f>Material_compnt_GREET2!F$42*Al_alloy_use_compnt!$D23</f>
        <v>0</v>
      </c>
      <c r="G177" s="54">
        <f>Material_compnt_GREET2!G$42*Al_alloy_use_compnt!$D23</f>
        <v>0</v>
      </c>
      <c r="H177" s="54">
        <f>Material_compnt_GREET2!H$42*Al_alloy_use_compnt!$D23</f>
        <v>0</v>
      </c>
      <c r="I177" s="143">
        <f>Material_compnt_GREET2!I$42*Al_alloy_use_compnt!$D23</f>
        <v>0</v>
      </c>
    </row>
    <row r="178" spans="1:9" x14ac:dyDescent="0.2">
      <c r="A178" s="142" t="s">
        <v>291</v>
      </c>
      <c r="B178" s="54">
        <f>Material_compnt_GREET2!B$42*Al_alloy_use_compnt!$D24</f>
        <v>0</v>
      </c>
      <c r="C178" s="54">
        <f>Material_compnt_GREET2!C$42*Al_alloy_use_compnt!$D24</f>
        <v>9.6041836967052472</v>
      </c>
      <c r="D178" s="54">
        <f>Material_compnt_GREET2!D$42*Al_alloy_use_compnt!$D24</f>
        <v>0</v>
      </c>
      <c r="E178" s="54">
        <f>Material_compnt_GREET2!E$42*Al_alloy_use_compnt!$D24</f>
        <v>0</v>
      </c>
      <c r="F178" s="54">
        <f>Material_compnt_GREET2!F$42*Al_alloy_use_compnt!$D24</f>
        <v>0</v>
      </c>
      <c r="G178" s="54">
        <f>Material_compnt_GREET2!G$42*Al_alloy_use_compnt!$D24</f>
        <v>0</v>
      </c>
      <c r="H178" s="54">
        <f>Material_compnt_GREET2!H$42*Al_alloy_use_compnt!$D24</f>
        <v>0</v>
      </c>
      <c r="I178" s="143">
        <f>Material_compnt_GREET2!I$42*Al_alloy_use_compnt!$D24</f>
        <v>0</v>
      </c>
    </row>
    <row r="179" spans="1:9" x14ac:dyDescent="0.2">
      <c r="A179" s="142" t="s">
        <v>292</v>
      </c>
      <c r="B179" s="54">
        <f>Material_compnt_GREET2!B$42*Al_alloy_use_compnt!$D25</f>
        <v>0</v>
      </c>
      <c r="C179" s="54">
        <f>Material_compnt_GREET2!C$42*Al_alloy_use_compnt!$D25</f>
        <v>9.6041836967052472</v>
      </c>
      <c r="D179" s="54">
        <f>Material_compnt_GREET2!D$42*Al_alloy_use_compnt!$D25</f>
        <v>0</v>
      </c>
      <c r="E179" s="54">
        <f>Material_compnt_GREET2!E$42*Al_alloy_use_compnt!$D25</f>
        <v>0</v>
      </c>
      <c r="F179" s="54">
        <f>Material_compnt_GREET2!F$42*Al_alloy_use_compnt!$D25</f>
        <v>0</v>
      </c>
      <c r="G179" s="54">
        <f>Material_compnt_GREET2!G$42*Al_alloy_use_compnt!$D25</f>
        <v>0</v>
      </c>
      <c r="H179" s="54">
        <f>Material_compnt_GREET2!H$42*Al_alloy_use_compnt!$D25</f>
        <v>0</v>
      </c>
      <c r="I179" s="143">
        <f>Material_compnt_GREET2!I$42*Al_alloy_use_compnt!$D25</f>
        <v>0</v>
      </c>
    </row>
    <row r="180" spans="1:9" x14ac:dyDescent="0.2">
      <c r="A180" s="142" t="s">
        <v>293</v>
      </c>
      <c r="B180" s="54">
        <f>Material_compnt_GREET2!B$42*Al_alloy_use_compnt!$D26</f>
        <v>0</v>
      </c>
      <c r="C180" s="54">
        <f>Material_compnt_GREET2!C$42*Al_alloy_use_compnt!$D26</f>
        <v>0</v>
      </c>
      <c r="D180" s="54">
        <f>Material_compnt_GREET2!D$42*Al_alloy_use_compnt!$D26</f>
        <v>0</v>
      </c>
      <c r="E180" s="54">
        <f>Material_compnt_GREET2!E$42*Al_alloy_use_compnt!$D26</f>
        <v>0</v>
      </c>
      <c r="F180" s="54">
        <f>Material_compnt_GREET2!F$42*Al_alloy_use_compnt!$D26</f>
        <v>0</v>
      </c>
      <c r="G180" s="54">
        <f>Material_compnt_GREET2!G$42*Al_alloy_use_compnt!$D26</f>
        <v>0</v>
      </c>
      <c r="H180" s="54">
        <f>Material_compnt_GREET2!H$42*Al_alloy_use_compnt!$D26</f>
        <v>0</v>
      </c>
      <c r="I180" s="143">
        <f>Material_compnt_GREET2!I$42*Al_alloy_use_compnt!$D26</f>
        <v>0</v>
      </c>
    </row>
    <row r="181" spans="1:9" x14ac:dyDescent="0.2">
      <c r="A181" s="142" t="s">
        <v>294</v>
      </c>
      <c r="B181" s="54">
        <f>Material_compnt_GREET2!B$42*Al_alloy_use_compnt!$D27</f>
        <v>0</v>
      </c>
      <c r="C181" s="54">
        <f>Material_compnt_GREET2!C$42*Al_alloy_use_compnt!$D27</f>
        <v>0</v>
      </c>
      <c r="D181" s="54">
        <f>Material_compnt_GREET2!D$42*Al_alloy_use_compnt!$D27</f>
        <v>0</v>
      </c>
      <c r="E181" s="54">
        <f>Material_compnt_GREET2!E$42*Al_alloy_use_compnt!$D27</f>
        <v>0</v>
      </c>
      <c r="F181" s="54">
        <f>Material_compnt_GREET2!F$42*Al_alloy_use_compnt!$D27</f>
        <v>0</v>
      </c>
      <c r="G181" s="54">
        <f>Material_compnt_GREET2!G$42*Al_alloy_use_compnt!$D27</f>
        <v>0</v>
      </c>
      <c r="H181" s="54">
        <f>Material_compnt_GREET2!H$42*Al_alloy_use_compnt!$D27</f>
        <v>0</v>
      </c>
      <c r="I181" s="143">
        <f>Material_compnt_GREET2!I$42*Al_alloy_use_compnt!$D27</f>
        <v>0</v>
      </c>
    </row>
    <row r="182" spans="1:9" x14ac:dyDescent="0.2">
      <c r="A182" s="144" t="s">
        <v>295</v>
      </c>
      <c r="B182" s="54">
        <f>Material_compnt_GREET2!B$42*Al_alloy_use_compnt!$D28</f>
        <v>0</v>
      </c>
      <c r="C182" s="54">
        <f>Material_compnt_GREET2!C$42*Al_alloy_use_compnt!$D28</f>
        <v>0</v>
      </c>
      <c r="D182" s="54">
        <f>Material_compnt_GREET2!D$42*Al_alloy_use_compnt!$D28</f>
        <v>0</v>
      </c>
      <c r="E182" s="54">
        <f>Material_compnt_GREET2!E$42*Al_alloy_use_compnt!$D28</f>
        <v>0</v>
      </c>
      <c r="F182" s="54">
        <f>Material_compnt_GREET2!F$42*Al_alloy_use_compnt!$D28</f>
        <v>0</v>
      </c>
      <c r="G182" s="54">
        <f>Material_compnt_GREET2!G$42*Al_alloy_use_compnt!$D28</f>
        <v>0</v>
      </c>
      <c r="H182" s="54">
        <f>Material_compnt_GREET2!H$42*Al_alloy_use_compnt!$D28</f>
        <v>0</v>
      </c>
      <c r="I182" s="143">
        <f>Material_compnt_GREET2!I$42*Al_alloy_use_compnt!$D28</f>
        <v>0</v>
      </c>
    </row>
    <row r="183" spans="1:9" x14ac:dyDescent="0.2">
      <c r="A183" s="142" t="s">
        <v>206</v>
      </c>
      <c r="B183" s="54">
        <v>0</v>
      </c>
      <c r="C183" s="54">
        <v>0</v>
      </c>
      <c r="D183" s="54">
        <v>0</v>
      </c>
      <c r="E183" s="54">
        <v>0</v>
      </c>
      <c r="F183" s="54">
        <v>0</v>
      </c>
      <c r="G183" s="54">
        <v>0</v>
      </c>
      <c r="H183" s="140">
        <v>0</v>
      </c>
      <c r="I183" s="141">
        <v>0</v>
      </c>
    </row>
    <row r="184" spans="1:9" ht="17" thickBot="1" x14ac:dyDescent="0.25">
      <c r="A184" s="149" t="s">
        <v>208</v>
      </c>
      <c r="B184" s="54">
        <v>0</v>
      </c>
      <c r="C184" s="54">
        <v>0</v>
      </c>
      <c r="D184" s="54">
        <v>0</v>
      </c>
      <c r="E184" s="54">
        <v>0</v>
      </c>
      <c r="F184" s="54">
        <v>0</v>
      </c>
      <c r="G184" s="54">
        <v>0</v>
      </c>
      <c r="H184" s="140">
        <v>0</v>
      </c>
      <c r="I184" s="141">
        <v>0</v>
      </c>
    </row>
    <row r="185" spans="1:9" ht="17" thickTop="1" x14ac:dyDescent="0.2">
      <c r="A185" s="150" t="s">
        <v>175</v>
      </c>
      <c r="B185" s="54"/>
      <c r="C185" s="54"/>
      <c r="D185" s="54"/>
      <c r="E185" s="54"/>
      <c r="F185" s="54"/>
      <c r="G185" s="54"/>
      <c r="H185" s="140"/>
      <c r="I185" s="141"/>
    </row>
    <row r="186" spans="1:9" x14ac:dyDescent="0.2">
      <c r="A186" s="142" t="s">
        <v>105</v>
      </c>
      <c r="B186" s="54">
        <f>Material_compnt_GREET2!B$48*'Alloy_compnt_G&amp;L'!$I$2</f>
        <v>58.749076941153035</v>
      </c>
      <c r="C186" s="54">
        <f>Material_compnt_GREET2!C$48*'Alloy_compnt_G&amp;L'!$I$2</f>
        <v>20.920328614886877</v>
      </c>
      <c r="D186" s="54">
        <f>Material_compnt_GREET2!D$48*'Alloy_compnt_G&amp;L'!$I$2</f>
        <v>68.602492479275284</v>
      </c>
      <c r="E186" s="54">
        <f>Material_compnt_GREET2!E$48*'Alloy_compnt_G&amp;L'!$I$2</f>
        <v>23.602406575459707</v>
      </c>
      <c r="F186" s="54">
        <f>Material_compnt_GREET2!F$48*'Alloy_compnt_G&amp;L'!$I$2</f>
        <v>65.834683520725491</v>
      </c>
      <c r="G186" s="54">
        <f>Material_compnt_GREET2!G$48*'Alloy_compnt_G&amp;L'!$I$2</f>
        <v>23.500403945470438</v>
      </c>
      <c r="H186" s="54">
        <f>Material_compnt_GREET2!H$48*'Alloy_compnt_G&amp;L'!$I$2</f>
        <v>0</v>
      </c>
      <c r="I186" s="143">
        <f>Material_compnt_GREET2!I$48*'Alloy_compnt_G&amp;L'!$I$2</f>
        <v>0</v>
      </c>
    </row>
    <row r="187" spans="1:9" x14ac:dyDescent="0.2">
      <c r="A187" s="142" t="s">
        <v>106</v>
      </c>
      <c r="B187" s="54">
        <f>Material_compnt_GREET2!B$48*'Alloy_compnt_G&amp;L'!$J$2</f>
        <v>53.180444055735691</v>
      </c>
      <c r="C187" s="54">
        <f>Material_compnt_GREET2!C$48*'Alloy_compnt_G&amp;L'!$J$2</f>
        <v>18.937359077930775</v>
      </c>
      <c r="D187" s="54">
        <f>Material_compnt_GREET2!D$48*'Alloy_compnt_G&amp;L'!$J$2</f>
        <v>62.099886557069098</v>
      </c>
      <c r="E187" s="54">
        <f>Material_compnt_GREET2!E$48*'Alloy_compnt_G&amp;L'!$J$2</f>
        <v>21.365211639397177</v>
      </c>
      <c r="F187" s="54">
        <f>Material_compnt_GREET2!F$48*'Alloy_compnt_G&amp;L'!$J$2</f>
        <v>59.594429158571415</v>
      </c>
      <c r="G187" s="54">
        <f>Material_compnt_GREET2!G$48*'Alloy_compnt_G&amp;L'!$J$2</f>
        <v>21.272877505141487</v>
      </c>
      <c r="H187" s="54">
        <f>Material_compnt_GREET2!H$48*'Alloy_compnt_G&amp;L'!$J$2</f>
        <v>0</v>
      </c>
      <c r="I187" s="143">
        <f>Material_compnt_GREET2!I$48*'Alloy_compnt_G&amp;L'!$J$2</f>
        <v>0</v>
      </c>
    </row>
    <row r="188" spans="1:9" x14ac:dyDescent="0.2">
      <c r="A188" s="142" t="s">
        <v>107</v>
      </c>
      <c r="B188" s="54">
        <f>Material_compnt_GREET2!B$48*'Alloy_compnt_G&amp;L'!$K$2</f>
        <v>166.50212327397878</v>
      </c>
      <c r="C188" s="54">
        <f>Material_compnt_GREET2!C$48*'Alloy_compnt_G&amp;L'!$K$2</f>
        <v>59.290789154987465</v>
      </c>
      <c r="D188" s="54">
        <f>Material_compnt_GREET2!D$48*'Alloy_compnt_G&amp;L'!$K$2</f>
        <v>194.42791707396506</v>
      </c>
      <c r="E188" s="54">
        <f>Material_compnt_GREET2!E$48*'Alloy_compnt_G&amp;L'!$K$2</f>
        <v>66.892128588269713</v>
      </c>
      <c r="F188" s="54">
        <f>Material_compnt_GREET2!F$48*'Alloy_compnt_G&amp;L'!$K$2</f>
        <v>186.58360542840686</v>
      </c>
      <c r="G188" s="54">
        <f>Material_compnt_GREET2!G$48*'Alloy_compnt_G&amp;L'!$K$2</f>
        <v>66.603040565835656</v>
      </c>
      <c r="H188" s="54">
        <f>Material_compnt_GREET2!H$48*'Alloy_compnt_G&amp;L'!$K$2</f>
        <v>0</v>
      </c>
      <c r="I188" s="143">
        <f>Material_compnt_GREET2!I$48*'Alloy_compnt_G&amp;L'!$K$2</f>
        <v>0</v>
      </c>
    </row>
    <row r="189" spans="1:9" x14ac:dyDescent="0.2">
      <c r="A189" s="142" t="s">
        <v>91</v>
      </c>
      <c r="B189" s="54">
        <v>0</v>
      </c>
      <c r="C189" s="54">
        <v>0</v>
      </c>
      <c r="D189" s="54">
        <v>0</v>
      </c>
      <c r="E189" s="54">
        <v>0</v>
      </c>
      <c r="F189" s="54">
        <v>0</v>
      </c>
      <c r="G189" s="54">
        <v>0</v>
      </c>
      <c r="H189" s="140">
        <v>0</v>
      </c>
      <c r="I189" s="141">
        <v>0</v>
      </c>
    </row>
    <row r="190" spans="1:9" x14ac:dyDescent="0.2">
      <c r="A190" s="142" t="s">
        <v>204</v>
      </c>
      <c r="B190" s="54">
        <f>Material_compnt_GREET2!B$49*'Alloy_compnt_G&amp;L'!$Q$2</f>
        <v>19.417379234823276</v>
      </c>
      <c r="C190" s="54">
        <f>Material_compnt_GREET2!C$49*'Alloy_compnt_G&amp;L'!$Q$2</f>
        <v>19.86999962844224</v>
      </c>
      <c r="D190" s="54">
        <f>Material_compnt_GREET2!D$49*'Alloy_compnt_G&amp;L'!$Q$2</f>
        <v>22.674068807217182</v>
      </c>
      <c r="E190" s="54">
        <f>Material_compnt_GREET2!E$49*'Alloy_compnt_G&amp;L'!$Q$2</f>
        <v>24.316637487518761</v>
      </c>
      <c r="F190" s="54">
        <f>Material_compnt_GREET2!F$49*'Alloy_compnt_G&amp;L'!$Q$2</f>
        <v>21.759269818093731</v>
      </c>
      <c r="G190" s="54">
        <f>Material_compnt_GREET2!G$49*'Alloy_compnt_G&amp;L'!$Q$2</f>
        <v>25.392502570513702</v>
      </c>
      <c r="H190" s="54">
        <f>Material_compnt_GREET2!H$49*'Alloy_compnt_G&amp;L'!$Q$2</f>
        <v>0</v>
      </c>
      <c r="I190" s="143">
        <f>Material_compnt_GREET2!I$49*'Alloy_compnt_G&amp;L'!$Q$2</f>
        <v>0</v>
      </c>
    </row>
    <row r="191" spans="1:9" x14ac:dyDescent="0.2">
      <c r="A191" s="144" t="s">
        <v>104</v>
      </c>
      <c r="B191" s="54">
        <f>Material_compnt_GREET2!B$49*'Alloy_compnt_G&amp;L'!$R$2</f>
        <v>3.4265963355570497</v>
      </c>
      <c r="C191" s="54">
        <f>Material_compnt_GREET2!C$49*'Alloy_compnt_G&amp;L'!$R$2</f>
        <v>3.5064705226662785</v>
      </c>
      <c r="D191" s="54">
        <f>Material_compnt_GREET2!D$49*'Alloy_compnt_G&amp;L'!$R$2</f>
        <v>4.0013062600971505</v>
      </c>
      <c r="E191" s="54">
        <f>Material_compnt_GREET2!E$49*'Alloy_compnt_G&amp;L'!$R$2</f>
        <v>4.291171321326841</v>
      </c>
      <c r="F191" s="54">
        <f>Material_compnt_GREET2!F$49*'Alloy_compnt_G&amp;L'!$R$2</f>
        <v>3.8398711443694826</v>
      </c>
      <c r="G191" s="54">
        <f>Material_compnt_GREET2!G$49*'Alloy_compnt_G&amp;L'!$R$2</f>
        <v>4.4810298653847722</v>
      </c>
      <c r="H191" s="54">
        <f>Material_compnt_GREET2!H$49*'Alloy_compnt_G&amp;L'!$R$2</f>
        <v>0</v>
      </c>
      <c r="I191" s="143">
        <f>Material_compnt_GREET2!I$49*'Alloy_compnt_G&amp;L'!$R$2</f>
        <v>0</v>
      </c>
    </row>
    <row r="192" spans="1:9" x14ac:dyDescent="0.2">
      <c r="A192" s="145" t="s">
        <v>244</v>
      </c>
      <c r="B192" s="54">
        <f>Material_compnt_GREET2!B$50*'Alloy_compnt_G&amp;L'!$M$2*Al_alloy_use_compnt!$E3</f>
        <v>0</v>
      </c>
      <c r="C192" s="54">
        <f>Material_compnt_GREET2!C$50*'Alloy_compnt_G&amp;L'!$M$2*Al_alloy_use_compnt!$E3</f>
        <v>0</v>
      </c>
      <c r="D192" s="54">
        <f>Material_compnt_GREET2!D$50*'Alloy_compnt_G&amp;L'!$M$2*Al_alloy_use_compnt!$E3</f>
        <v>0</v>
      </c>
      <c r="E192" s="54">
        <f>Material_compnt_GREET2!E$50*'Alloy_compnt_G&amp;L'!$M$2*Al_alloy_use_compnt!$E3</f>
        <v>0</v>
      </c>
      <c r="F192" s="54">
        <f>Material_compnt_GREET2!F$50*'Alloy_compnt_G&amp;L'!$M$2*Al_alloy_use_compnt!$E3</f>
        <v>0</v>
      </c>
      <c r="G192" s="54">
        <f>Material_compnt_GREET2!G$50*'Alloy_compnt_G&amp;L'!$M$2*Al_alloy_use_compnt!$E3</f>
        <v>0</v>
      </c>
      <c r="H192" s="54">
        <f>Material_compnt_GREET2!H$50*'Alloy_compnt_G&amp;L'!$M$2*Al_alloy_use_compnt!$E3</f>
        <v>0</v>
      </c>
      <c r="I192" s="143">
        <f>Material_compnt_GREET2!I$50*'Alloy_compnt_G&amp;L'!$M$2*Al_alloy_use_compnt!$E3</f>
        <v>0</v>
      </c>
    </row>
    <row r="193" spans="1:9" x14ac:dyDescent="0.2">
      <c r="A193" s="145" t="s">
        <v>245</v>
      </c>
      <c r="B193" s="54">
        <f>Material_compnt_GREET2!B$50*'Alloy_compnt_G&amp;L'!$M$2*Al_alloy_use_compnt!$E4</f>
        <v>0</v>
      </c>
      <c r="C193" s="54">
        <f>Material_compnt_GREET2!C$50*'Alloy_compnt_G&amp;L'!$M$2*Al_alloy_use_compnt!$E4</f>
        <v>0</v>
      </c>
      <c r="D193" s="54">
        <f>Material_compnt_GREET2!D$50*'Alloy_compnt_G&amp;L'!$M$2*Al_alloy_use_compnt!$E4</f>
        <v>0</v>
      </c>
      <c r="E193" s="54">
        <f>Material_compnt_GREET2!E$50*'Alloy_compnt_G&amp;L'!$M$2*Al_alloy_use_compnt!$E4</f>
        <v>0</v>
      </c>
      <c r="F193" s="54">
        <f>Material_compnt_GREET2!F$50*'Alloy_compnt_G&amp;L'!$M$2*Al_alloy_use_compnt!$E4</f>
        <v>0</v>
      </c>
      <c r="G193" s="54">
        <f>Material_compnt_GREET2!G$50*'Alloy_compnt_G&amp;L'!$M$2*Al_alloy_use_compnt!$E4</f>
        <v>0</v>
      </c>
      <c r="H193" s="54">
        <f>Material_compnt_GREET2!H$50*'Alloy_compnt_G&amp;L'!$M$2*Al_alloy_use_compnt!$E4</f>
        <v>0</v>
      </c>
      <c r="I193" s="143">
        <f>Material_compnt_GREET2!I$50*'Alloy_compnt_G&amp;L'!$M$2*Al_alloy_use_compnt!$E4</f>
        <v>0</v>
      </c>
    </row>
    <row r="194" spans="1:9" x14ac:dyDescent="0.2">
      <c r="A194" s="145" t="s">
        <v>246</v>
      </c>
      <c r="B194" s="54">
        <f>Material_compnt_GREET2!B$50*'Alloy_compnt_G&amp;L'!$M$2*Al_alloy_use_compnt!$E5</f>
        <v>0</v>
      </c>
      <c r="C194" s="54">
        <f>Material_compnt_GREET2!C$50*'Alloy_compnt_G&amp;L'!$M$2*Al_alloy_use_compnt!$E5</f>
        <v>0</v>
      </c>
      <c r="D194" s="54">
        <f>Material_compnt_GREET2!D$50*'Alloy_compnt_G&amp;L'!$M$2*Al_alloy_use_compnt!$E5</f>
        <v>0</v>
      </c>
      <c r="E194" s="54">
        <f>Material_compnt_GREET2!E$50*'Alloy_compnt_G&amp;L'!$M$2*Al_alloy_use_compnt!$E5</f>
        <v>0</v>
      </c>
      <c r="F194" s="54">
        <f>Material_compnt_GREET2!F$50*'Alloy_compnt_G&amp;L'!$M$2*Al_alloy_use_compnt!$E5</f>
        <v>0</v>
      </c>
      <c r="G194" s="54">
        <f>Material_compnt_GREET2!G$50*'Alloy_compnt_G&amp;L'!$M$2*Al_alloy_use_compnt!$E5</f>
        <v>0</v>
      </c>
      <c r="H194" s="54">
        <f>Material_compnt_GREET2!H$50*'Alloy_compnt_G&amp;L'!$M$2*Al_alloy_use_compnt!$E5</f>
        <v>0</v>
      </c>
      <c r="I194" s="143">
        <f>Material_compnt_GREET2!I$50*'Alloy_compnt_G&amp;L'!$M$2*Al_alloy_use_compnt!$E5</f>
        <v>0</v>
      </c>
    </row>
    <row r="195" spans="1:9" x14ac:dyDescent="0.2">
      <c r="A195" s="145" t="s">
        <v>247</v>
      </c>
      <c r="B195" s="54">
        <f>Material_compnt_GREET2!B$50*'Alloy_compnt_G&amp;L'!$M$2*Al_alloy_use_compnt!$E6</f>
        <v>0</v>
      </c>
      <c r="C195" s="54">
        <f>Material_compnt_GREET2!C$50*'Alloy_compnt_G&amp;L'!$M$2*Al_alloy_use_compnt!$E6</f>
        <v>0</v>
      </c>
      <c r="D195" s="54">
        <f>Material_compnt_GREET2!D$50*'Alloy_compnt_G&amp;L'!$M$2*Al_alloy_use_compnt!$E6</f>
        <v>0</v>
      </c>
      <c r="E195" s="54">
        <f>Material_compnt_GREET2!E$50*'Alloy_compnt_G&amp;L'!$M$2*Al_alloy_use_compnt!$E6</f>
        <v>0</v>
      </c>
      <c r="F195" s="54">
        <f>Material_compnt_GREET2!F$50*'Alloy_compnt_G&amp;L'!$M$2*Al_alloy_use_compnt!$E6</f>
        <v>0</v>
      </c>
      <c r="G195" s="54">
        <f>Material_compnt_GREET2!G$50*'Alloy_compnt_G&amp;L'!$M$2*Al_alloy_use_compnt!$E6</f>
        <v>0</v>
      </c>
      <c r="H195" s="54">
        <f>Material_compnt_GREET2!H$50*'Alloy_compnt_G&amp;L'!$M$2*Al_alloy_use_compnt!$E6</f>
        <v>0</v>
      </c>
      <c r="I195" s="143">
        <f>Material_compnt_GREET2!I$50*'Alloy_compnt_G&amp;L'!$M$2*Al_alloy_use_compnt!$E6</f>
        <v>0</v>
      </c>
    </row>
    <row r="196" spans="1:9" x14ac:dyDescent="0.2">
      <c r="A196" s="145" t="s">
        <v>248</v>
      </c>
      <c r="B196" s="54">
        <f>Material_compnt_GREET2!B$50*'Alloy_compnt_G&amp;L'!$M$2*Al_alloy_use_compnt!$E7</f>
        <v>0</v>
      </c>
      <c r="C196" s="54">
        <f>Material_compnt_GREET2!C$50*'Alloy_compnt_G&amp;L'!$M$2*Al_alloy_use_compnt!$E7</f>
        <v>0</v>
      </c>
      <c r="D196" s="54">
        <f>Material_compnt_GREET2!D$50*'Alloy_compnt_G&amp;L'!$M$2*Al_alloy_use_compnt!$E7</f>
        <v>0</v>
      </c>
      <c r="E196" s="54">
        <f>Material_compnt_GREET2!E$50*'Alloy_compnt_G&amp;L'!$M$2*Al_alloy_use_compnt!$E7</f>
        <v>0</v>
      </c>
      <c r="F196" s="54">
        <f>Material_compnt_GREET2!F$50*'Alloy_compnt_G&amp;L'!$M$2*Al_alloy_use_compnt!$E7</f>
        <v>0</v>
      </c>
      <c r="G196" s="54">
        <f>Material_compnt_GREET2!G$50*'Alloy_compnt_G&amp;L'!$M$2*Al_alloy_use_compnt!$E7</f>
        <v>0</v>
      </c>
      <c r="H196" s="54">
        <f>Material_compnt_GREET2!H$50*'Alloy_compnt_G&amp;L'!$M$2*Al_alloy_use_compnt!$E7</f>
        <v>0</v>
      </c>
      <c r="I196" s="143">
        <f>Material_compnt_GREET2!I$50*'Alloy_compnt_G&amp;L'!$M$2*Al_alloy_use_compnt!$E7</f>
        <v>0</v>
      </c>
    </row>
    <row r="197" spans="1:9" x14ac:dyDescent="0.2">
      <c r="A197" s="145" t="s">
        <v>249</v>
      </c>
      <c r="B197" s="54">
        <f>Material_compnt_GREET2!B$50*'Alloy_compnt_G&amp;L'!$M$2*Al_alloy_use_compnt!$E8</f>
        <v>0</v>
      </c>
      <c r="C197" s="54">
        <f>Material_compnt_GREET2!C$50*'Alloy_compnt_G&amp;L'!$M$2*Al_alloy_use_compnt!$E8</f>
        <v>0</v>
      </c>
      <c r="D197" s="54">
        <f>Material_compnt_GREET2!D$50*'Alloy_compnt_G&amp;L'!$M$2*Al_alloy_use_compnt!$E8</f>
        <v>0</v>
      </c>
      <c r="E197" s="54">
        <f>Material_compnt_GREET2!E$50*'Alloy_compnt_G&amp;L'!$M$2*Al_alloy_use_compnt!$E8</f>
        <v>0</v>
      </c>
      <c r="F197" s="54">
        <f>Material_compnt_GREET2!F$50*'Alloy_compnt_G&amp;L'!$M$2*Al_alloy_use_compnt!$E8</f>
        <v>0</v>
      </c>
      <c r="G197" s="54">
        <f>Material_compnt_GREET2!G$50*'Alloy_compnt_G&amp;L'!$M$2*Al_alloy_use_compnt!$E8</f>
        <v>0</v>
      </c>
      <c r="H197" s="54">
        <f>Material_compnt_GREET2!H$50*'Alloy_compnt_G&amp;L'!$M$2*Al_alloy_use_compnt!$E8</f>
        <v>0</v>
      </c>
      <c r="I197" s="143">
        <f>Material_compnt_GREET2!I$50*'Alloy_compnt_G&amp;L'!$M$2*Al_alloy_use_compnt!$E8</f>
        <v>0</v>
      </c>
    </row>
    <row r="198" spans="1:9" x14ac:dyDescent="0.2">
      <c r="A198" s="145" t="s">
        <v>250</v>
      </c>
      <c r="B198" s="54">
        <f>Material_compnt_GREET2!B$50*'Alloy_compnt_G&amp;L'!$M$2*Al_alloy_use_compnt!$E9</f>
        <v>0</v>
      </c>
      <c r="C198" s="54">
        <f>Material_compnt_GREET2!C$50*'Alloy_compnt_G&amp;L'!$M$2*Al_alloy_use_compnt!$E9</f>
        <v>0</v>
      </c>
      <c r="D198" s="54">
        <f>Material_compnt_GREET2!D$50*'Alloy_compnt_G&amp;L'!$M$2*Al_alloy_use_compnt!$E9</f>
        <v>0</v>
      </c>
      <c r="E198" s="54">
        <f>Material_compnt_GREET2!E$50*'Alloy_compnt_G&amp;L'!$M$2*Al_alloy_use_compnt!$E9</f>
        <v>0</v>
      </c>
      <c r="F198" s="54">
        <f>Material_compnt_GREET2!F$50*'Alloy_compnt_G&amp;L'!$M$2*Al_alloy_use_compnt!$E9</f>
        <v>0</v>
      </c>
      <c r="G198" s="54">
        <f>Material_compnt_GREET2!G$50*'Alloy_compnt_G&amp;L'!$M$2*Al_alloy_use_compnt!$E9</f>
        <v>0</v>
      </c>
      <c r="H198" s="54">
        <f>Material_compnt_GREET2!H$50*'Alloy_compnt_G&amp;L'!$M$2*Al_alloy_use_compnt!$E9</f>
        <v>0</v>
      </c>
      <c r="I198" s="143">
        <f>Material_compnt_GREET2!I$50*'Alloy_compnt_G&amp;L'!$M$2*Al_alloy_use_compnt!$E9</f>
        <v>0</v>
      </c>
    </row>
    <row r="199" spans="1:9" x14ac:dyDescent="0.2">
      <c r="A199" s="145" t="s">
        <v>251</v>
      </c>
      <c r="B199" s="54">
        <f>Material_compnt_GREET2!B$50*'Alloy_compnt_G&amp;L'!$M$2*Al_alloy_use_compnt!$E10</f>
        <v>0</v>
      </c>
      <c r="C199" s="54">
        <f>Material_compnt_GREET2!C$50*'Alloy_compnt_G&amp;L'!$M$2*Al_alloy_use_compnt!$E10</f>
        <v>0</v>
      </c>
      <c r="D199" s="54">
        <f>Material_compnt_GREET2!D$50*'Alloy_compnt_G&amp;L'!$M$2*Al_alloy_use_compnt!$E10</f>
        <v>0</v>
      </c>
      <c r="E199" s="54">
        <f>Material_compnt_GREET2!E$50*'Alloy_compnt_G&amp;L'!$M$2*Al_alloy_use_compnt!$E10</f>
        <v>0</v>
      </c>
      <c r="F199" s="54">
        <f>Material_compnt_GREET2!F$50*'Alloy_compnt_G&amp;L'!$M$2*Al_alloy_use_compnt!$E10</f>
        <v>0</v>
      </c>
      <c r="G199" s="54">
        <f>Material_compnt_GREET2!G$50*'Alloy_compnt_G&amp;L'!$M$2*Al_alloy_use_compnt!$E10</f>
        <v>0</v>
      </c>
      <c r="H199" s="54">
        <f>Material_compnt_GREET2!H$50*'Alloy_compnt_G&amp;L'!$M$2*Al_alloy_use_compnt!$E10</f>
        <v>0</v>
      </c>
      <c r="I199" s="143">
        <f>Material_compnt_GREET2!I$50*'Alloy_compnt_G&amp;L'!$M$2*Al_alloy_use_compnt!$E10</f>
        <v>0</v>
      </c>
    </row>
    <row r="200" spans="1:9" x14ac:dyDescent="0.2">
      <c r="A200" s="145" t="s">
        <v>252</v>
      </c>
      <c r="B200" s="54">
        <f>Material_compnt_GREET2!B$50*'Alloy_compnt_G&amp;L'!$M$2*Al_alloy_use_compnt!$E11</f>
        <v>0</v>
      </c>
      <c r="C200" s="54">
        <f>Material_compnt_GREET2!C$50*'Alloy_compnt_G&amp;L'!$M$2*Al_alloy_use_compnt!$E11</f>
        <v>0</v>
      </c>
      <c r="D200" s="54">
        <f>Material_compnt_GREET2!D$50*'Alloy_compnt_G&amp;L'!$M$2*Al_alloy_use_compnt!$E11</f>
        <v>0</v>
      </c>
      <c r="E200" s="54">
        <f>Material_compnt_GREET2!E$50*'Alloy_compnt_G&amp;L'!$M$2*Al_alloy_use_compnt!$E11</f>
        <v>0</v>
      </c>
      <c r="F200" s="54">
        <f>Material_compnt_GREET2!F$50*'Alloy_compnt_G&amp;L'!$M$2*Al_alloy_use_compnt!$E11</f>
        <v>0</v>
      </c>
      <c r="G200" s="54">
        <f>Material_compnt_GREET2!G$50*'Alloy_compnt_G&amp;L'!$M$2*Al_alloy_use_compnt!$E11</f>
        <v>0</v>
      </c>
      <c r="H200" s="54">
        <f>Material_compnt_GREET2!H$50*'Alloy_compnt_G&amp;L'!$M$2*Al_alloy_use_compnt!$E11</f>
        <v>0</v>
      </c>
      <c r="I200" s="143">
        <f>Material_compnt_GREET2!I$50*'Alloy_compnt_G&amp;L'!$M$2*Al_alloy_use_compnt!$E11</f>
        <v>0</v>
      </c>
    </row>
    <row r="201" spans="1:9" x14ac:dyDescent="0.2">
      <c r="A201" s="145" t="s">
        <v>253</v>
      </c>
      <c r="B201" s="54">
        <f>Material_compnt_GREET2!B$50*'Alloy_compnt_G&amp;L'!$M$2*Al_alloy_use_compnt!$E12</f>
        <v>0</v>
      </c>
      <c r="C201" s="54">
        <f>Material_compnt_GREET2!C$50*'Alloy_compnt_G&amp;L'!$M$2*Al_alloy_use_compnt!$E12</f>
        <v>0</v>
      </c>
      <c r="D201" s="54">
        <f>Material_compnt_GREET2!D$50*'Alloy_compnt_G&amp;L'!$M$2*Al_alloy_use_compnt!$E12</f>
        <v>0</v>
      </c>
      <c r="E201" s="54">
        <f>Material_compnt_GREET2!E$50*'Alloy_compnt_G&amp;L'!$M$2*Al_alloy_use_compnt!$E12</f>
        <v>0</v>
      </c>
      <c r="F201" s="54">
        <f>Material_compnt_GREET2!F$50*'Alloy_compnt_G&amp;L'!$M$2*Al_alloy_use_compnt!$E12</f>
        <v>0</v>
      </c>
      <c r="G201" s="54">
        <f>Material_compnt_GREET2!G$50*'Alloy_compnt_G&amp;L'!$M$2*Al_alloy_use_compnt!$E12</f>
        <v>0</v>
      </c>
      <c r="H201" s="54">
        <f>Material_compnt_GREET2!H$50*'Alloy_compnt_G&amp;L'!$M$2*Al_alloy_use_compnt!$E12</f>
        <v>0</v>
      </c>
      <c r="I201" s="143">
        <f>Material_compnt_GREET2!I$50*'Alloy_compnt_G&amp;L'!$M$2*Al_alloy_use_compnt!$E12</f>
        <v>0</v>
      </c>
    </row>
    <row r="202" spans="1:9" x14ac:dyDescent="0.2">
      <c r="A202" s="145" t="s">
        <v>254</v>
      </c>
      <c r="B202" s="54">
        <f>Material_compnt_GREET2!B$50*'Alloy_compnt_G&amp;L'!$M$2*Al_alloy_use_compnt!$E13</f>
        <v>0</v>
      </c>
      <c r="C202" s="54">
        <f>Material_compnt_GREET2!C$50*'Alloy_compnt_G&amp;L'!$M$2*Al_alloy_use_compnt!$E13</f>
        <v>0</v>
      </c>
      <c r="D202" s="54">
        <f>Material_compnt_GREET2!D$50*'Alloy_compnt_G&amp;L'!$M$2*Al_alloy_use_compnt!$E13</f>
        <v>0</v>
      </c>
      <c r="E202" s="54">
        <f>Material_compnt_GREET2!E$50*'Alloy_compnt_G&amp;L'!$M$2*Al_alloy_use_compnt!$E13</f>
        <v>0</v>
      </c>
      <c r="F202" s="54">
        <f>Material_compnt_GREET2!F$50*'Alloy_compnt_G&amp;L'!$M$2*Al_alloy_use_compnt!$E13</f>
        <v>0</v>
      </c>
      <c r="G202" s="54">
        <f>Material_compnt_GREET2!G$50*'Alloy_compnt_G&amp;L'!$M$2*Al_alloy_use_compnt!$E13</f>
        <v>0</v>
      </c>
      <c r="H202" s="54">
        <f>Material_compnt_GREET2!H$50*'Alloy_compnt_G&amp;L'!$M$2*Al_alloy_use_compnt!$E13</f>
        <v>0</v>
      </c>
      <c r="I202" s="143">
        <f>Material_compnt_GREET2!I$50*'Alloy_compnt_G&amp;L'!$M$2*Al_alloy_use_compnt!$E13</f>
        <v>0</v>
      </c>
    </row>
    <row r="203" spans="1:9" x14ac:dyDescent="0.2">
      <c r="A203" s="146" t="s">
        <v>255</v>
      </c>
      <c r="B203" s="54">
        <f>Material_compnt_GREET2!B$50*'Alloy_compnt_G&amp;L'!$M$2*Al_alloy_use_compnt!$E14</f>
        <v>0</v>
      </c>
      <c r="C203" s="54">
        <f>Material_compnt_GREET2!C$50*'Alloy_compnt_G&amp;L'!$M$2*Al_alloy_use_compnt!$E14</f>
        <v>0</v>
      </c>
      <c r="D203" s="54">
        <f>Material_compnt_GREET2!D$50*'Alloy_compnt_G&amp;L'!$M$2*Al_alloy_use_compnt!$E14</f>
        <v>0</v>
      </c>
      <c r="E203" s="54">
        <f>Material_compnt_GREET2!E$50*'Alloy_compnt_G&amp;L'!$M$2*Al_alloy_use_compnt!$E14</f>
        <v>0</v>
      </c>
      <c r="F203" s="54">
        <f>Material_compnt_GREET2!F$50*'Alloy_compnt_G&amp;L'!$M$2*Al_alloy_use_compnt!$E14</f>
        <v>0</v>
      </c>
      <c r="G203" s="54">
        <f>Material_compnt_GREET2!G$50*'Alloy_compnt_G&amp;L'!$M$2*Al_alloy_use_compnt!$E14</f>
        <v>0</v>
      </c>
      <c r="H203" s="54">
        <f>Material_compnt_GREET2!H$50*'Alloy_compnt_G&amp;L'!$M$2*Al_alloy_use_compnt!$E14</f>
        <v>0</v>
      </c>
      <c r="I203" s="143">
        <f>Material_compnt_GREET2!I$50*'Alloy_compnt_G&amp;L'!$M$2*Al_alloy_use_compnt!$E14</f>
        <v>0</v>
      </c>
    </row>
    <row r="204" spans="1:9" x14ac:dyDescent="0.2">
      <c r="A204" s="145" t="s">
        <v>256</v>
      </c>
      <c r="B204" s="54">
        <f>Material_compnt_GREET2!B$50*'Alloy_compnt_G&amp;L'!$M$2*Al_alloy_use_compnt!$E15</f>
        <v>0</v>
      </c>
      <c r="C204" s="54">
        <f>Material_compnt_GREET2!C$50*'Alloy_compnt_G&amp;L'!$M$2*Al_alloy_use_compnt!$E15</f>
        <v>0</v>
      </c>
      <c r="D204" s="54">
        <f>Material_compnt_GREET2!D$50*'Alloy_compnt_G&amp;L'!$M$2*Al_alloy_use_compnt!$E15</f>
        <v>0</v>
      </c>
      <c r="E204" s="54">
        <f>Material_compnt_GREET2!E$50*'Alloy_compnt_G&amp;L'!$M$2*Al_alloy_use_compnt!$E15</f>
        <v>0</v>
      </c>
      <c r="F204" s="54">
        <f>Material_compnt_GREET2!F$50*'Alloy_compnt_G&amp;L'!$M$2*Al_alloy_use_compnt!$E15</f>
        <v>0</v>
      </c>
      <c r="G204" s="54">
        <f>Material_compnt_GREET2!G$50*'Alloy_compnt_G&amp;L'!$M$2*Al_alloy_use_compnt!$E15</f>
        <v>0</v>
      </c>
      <c r="H204" s="54">
        <f>Material_compnt_GREET2!H$50*'Alloy_compnt_G&amp;L'!$M$2*Al_alloy_use_compnt!$E15</f>
        <v>0</v>
      </c>
      <c r="I204" s="143">
        <f>Material_compnt_GREET2!I$50*'Alloy_compnt_G&amp;L'!$M$2*Al_alloy_use_compnt!$E15</f>
        <v>0</v>
      </c>
    </row>
    <row r="205" spans="1:9" x14ac:dyDescent="0.2">
      <c r="A205" s="145" t="s">
        <v>257</v>
      </c>
      <c r="B205" s="54">
        <f>Material_compnt_GREET2!B$50*'Alloy_compnt_G&amp;L'!$M$2*Al_alloy_use_compnt!$E16</f>
        <v>0</v>
      </c>
      <c r="C205" s="54">
        <f>Material_compnt_GREET2!C$50*'Alloy_compnt_G&amp;L'!$M$2*Al_alloy_use_compnt!$E16</f>
        <v>0</v>
      </c>
      <c r="D205" s="54">
        <f>Material_compnt_GREET2!D$50*'Alloy_compnt_G&amp;L'!$M$2*Al_alloy_use_compnt!$E16</f>
        <v>0</v>
      </c>
      <c r="E205" s="54">
        <f>Material_compnt_GREET2!E$50*'Alloy_compnt_G&amp;L'!$M$2*Al_alloy_use_compnt!$E16</f>
        <v>0</v>
      </c>
      <c r="F205" s="54">
        <f>Material_compnt_GREET2!F$50*'Alloy_compnt_G&amp;L'!$M$2*Al_alloy_use_compnt!$E16</f>
        <v>0</v>
      </c>
      <c r="G205" s="54">
        <f>Material_compnt_GREET2!G$50*'Alloy_compnt_G&amp;L'!$M$2*Al_alloy_use_compnt!$E16</f>
        <v>0</v>
      </c>
      <c r="H205" s="54">
        <f>Material_compnt_GREET2!H$50*'Alloy_compnt_G&amp;L'!$M$2*Al_alloy_use_compnt!$E16</f>
        <v>0</v>
      </c>
      <c r="I205" s="143">
        <f>Material_compnt_GREET2!I$50*'Alloy_compnt_G&amp;L'!$M$2*Al_alloy_use_compnt!$E16</f>
        <v>0</v>
      </c>
    </row>
    <row r="206" spans="1:9" x14ac:dyDescent="0.2">
      <c r="A206" s="145" t="s">
        <v>258</v>
      </c>
      <c r="B206" s="54">
        <f>Material_compnt_GREET2!B$50*'Alloy_compnt_G&amp;L'!$M$2*Al_alloy_use_compnt!$E17</f>
        <v>0</v>
      </c>
      <c r="C206" s="54">
        <f>Material_compnt_GREET2!C$50*'Alloy_compnt_G&amp;L'!$M$2*Al_alloy_use_compnt!$E17</f>
        <v>0</v>
      </c>
      <c r="D206" s="54">
        <f>Material_compnt_GREET2!D$50*'Alloy_compnt_G&amp;L'!$M$2*Al_alloy_use_compnt!$E17</f>
        <v>0</v>
      </c>
      <c r="E206" s="54">
        <f>Material_compnt_GREET2!E$50*'Alloy_compnt_G&amp;L'!$M$2*Al_alloy_use_compnt!$E17</f>
        <v>0</v>
      </c>
      <c r="F206" s="54">
        <f>Material_compnt_GREET2!F$50*'Alloy_compnt_G&amp;L'!$M$2*Al_alloy_use_compnt!$E17</f>
        <v>0</v>
      </c>
      <c r="G206" s="54">
        <f>Material_compnt_GREET2!G$50*'Alloy_compnt_G&amp;L'!$M$2*Al_alloy_use_compnt!$E17</f>
        <v>0</v>
      </c>
      <c r="H206" s="54">
        <f>Material_compnt_GREET2!H$50*'Alloy_compnt_G&amp;L'!$M$2*Al_alloy_use_compnt!$E17</f>
        <v>0</v>
      </c>
      <c r="I206" s="143">
        <f>Material_compnt_GREET2!I$50*'Alloy_compnt_G&amp;L'!$M$2*Al_alloy_use_compnt!$E17</f>
        <v>0</v>
      </c>
    </row>
    <row r="207" spans="1:9" x14ac:dyDescent="0.2">
      <c r="A207" s="142" t="s">
        <v>259</v>
      </c>
      <c r="B207" s="54">
        <f>Material_compnt_GREET2!B$50*'Alloy_compnt_G&amp;L'!$M$2*Al_alloy_use_compnt!$E18</f>
        <v>0</v>
      </c>
      <c r="C207" s="54">
        <f>Material_compnt_GREET2!C$50*'Alloy_compnt_G&amp;L'!$M$2*Al_alloy_use_compnt!$E18</f>
        <v>0</v>
      </c>
      <c r="D207" s="54">
        <f>Material_compnt_GREET2!D$50*'Alloy_compnt_G&amp;L'!$M$2*Al_alloy_use_compnt!$E18</f>
        <v>0</v>
      </c>
      <c r="E207" s="54">
        <f>Material_compnt_GREET2!E$50*'Alloy_compnt_G&amp;L'!$M$2*Al_alloy_use_compnt!$E18</f>
        <v>0</v>
      </c>
      <c r="F207" s="54">
        <f>Material_compnt_GREET2!F$50*'Alloy_compnt_G&amp;L'!$M$2*Al_alloy_use_compnt!$E18</f>
        <v>0</v>
      </c>
      <c r="G207" s="54">
        <f>Material_compnt_GREET2!G$50*'Alloy_compnt_G&amp;L'!$M$2*Al_alloy_use_compnt!$E18</f>
        <v>0</v>
      </c>
      <c r="H207" s="54">
        <f>Material_compnt_GREET2!H$50*'Alloy_compnt_G&amp;L'!$M$2*Al_alloy_use_compnt!$E18</f>
        <v>0</v>
      </c>
      <c r="I207" s="143">
        <f>Material_compnt_GREET2!I$50*'Alloy_compnt_G&amp;L'!$M$2*Al_alloy_use_compnt!$E18</f>
        <v>0</v>
      </c>
    </row>
    <row r="208" spans="1:9" x14ac:dyDescent="0.2">
      <c r="A208" s="147" t="s">
        <v>260</v>
      </c>
      <c r="B208" s="54">
        <f>Material_compnt_GREET2!B$50*'Alloy_compnt_G&amp;L'!$M$2*Al_alloy_use_compnt!$E19</f>
        <v>0</v>
      </c>
      <c r="C208" s="54">
        <f>Material_compnt_GREET2!C$50*'Alloy_compnt_G&amp;L'!$M$2*Al_alloy_use_compnt!$E19</f>
        <v>0</v>
      </c>
      <c r="D208" s="54">
        <f>Material_compnt_GREET2!D$50*'Alloy_compnt_G&amp;L'!$M$2*Al_alloy_use_compnt!$E19</f>
        <v>0</v>
      </c>
      <c r="E208" s="54">
        <f>Material_compnt_GREET2!E$50*'Alloy_compnt_G&amp;L'!$M$2*Al_alloy_use_compnt!$E19</f>
        <v>0</v>
      </c>
      <c r="F208" s="54">
        <f>Material_compnt_GREET2!F$50*'Alloy_compnt_G&amp;L'!$M$2*Al_alloy_use_compnt!$E19</f>
        <v>0</v>
      </c>
      <c r="G208" s="54">
        <f>Material_compnt_GREET2!G$50*'Alloy_compnt_G&amp;L'!$M$2*Al_alloy_use_compnt!$E19</f>
        <v>0</v>
      </c>
      <c r="H208" s="54">
        <f>Material_compnt_GREET2!H$50*'Alloy_compnt_G&amp;L'!$M$2*Al_alloy_use_compnt!$E19</f>
        <v>0</v>
      </c>
      <c r="I208" s="143">
        <f>Material_compnt_GREET2!I$50*'Alloy_compnt_G&amp;L'!$M$2*Al_alloy_use_compnt!$E19</f>
        <v>0</v>
      </c>
    </row>
    <row r="209" spans="1:9" x14ac:dyDescent="0.2">
      <c r="A209" s="142" t="s">
        <v>261</v>
      </c>
      <c r="B209" s="54">
        <f>Material_compnt_GREET2!B$50*'Alloy_compnt_G&amp;L'!$N$2*Al_alloy_use_compnt!$E3</f>
        <v>0</v>
      </c>
      <c r="C209" s="54">
        <f>Material_compnt_GREET2!C$50*'Alloy_compnt_G&amp;L'!$N$2*Al_alloy_use_compnt!$E3</f>
        <v>0</v>
      </c>
      <c r="D209" s="54">
        <f>Material_compnt_GREET2!D$50*'Alloy_compnt_G&amp;L'!$N$2*Al_alloy_use_compnt!$E3</f>
        <v>0</v>
      </c>
      <c r="E209" s="54">
        <f>Material_compnt_GREET2!E$50*'Alloy_compnt_G&amp;L'!$N$2*Al_alloy_use_compnt!$E3</f>
        <v>0</v>
      </c>
      <c r="F209" s="54">
        <f>Material_compnt_GREET2!F$50*'Alloy_compnt_G&amp;L'!$N$2*Al_alloy_use_compnt!$E3</f>
        <v>0</v>
      </c>
      <c r="G209" s="54">
        <f>Material_compnt_GREET2!G$50*'Alloy_compnt_G&amp;L'!$N$2*Al_alloy_use_compnt!$E3</f>
        <v>0</v>
      </c>
      <c r="H209" s="54">
        <f>Material_compnt_GREET2!H$50*'Alloy_compnt_G&amp;L'!$N$2*Al_alloy_use_compnt!$E3</f>
        <v>0</v>
      </c>
      <c r="I209" s="143">
        <f>Material_compnt_GREET2!I$50*'Alloy_compnt_G&amp;L'!$N$2*Al_alloy_use_compnt!$E3</f>
        <v>0</v>
      </c>
    </row>
    <row r="210" spans="1:9" x14ac:dyDescent="0.2">
      <c r="A210" s="142" t="s">
        <v>262</v>
      </c>
      <c r="B210" s="54">
        <f>Material_compnt_GREET2!B$50*'Alloy_compnt_G&amp;L'!$N$2*Al_alloy_use_compnt!$E4</f>
        <v>0</v>
      </c>
      <c r="C210" s="54">
        <f>Material_compnt_GREET2!C$50*'Alloy_compnt_G&amp;L'!$N$2*Al_alloy_use_compnt!$E4</f>
        <v>0</v>
      </c>
      <c r="D210" s="54">
        <f>Material_compnt_GREET2!D$50*'Alloy_compnt_G&amp;L'!$N$2*Al_alloy_use_compnt!$E4</f>
        <v>0</v>
      </c>
      <c r="E210" s="54">
        <f>Material_compnt_GREET2!E$50*'Alloy_compnt_G&amp;L'!$N$2*Al_alloy_use_compnt!$E4</f>
        <v>0</v>
      </c>
      <c r="F210" s="54">
        <f>Material_compnt_GREET2!F$50*'Alloy_compnt_G&amp;L'!$N$2*Al_alloy_use_compnt!$E4</f>
        <v>0</v>
      </c>
      <c r="G210" s="54">
        <f>Material_compnt_GREET2!G$50*'Alloy_compnt_G&amp;L'!$N$2*Al_alloy_use_compnt!$E4</f>
        <v>0</v>
      </c>
      <c r="H210" s="54">
        <f>Material_compnt_GREET2!H$50*'Alloy_compnt_G&amp;L'!$N$2*Al_alloy_use_compnt!$E4</f>
        <v>0</v>
      </c>
      <c r="I210" s="143">
        <f>Material_compnt_GREET2!I$50*'Alloy_compnt_G&amp;L'!$N$2*Al_alloy_use_compnt!$E4</f>
        <v>0</v>
      </c>
    </row>
    <row r="211" spans="1:9" x14ac:dyDescent="0.2">
      <c r="A211" s="142" t="s">
        <v>263</v>
      </c>
      <c r="B211" s="54">
        <f>Material_compnt_GREET2!B$50*'Alloy_compnt_G&amp;L'!$N$2*Al_alloy_use_compnt!$E5</f>
        <v>0</v>
      </c>
      <c r="C211" s="54">
        <f>Material_compnt_GREET2!C$50*'Alloy_compnt_G&amp;L'!$N$2*Al_alloy_use_compnt!$E5</f>
        <v>0</v>
      </c>
      <c r="D211" s="54">
        <f>Material_compnt_GREET2!D$50*'Alloy_compnt_G&amp;L'!$N$2*Al_alloy_use_compnt!$E5</f>
        <v>0</v>
      </c>
      <c r="E211" s="54">
        <f>Material_compnt_GREET2!E$50*'Alloy_compnt_G&amp;L'!$N$2*Al_alloy_use_compnt!$E5</f>
        <v>0</v>
      </c>
      <c r="F211" s="54">
        <f>Material_compnt_GREET2!F$50*'Alloy_compnt_G&amp;L'!$N$2*Al_alloy_use_compnt!$E5</f>
        <v>0</v>
      </c>
      <c r="G211" s="54">
        <f>Material_compnt_GREET2!G$50*'Alloy_compnt_G&amp;L'!$N$2*Al_alloy_use_compnt!$E5</f>
        <v>0</v>
      </c>
      <c r="H211" s="54">
        <f>Material_compnt_GREET2!H$50*'Alloy_compnt_G&amp;L'!$N$2*Al_alloy_use_compnt!$E5</f>
        <v>0</v>
      </c>
      <c r="I211" s="143">
        <f>Material_compnt_GREET2!I$50*'Alloy_compnt_G&amp;L'!$N$2*Al_alloy_use_compnt!$E5</f>
        <v>0</v>
      </c>
    </row>
    <row r="212" spans="1:9" x14ac:dyDescent="0.2">
      <c r="A212" s="142" t="s">
        <v>264</v>
      </c>
      <c r="B212" s="54">
        <f>Material_compnt_GREET2!B$50*'Alloy_compnt_G&amp;L'!$N$2*Al_alloy_use_compnt!$E6</f>
        <v>0</v>
      </c>
      <c r="C212" s="54">
        <f>Material_compnt_GREET2!C$50*'Alloy_compnt_G&amp;L'!$N$2*Al_alloy_use_compnt!$E6</f>
        <v>0</v>
      </c>
      <c r="D212" s="54">
        <f>Material_compnt_GREET2!D$50*'Alloy_compnt_G&amp;L'!$N$2*Al_alloy_use_compnt!$E6</f>
        <v>0</v>
      </c>
      <c r="E212" s="54">
        <f>Material_compnt_GREET2!E$50*'Alloy_compnt_G&amp;L'!$N$2*Al_alloy_use_compnt!$E6</f>
        <v>0</v>
      </c>
      <c r="F212" s="54">
        <f>Material_compnt_GREET2!F$50*'Alloy_compnt_G&amp;L'!$N$2*Al_alloy_use_compnt!$E6</f>
        <v>0</v>
      </c>
      <c r="G212" s="54">
        <f>Material_compnt_GREET2!G$50*'Alloy_compnt_G&amp;L'!$N$2*Al_alloy_use_compnt!$E6</f>
        <v>0</v>
      </c>
      <c r="H212" s="54">
        <f>Material_compnt_GREET2!H$50*'Alloy_compnt_G&amp;L'!$N$2*Al_alloy_use_compnt!$E6</f>
        <v>0</v>
      </c>
      <c r="I212" s="143">
        <f>Material_compnt_GREET2!I$50*'Alloy_compnt_G&amp;L'!$N$2*Al_alloy_use_compnt!$E6</f>
        <v>0</v>
      </c>
    </row>
    <row r="213" spans="1:9" x14ac:dyDescent="0.2">
      <c r="A213" s="142" t="s">
        <v>265</v>
      </c>
      <c r="B213" s="54">
        <f>Material_compnt_GREET2!B$50*'Alloy_compnt_G&amp;L'!$N$2*Al_alloy_use_compnt!$E7</f>
        <v>0</v>
      </c>
      <c r="C213" s="54">
        <f>Material_compnt_GREET2!C$50*'Alloy_compnt_G&amp;L'!$N$2*Al_alloy_use_compnt!$E7</f>
        <v>0</v>
      </c>
      <c r="D213" s="54">
        <f>Material_compnt_GREET2!D$50*'Alloy_compnt_G&amp;L'!$N$2*Al_alloy_use_compnt!$E7</f>
        <v>0</v>
      </c>
      <c r="E213" s="54">
        <f>Material_compnt_GREET2!E$50*'Alloy_compnt_G&amp;L'!$N$2*Al_alloy_use_compnt!$E7</f>
        <v>0</v>
      </c>
      <c r="F213" s="54">
        <f>Material_compnt_GREET2!F$50*'Alloy_compnt_G&amp;L'!$N$2*Al_alloy_use_compnt!$E7</f>
        <v>0</v>
      </c>
      <c r="G213" s="54">
        <f>Material_compnt_GREET2!G$50*'Alloy_compnt_G&amp;L'!$N$2*Al_alloy_use_compnt!$E7</f>
        <v>0</v>
      </c>
      <c r="H213" s="54">
        <f>Material_compnt_GREET2!H$50*'Alloy_compnt_G&amp;L'!$N$2*Al_alloy_use_compnt!$E7</f>
        <v>0</v>
      </c>
      <c r="I213" s="143">
        <f>Material_compnt_GREET2!I$50*'Alloy_compnt_G&amp;L'!$N$2*Al_alloy_use_compnt!$E7</f>
        <v>0</v>
      </c>
    </row>
    <row r="214" spans="1:9" x14ac:dyDescent="0.2">
      <c r="A214" s="142" t="s">
        <v>266</v>
      </c>
      <c r="B214" s="54">
        <f>Material_compnt_GREET2!B$50*'Alloy_compnt_G&amp;L'!$N$2*Al_alloy_use_compnt!$E8</f>
        <v>0</v>
      </c>
      <c r="C214" s="54">
        <f>Material_compnt_GREET2!C$50*'Alloy_compnt_G&amp;L'!$N$2*Al_alloy_use_compnt!$E8</f>
        <v>0</v>
      </c>
      <c r="D214" s="54">
        <f>Material_compnt_GREET2!D$50*'Alloy_compnt_G&amp;L'!$N$2*Al_alloy_use_compnt!$E8</f>
        <v>0</v>
      </c>
      <c r="E214" s="54">
        <f>Material_compnt_GREET2!E$50*'Alloy_compnt_G&amp;L'!$N$2*Al_alloy_use_compnt!$E8</f>
        <v>0</v>
      </c>
      <c r="F214" s="54">
        <f>Material_compnt_GREET2!F$50*'Alloy_compnt_G&amp;L'!$N$2*Al_alloy_use_compnt!$E8</f>
        <v>0</v>
      </c>
      <c r="G214" s="54">
        <f>Material_compnt_GREET2!G$50*'Alloy_compnt_G&amp;L'!$N$2*Al_alloy_use_compnt!$E8</f>
        <v>0</v>
      </c>
      <c r="H214" s="54">
        <f>Material_compnt_GREET2!H$50*'Alloy_compnt_G&amp;L'!$N$2*Al_alloy_use_compnt!$E8</f>
        <v>0</v>
      </c>
      <c r="I214" s="143">
        <f>Material_compnt_GREET2!I$50*'Alloy_compnt_G&amp;L'!$N$2*Al_alloy_use_compnt!$E8</f>
        <v>0</v>
      </c>
    </row>
    <row r="215" spans="1:9" x14ac:dyDescent="0.2">
      <c r="A215" s="142" t="s">
        <v>267</v>
      </c>
      <c r="B215" s="54">
        <f>Material_compnt_GREET2!B$50*'Alloy_compnt_G&amp;L'!$N$2*Al_alloy_use_compnt!$E9</f>
        <v>0</v>
      </c>
      <c r="C215" s="54">
        <f>Material_compnt_GREET2!C$50*'Alloy_compnt_G&amp;L'!$N$2*Al_alloy_use_compnt!$E9</f>
        <v>0.53559881802156706</v>
      </c>
      <c r="D215" s="54">
        <f>Material_compnt_GREET2!D$50*'Alloy_compnt_G&amp;L'!$N$2*Al_alloy_use_compnt!$E9</f>
        <v>0</v>
      </c>
      <c r="E215" s="54">
        <f>Material_compnt_GREET2!E$50*'Alloy_compnt_G&amp;L'!$N$2*Al_alloy_use_compnt!$E9</f>
        <v>0.58501361833819099</v>
      </c>
      <c r="F215" s="54">
        <f>Material_compnt_GREET2!F$50*'Alloy_compnt_G&amp;L'!$N$2*Al_alloy_use_compnt!$E9</f>
        <v>0</v>
      </c>
      <c r="G215" s="54">
        <f>Material_compnt_GREET2!G$50*'Alloy_compnt_G&amp;L'!$N$2*Al_alloy_use_compnt!$E9</f>
        <v>0.5628346690821453</v>
      </c>
      <c r="H215" s="54">
        <f>Material_compnt_GREET2!H$50*'Alloy_compnt_G&amp;L'!$N$2*Al_alloy_use_compnt!$E9</f>
        <v>0</v>
      </c>
      <c r="I215" s="143">
        <f>Material_compnt_GREET2!I$50*'Alloy_compnt_G&amp;L'!$N$2*Al_alloy_use_compnt!$E9</f>
        <v>0</v>
      </c>
    </row>
    <row r="216" spans="1:9" x14ac:dyDescent="0.2">
      <c r="A216" s="142" t="s">
        <v>268</v>
      </c>
      <c r="B216" s="54">
        <f>Material_compnt_GREET2!B$50*'Alloy_compnt_G&amp;L'!$N$2*Al_alloy_use_compnt!$E10</f>
        <v>0</v>
      </c>
      <c r="C216" s="54">
        <f>Material_compnt_GREET2!C$50*'Alloy_compnt_G&amp;L'!$N$2*Al_alloy_use_compnt!$E10</f>
        <v>0</v>
      </c>
      <c r="D216" s="54">
        <f>Material_compnt_GREET2!D$50*'Alloy_compnt_G&amp;L'!$N$2*Al_alloy_use_compnt!$E10</f>
        <v>0</v>
      </c>
      <c r="E216" s="54">
        <f>Material_compnt_GREET2!E$50*'Alloy_compnt_G&amp;L'!$N$2*Al_alloy_use_compnt!$E10</f>
        <v>0</v>
      </c>
      <c r="F216" s="54">
        <f>Material_compnt_GREET2!F$50*'Alloy_compnt_G&amp;L'!$N$2*Al_alloy_use_compnt!$E10</f>
        <v>0</v>
      </c>
      <c r="G216" s="54">
        <f>Material_compnt_GREET2!G$50*'Alloy_compnt_G&amp;L'!$N$2*Al_alloy_use_compnt!$E10</f>
        <v>0</v>
      </c>
      <c r="H216" s="54">
        <f>Material_compnt_GREET2!H$50*'Alloy_compnt_G&amp;L'!$N$2*Al_alloy_use_compnt!$E10</f>
        <v>0</v>
      </c>
      <c r="I216" s="143">
        <f>Material_compnt_GREET2!I$50*'Alloy_compnt_G&amp;L'!$N$2*Al_alloy_use_compnt!$E10</f>
        <v>0</v>
      </c>
    </row>
    <row r="217" spans="1:9" x14ac:dyDescent="0.2">
      <c r="A217" s="142" t="s">
        <v>269</v>
      </c>
      <c r="B217" s="54">
        <f>Material_compnt_GREET2!B$50*'Alloy_compnt_G&amp;L'!$N$2*Al_alloy_use_compnt!$E11</f>
        <v>0</v>
      </c>
      <c r="C217" s="54">
        <f>Material_compnt_GREET2!C$50*'Alloy_compnt_G&amp;L'!$N$2*Al_alloy_use_compnt!$E11</f>
        <v>0</v>
      </c>
      <c r="D217" s="54">
        <f>Material_compnt_GREET2!D$50*'Alloy_compnt_G&amp;L'!$N$2*Al_alloy_use_compnt!$E11</f>
        <v>0</v>
      </c>
      <c r="E217" s="54">
        <f>Material_compnt_GREET2!E$50*'Alloy_compnt_G&amp;L'!$N$2*Al_alloy_use_compnt!$E11</f>
        <v>0</v>
      </c>
      <c r="F217" s="54">
        <f>Material_compnt_GREET2!F$50*'Alloy_compnt_G&amp;L'!$N$2*Al_alloy_use_compnt!$E11</f>
        <v>0</v>
      </c>
      <c r="G217" s="54">
        <f>Material_compnt_GREET2!G$50*'Alloy_compnt_G&amp;L'!$N$2*Al_alloy_use_compnt!$E11</f>
        <v>0</v>
      </c>
      <c r="H217" s="54">
        <f>Material_compnt_GREET2!H$50*'Alloy_compnt_G&amp;L'!$N$2*Al_alloy_use_compnt!$E11</f>
        <v>0</v>
      </c>
      <c r="I217" s="143">
        <f>Material_compnt_GREET2!I$50*'Alloy_compnt_G&amp;L'!$N$2*Al_alloy_use_compnt!$E11</f>
        <v>0</v>
      </c>
    </row>
    <row r="218" spans="1:9" x14ac:dyDescent="0.2">
      <c r="A218" s="142" t="s">
        <v>270</v>
      </c>
      <c r="B218" s="54">
        <f>Material_compnt_GREET2!B$50*'Alloy_compnt_G&amp;L'!$N$2*Al_alloy_use_compnt!$E12</f>
        <v>0</v>
      </c>
      <c r="C218" s="54">
        <f>Material_compnt_GREET2!C$50*'Alloy_compnt_G&amp;L'!$N$2*Al_alloy_use_compnt!$E12</f>
        <v>0</v>
      </c>
      <c r="D218" s="54">
        <f>Material_compnt_GREET2!D$50*'Alloy_compnt_G&amp;L'!$N$2*Al_alloy_use_compnt!$E12</f>
        <v>0</v>
      </c>
      <c r="E218" s="54">
        <f>Material_compnt_GREET2!E$50*'Alloy_compnt_G&amp;L'!$N$2*Al_alloy_use_compnt!$E12</f>
        <v>0</v>
      </c>
      <c r="F218" s="54">
        <f>Material_compnt_GREET2!F$50*'Alloy_compnt_G&amp;L'!$N$2*Al_alloy_use_compnt!$E12</f>
        <v>0</v>
      </c>
      <c r="G218" s="54">
        <f>Material_compnt_GREET2!G$50*'Alloy_compnt_G&amp;L'!$N$2*Al_alloy_use_compnt!$E12</f>
        <v>0</v>
      </c>
      <c r="H218" s="54">
        <f>Material_compnt_GREET2!H$50*'Alloy_compnt_G&amp;L'!$N$2*Al_alloy_use_compnt!$E12</f>
        <v>0</v>
      </c>
      <c r="I218" s="143">
        <f>Material_compnt_GREET2!I$50*'Alloy_compnt_G&amp;L'!$N$2*Al_alloy_use_compnt!$E12</f>
        <v>0</v>
      </c>
    </row>
    <row r="219" spans="1:9" x14ac:dyDescent="0.2">
      <c r="A219" s="142" t="s">
        <v>271</v>
      </c>
      <c r="B219" s="54">
        <f>Material_compnt_GREET2!B$50*'Alloy_compnt_G&amp;L'!$N$2*Al_alloy_use_compnt!$E13</f>
        <v>0</v>
      </c>
      <c r="C219" s="54">
        <f>Material_compnt_GREET2!C$50*'Alloy_compnt_G&amp;L'!$N$2*Al_alloy_use_compnt!$E13</f>
        <v>0</v>
      </c>
      <c r="D219" s="54">
        <f>Material_compnt_GREET2!D$50*'Alloy_compnt_G&amp;L'!$N$2*Al_alloy_use_compnt!$E13</f>
        <v>0</v>
      </c>
      <c r="E219" s="54">
        <f>Material_compnt_GREET2!E$50*'Alloy_compnt_G&amp;L'!$N$2*Al_alloy_use_compnt!$E13</f>
        <v>0</v>
      </c>
      <c r="F219" s="54">
        <f>Material_compnt_GREET2!F$50*'Alloy_compnt_G&amp;L'!$N$2*Al_alloy_use_compnt!$E13</f>
        <v>0</v>
      </c>
      <c r="G219" s="54">
        <f>Material_compnt_GREET2!G$50*'Alloy_compnt_G&amp;L'!$N$2*Al_alloy_use_compnt!$E13</f>
        <v>0</v>
      </c>
      <c r="H219" s="54">
        <f>Material_compnt_GREET2!H$50*'Alloy_compnt_G&amp;L'!$N$2*Al_alloy_use_compnt!$E13</f>
        <v>0</v>
      </c>
      <c r="I219" s="143">
        <f>Material_compnt_GREET2!I$50*'Alloy_compnt_G&amp;L'!$N$2*Al_alloy_use_compnt!$E13</f>
        <v>0</v>
      </c>
    </row>
    <row r="220" spans="1:9" x14ac:dyDescent="0.2">
      <c r="A220" s="142" t="s">
        <v>272</v>
      </c>
      <c r="B220" s="54">
        <f>Material_compnt_GREET2!B$50*'Alloy_compnt_G&amp;L'!$N$2*Al_alloy_use_compnt!$E14</f>
        <v>0</v>
      </c>
      <c r="C220" s="54">
        <f>Material_compnt_GREET2!C$50*'Alloy_compnt_G&amp;L'!$N$2*Al_alloy_use_compnt!$E14</f>
        <v>0</v>
      </c>
      <c r="D220" s="54">
        <f>Material_compnt_GREET2!D$50*'Alloy_compnt_G&amp;L'!$N$2*Al_alloy_use_compnt!$E14</f>
        <v>0</v>
      </c>
      <c r="E220" s="54">
        <f>Material_compnt_GREET2!E$50*'Alloy_compnt_G&amp;L'!$N$2*Al_alloy_use_compnt!$E14</f>
        <v>0</v>
      </c>
      <c r="F220" s="54">
        <f>Material_compnt_GREET2!F$50*'Alloy_compnt_G&amp;L'!$N$2*Al_alloy_use_compnt!$E14</f>
        <v>0</v>
      </c>
      <c r="G220" s="54">
        <f>Material_compnt_GREET2!G$50*'Alloy_compnt_G&amp;L'!$N$2*Al_alloy_use_compnt!$E14</f>
        <v>0</v>
      </c>
      <c r="H220" s="54">
        <f>Material_compnt_GREET2!H$50*'Alloy_compnt_G&amp;L'!$N$2*Al_alloy_use_compnt!$E14</f>
        <v>0</v>
      </c>
      <c r="I220" s="143">
        <f>Material_compnt_GREET2!I$50*'Alloy_compnt_G&amp;L'!$N$2*Al_alloy_use_compnt!$E14</f>
        <v>0</v>
      </c>
    </row>
    <row r="221" spans="1:9" x14ac:dyDescent="0.2">
      <c r="A221" s="142" t="s">
        <v>273</v>
      </c>
      <c r="B221" s="54">
        <f>Material_compnt_GREET2!B$50*'Alloy_compnt_G&amp;L'!$N$2*Al_alloy_use_compnt!$E15</f>
        <v>0</v>
      </c>
      <c r="C221" s="54">
        <f>Material_compnt_GREET2!C$50*'Alloy_compnt_G&amp;L'!$N$2*Al_alloy_use_compnt!$E15</f>
        <v>0</v>
      </c>
      <c r="D221" s="54">
        <f>Material_compnt_GREET2!D$50*'Alloy_compnt_G&amp;L'!$N$2*Al_alloy_use_compnt!$E15</f>
        <v>0</v>
      </c>
      <c r="E221" s="54">
        <f>Material_compnt_GREET2!E$50*'Alloy_compnt_G&amp;L'!$N$2*Al_alloy_use_compnt!$E15</f>
        <v>0</v>
      </c>
      <c r="F221" s="54">
        <f>Material_compnt_GREET2!F$50*'Alloy_compnt_G&amp;L'!$N$2*Al_alloy_use_compnt!$E15</f>
        <v>0</v>
      </c>
      <c r="G221" s="54">
        <f>Material_compnt_GREET2!G$50*'Alloy_compnt_G&amp;L'!$N$2*Al_alloy_use_compnt!$E15</f>
        <v>0</v>
      </c>
      <c r="H221" s="54">
        <f>Material_compnt_GREET2!H$50*'Alloy_compnt_G&amp;L'!$N$2*Al_alloy_use_compnt!$E15</f>
        <v>0</v>
      </c>
      <c r="I221" s="143">
        <f>Material_compnt_GREET2!I$50*'Alloy_compnt_G&amp;L'!$N$2*Al_alloy_use_compnt!$E15</f>
        <v>0</v>
      </c>
    </row>
    <row r="222" spans="1:9" x14ac:dyDescent="0.2">
      <c r="A222" s="142" t="s">
        <v>274</v>
      </c>
      <c r="B222" s="54">
        <f>Material_compnt_GREET2!B$50*'Alloy_compnt_G&amp;L'!$N$2*Al_alloy_use_compnt!$E16</f>
        <v>0</v>
      </c>
      <c r="C222" s="54">
        <f>Material_compnt_GREET2!C$50*'Alloy_compnt_G&amp;L'!$N$2*Al_alloy_use_compnt!$E16</f>
        <v>0.26779940901078353</v>
      </c>
      <c r="D222" s="54">
        <f>Material_compnt_GREET2!D$50*'Alloy_compnt_G&amp;L'!$N$2*Al_alloy_use_compnt!$E16</f>
        <v>0</v>
      </c>
      <c r="E222" s="54">
        <f>Material_compnt_GREET2!E$50*'Alloy_compnt_G&amp;L'!$N$2*Al_alloy_use_compnt!$E16</f>
        <v>0.29250680916909549</v>
      </c>
      <c r="F222" s="54">
        <f>Material_compnt_GREET2!F$50*'Alloy_compnt_G&amp;L'!$N$2*Al_alloy_use_compnt!$E16</f>
        <v>0</v>
      </c>
      <c r="G222" s="54">
        <f>Material_compnt_GREET2!G$50*'Alloy_compnt_G&amp;L'!$N$2*Al_alloy_use_compnt!$E16</f>
        <v>0.28141733454107265</v>
      </c>
      <c r="H222" s="54">
        <f>Material_compnt_GREET2!H$50*'Alloy_compnt_G&amp;L'!$N$2*Al_alloy_use_compnt!$E16</f>
        <v>0</v>
      </c>
      <c r="I222" s="143">
        <f>Material_compnt_GREET2!I$50*'Alloy_compnt_G&amp;L'!$N$2*Al_alloy_use_compnt!$E16</f>
        <v>0</v>
      </c>
    </row>
    <row r="223" spans="1:9" x14ac:dyDescent="0.2">
      <c r="A223" s="142" t="s">
        <v>275</v>
      </c>
      <c r="B223" s="54">
        <f>Material_compnt_GREET2!B$50*'Alloy_compnt_G&amp;L'!$N$2*Al_alloy_use_compnt!$E17</f>
        <v>0</v>
      </c>
      <c r="C223" s="54">
        <f>Material_compnt_GREET2!C$50*'Alloy_compnt_G&amp;L'!$N$2*Al_alloy_use_compnt!$E17</f>
        <v>0</v>
      </c>
      <c r="D223" s="54">
        <f>Material_compnt_GREET2!D$50*'Alloy_compnt_G&amp;L'!$N$2*Al_alloy_use_compnt!$E17</f>
        <v>0</v>
      </c>
      <c r="E223" s="54">
        <f>Material_compnt_GREET2!E$50*'Alloy_compnt_G&amp;L'!$N$2*Al_alloy_use_compnt!$E17</f>
        <v>0</v>
      </c>
      <c r="F223" s="54">
        <f>Material_compnt_GREET2!F$50*'Alloy_compnt_G&amp;L'!$N$2*Al_alloy_use_compnt!$E17</f>
        <v>0</v>
      </c>
      <c r="G223" s="54">
        <f>Material_compnt_GREET2!G$50*'Alloy_compnt_G&amp;L'!$N$2*Al_alloy_use_compnt!$E17</f>
        <v>0</v>
      </c>
      <c r="H223" s="54">
        <f>Material_compnt_GREET2!H$50*'Alloy_compnt_G&amp;L'!$N$2*Al_alloy_use_compnt!$E17</f>
        <v>0</v>
      </c>
      <c r="I223" s="143">
        <f>Material_compnt_GREET2!I$50*'Alloy_compnt_G&amp;L'!$N$2*Al_alloy_use_compnt!$E17</f>
        <v>0</v>
      </c>
    </row>
    <row r="224" spans="1:9" x14ac:dyDescent="0.2">
      <c r="A224" s="142" t="s">
        <v>276</v>
      </c>
      <c r="B224" s="54">
        <f>Material_compnt_GREET2!B$50*'Alloy_compnt_G&amp;L'!$N$2*Al_alloy_use_compnt!$E18</f>
        <v>0</v>
      </c>
      <c r="C224" s="54">
        <f>Material_compnt_GREET2!C$50*'Alloy_compnt_G&amp;L'!$N$2*Al_alloy_use_compnt!$E18</f>
        <v>0</v>
      </c>
      <c r="D224" s="54">
        <f>Material_compnt_GREET2!D$50*'Alloy_compnt_G&amp;L'!$N$2*Al_alloy_use_compnt!$E18</f>
        <v>0</v>
      </c>
      <c r="E224" s="54">
        <f>Material_compnt_GREET2!E$50*'Alloy_compnt_G&amp;L'!$N$2*Al_alloy_use_compnt!$E18</f>
        <v>0</v>
      </c>
      <c r="F224" s="54">
        <f>Material_compnt_GREET2!F$50*'Alloy_compnt_G&amp;L'!$N$2*Al_alloy_use_compnt!$E18</f>
        <v>0</v>
      </c>
      <c r="G224" s="54">
        <f>Material_compnt_GREET2!G$50*'Alloy_compnt_G&amp;L'!$N$2*Al_alloy_use_compnt!$E18</f>
        <v>0</v>
      </c>
      <c r="H224" s="54">
        <f>Material_compnt_GREET2!H$50*'Alloy_compnt_G&amp;L'!$N$2*Al_alloy_use_compnt!$E18</f>
        <v>0</v>
      </c>
      <c r="I224" s="143">
        <f>Material_compnt_GREET2!I$50*'Alloy_compnt_G&amp;L'!$N$2*Al_alloy_use_compnt!$E18</f>
        <v>0</v>
      </c>
    </row>
    <row r="225" spans="1:9" x14ac:dyDescent="0.2">
      <c r="A225" s="144" t="s">
        <v>277</v>
      </c>
      <c r="B225" s="54">
        <f>Material_compnt_GREET2!B$50*'Alloy_compnt_G&amp;L'!$N$2*Al_alloy_use_compnt!$E19</f>
        <v>0</v>
      </c>
      <c r="C225" s="54">
        <f>Material_compnt_GREET2!C$50*'Alloy_compnt_G&amp;L'!$N$2*Al_alloy_use_compnt!$E19</f>
        <v>0</v>
      </c>
      <c r="D225" s="54">
        <f>Material_compnt_GREET2!D$50*'Alloy_compnt_G&amp;L'!$N$2*Al_alloy_use_compnt!$E19</f>
        <v>0</v>
      </c>
      <c r="E225" s="54">
        <f>Material_compnt_GREET2!E$50*'Alloy_compnt_G&amp;L'!$N$2*Al_alloy_use_compnt!$E19</f>
        <v>0</v>
      </c>
      <c r="F225" s="54">
        <f>Material_compnt_GREET2!F$50*'Alloy_compnt_G&amp;L'!$N$2*Al_alloy_use_compnt!$E19</f>
        <v>0</v>
      </c>
      <c r="G225" s="54">
        <f>Material_compnt_GREET2!G$50*'Alloy_compnt_G&amp;L'!$N$2*Al_alloy_use_compnt!$E19</f>
        <v>0</v>
      </c>
      <c r="H225" s="54">
        <f>Material_compnt_GREET2!H$50*'Alloy_compnt_G&amp;L'!$N$2*Al_alloy_use_compnt!$E19</f>
        <v>0</v>
      </c>
      <c r="I225" s="143">
        <f>Material_compnt_GREET2!I$50*'Alloy_compnt_G&amp;L'!$N$2*Al_alloy_use_compnt!$E19</f>
        <v>0</v>
      </c>
    </row>
    <row r="226" spans="1:9" x14ac:dyDescent="0.2">
      <c r="A226" s="148" t="s">
        <v>278</v>
      </c>
      <c r="B226" s="54">
        <f>Material_compnt_GREET2!B$50*'Alloy_compnt_G&amp;L'!$O$2*Al_alloy_use_compnt!$E20</f>
        <v>0</v>
      </c>
      <c r="C226" s="54">
        <f>Material_compnt_GREET2!C$50*'Alloy_compnt_G&amp;L'!$O$2*Al_alloy_use_compnt!$E20</f>
        <v>0</v>
      </c>
      <c r="D226" s="54">
        <f>Material_compnt_GREET2!D$50*'Alloy_compnt_G&amp;L'!$O$2*Al_alloy_use_compnt!$E20</f>
        <v>0</v>
      </c>
      <c r="E226" s="54">
        <f>Material_compnt_GREET2!E$50*'Alloy_compnt_G&amp;L'!$O$2*Al_alloy_use_compnt!$E20</f>
        <v>0</v>
      </c>
      <c r="F226" s="54">
        <f>Material_compnt_GREET2!F$50*'Alloy_compnt_G&amp;L'!$O$2*Al_alloy_use_compnt!$E20</f>
        <v>0</v>
      </c>
      <c r="G226" s="54">
        <f>Material_compnt_GREET2!G$50*'Alloy_compnt_G&amp;L'!$O$2*Al_alloy_use_compnt!$E20</f>
        <v>0</v>
      </c>
      <c r="H226" s="54">
        <f>Material_compnt_GREET2!H$50*'Alloy_compnt_G&amp;L'!$O$2*Al_alloy_use_compnt!$E20</f>
        <v>0</v>
      </c>
      <c r="I226" s="143">
        <f>Material_compnt_GREET2!I$50*'Alloy_compnt_G&amp;L'!$O$2*Al_alloy_use_compnt!$E20</f>
        <v>0</v>
      </c>
    </row>
    <row r="227" spans="1:9" x14ac:dyDescent="0.2">
      <c r="A227" s="148" t="s">
        <v>279</v>
      </c>
      <c r="B227" s="54">
        <f>Material_compnt_GREET2!B$50*'Alloy_compnt_G&amp;L'!$O$2*Al_alloy_use_compnt!$E21</f>
        <v>0</v>
      </c>
      <c r="C227" s="54">
        <f>Material_compnt_GREET2!C$50*'Alloy_compnt_G&amp;L'!$O$2*Al_alloy_use_compnt!$E21</f>
        <v>0</v>
      </c>
      <c r="D227" s="54">
        <f>Material_compnt_GREET2!D$50*'Alloy_compnt_G&amp;L'!$O$2*Al_alloy_use_compnt!$E21</f>
        <v>0</v>
      </c>
      <c r="E227" s="54">
        <f>Material_compnt_GREET2!E$50*'Alloy_compnt_G&amp;L'!$O$2*Al_alloy_use_compnt!$E21</f>
        <v>0</v>
      </c>
      <c r="F227" s="54">
        <f>Material_compnt_GREET2!F$50*'Alloy_compnt_G&amp;L'!$O$2*Al_alloy_use_compnt!$E21</f>
        <v>0</v>
      </c>
      <c r="G227" s="54">
        <f>Material_compnt_GREET2!G$50*'Alloy_compnt_G&amp;L'!$O$2*Al_alloy_use_compnt!$E21</f>
        <v>0</v>
      </c>
      <c r="H227" s="54">
        <f>Material_compnt_GREET2!H$50*'Alloy_compnt_G&amp;L'!$O$2*Al_alloy_use_compnt!$E21</f>
        <v>0</v>
      </c>
      <c r="I227" s="143">
        <f>Material_compnt_GREET2!I$50*'Alloy_compnt_G&amp;L'!$O$2*Al_alloy_use_compnt!$E21</f>
        <v>0</v>
      </c>
    </row>
    <row r="228" spans="1:9" x14ac:dyDescent="0.2">
      <c r="A228" s="148" t="s">
        <v>280</v>
      </c>
      <c r="B228" s="54">
        <f>Material_compnt_GREET2!B$50*'Alloy_compnt_G&amp;L'!$O$2*Al_alloy_use_compnt!$E22</f>
        <v>0</v>
      </c>
      <c r="C228" s="54">
        <f>Material_compnt_GREET2!C$50*'Alloy_compnt_G&amp;L'!$O$2*Al_alloy_use_compnt!$E22</f>
        <v>0</v>
      </c>
      <c r="D228" s="54">
        <f>Material_compnt_GREET2!D$50*'Alloy_compnt_G&amp;L'!$O$2*Al_alloy_use_compnt!$E22</f>
        <v>0</v>
      </c>
      <c r="E228" s="54">
        <f>Material_compnt_GREET2!E$50*'Alloy_compnt_G&amp;L'!$O$2*Al_alloy_use_compnt!$E22</f>
        <v>0</v>
      </c>
      <c r="F228" s="54">
        <f>Material_compnt_GREET2!F$50*'Alloy_compnt_G&amp;L'!$O$2*Al_alloy_use_compnt!$E22</f>
        <v>0</v>
      </c>
      <c r="G228" s="54">
        <f>Material_compnt_GREET2!G$50*'Alloy_compnt_G&amp;L'!$O$2*Al_alloy_use_compnt!$E22</f>
        <v>0</v>
      </c>
      <c r="H228" s="54">
        <f>Material_compnt_GREET2!H$50*'Alloy_compnt_G&amp;L'!$O$2*Al_alloy_use_compnt!$E22</f>
        <v>0</v>
      </c>
      <c r="I228" s="143">
        <f>Material_compnt_GREET2!I$50*'Alloy_compnt_G&amp;L'!$O$2*Al_alloy_use_compnt!$E22</f>
        <v>0</v>
      </c>
    </row>
    <row r="229" spans="1:9" x14ac:dyDescent="0.2">
      <c r="A229" s="148" t="s">
        <v>281</v>
      </c>
      <c r="B229" s="54">
        <f>Material_compnt_GREET2!B$50*'Alloy_compnt_G&amp;L'!$O$2*Al_alloy_use_compnt!$E23</f>
        <v>0</v>
      </c>
      <c r="C229" s="54">
        <f>Material_compnt_GREET2!C$50*'Alloy_compnt_G&amp;L'!$O$2*Al_alloy_use_compnt!$E23</f>
        <v>2.68829406737748</v>
      </c>
      <c r="D229" s="54">
        <f>Material_compnt_GREET2!D$50*'Alloy_compnt_G&amp;L'!$O$2*Al_alloy_use_compnt!$E23</f>
        <v>0</v>
      </c>
      <c r="E229" s="54">
        <f>Material_compnt_GREET2!E$50*'Alloy_compnt_G&amp;L'!$O$2*Al_alloy_use_compnt!$E23</f>
        <v>2.9363183535820738</v>
      </c>
      <c r="F229" s="54">
        <f>Material_compnt_GREET2!F$50*'Alloy_compnt_G&amp;L'!$O$2*Al_alloy_use_compnt!$E23</f>
        <v>0</v>
      </c>
      <c r="G229" s="54">
        <f>Material_compnt_GREET2!G$50*'Alloy_compnt_G&amp;L'!$O$2*Al_alloy_use_compnt!$E23</f>
        <v>2.8249970890469212</v>
      </c>
      <c r="H229" s="54">
        <f>Material_compnt_GREET2!H$50*'Alloy_compnt_G&amp;L'!$O$2*Al_alloy_use_compnt!$E23</f>
        <v>0</v>
      </c>
      <c r="I229" s="143">
        <f>Material_compnt_GREET2!I$50*'Alloy_compnt_G&amp;L'!$O$2*Al_alloy_use_compnt!$E23</f>
        <v>0</v>
      </c>
    </row>
    <row r="230" spans="1:9" x14ac:dyDescent="0.2">
      <c r="A230" s="148" t="s">
        <v>282</v>
      </c>
      <c r="B230" s="54">
        <f>Material_compnt_GREET2!B$50*'Alloy_compnt_G&amp;L'!$O$2*Al_alloy_use_compnt!$E24</f>
        <v>0</v>
      </c>
      <c r="C230" s="54">
        <f>Material_compnt_GREET2!C$50*'Alloy_compnt_G&amp;L'!$O$2*Al_alloy_use_compnt!$E24</f>
        <v>0</v>
      </c>
      <c r="D230" s="54">
        <f>Material_compnt_GREET2!D$50*'Alloy_compnt_G&amp;L'!$O$2*Al_alloy_use_compnt!$E24</f>
        <v>0</v>
      </c>
      <c r="E230" s="54">
        <f>Material_compnt_GREET2!E$50*'Alloy_compnt_G&amp;L'!$O$2*Al_alloy_use_compnt!$E24</f>
        <v>0</v>
      </c>
      <c r="F230" s="54">
        <f>Material_compnt_GREET2!F$50*'Alloy_compnt_G&amp;L'!$O$2*Al_alloy_use_compnt!$E24</f>
        <v>0</v>
      </c>
      <c r="G230" s="54">
        <f>Material_compnt_GREET2!G$50*'Alloy_compnt_G&amp;L'!$O$2*Al_alloy_use_compnt!$E24</f>
        <v>0</v>
      </c>
      <c r="H230" s="54">
        <f>Material_compnt_GREET2!H$50*'Alloy_compnt_G&amp;L'!$O$2*Al_alloy_use_compnt!$E24</f>
        <v>0</v>
      </c>
      <c r="I230" s="143">
        <f>Material_compnt_GREET2!I$50*'Alloy_compnt_G&amp;L'!$O$2*Al_alloy_use_compnt!$E24</f>
        <v>0</v>
      </c>
    </row>
    <row r="231" spans="1:9" x14ac:dyDescent="0.2">
      <c r="A231" s="148" t="s">
        <v>283</v>
      </c>
      <c r="B231" s="54">
        <f>Material_compnt_GREET2!B$50*'Alloy_compnt_G&amp;L'!$O$2*Al_alloy_use_compnt!$E25</f>
        <v>0</v>
      </c>
      <c r="C231" s="54">
        <f>Material_compnt_GREET2!C$50*'Alloy_compnt_G&amp;L'!$O$2*Al_alloy_use_compnt!$E25</f>
        <v>0</v>
      </c>
      <c r="D231" s="54">
        <f>Material_compnt_GREET2!D$50*'Alloy_compnt_G&amp;L'!$O$2*Al_alloy_use_compnt!$E25</f>
        <v>0</v>
      </c>
      <c r="E231" s="54">
        <f>Material_compnt_GREET2!E$50*'Alloy_compnt_G&amp;L'!$O$2*Al_alloy_use_compnt!$E25</f>
        <v>0</v>
      </c>
      <c r="F231" s="54">
        <f>Material_compnt_GREET2!F$50*'Alloy_compnt_G&amp;L'!$O$2*Al_alloy_use_compnt!$E25</f>
        <v>0</v>
      </c>
      <c r="G231" s="54">
        <f>Material_compnt_GREET2!G$50*'Alloy_compnt_G&amp;L'!$O$2*Al_alloy_use_compnt!$E25</f>
        <v>0</v>
      </c>
      <c r="H231" s="54">
        <f>Material_compnt_GREET2!H$50*'Alloy_compnt_G&amp;L'!$O$2*Al_alloy_use_compnt!$E25</f>
        <v>0</v>
      </c>
      <c r="I231" s="143">
        <f>Material_compnt_GREET2!I$50*'Alloy_compnt_G&amp;L'!$O$2*Al_alloy_use_compnt!$E25</f>
        <v>0</v>
      </c>
    </row>
    <row r="232" spans="1:9" x14ac:dyDescent="0.2">
      <c r="A232" s="148" t="s">
        <v>284</v>
      </c>
      <c r="B232" s="54">
        <f>Material_compnt_GREET2!B$50*'Alloy_compnt_G&amp;L'!$O$2*Al_alloy_use_compnt!$E26</f>
        <v>0</v>
      </c>
      <c r="C232" s="54">
        <f>Material_compnt_GREET2!C$50*'Alloy_compnt_G&amp;L'!$O$2*Al_alloy_use_compnt!$E26</f>
        <v>0</v>
      </c>
      <c r="D232" s="54">
        <f>Material_compnt_GREET2!D$50*'Alloy_compnt_G&amp;L'!$O$2*Al_alloy_use_compnt!$E26</f>
        <v>0</v>
      </c>
      <c r="E232" s="54">
        <f>Material_compnt_GREET2!E$50*'Alloy_compnt_G&amp;L'!$O$2*Al_alloy_use_compnt!$E26</f>
        <v>0</v>
      </c>
      <c r="F232" s="54">
        <f>Material_compnt_GREET2!F$50*'Alloy_compnt_G&amp;L'!$O$2*Al_alloy_use_compnt!$E26</f>
        <v>0</v>
      </c>
      <c r="G232" s="54">
        <f>Material_compnt_GREET2!G$50*'Alloy_compnt_G&amp;L'!$O$2*Al_alloy_use_compnt!$E26</f>
        <v>0</v>
      </c>
      <c r="H232" s="54">
        <f>Material_compnt_GREET2!H$50*'Alloy_compnt_G&amp;L'!$O$2*Al_alloy_use_compnt!$E26</f>
        <v>0</v>
      </c>
      <c r="I232" s="143">
        <f>Material_compnt_GREET2!I$50*'Alloy_compnt_G&amp;L'!$O$2*Al_alloy_use_compnt!$E26</f>
        <v>0</v>
      </c>
    </row>
    <row r="233" spans="1:9" x14ac:dyDescent="0.2">
      <c r="A233" s="148" t="s">
        <v>285</v>
      </c>
      <c r="B233" s="54">
        <f>Material_compnt_GREET2!B$50*'Alloy_compnt_G&amp;L'!$O$2*Al_alloy_use_compnt!$E27</f>
        <v>0</v>
      </c>
      <c r="C233" s="54">
        <f>Material_compnt_GREET2!C$50*'Alloy_compnt_G&amp;L'!$O$2*Al_alloy_use_compnt!$E27</f>
        <v>0</v>
      </c>
      <c r="D233" s="54">
        <f>Material_compnt_GREET2!D$50*'Alloy_compnt_G&amp;L'!$O$2*Al_alloy_use_compnt!$E27</f>
        <v>0</v>
      </c>
      <c r="E233" s="54">
        <f>Material_compnt_GREET2!E$50*'Alloy_compnt_G&amp;L'!$O$2*Al_alloy_use_compnt!$E27</f>
        <v>0</v>
      </c>
      <c r="F233" s="54">
        <f>Material_compnt_GREET2!F$50*'Alloy_compnt_G&amp;L'!$O$2*Al_alloy_use_compnt!$E27</f>
        <v>0</v>
      </c>
      <c r="G233" s="54">
        <f>Material_compnt_GREET2!G$50*'Alloy_compnt_G&amp;L'!$O$2*Al_alloy_use_compnt!$E27</f>
        <v>0</v>
      </c>
      <c r="H233" s="54">
        <f>Material_compnt_GREET2!H$50*'Alloy_compnt_G&amp;L'!$O$2*Al_alloy_use_compnt!$E27</f>
        <v>0</v>
      </c>
      <c r="I233" s="143">
        <f>Material_compnt_GREET2!I$50*'Alloy_compnt_G&amp;L'!$O$2*Al_alloy_use_compnt!$E27</f>
        <v>0</v>
      </c>
    </row>
    <row r="234" spans="1:9" x14ac:dyDescent="0.2">
      <c r="A234" s="147" t="s">
        <v>286</v>
      </c>
      <c r="B234" s="54">
        <f>Material_compnt_GREET2!B$50*'Alloy_compnt_G&amp;L'!$O$2*Al_alloy_use_compnt!$E28</f>
        <v>0</v>
      </c>
      <c r="C234" s="54">
        <f>Material_compnt_GREET2!C$50*'Alloy_compnt_G&amp;L'!$O$2*Al_alloy_use_compnt!$E28</f>
        <v>2.68829406737748</v>
      </c>
      <c r="D234" s="54">
        <f>Material_compnt_GREET2!D$50*'Alloy_compnt_G&amp;L'!$O$2*Al_alloy_use_compnt!$E28</f>
        <v>0</v>
      </c>
      <c r="E234" s="54">
        <f>Material_compnt_GREET2!E$50*'Alloy_compnt_G&amp;L'!$O$2*Al_alloy_use_compnt!$E28</f>
        <v>2.9363183535820738</v>
      </c>
      <c r="F234" s="54">
        <f>Material_compnt_GREET2!F$50*'Alloy_compnt_G&amp;L'!$O$2*Al_alloy_use_compnt!$E28</f>
        <v>0</v>
      </c>
      <c r="G234" s="54">
        <f>Material_compnt_GREET2!G$50*'Alloy_compnt_G&amp;L'!$O$2*Al_alloy_use_compnt!$E28</f>
        <v>2.8249970890469212</v>
      </c>
      <c r="H234" s="54">
        <f>Material_compnt_GREET2!H$50*'Alloy_compnt_G&amp;L'!$O$2*Al_alloy_use_compnt!$E28</f>
        <v>0</v>
      </c>
      <c r="I234" s="143">
        <f>Material_compnt_GREET2!I$50*'Alloy_compnt_G&amp;L'!$O$2*Al_alloy_use_compnt!$E28</f>
        <v>0</v>
      </c>
    </row>
    <row r="235" spans="1:9" x14ac:dyDescent="0.2">
      <c r="A235" s="142" t="s">
        <v>287</v>
      </c>
      <c r="B235" s="54">
        <f>Material_compnt_GREET2!B$51*Al_alloy_use_compnt!$E20</f>
        <v>0</v>
      </c>
      <c r="C235" s="54">
        <f>Material_compnt_GREET2!C$51*Al_alloy_use_compnt!$E20</f>
        <v>0</v>
      </c>
      <c r="D235" s="54">
        <f>Material_compnt_GREET2!D$51*Al_alloy_use_compnt!$E20</f>
        <v>0</v>
      </c>
      <c r="E235" s="54">
        <f>Material_compnt_GREET2!E$51*Al_alloy_use_compnt!$E20</f>
        <v>0</v>
      </c>
      <c r="F235" s="54">
        <f>Material_compnt_GREET2!F$51*Al_alloy_use_compnt!$E20</f>
        <v>0</v>
      </c>
      <c r="G235" s="54">
        <f>Material_compnt_GREET2!G$51*Al_alloy_use_compnt!$E20</f>
        <v>0</v>
      </c>
      <c r="H235" s="54">
        <f>Material_compnt_GREET2!H$51*Al_alloy_use_compnt!$E20</f>
        <v>0</v>
      </c>
      <c r="I235" s="143">
        <f>Material_compnt_GREET2!I$51*Al_alloy_use_compnt!$E20</f>
        <v>0</v>
      </c>
    </row>
    <row r="236" spans="1:9" x14ac:dyDescent="0.2">
      <c r="A236" s="142" t="s">
        <v>288</v>
      </c>
      <c r="B236" s="54">
        <f>Material_compnt_GREET2!B$51*Al_alloy_use_compnt!$E21</f>
        <v>0</v>
      </c>
      <c r="C236" s="54">
        <f>Material_compnt_GREET2!C$51*Al_alloy_use_compnt!$E21</f>
        <v>0</v>
      </c>
      <c r="D236" s="54">
        <f>Material_compnt_GREET2!D$51*Al_alloy_use_compnt!$E21</f>
        <v>0</v>
      </c>
      <c r="E236" s="54">
        <f>Material_compnt_GREET2!E$51*Al_alloy_use_compnt!$E21</f>
        <v>0</v>
      </c>
      <c r="F236" s="54">
        <f>Material_compnt_GREET2!F$51*Al_alloy_use_compnt!$E21</f>
        <v>0</v>
      </c>
      <c r="G236" s="54">
        <f>Material_compnt_GREET2!G$51*Al_alloy_use_compnt!$E21</f>
        <v>0</v>
      </c>
      <c r="H236" s="54">
        <f>Material_compnt_GREET2!H$51*Al_alloy_use_compnt!$E21</f>
        <v>0</v>
      </c>
      <c r="I236" s="143">
        <f>Material_compnt_GREET2!I$51*Al_alloy_use_compnt!$E21</f>
        <v>0</v>
      </c>
    </row>
    <row r="237" spans="1:9" x14ac:dyDescent="0.2">
      <c r="A237" s="142" t="s">
        <v>289</v>
      </c>
      <c r="B237" s="54">
        <f>Material_compnt_GREET2!B$51*Al_alloy_use_compnt!$E22</f>
        <v>0</v>
      </c>
      <c r="C237" s="54">
        <f>Material_compnt_GREET2!C$51*Al_alloy_use_compnt!$E22</f>
        <v>0</v>
      </c>
      <c r="D237" s="54">
        <f>Material_compnt_GREET2!D$51*Al_alloy_use_compnt!$E22</f>
        <v>0</v>
      </c>
      <c r="E237" s="54">
        <f>Material_compnt_GREET2!E$51*Al_alloy_use_compnt!$E22</f>
        <v>0</v>
      </c>
      <c r="F237" s="54">
        <f>Material_compnt_GREET2!F$51*Al_alloy_use_compnt!$E22</f>
        <v>0</v>
      </c>
      <c r="G237" s="54">
        <f>Material_compnt_GREET2!G$51*Al_alloy_use_compnt!$E22</f>
        <v>0</v>
      </c>
      <c r="H237" s="54">
        <f>Material_compnt_GREET2!H$51*Al_alloy_use_compnt!$E22</f>
        <v>0</v>
      </c>
      <c r="I237" s="143">
        <f>Material_compnt_GREET2!I$51*Al_alloy_use_compnt!$E22</f>
        <v>0</v>
      </c>
    </row>
    <row r="238" spans="1:9" x14ac:dyDescent="0.2">
      <c r="A238" s="142" t="s">
        <v>290</v>
      </c>
      <c r="B238" s="54">
        <f>Material_compnt_GREET2!B$51*Al_alloy_use_compnt!$E23</f>
        <v>1.6553605485782845</v>
      </c>
      <c r="C238" s="54">
        <f>Material_compnt_GREET2!C$51*Al_alloy_use_compnt!$E23</f>
        <v>54.454418658510747</v>
      </c>
      <c r="D238" s="54">
        <f>Material_compnt_GREET2!D$51*Al_alloy_use_compnt!$E23</f>
        <v>1.9329981932836473</v>
      </c>
      <c r="E238" s="54">
        <f>Material_compnt_GREET2!E$51*Al_alloy_use_compnt!$E23</f>
        <v>70.678850745393305</v>
      </c>
      <c r="F238" s="54">
        <f>Material_compnt_GREET2!F$51*Al_alloy_use_compnt!$E23</f>
        <v>1.8550102146712473</v>
      </c>
      <c r="G238" s="54">
        <f>Material_compnt_GREET2!G$51*Al_alloy_use_compnt!$E23</f>
        <v>72.806283830288365</v>
      </c>
      <c r="H238" s="54">
        <f>Material_compnt_GREET2!H$51*Al_alloy_use_compnt!$E23</f>
        <v>0</v>
      </c>
      <c r="I238" s="143">
        <f>Material_compnt_GREET2!I$51*Al_alloy_use_compnt!$E23</f>
        <v>0</v>
      </c>
    </row>
    <row r="239" spans="1:9" x14ac:dyDescent="0.2">
      <c r="A239" s="142" t="s">
        <v>291</v>
      </c>
      <c r="B239" s="54">
        <f>Material_compnt_GREET2!B$51*Al_alloy_use_compnt!$E24</f>
        <v>0</v>
      </c>
      <c r="C239" s="54">
        <f>Material_compnt_GREET2!C$51*Al_alloy_use_compnt!$E24</f>
        <v>0</v>
      </c>
      <c r="D239" s="54">
        <f>Material_compnt_GREET2!D$51*Al_alloy_use_compnt!$E24</f>
        <v>0</v>
      </c>
      <c r="E239" s="54">
        <f>Material_compnt_GREET2!E$51*Al_alloy_use_compnt!$E24</f>
        <v>0</v>
      </c>
      <c r="F239" s="54">
        <f>Material_compnt_GREET2!F$51*Al_alloy_use_compnt!$E24</f>
        <v>0</v>
      </c>
      <c r="G239" s="54">
        <f>Material_compnt_GREET2!G$51*Al_alloy_use_compnt!$E24</f>
        <v>0</v>
      </c>
      <c r="H239" s="54">
        <f>Material_compnt_GREET2!H$51*Al_alloy_use_compnt!$E24</f>
        <v>0</v>
      </c>
      <c r="I239" s="143">
        <f>Material_compnt_GREET2!I$51*Al_alloy_use_compnt!$E24</f>
        <v>0</v>
      </c>
    </row>
    <row r="240" spans="1:9" x14ac:dyDescent="0.2">
      <c r="A240" s="142" t="s">
        <v>292</v>
      </c>
      <c r="B240" s="54">
        <f>Material_compnt_GREET2!B$51*Al_alloy_use_compnt!$E25</f>
        <v>0</v>
      </c>
      <c r="C240" s="54">
        <f>Material_compnt_GREET2!C$51*Al_alloy_use_compnt!$E25</f>
        <v>0</v>
      </c>
      <c r="D240" s="54">
        <f>Material_compnt_GREET2!D$51*Al_alloy_use_compnt!$E25</f>
        <v>0</v>
      </c>
      <c r="E240" s="54">
        <f>Material_compnt_GREET2!E$51*Al_alloy_use_compnt!$E25</f>
        <v>0</v>
      </c>
      <c r="F240" s="54">
        <f>Material_compnt_GREET2!F$51*Al_alloy_use_compnt!$E25</f>
        <v>0</v>
      </c>
      <c r="G240" s="54">
        <f>Material_compnt_GREET2!G$51*Al_alloy_use_compnt!$E25</f>
        <v>0</v>
      </c>
      <c r="H240" s="54">
        <f>Material_compnt_GREET2!H$51*Al_alloy_use_compnt!$E25</f>
        <v>0</v>
      </c>
      <c r="I240" s="143">
        <f>Material_compnt_GREET2!I$51*Al_alloy_use_compnt!$E25</f>
        <v>0</v>
      </c>
    </row>
    <row r="241" spans="1:9" x14ac:dyDescent="0.2">
      <c r="A241" s="142" t="s">
        <v>293</v>
      </c>
      <c r="B241" s="54">
        <f>Material_compnt_GREET2!B$51*Al_alloy_use_compnt!$E26</f>
        <v>0</v>
      </c>
      <c r="C241" s="54">
        <f>Material_compnt_GREET2!C$51*Al_alloy_use_compnt!$E26</f>
        <v>0</v>
      </c>
      <c r="D241" s="54">
        <f>Material_compnt_GREET2!D$51*Al_alloy_use_compnt!$E26</f>
        <v>0</v>
      </c>
      <c r="E241" s="54">
        <f>Material_compnt_GREET2!E$51*Al_alloy_use_compnt!$E26</f>
        <v>0</v>
      </c>
      <c r="F241" s="54">
        <f>Material_compnt_GREET2!F$51*Al_alloy_use_compnt!$E26</f>
        <v>0</v>
      </c>
      <c r="G241" s="54">
        <f>Material_compnt_GREET2!G$51*Al_alloy_use_compnt!$E26</f>
        <v>0</v>
      </c>
      <c r="H241" s="54">
        <f>Material_compnt_GREET2!H$51*Al_alloy_use_compnt!$E26</f>
        <v>0</v>
      </c>
      <c r="I241" s="143">
        <f>Material_compnt_GREET2!I$51*Al_alloy_use_compnt!$E26</f>
        <v>0</v>
      </c>
    </row>
    <row r="242" spans="1:9" x14ac:dyDescent="0.2">
      <c r="A242" s="142" t="s">
        <v>294</v>
      </c>
      <c r="B242" s="54">
        <f>Material_compnt_GREET2!B$51*Al_alloy_use_compnt!$E27</f>
        <v>0</v>
      </c>
      <c r="C242" s="54">
        <f>Material_compnt_GREET2!C$51*Al_alloy_use_compnt!$E27</f>
        <v>0</v>
      </c>
      <c r="D242" s="54">
        <f>Material_compnt_GREET2!D$51*Al_alloy_use_compnt!$E27</f>
        <v>0</v>
      </c>
      <c r="E242" s="54">
        <f>Material_compnt_GREET2!E$51*Al_alloy_use_compnt!$E27</f>
        <v>0</v>
      </c>
      <c r="F242" s="54">
        <f>Material_compnt_GREET2!F$51*Al_alloy_use_compnt!$E27</f>
        <v>0</v>
      </c>
      <c r="G242" s="54">
        <f>Material_compnt_GREET2!G$51*Al_alloy_use_compnt!$E27</f>
        <v>0</v>
      </c>
      <c r="H242" s="54">
        <f>Material_compnt_GREET2!H$51*Al_alloy_use_compnt!$E27</f>
        <v>0</v>
      </c>
      <c r="I242" s="143">
        <f>Material_compnt_GREET2!I$51*Al_alloy_use_compnt!$E27</f>
        <v>0</v>
      </c>
    </row>
    <row r="243" spans="1:9" x14ac:dyDescent="0.2">
      <c r="A243" s="144" t="s">
        <v>295</v>
      </c>
      <c r="B243" s="54">
        <f>Material_compnt_GREET2!B$51*Al_alloy_use_compnt!$E28</f>
        <v>1.6553605485782845</v>
      </c>
      <c r="C243" s="54">
        <f>Material_compnt_GREET2!C$51*Al_alloy_use_compnt!$E28</f>
        <v>54.454418658510747</v>
      </c>
      <c r="D243" s="54">
        <f>Material_compnt_GREET2!D$51*Al_alloy_use_compnt!$E28</f>
        <v>1.9329981932836473</v>
      </c>
      <c r="E243" s="54">
        <f>Material_compnt_GREET2!E$51*Al_alloy_use_compnt!$E28</f>
        <v>70.678850745393305</v>
      </c>
      <c r="F243" s="54">
        <f>Material_compnt_GREET2!F$51*Al_alloy_use_compnt!$E28</f>
        <v>1.8550102146712473</v>
      </c>
      <c r="G243" s="54">
        <f>Material_compnt_GREET2!G$51*Al_alloy_use_compnt!$E28</f>
        <v>72.806283830288365</v>
      </c>
      <c r="H243" s="54">
        <f>Material_compnt_GREET2!H$51*Al_alloy_use_compnt!$E28</f>
        <v>0</v>
      </c>
      <c r="I243" s="143">
        <f>Material_compnt_GREET2!I$51*Al_alloy_use_compnt!$E28</f>
        <v>0</v>
      </c>
    </row>
    <row r="244" spans="1:9" x14ac:dyDescent="0.2">
      <c r="A244" s="142" t="s">
        <v>206</v>
      </c>
      <c r="B244" s="54">
        <v>0</v>
      </c>
      <c r="C244" s="54">
        <v>0</v>
      </c>
      <c r="D244" s="54">
        <v>0</v>
      </c>
      <c r="E244" s="54">
        <v>0</v>
      </c>
      <c r="F244" s="54">
        <v>0</v>
      </c>
      <c r="G244" s="54">
        <v>0</v>
      </c>
      <c r="H244" s="140">
        <v>0</v>
      </c>
      <c r="I244" s="141">
        <v>0</v>
      </c>
    </row>
    <row r="245" spans="1:9" ht="17" thickBot="1" x14ac:dyDescent="0.25">
      <c r="A245" s="149" t="s">
        <v>208</v>
      </c>
      <c r="B245" s="54">
        <v>0</v>
      </c>
      <c r="C245" s="54">
        <v>0</v>
      </c>
      <c r="D245" s="54">
        <v>0</v>
      </c>
      <c r="E245" s="54">
        <v>0</v>
      </c>
      <c r="F245" s="54">
        <v>0</v>
      </c>
      <c r="G245" s="54">
        <v>0</v>
      </c>
      <c r="H245" s="140">
        <v>0</v>
      </c>
      <c r="I245" s="141">
        <v>0</v>
      </c>
    </row>
    <row r="246" spans="1:9" ht="17" thickTop="1" x14ac:dyDescent="0.2">
      <c r="A246" s="139" t="s">
        <v>176</v>
      </c>
      <c r="B246" s="54"/>
      <c r="C246" s="54"/>
      <c r="D246" s="54"/>
      <c r="E246" s="54"/>
      <c r="F246" s="54"/>
      <c r="G246" s="54"/>
      <c r="H246" s="140"/>
      <c r="I246" s="141"/>
    </row>
    <row r="247" spans="1:9" x14ac:dyDescent="0.2">
      <c r="A247" s="142" t="s">
        <v>105</v>
      </c>
      <c r="B247" s="54">
        <f>Material_compnt_GREET2!B$60*'Alloy_compnt_G&amp;L'!$I$2</f>
        <v>0</v>
      </c>
      <c r="C247" s="54">
        <f>Material_compnt_GREET2!C$60*'Alloy_compnt_G&amp;L'!$I$2</f>
        <v>0</v>
      </c>
      <c r="D247" s="54">
        <f>Material_compnt_GREET2!D$60*'Alloy_compnt_G&amp;L'!$I$2</f>
        <v>3.8426993153189835</v>
      </c>
      <c r="E247" s="54">
        <f>Material_compnt_GREET2!E$60*'Alloy_compnt_G&amp;L'!$I$2</f>
        <v>2.1475990407620071</v>
      </c>
      <c r="F247" s="54">
        <f>Material_compnt_GREET2!F$60*'Alloy_compnt_G&amp;L'!$I$2</f>
        <v>7.0220581098102297</v>
      </c>
      <c r="G247" s="54">
        <f>Material_compnt_GREET2!G$60*'Alloy_compnt_G&amp;L'!$I$2</f>
        <v>4.2991981390057665</v>
      </c>
      <c r="H247" s="54">
        <f>Material_compnt_GREET2!H$60*'Alloy_compnt_G&amp;L'!$I$2</f>
        <v>0</v>
      </c>
      <c r="I247" s="143">
        <f>Material_compnt_GREET2!I$60*'Alloy_compnt_G&amp;L'!$I$2</f>
        <v>0</v>
      </c>
    </row>
    <row r="248" spans="1:9" x14ac:dyDescent="0.2">
      <c r="A248" s="142" t="s">
        <v>106</v>
      </c>
      <c r="B248" s="54">
        <f>Material_compnt_GREET2!B$60*'Alloy_compnt_G&amp;L'!$J$2</f>
        <v>0</v>
      </c>
      <c r="C248" s="54">
        <f>Material_compnt_GREET2!C$60*'Alloy_compnt_G&amp;L'!$J$2</f>
        <v>0</v>
      </c>
      <c r="D248" s="54">
        <f>Material_compnt_GREET2!D$60*'Alloy_compnt_G&amp;L'!$J$2</f>
        <v>3.4784624133930135</v>
      </c>
      <c r="E248" s="54">
        <f>Material_compnt_GREET2!E$60*'Alloy_compnt_G&amp;L'!$J$2</f>
        <v>1.9440351506423856</v>
      </c>
      <c r="F248" s="54">
        <f>Material_compnt_GREET2!F$60*'Alloy_compnt_G&amp;L'!$J$2</f>
        <v>6.3564601847097348</v>
      </c>
      <c r="G248" s="54">
        <f>Material_compnt_GREET2!G$60*'Alloy_compnt_G&amp;L'!$J$2</f>
        <v>3.8916912063985847</v>
      </c>
      <c r="H248" s="54">
        <f>Material_compnt_GREET2!H$60*'Alloy_compnt_G&amp;L'!$J$2</f>
        <v>0</v>
      </c>
      <c r="I248" s="143">
        <f>Material_compnt_GREET2!I$60*'Alloy_compnt_G&amp;L'!$J$2</f>
        <v>0</v>
      </c>
    </row>
    <row r="249" spans="1:9" x14ac:dyDescent="0.2">
      <c r="A249" s="142" t="s">
        <v>107</v>
      </c>
      <c r="B249" s="54">
        <f>Material_compnt_GREET2!B$60*'Alloy_compnt_G&amp;L'!$K$2</f>
        <v>0</v>
      </c>
      <c r="C249" s="54">
        <f>Material_compnt_GREET2!C$60*'Alloy_compnt_G&amp;L'!$K$2</f>
        <v>0</v>
      </c>
      <c r="D249" s="54">
        <f>Material_compnt_GREET2!D$60*'Alloy_compnt_G&amp;L'!$K$2</f>
        <v>10.890683367586504</v>
      </c>
      <c r="E249" s="54">
        <f>Material_compnt_GREET2!E$60*'Alloy_compnt_G&amp;L'!$K$2</f>
        <v>6.0865603145766851</v>
      </c>
      <c r="F249" s="54">
        <f>Material_compnt_GREET2!F$60*'Alloy_compnt_G&amp;L'!$K$2</f>
        <v>19.901377960504828</v>
      </c>
      <c r="G249" s="54">
        <f>Material_compnt_GREET2!G$60*'Alloy_compnt_G&amp;L'!$K$2</f>
        <v>12.184457284954734</v>
      </c>
      <c r="H249" s="54">
        <f>Material_compnt_GREET2!H$60*'Alloy_compnt_G&amp;L'!$K$2</f>
        <v>0</v>
      </c>
      <c r="I249" s="143">
        <f>Material_compnt_GREET2!I$60*'Alloy_compnt_G&amp;L'!$K$2</f>
        <v>0</v>
      </c>
    </row>
    <row r="250" spans="1:9" x14ac:dyDescent="0.2">
      <c r="A250" s="142" t="s">
        <v>91</v>
      </c>
      <c r="B250" s="54">
        <f>Material_compnt_GREET2!B$61</f>
        <v>0</v>
      </c>
      <c r="C250" s="54">
        <f>Material_compnt_GREET2!C$61</f>
        <v>0</v>
      </c>
      <c r="D250" s="54">
        <f>Material_compnt_GREET2!D$61</f>
        <v>0</v>
      </c>
      <c r="E250" s="54">
        <f>Material_compnt_GREET2!E$61</f>
        <v>0</v>
      </c>
      <c r="F250" s="54">
        <f>Material_compnt_GREET2!F$61</f>
        <v>0</v>
      </c>
      <c r="G250" s="54">
        <f>Material_compnt_GREET2!G$61</f>
        <v>0</v>
      </c>
      <c r="H250" s="54">
        <f>Material_compnt_GREET2!H$61</f>
        <v>0</v>
      </c>
      <c r="I250" s="143">
        <f>Material_compnt_GREET2!I$61</f>
        <v>0</v>
      </c>
    </row>
    <row r="251" spans="1:9" x14ac:dyDescent="0.2">
      <c r="A251" s="142" t="s">
        <v>204</v>
      </c>
      <c r="B251" s="54">
        <v>0</v>
      </c>
      <c r="C251" s="54">
        <v>0</v>
      </c>
      <c r="D251" s="54">
        <v>0</v>
      </c>
      <c r="E251" s="54">
        <v>0</v>
      </c>
      <c r="F251" s="54">
        <v>0</v>
      </c>
      <c r="G251" s="54">
        <v>0</v>
      </c>
      <c r="H251" s="140">
        <v>0</v>
      </c>
      <c r="I251" s="141">
        <v>0</v>
      </c>
    </row>
    <row r="252" spans="1:9" x14ac:dyDescent="0.2">
      <c r="A252" s="144" t="s">
        <v>104</v>
      </c>
      <c r="B252" s="54">
        <v>0</v>
      </c>
      <c r="C252" s="54">
        <v>0</v>
      </c>
      <c r="D252" s="54">
        <v>0</v>
      </c>
      <c r="E252" s="54">
        <v>0</v>
      </c>
      <c r="F252" s="54">
        <v>0</v>
      </c>
      <c r="G252" s="54">
        <v>0</v>
      </c>
      <c r="H252" s="140">
        <v>0</v>
      </c>
      <c r="I252" s="141">
        <v>0</v>
      </c>
    </row>
    <row r="253" spans="1:9" x14ac:dyDescent="0.2">
      <c r="A253" s="145" t="s">
        <v>244</v>
      </c>
      <c r="B253" s="54">
        <v>0</v>
      </c>
      <c r="C253" s="54">
        <v>0</v>
      </c>
      <c r="D253" s="54">
        <v>0</v>
      </c>
      <c r="E253" s="54">
        <v>0</v>
      </c>
      <c r="F253" s="54">
        <v>0</v>
      </c>
      <c r="G253" s="54">
        <v>0</v>
      </c>
      <c r="H253" s="140">
        <v>0</v>
      </c>
      <c r="I253" s="141">
        <v>0</v>
      </c>
    </row>
    <row r="254" spans="1:9" x14ac:dyDescent="0.2">
      <c r="A254" s="145" t="s">
        <v>245</v>
      </c>
      <c r="B254" s="54">
        <v>0</v>
      </c>
      <c r="C254" s="54">
        <v>0</v>
      </c>
      <c r="D254" s="54">
        <v>0</v>
      </c>
      <c r="E254" s="54">
        <v>0</v>
      </c>
      <c r="F254" s="54">
        <v>0</v>
      </c>
      <c r="G254" s="54">
        <v>0</v>
      </c>
      <c r="H254" s="140">
        <v>0</v>
      </c>
      <c r="I254" s="141">
        <v>0</v>
      </c>
    </row>
    <row r="255" spans="1:9" x14ac:dyDescent="0.2">
      <c r="A255" s="145" t="s">
        <v>246</v>
      </c>
      <c r="B255" s="54">
        <v>0</v>
      </c>
      <c r="C255" s="54">
        <v>0</v>
      </c>
      <c r="D255" s="54">
        <v>0</v>
      </c>
      <c r="E255" s="54">
        <v>0</v>
      </c>
      <c r="F255" s="54">
        <v>0</v>
      </c>
      <c r="G255" s="54">
        <v>0</v>
      </c>
      <c r="H255" s="140">
        <v>0</v>
      </c>
      <c r="I255" s="141">
        <v>0</v>
      </c>
    </row>
    <row r="256" spans="1:9" x14ac:dyDescent="0.2">
      <c r="A256" s="145" t="s">
        <v>247</v>
      </c>
      <c r="B256" s="54">
        <v>0</v>
      </c>
      <c r="C256" s="54">
        <v>0</v>
      </c>
      <c r="D256" s="54">
        <v>0</v>
      </c>
      <c r="E256" s="54">
        <v>0</v>
      </c>
      <c r="F256" s="54">
        <v>0</v>
      </c>
      <c r="G256" s="54">
        <v>0</v>
      </c>
      <c r="H256" s="140">
        <v>0</v>
      </c>
      <c r="I256" s="141">
        <v>0</v>
      </c>
    </row>
    <row r="257" spans="1:9" x14ac:dyDescent="0.2">
      <c r="A257" s="145" t="s">
        <v>248</v>
      </c>
      <c r="B257" s="54">
        <v>0</v>
      </c>
      <c r="C257" s="54">
        <v>0</v>
      </c>
      <c r="D257" s="54">
        <v>0</v>
      </c>
      <c r="E257" s="54">
        <v>0</v>
      </c>
      <c r="F257" s="54">
        <v>0</v>
      </c>
      <c r="G257" s="54">
        <v>0</v>
      </c>
      <c r="H257" s="140">
        <v>0</v>
      </c>
      <c r="I257" s="141">
        <v>0</v>
      </c>
    </row>
    <row r="258" spans="1:9" x14ac:dyDescent="0.2">
      <c r="A258" s="145" t="s">
        <v>249</v>
      </c>
      <c r="B258" s="54">
        <v>0</v>
      </c>
      <c r="C258" s="54">
        <v>0</v>
      </c>
      <c r="D258" s="54">
        <v>0</v>
      </c>
      <c r="E258" s="54">
        <v>0</v>
      </c>
      <c r="F258" s="54">
        <v>0</v>
      </c>
      <c r="G258" s="54">
        <v>0</v>
      </c>
      <c r="H258" s="140">
        <v>0</v>
      </c>
      <c r="I258" s="141">
        <v>0</v>
      </c>
    </row>
    <row r="259" spans="1:9" x14ac:dyDescent="0.2">
      <c r="A259" s="145" t="s">
        <v>250</v>
      </c>
      <c r="B259" s="54">
        <v>0</v>
      </c>
      <c r="C259" s="54">
        <v>0</v>
      </c>
      <c r="D259" s="54">
        <v>0</v>
      </c>
      <c r="E259" s="54">
        <v>0</v>
      </c>
      <c r="F259" s="54">
        <v>0</v>
      </c>
      <c r="G259" s="54">
        <v>0</v>
      </c>
      <c r="H259" s="140">
        <v>0</v>
      </c>
      <c r="I259" s="141">
        <v>0</v>
      </c>
    </row>
    <row r="260" spans="1:9" x14ac:dyDescent="0.2">
      <c r="A260" s="145" t="s">
        <v>251</v>
      </c>
      <c r="B260" s="54">
        <v>0</v>
      </c>
      <c r="C260" s="54">
        <v>0</v>
      </c>
      <c r="D260" s="54">
        <v>0</v>
      </c>
      <c r="E260" s="54">
        <v>0</v>
      </c>
      <c r="F260" s="54">
        <v>0</v>
      </c>
      <c r="G260" s="54">
        <v>0</v>
      </c>
      <c r="H260" s="140">
        <v>0</v>
      </c>
      <c r="I260" s="141">
        <v>0</v>
      </c>
    </row>
    <row r="261" spans="1:9" x14ac:dyDescent="0.2">
      <c r="A261" s="145" t="s">
        <v>252</v>
      </c>
      <c r="B261" s="54">
        <v>0</v>
      </c>
      <c r="C261" s="54">
        <v>0</v>
      </c>
      <c r="D261" s="54">
        <v>0</v>
      </c>
      <c r="E261" s="54">
        <v>0</v>
      </c>
      <c r="F261" s="54">
        <v>0</v>
      </c>
      <c r="G261" s="54">
        <v>0</v>
      </c>
      <c r="H261" s="140">
        <v>0</v>
      </c>
      <c r="I261" s="141">
        <v>0</v>
      </c>
    </row>
    <row r="262" spans="1:9" x14ac:dyDescent="0.2">
      <c r="A262" s="145" t="s">
        <v>253</v>
      </c>
      <c r="B262" s="54">
        <v>0</v>
      </c>
      <c r="C262" s="54">
        <v>0</v>
      </c>
      <c r="D262" s="54">
        <v>0</v>
      </c>
      <c r="E262" s="54">
        <v>0</v>
      </c>
      <c r="F262" s="54">
        <v>0</v>
      </c>
      <c r="G262" s="54">
        <v>0</v>
      </c>
      <c r="H262" s="140">
        <v>0</v>
      </c>
      <c r="I262" s="141">
        <v>0</v>
      </c>
    </row>
    <row r="263" spans="1:9" x14ac:dyDescent="0.2">
      <c r="A263" s="145" t="s">
        <v>254</v>
      </c>
      <c r="B263" s="54">
        <v>0</v>
      </c>
      <c r="C263" s="54">
        <v>0</v>
      </c>
      <c r="D263" s="54">
        <v>0</v>
      </c>
      <c r="E263" s="54">
        <v>0</v>
      </c>
      <c r="F263" s="54">
        <v>0</v>
      </c>
      <c r="G263" s="54">
        <v>0</v>
      </c>
      <c r="H263" s="140">
        <v>0</v>
      </c>
      <c r="I263" s="141">
        <v>0</v>
      </c>
    </row>
    <row r="264" spans="1:9" x14ac:dyDescent="0.2">
      <c r="A264" s="146" t="s">
        <v>255</v>
      </c>
      <c r="B264" s="54">
        <v>0</v>
      </c>
      <c r="C264" s="54">
        <v>0</v>
      </c>
      <c r="D264" s="54">
        <v>0</v>
      </c>
      <c r="E264" s="54">
        <v>0</v>
      </c>
      <c r="F264" s="54">
        <v>0</v>
      </c>
      <c r="G264" s="54">
        <v>0</v>
      </c>
      <c r="H264" s="140">
        <v>0</v>
      </c>
      <c r="I264" s="141">
        <v>0</v>
      </c>
    </row>
    <row r="265" spans="1:9" x14ac:dyDescent="0.2">
      <c r="A265" s="145" t="s">
        <v>256</v>
      </c>
      <c r="B265" s="54">
        <v>0</v>
      </c>
      <c r="C265" s="54">
        <v>0</v>
      </c>
      <c r="D265" s="54">
        <v>0</v>
      </c>
      <c r="E265" s="54">
        <v>0</v>
      </c>
      <c r="F265" s="54">
        <v>0</v>
      </c>
      <c r="G265" s="54">
        <v>0</v>
      </c>
      <c r="H265" s="140">
        <v>0</v>
      </c>
      <c r="I265" s="141">
        <v>0</v>
      </c>
    </row>
    <row r="266" spans="1:9" x14ac:dyDescent="0.2">
      <c r="A266" s="145" t="s">
        <v>257</v>
      </c>
      <c r="B266" s="54">
        <v>0</v>
      </c>
      <c r="C266" s="54">
        <v>0</v>
      </c>
      <c r="D266" s="54">
        <v>0</v>
      </c>
      <c r="E266" s="54">
        <v>0</v>
      </c>
      <c r="F266" s="54">
        <v>0</v>
      </c>
      <c r="G266" s="54">
        <v>0</v>
      </c>
      <c r="H266" s="140">
        <v>0</v>
      </c>
      <c r="I266" s="141">
        <v>0</v>
      </c>
    </row>
    <row r="267" spans="1:9" x14ac:dyDescent="0.2">
      <c r="A267" s="145" t="s">
        <v>258</v>
      </c>
      <c r="B267" s="54">
        <v>0</v>
      </c>
      <c r="C267" s="54">
        <v>0</v>
      </c>
      <c r="D267" s="54">
        <v>0</v>
      </c>
      <c r="E267" s="54">
        <v>0</v>
      </c>
      <c r="F267" s="54">
        <v>0</v>
      </c>
      <c r="G267" s="54">
        <v>0</v>
      </c>
      <c r="H267" s="140">
        <v>0</v>
      </c>
      <c r="I267" s="141">
        <v>0</v>
      </c>
    </row>
    <row r="268" spans="1:9" x14ac:dyDescent="0.2">
      <c r="A268" s="142" t="s">
        <v>259</v>
      </c>
      <c r="B268" s="54">
        <v>0</v>
      </c>
      <c r="C268" s="54">
        <v>0</v>
      </c>
      <c r="D268" s="54">
        <v>0</v>
      </c>
      <c r="E268" s="54">
        <v>0</v>
      </c>
      <c r="F268" s="54">
        <v>0</v>
      </c>
      <c r="G268" s="54">
        <v>0</v>
      </c>
      <c r="H268" s="140">
        <v>0</v>
      </c>
      <c r="I268" s="141">
        <v>0</v>
      </c>
    </row>
    <row r="269" spans="1:9" x14ac:dyDescent="0.2">
      <c r="A269" s="147" t="s">
        <v>260</v>
      </c>
      <c r="B269" s="54">
        <v>0</v>
      </c>
      <c r="C269" s="54">
        <v>0</v>
      </c>
      <c r="D269" s="54">
        <v>0</v>
      </c>
      <c r="E269" s="54">
        <v>0</v>
      </c>
      <c r="F269" s="54">
        <v>0</v>
      </c>
      <c r="G269" s="54">
        <v>0</v>
      </c>
      <c r="H269" s="140">
        <v>0</v>
      </c>
      <c r="I269" s="141">
        <v>0</v>
      </c>
    </row>
    <row r="270" spans="1:9" x14ac:dyDescent="0.2">
      <c r="A270" s="142" t="s">
        <v>261</v>
      </c>
      <c r="B270" s="54">
        <v>0</v>
      </c>
      <c r="C270" s="54">
        <v>0</v>
      </c>
      <c r="D270" s="54">
        <v>0</v>
      </c>
      <c r="E270" s="54">
        <v>0</v>
      </c>
      <c r="F270" s="54">
        <v>0</v>
      </c>
      <c r="G270" s="54">
        <v>0</v>
      </c>
      <c r="H270" s="140">
        <v>0</v>
      </c>
      <c r="I270" s="141">
        <v>0</v>
      </c>
    </row>
    <row r="271" spans="1:9" x14ac:dyDescent="0.2">
      <c r="A271" s="142" t="s">
        <v>262</v>
      </c>
      <c r="B271" s="54">
        <v>0</v>
      </c>
      <c r="C271" s="54">
        <v>0</v>
      </c>
      <c r="D271" s="54">
        <v>0</v>
      </c>
      <c r="E271" s="54">
        <v>0</v>
      </c>
      <c r="F271" s="54">
        <v>0</v>
      </c>
      <c r="G271" s="54">
        <v>0</v>
      </c>
      <c r="H271" s="140">
        <v>0</v>
      </c>
      <c r="I271" s="141">
        <v>0</v>
      </c>
    </row>
    <row r="272" spans="1:9" x14ac:dyDescent="0.2">
      <c r="A272" s="142" t="s">
        <v>263</v>
      </c>
      <c r="B272" s="54">
        <v>0</v>
      </c>
      <c r="C272" s="54">
        <v>0</v>
      </c>
      <c r="D272" s="54">
        <v>0</v>
      </c>
      <c r="E272" s="54">
        <v>0</v>
      </c>
      <c r="F272" s="54">
        <v>0</v>
      </c>
      <c r="G272" s="54">
        <v>0</v>
      </c>
      <c r="H272" s="140">
        <v>0</v>
      </c>
      <c r="I272" s="141">
        <v>0</v>
      </c>
    </row>
    <row r="273" spans="1:9" x14ac:dyDescent="0.2">
      <c r="A273" s="142" t="s">
        <v>264</v>
      </c>
      <c r="B273" s="54">
        <v>0</v>
      </c>
      <c r="C273" s="54">
        <v>0</v>
      </c>
      <c r="D273" s="54">
        <v>0</v>
      </c>
      <c r="E273" s="54">
        <v>0</v>
      </c>
      <c r="F273" s="54">
        <v>0</v>
      </c>
      <c r="G273" s="54">
        <v>0</v>
      </c>
      <c r="H273" s="140">
        <v>0</v>
      </c>
      <c r="I273" s="141">
        <v>0</v>
      </c>
    </row>
    <row r="274" spans="1:9" x14ac:dyDescent="0.2">
      <c r="A274" s="142" t="s">
        <v>265</v>
      </c>
      <c r="B274" s="54">
        <v>0</v>
      </c>
      <c r="C274" s="54">
        <v>0</v>
      </c>
      <c r="D274" s="54">
        <v>0</v>
      </c>
      <c r="E274" s="54">
        <v>0</v>
      </c>
      <c r="F274" s="54">
        <v>0</v>
      </c>
      <c r="G274" s="54">
        <v>0</v>
      </c>
      <c r="H274" s="140">
        <v>0</v>
      </c>
      <c r="I274" s="141">
        <v>0</v>
      </c>
    </row>
    <row r="275" spans="1:9" x14ac:dyDescent="0.2">
      <c r="A275" s="142" t="s">
        <v>266</v>
      </c>
      <c r="B275" s="54">
        <v>0</v>
      </c>
      <c r="C275" s="54">
        <v>0</v>
      </c>
      <c r="D275" s="54">
        <v>0</v>
      </c>
      <c r="E275" s="54">
        <v>0</v>
      </c>
      <c r="F275" s="54">
        <v>0</v>
      </c>
      <c r="G275" s="54">
        <v>0</v>
      </c>
      <c r="H275" s="140">
        <v>0</v>
      </c>
      <c r="I275" s="141">
        <v>0</v>
      </c>
    </row>
    <row r="276" spans="1:9" x14ac:dyDescent="0.2">
      <c r="A276" s="142" t="s">
        <v>267</v>
      </c>
      <c r="B276" s="54">
        <v>0</v>
      </c>
      <c r="C276" s="54">
        <v>0</v>
      </c>
      <c r="D276" s="54">
        <v>0</v>
      </c>
      <c r="E276" s="54">
        <v>0</v>
      </c>
      <c r="F276" s="54">
        <v>0</v>
      </c>
      <c r="G276" s="54">
        <v>0</v>
      </c>
      <c r="H276" s="140">
        <v>0</v>
      </c>
      <c r="I276" s="141">
        <v>0</v>
      </c>
    </row>
    <row r="277" spans="1:9" x14ac:dyDescent="0.2">
      <c r="A277" s="142" t="s">
        <v>268</v>
      </c>
      <c r="B277" s="54">
        <v>0</v>
      </c>
      <c r="C277" s="54">
        <v>0</v>
      </c>
      <c r="D277" s="54">
        <v>0</v>
      </c>
      <c r="E277" s="54">
        <v>0</v>
      </c>
      <c r="F277" s="54">
        <v>0</v>
      </c>
      <c r="G277" s="54">
        <v>0</v>
      </c>
      <c r="H277" s="140">
        <v>0</v>
      </c>
      <c r="I277" s="141">
        <v>0</v>
      </c>
    </row>
    <row r="278" spans="1:9" x14ac:dyDescent="0.2">
      <c r="A278" s="142" t="s">
        <v>269</v>
      </c>
      <c r="B278" s="54">
        <v>0</v>
      </c>
      <c r="C278" s="54">
        <v>0</v>
      </c>
      <c r="D278" s="54">
        <v>0</v>
      </c>
      <c r="E278" s="54">
        <v>0</v>
      </c>
      <c r="F278" s="54">
        <v>0</v>
      </c>
      <c r="G278" s="54">
        <v>0</v>
      </c>
      <c r="H278" s="140">
        <v>0</v>
      </c>
      <c r="I278" s="141">
        <v>0</v>
      </c>
    </row>
    <row r="279" spans="1:9" x14ac:dyDescent="0.2">
      <c r="A279" s="142" t="s">
        <v>270</v>
      </c>
      <c r="B279" s="54">
        <v>0</v>
      </c>
      <c r="C279" s="54">
        <v>0</v>
      </c>
      <c r="D279" s="54">
        <v>0</v>
      </c>
      <c r="E279" s="54">
        <v>0</v>
      </c>
      <c r="F279" s="54">
        <v>0</v>
      </c>
      <c r="G279" s="54">
        <v>0</v>
      </c>
      <c r="H279" s="140">
        <v>0</v>
      </c>
      <c r="I279" s="141">
        <v>0</v>
      </c>
    </row>
    <row r="280" spans="1:9" x14ac:dyDescent="0.2">
      <c r="A280" s="142" t="s">
        <v>271</v>
      </c>
      <c r="B280" s="54">
        <v>0</v>
      </c>
      <c r="C280" s="54">
        <v>0</v>
      </c>
      <c r="D280" s="54">
        <v>0</v>
      </c>
      <c r="E280" s="54">
        <v>0</v>
      </c>
      <c r="F280" s="54">
        <v>0</v>
      </c>
      <c r="G280" s="54">
        <v>0</v>
      </c>
      <c r="H280" s="140">
        <v>0</v>
      </c>
      <c r="I280" s="141">
        <v>0</v>
      </c>
    </row>
    <row r="281" spans="1:9" x14ac:dyDescent="0.2">
      <c r="A281" s="142" t="s">
        <v>272</v>
      </c>
      <c r="B281" s="54">
        <v>0</v>
      </c>
      <c r="C281" s="54">
        <v>0</v>
      </c>
      <c r="D281" s="54">
        <v>0</v>
      </c>
      <c r="E281" s="54">
        <v>0</v>
      </c>
      <c r="F281" s="54">
        <v>0</v>
      </c>
      <c r="G281" s="54">
        <v>0</v>
      </c>
      <c r="H281" s="140">
        <v>0</v>
      </c>
      <c r="I281" s="141">
        <v>0</v>
      </c>
    </row>
    <row r="282" spans="1:9" x14ac:dyDescent="0.2">
      <c r="A282" s="142" t="s">
        <v>273</v>
      </c>
      <c r="B282" s="54">
        <v>0</v>
      </c>
      <c r="C282" s="54">
        <v>0</v>
      </c>
      <c r="D282" s="54">
        <v>0</v>
      </c>
      <c r="E282" s="54">
        <v>0</v>
      </c>
      <c r="F282" s="54">
        <v>0</v>
      </c>
      <c r="G282" s="54">
        <v>0</v>
      </c>
      <c r="H282" s="140">
        <v>0</v>
      </c>
      <c r="I282" s="141">
        <v>0</v>
      </c>
    </row>
    <row r="283" spans="1:9" x14ac:dyDescent="0.2">
      <c r="A283" s="142" t="s">
        <v>274</v>
      </c>
      <c r="B283" s="54">
        <v>0</v>
      </c>
      <c r="C283" s="54">
        <v>0</v>
      </c>
      <c r="D283" s="54">
        <v>0</v>
      </c>
      <c r="E283" s="54">
        <v>0</v>
      </c>
      <c r="F283" s="54">
        <v>0</v>
      </c>
      <c r="G283" s="54">
        <v>0</v>
      </c>
      <c r="H283" s="140">
        <v>0</v>
      </c>
      <c r="I283" s="141">
        <v>0</v>
      </c>
    </row>
    <row r="284" spans="1:9" x14ac:dyDescent="0.2">
      <c r="A284" s="142" t="s">
        <v>275</v>
      </c>
      <c r="B284" s="54">
        <v>0</v>
      </c>
      <c r="C284" s="54">
        <v>0</v>
      </c>
      <c r="D284" s="54">
        <v>0</v>
      </c>
      <c r="E284" s="54">
        <v>0</v>
      </c>
      <c r="F284" s="54">
        <v>0</v>
      </c>
      <c r="G284" s="54">
        <v>0</v>
      </c>
      <c r="H284" s="140">
        <v>0</v>
      </c>
      <c r="I284" s="141">
        <v>0</v>
      </c>
    </row>
    <row r="285" spans="1:9" x14ac:dyDescent="0.2">
      <c r="A285" s="142" t="s">
        <v>276</v>
      </c>
      <c r="B285" s="54">
        <v>0</v>
      </c>
      <c r="C285" s="54">
        <v>0</v>
      </c>
      <c r="D285" s="54">
        <v>0</v>
      </c>
      <c r="E285" s="54">
        <v>0</v>
      </c>
      <c r="F285" s="54">
        <v>0</v>
      </c>
      <c r="G285" s="54">
        <v>0</v>
      </c>
      <c r="H285" s="140">
        <v>0</v>
      </c>
      <c r="I285" s="141">
        <v>0</v>
      </c>
    </row>
    <row r="286" spans="1:9" x14ac:dyDescent="0.2">
      <c r="A286" s="144" t="s">
        <v>277</v>
      </c>
      <c r="B286" s="54">
        <v>0</v>
      </c>
      <c r="C286" s="54">
        <v>0</v>
      </c>
      <c r="D286" s="54">
        <v>0</v>
      </c>
      <c r="E286" s="54">
        <v>0</v>
      </c>
      <c r="F286" s="54">
        <v>0</v>
      </c>
      <c r="G286" s="54">
        <v>0</v>
      </c>
      <c r="H286" s="140">
        <v>0</v>
      </c>
      <c r="I286" s="141">
        <v>0</v>
      </c>
    </row>
    <row r="287" spans="1:9" x14ac:dyDescent="0.2">
      <c r="A287" s="148" t="s">
        <v>278</v>
      </c>
      <c r="B287" s="54">
        <v>0</v>
      </c>
      <c r="C287" s="54">
        <v>0</v>
      </c>
      <c r="D287" s="54">
        <v>0</v>
      </c>
      <c r="E287" s="54">
        <v>0</v>
      </c>
      <c r="F287" s="54">
        <v>0</v>
      </c>
      <c r="G287" s="54">
        <v>0</v>
      </c>
      <c r="H287" s="140">
        <v>0</v>
      </c>
      <c r="I287" s="141">
        <v>0</v>
      </c>
    </row>
    <row r="288" spans="1:9" x14ac:dyDescent="0.2">
      <c r="A288" s="148" t="s">
        <v>279</v>
      </c>
      <c r="B288" s="54">
        <v>0</v>
      </c>
      <c r="C288" s="54">
        <v>0</v>
      </c>
      <c r="D288" s="54">
        <v>0</v>
      </c>
      <c r="E288" s="54">
        <v>0</v>
      </c>
      <c r="F288" s="54">
        <v>0</v>
      </c>
      <c r="G288" s="54">
        <v>0</v>
      </c>
      <c r="H288" s="140">
        <v>0</v>
      </c>
      <c r="I288" s="141">
        <v>0</v>
      </c>
    </row>
    <row r="289" spans="1:9" x14ac:dyDescent="0.2">
      <c r="A289" s="148" t="s">
        <v>280</v>
      </c>
      <c r="B289" s="54">
        <v>0</v>
      </c>
      <c r="C289" s="54">
        <v>0</v>
      </c>
      <c r="D289" s="54">
        <v>0</v>
      </c>
      <c r="E289" s="54">
        <v>0</v>
      </c>
      <c r="F289" s="54">
        <v>0</v>
      </c>
      <c r="G289" s="54">
        <v>0</v>
      </c>
      <c r="H289" s="140">
        <v>0</v>
      </c>
      <c r="I289" s="141">
        <v>0</v>
      </c>
    </row>
    <row r="290" spans="1:9" x14ac:dyDescent="0.2">
      <c r="A290" s="148" t="s">
        <v>281</v>
      </c>
      <c r="B290" s="54">
        <v>0</v>
      </c>
      <c r="C290" s="54">
        <v>0</v>
      </c>
      <c r="D290" s="54">
        <v>0</v>
      </c>
      <c r="E290" s="54">
        <v>0</v>
      </c>
      <c r="F290" s="54">
        <v>0</v>
      </c>
      <c r="G290" s="54">
        <v>0</v>
      </c>
      <c r="H290" s="140">
        <v>0</v>
      </c>
      <c r="I290" s="141">
        <v>0</v>
      </c>
    </row>
    <row r="291" spans="1:9" x14ac:dyDescent="0.2">
      <c r="A291" s="148" t="s">
        <v>282</v>
      </c>
      <c r="B291" s="54">
        <v>0</v>
      </c>
      <c r="C291" s="54">
        <v>0</v>
      </c>
      <c r="D291" s="54">
        <v>0</v>
      </c>
      <c r="E291" s="54">
        <v>0</v>
      </c>
      <c r="F291" s="54">
        <v>0</v>
      </c>
      <c r="G291" s="54">
        <v>0</v>
      </c>
      <c r="H291" s="140">
        <v>0</v>
      </c>
      <c r="I291" s="141">
        <v>0</v>
      </c>
    </row>
    <row r="292" spans="1:9" x14ac:dyDescent="0.2">
      <c r="A292" s="148" t="s">
        <v>283</v>
      </c>
      <c r="B292" s="54">
        <v>0</v>
      </c>
      <c r="C292" s="54">
        <v>0</v>
      </c>
      <c r="D292" s="54">
        <v>0</v>
      </c>
      <c r="E292" s="54">
        <v>0</v>
      </c>
      <c r="F292" s="54">
        <v>0</v>
      </c>
      <c r="G292" s="54">
        <v>0</v>
      </c>
      <c r="H292" s="140">
        <v>0</v>
      </c>
      <c r="I292" s="141">
        <v>0</v>
      </c>
    </row>
    <row r="293" spans="1:9" x14ac:dyDescent="0.2">
      <c r="A293" s="148" t="s">
        <v>284</v>
      </c>
      <c r="B293" s="54">
        <v>0</v>
      </c>
      <c r="C293" s="54">
        <v>0</v>
      </c>
      <c r="D293" s="54">
        <v>0</v>
      </c>
      <c r="E293" s="54">
        <v>0</v>
      </c>
      <c r="F293" s="54">
        <v>0</v>
      </c>
      <c r="G293" s="54">
        <v>0</v>
      </c>
      <c r="H293" s="140">
        <v>0</v>
      </c>
      <c r="I293" s="141">
        <v>0</v>
      </c>
    </row>
    <row r="294" spans="1:9" x14ac:dyDescent="0.2">
      <c r="A294" s="148" t="s">
        <v>285</v>
      </c>
      <c r="B294" s="54">
        <v>0</v>
      </c>
      <c r="C294" s="54">
        <v>0</v>
      </c>
      <c r="D294" s="54">
        <v>0</v>
      </c>
      <c r="E294" s="54">
        <v>0</v>
      </c>
      <c r="F294" s="54">
        <v>0</v>
      </c>
      <c r="G294" s="54">
        <v>0</v>
      </c>
      <c r="H294" s="140">
        <v>0</v>
      </c>
      <c r="I294" s="141">
        <v>0</v>
      </c>
    </row>
    <row r="295" spans="1:9" x14ac:dyDescent="0.2">
      <c r="A295" s="147" t="s">
        <v>286</v>
      </c>
      <c r="B295" s="54">
        <v>0</v>
      </c>
      <c r="C295" s="54">
        <v>0</v>
      </c>
      <c r="D295" s="54">
        <v>0</v>
      </c>
      <c r="E295" s="54">
        <v>0</v>
      </c>
      <c r="F295" s="54">
        <v>0</v>
      </c>
      <c r="G295" s="54">
        <v>0</v>
      </c>
      <c r="H295" s="140">
        <v>0</v>
      </c>
      <c r="I295" s="141">
        <v>0</v>
      </c>
    </row>
    <row r="296" spans="1:9" x14ac:dyDescent="0.2">
      <c r="A296" s="142" t="s">
        <v>287</v>
      </c>
      <c r="B296" s="54">
        <f>Material_compnt_GREET2!B$62*Al_alloy_use_compnt!$F20</f>
        <v>0</v>
      </c>
      <c r="C296" s="54">
        <f>Material_compnt_GREET2!C$62*Al_alloy_use_compnt!$F20</f>
        <v>0</v>
      </c>
      <c r="D296" s="54">
        <f>Material_compnt_GREET2!D$62*Al_alloy_use_compnt!$F20</f>
        <v>0</v>
      </c>
      <c r="E296" s="54">
        <f>Material_compnt_GREET2!E$62*Al_alloy_use_compnt!$F20</f>
        <v>0</v>
      </c>
      <c r="F296" s="54">
        <f>Material_compnt_GREET2!F$62*Al_alloy_use_compnt!$F20</f>
        <v>0</v>
      </c>
      <c r="G296" s="54">
        <f>Material_compnt_GREET2!G$62*Al_alloy_use_compnt!$F20</f>
        <v>0</v>
      </c>
      <c r="H296" s="54">
        <f>Material_compnt_GREET2!H$62*Al_alloy_use_compnt!$F20</f>
        <v>0</v>
      </c>
      <c r="I296" s="143">
        <f>Material_compnt_GREET2!I$62*Al_alloy_use_compnt!$F20</f>
        <v>0</v>
      </c>
    </row>
    <row r="297" spans="1:9" x14ac:dyDescent="0.2">
      <c r="A297" s="142" t="s">
        <v>288</v>
      </c>
      <c r="B297" s="54">
        <f>Material_compnt_GREET2!B$62*Al_alloy_use_compnt!$F21</f>
        <v>0</v>
      </c>
      <c r="C297" s="54">
        <f>Material_compnt_GREET2!C$62*Al_alloy_use_compnt!$F21</f>
        <v>0</v>
      </c>
      <c r="D297" s="54">
        <f>Material_compnt_GREET2!D$62*Al_alloy_use_compnt!$F21</f>
        <v>0</v>
      </c>
      <c r="E297" s="54">
        <f>Material_compnt_GREET2!E$62*Al_alloy_use_compnt!$F21</f>
        <v>0</v>
      </c>
      <c r="F297" s="54">
        <f>Material_compnt_GREET2!F$62*Al_alloy_use_compnt!$F21</f>
        <v>0</v>
      </c>
      <c r="G297" s="54">
        <f>Material_compnt_GREET2!G$62*Al_alloy_use_compnt!$F21</f>
        <v>0</v>
      </c>
      <c r="H297" s="54">
        <f>Material_compnt_GREET2!H$62*Al_alloy_use_compnt!$F21</f>
        <v>0</v>
      </c>
      <c r="I297" s="143">
        <f>Material_compnt_GREET2!I$62*Al_alloy_use_compnt!$F21</f>
        <v>0</v>
      </c>
    </row>
    <row r="298" spans="1:9" x14ac:dyDescent="0.2">
      <c r="A298" s="142" t="s">
        <v>289</v>
      </c>
      <c r="B298" s="54">
        <f>Material_compnt_GREET2!B$62*Al_alloy_use_compnt!$F22</f>
        <v>0</v>
      </c>
      <c r="C298" s="54">
        <f>Material_compnt_GREET2!C$62*Al_alloy_use_compnt!$F22</f>
        <v>0</v>
      </c>
      <c r="D298" s="54">
        <f>Material_compnt_GREET2!D$62*Al_alloy_use_compnt!$F22</f>
        <v>9.1059225481492501</v>
      </c>
      <c r="E298" s="54">
        <f>Material_compnt_GREET2!E$62*Al_alloy_use_compnt!$F22</f>
        <v>5.0890972529905385</v>
      </c>
      <c r="F298" s="54">
        <f>Material_compnt_GREET2!F$62*Al_alloy_use_compnt!$F22</f>
        <v>16.639948127512394</v>
      </c>
      <c r="G298" s="54">
        <f>Material_compnt_GREET2!G$62*Al_alloy_use_compnt!$F22</f>
        <v>10.187673315179541</v>
      </c>
      <c r="H298" s="54">
        <f>Material_compnt_GREET2!H$62*Al_alloy_use_compnt!$F22</f>
        <v>0</v>
      </c>
      <c r="I298" s="143">
        <f>Material_compnt_GREET2!I$62*Al_alloy_use_compnt!$F22</f>
        <v>0</v>
      </c>
    </row>
    <row r="299" spans="1:9" x14ac:dyDescent="0.2">
      <c r="A299" s="142" t="s">
        <v>290</v>
      </c>
      <c r="B299" s="54">
        <f>Material_compnt_GREET2!B$62*Al_alloy_use_compnt!$F23</f>
        <v>0</v>
      </c>
      <c r="C299" s="54">
        <f>Material_compnt_GREET2!C$62*Al_alloy_use_compnt!$F23</f>
        <v>0</v>
      </c>
      <c r="D299" s="54">
        <f>Material_compnt_GREET2!D$62*Al_alloy_use_compnt!$F23</f>
        <v>9.1059225481492501</v>
      </c>
      <c r="E299" s="54">
        <f>Material_compnt_GREET2!E$62*Al_alloy_use_compnt!$F23</f>
        <v>5.0890972529905385</v>
      </c>
      <c r="F299" s="54">
        <f>Material_compnt_GREET2!F$62*Al_alloy_use_compnt!$F23</f>
        <v>16.639948127512394</v>
      </c>
      <c r="G299" s="54">
        <f>Material_compnt_GREET2!G$62*Al_alloy_use_compnt!$F23</f>
        <v>10.187673315179541</v>
      </c>
      <c r="H299" s="54">
        <f>Material_compnt_GREET2!H$62*Al_alloy_use_compnt!$F23</f>
        <v>0</v>
      </c>
      <c r="I299" s="143">
        <f>Material_compnt_GREET2!I$62*Al_alloy_use_compnt!$F23</f>
        <v>0</v>
      </c>
    </row>
    <row r="300" spans="1:9" x14ac:dyDescent="0.2">
      <c r="A300" s="142" t="s">
        <v>291</v>
      </c>
      <c r="B300" s="54">
        <f>Material_compnt_GREET2!B$62*Al_alloy_use_compnt!$F24</f>
        <v>0</v>
      </c>
      <c r="C300" s="54">
        <f>Material_compnt_GREET2!C$62*Al_alloy_use_compnt!$F24</f>
        <v>0</v>
      </c>
      <c r="D300" s="54">
        <f>Material_compnt_GREET2!D$62*Al_alloy_use_compnt!$F24</f>
        <v>0</v>
      </c>
      <c r="E300" s="54">
        <f>Material_compnt_GREET2!E$62*Al_alloy_use_compnt!$F24</f>
        <v>0</v>
      </c>
      <c r="F300" s="54">
        <f>Material_compnt_GREET2!F$62*Al_alloy_use_compnt!$F24</f>
        <v>0</v>
      </c>
      <c r="G300" s="54">
        <f>Material_compnt_GREET2!G$62*Al_alloy_use_compnt!$F24</f>
        <v>0</v>
      </c>
      <c r="H300" s="54">
        <f>Material_compnt_GREET2!H$62*Al_alloy_use_compnt!$F24</f>
        <v>0</v>
      </c>
      <c r="I300" s="143">
        <f>Material_compnt_GREET2!I$62*Al_alloy_use_compnt!$F24</f>
        <v>0</v>
      </c>
    </row>
    <row r="301" spans="1:9" x14ac:dyDescent="0.2">
      <c r="A301" s="142" t="s">
        <v>292</v>
      </c>
      <c r="B301" s="54">
        <f>Material_compnt_GREET2!B$62*Al_alloy_use_compnt!$F25</f>
        <v>0</v>
      </c>
      <c r="C301" s="54">
        <f>Material_compnt_GREET2!C$62*Al_alloy_use_compnt!$F25</f>
        <v>0</v>
      </c>
      <c r="D301" s="54">
        <f>Material_compnt_GREET2!D$62*Al_alloy_use_compnt!$F25</f>
        <v>0</v>
      </c>
      <c r="E301" s="54">
        <f>Material_compnt_GREET2!E$62*Al_alloy_use_compnt!$F25</f>
        <v>0</v>
      </c>
      <c r="F301" s="54">
        <f>Material_compnt_GREET2!F$62*Al_alloy_use_compnt!$F25</f>
        <v>0</v>
      </c>
      <c r="G301" s="54">
        <f>Material_compnt_GREET2!G$62*Al_alloy_use_compnt!$F25</f>
        <v>0</v>
      </c>
      <c r="H301" s="54">
        <f>Material_compnt_GREET2!H$62*Al_alloy_use_compnt!$F25</f>
        <v>0</v>
      </c>
      <c r="I301" s="143">
        <f>Material_compnt_GREET2!I$62*Al_alloy_use_compnt!$F25</f>
        <v>0</v>
      </c>
    </row>
    <row r="302" spans="1:9" x14ac:dyDescent="0.2">
      <c r="A302" s="142" t="s">
        <v>293</v>
      </c>
      <c r="B302" s="54">
        <f>Material_compnt_GREET2!B$62*Al_alloy_use_compnt!$F26</f>
        <v>0</v>
      </c>
      <c r="C302" s="54">
        <f>Material_compnt_GREET2!C$62*Al_alloy_use_compnt!$F26</f>
        <v>0</v>
      </c>
      <c r="D302" s="54">
        <f>Material_compnt_GREET2!D$62*Al_alloy_use_compnt!$F26</f>
        <v>0</v>
      </c>
      <c r="E302" s="54">
        <f>Material_compnt_GREET2!E$62*Al_alloy_use_compnt!$F26</f>
        <v>0</v>
      </c>
      <c r="F302" s="54">
        <f>Material_compnt_GREET2!F$62*Al_alloy_use_compnt!$F26</f>
        <v>0</v>
      </c>
      <c r="G302" s="54">
        <f>Material_compnt_GREET2!G$62*Al_alloy_use_compnt!$F26</f>
        <v>0</v>
      </c>
      <c r="H302" s="54">
        <f>Material_compnt_GREET2!H$62*Al_alloy_use_compnt!$F26</f>
        <v>0</v>
      </c>
      <c r="I302" s="143">
        <f>Material_compnt_GREET2!I$62*Al_alloy_use_compnt!$F26</f>
        <v>0</v>
      </c>
    </row>
    <row r="303" spans="1:9" x14ac:dyDescent="0.2">
      <c r="A303" s="142" t="s">
        <v>294</v>
      </c>
      <c r="B303" s="54">
        <f>Material_compnt_GREET2!B$62*Al_alloy_use_compnt!$F27</f>
        <v>0</v>
      </c>
      <c r="C303" s="54">
        <f>Material_compnt_GREET2!C$62*Al_alloy_use_compnt!$F27</f>
        <v>0</v>
      </c>
      <c r="D303" s="54">
        <f>Material_compnt_GREET2!D$62*Al_alloy_use_compnt!$F27</f>
        <v>0</v>
      </c>
      <c r="E303" s="54">
        <f>Material_compnt_GREET2!E$62*Al_alloy_use_compnt!$F27</f>
        <v>0</v>
      </c>
      <c r="F303" s="54">
        <f>Material_compnt_GREET2!F$62*Al_alloy_use_compnt!$F27</f>
        <v>0</v>
      </c>
      <c r="G303" s="54">
        <f>Material_compnt_GREET2!G$62*Al_alloy_use_compnt!$F27</f>
        <v>0</v>
      </c>
      <c r="H303" s="54">
        <f>Material_compnt_GREET2!H$62*Al_alloy_use_compnt!$F27</f>
        <v>0</v>
      </c>
      <c r="I303" s="143">
        <f>Material_compnt_GREET2!I$62*Al_alloy_use_compnt!$F27</f>
        <v>0</v>
      </c>
    </row>
    <row r="304" spans="1:9" x14ac:dyDescent="0.2">
      <c r="A304" s="144" t="s">
        <v>295</v>
      </c>
      <c r="B304" s="54">
        <f>Material_compnt_GREET2!B$62*Al_alloy_use_compnt!$F28</f>
        <v>0</v>
      </c>
      <c r="C304" s="54">
        <f>Material_compnt_GREET2!C$62*Al_alloy_use_compnt!$F28</f>
        <v>0</v>
      </c>
      <c r="D304" s="54">
        <f>Material_compnt_GREET2!D$62*Al_alloy_use_compnt!$F28</f>
        <v>0</v>
      </c>
      <c r="E304" s="54">
        <f>Material_compnt_GREET2!E$62*Al_alloy_use_compnt!$F28</f>
        <v>0</v>
      </c>
      <c r="F304" s="54">
        <f>Material_compnt_GREET2!F$62*Al_alloy_use_compnt!$F28</f>
        <v>0</v>
      </c>
      <c r="G304" s="54">
        <f>Material_compnt_GREET2!G$62*Al_alloy_use_compnt!$F28</f>
        <v>0</v>
      </c>
      <c r="H304" s="54">
        <f>Material_compnt_GREET2!H$62*Al_alloy_use_compnt!$F28</f>
        <v>0</v>
      </c>
      <c r="I304" s="143">
        <f>Material_compnt_GREET2!I$62*Al_alloy_use_compnt!$F28</f>
        <v>0</v>
      </c>
    </row>
    <row r="305" spans="1:9" x14ac:dyDescent="0.2">
      <c r="A305" s="142" t="s">
        <v>206</v>
      </c>
      <c r="B305" s="54">
        <v>0</v>
      </c>
      <c r="C305" s="54">
        <v>0</v>
      </c>
      <c r="D305" s="54">
        <v>0</v>
      </c>
      <c r="E305" s="54">
        <v>0</v>
      </c>
      <c r="F305" s="54">
        <v>0</v>
      </c>
      <c r="G305" s="54">
        <v>0</v>
      </c>
      <c r="H305" s="140">
        <v>0</v>
      </c>
      <c r="I305" s="141">
        <v>0</v>
      </c>
    </row>
    <row r="306" spans="1:9" ht="17" thickBot="1" x14ac:dyDescent="0.25">
      <c r="A306" s="149" t="s">
        <v>208</v>
      </c>
      <c r="B306" s="54">
        <v>0</v>
      </c>
      <c r="C306" s="54">
        <v>0</v>
      </c>
      <c r="D306" s="54">
        <v>0</v>
      </c>
      <c r="E306" s="54">
        <v>0</v>
      </c>
      <c r="F306" s="54">
        <v>0</v>
      </c>
      <c r="G306" s="54">
        <v>0</v>
      </c>
      <c r="H306" s="140">
        <v>0</v>
      </c>
      <c r="I306" s="141">
        <v>0</v>
      </c>
    </row>
    <row r="307" spans="1:9" ht="17" thickTop="1" x14ac:dyDescent="0.2">
      <c r="A307" s="150" t="s">
        <v>177</v>
      </c>
      <c r="B307" s="54"/>
      <c r="C307" s="54"/>
      <c r="D307" s="54"/>
      <c r="E307" s="54"/>
      <c r="F307" s="54"/>
      <c r="G307" s="54"/>
      <c r="H307" s="140"/>
      <c r="I307" s="141"/>
    </row>
    <row r="308" spans="1:9" x14ac:dyDescent="0.2">
      <c r="A308" s="142" t="s">
        <v>105</v>
      </c>
      <c r="B308" s="54">
        <f>Material_compnt_GREET2!B$66*'Alloy_compnt_G&amp;L'!$I$2</f>
        <v>0</v>
      </c>
      <c r="C308" s="54">
        <f>Material_compnt_GREET2!C$66*'Alloy_compnt_G&amp;L'!$I$2</f>
        <v>0</v>
      </c>
      <c r="D308" s="54">
        <f>Material_compnt_GREET2!D$66*'Alloy_compnt_G&amp;L'!$I$2</f>
        <v>3.8426993153189835</v>
      </c>
      <c r="E308" s="54">
        <f>Material_compnt_GREET2!E$66*'Alloy_compnt_G&amp;L'!$I$2</f>
        <v>2.1475990407620071</v>
      </c>
      <c r="F308" s="54">
        <f>Material_compnt_GREET2!F$66*'Alloy_compnt_G&amp;L'!$I$2</f>
        <v>0</v>
      </c>
      <c r="G308" s="54">
        <f>Material_compnt_GREET2!G$66*'Alloy_compnt_G&amp;L'!$I$2</f>
        <v>0</v>
      </c>
      <c r="H308" s="54">
        <f>Material_compnt_GREET2!H$66*'Alloy_compnt_G&amp;L'!$I$2</f>
        <v>0</v>
      </c>
      <c r="I308" s="143">
        <f>Material_compnt_GREET2!I$66*'Alloy_compnt_G&amp;L'!$I$2</f>
        <v>0</v>
      </c>
    </row>
    <row r="309" spans="1:9" x14ac:dyDescent="0.2">
      <c r="A309" s="142" t="s">
        <v>106</v>
      </c>
      <c r="B309" s="54">
        <f>Material_compnt_GREET2!B$66*'Alloy_compnt_G&amp;L'!$J$2</f>
        <v>0</v>
      </c>
      <c r="C309" s="54">
        <f>Material_compnt_GREET2!C$66*'Alloy_compnt_G&amp;L'!$J$2</f>
        <v>0</v>
      </c>
      <c r="D309" s="54">
        <f>Material_compnt_GREET2!D$66*'Alloy_compnt_G&amp;L'!$J$2</f>
        <v>3.4784624133930135</v>
      </c>
      <c r="E309" s="54">
        <f>Material_compnt_GREET2!E$66*'Alloy_compnt_G&amp;L'!$J$2</f>
        <v>1.9440351506423856</v>
      </c>
      <c r="F309" s="54">
        <f>Material_compnt_GREET2!F$66*'Alloy_compnt_G&amp;L'!$J$2</f>
        <v>0</v>
      </c>
      <c r="G309" s="54">
        <f>Material_compnt_GREET2!G$66*'Alloy_compnt_G&amp;L'!$J$2</f>
        <v>0</v>
      </c>
      <c r="H309" s="54">
        <f>Material_compnt_GREET2!H$66*'Alloy_compnt_G&amp;L'!$J$2</f>
        <v>0</v>
      </c>
      <c r="I309" s="143">
        <f>Material_compnt_GREET2!I$66*'Alloy_compnt_G&amp;L'!$J$2</f>
        <v>0</v>
      </c>
    </row>
    <row r="310" spans="1:9" x14ac:dyDescent="0.2">
      <c r="A310" s="142" t="s">
        <v>107</v>
      </c>
      <c r="B310" s="54">
        <f>Material_compnt_GREET2!B$66*'Alloy_compnt_G&amp;L'!$K$2</f>
        <v>0</v>
      </c>
      <c r="C310" s="54">
        <f>Material_compnt_GREET2!C$66*'Alloy_compnt_G&amp;L'!$K$2</f>
        <v>0</v>
      </c>
      <c r="D310" s="54">
        <f>Material_compnt_GREET2!D$66*'Alloy_compnt_G&amp;L'!$K$2</f>
        <v>10.890683367586504</v>
      </c>
      <c r="E310" s="54">
        <f>Material_compnt_GREET2!E$66*'Alloy_compnt_G&amp;L'!$K$2</f>
        <v>6.0865603145766851</v>
      </c>
      <c r="F310" s="54">
        <f>Material_compnt_GREET2!F$66*'Alloy_compnt_G&amp;L'!$K$2</f>
        <v>0</v>
      </c>
      <c r="G310" s="54">
        <f>Material_compnt_GREET2!G$66*'Alloy_compnt_G&amp;L'!$K$2</f>
        <v>0</v>
      </c>
      <c r="H310" s="54">
        <f>Material_compnt_GREET2!H$66*'Alloy_compnt_G&amp;L'!$K$2</f>
        <v>0</v>
      </c>
      <c r="I310" s="143">
        <f>Material_compnt_GREET2!I$66*'Alloy_compnt_G&amp;L'!$K$2</f>
        <v>0</v>
      </c>
    </row>
    <row r="311" spans="1:9" x14ac:dyDescent="0.2">
      <c r="A311" s="142" t="s">
        <v>91</v>
      </c>
      <c r="B311" s="54">
        <v>0</v>
      </c>
      <c r="C311" s="54">
        <v>0</v>
      </c>
      <c r="D311" s="54">
        <v>0</v>
      </c>
      <c r="E311" s="54">
        <v>0</v>
      </c>
      <c r="F311" s="54">
        <v>0</v>
      </c>
      <c r="G311" s="54">
        <v>0</v>
      </c>
      <c r="H311" s="140">
        <v>0</v>
      </c>
      <c r="I311" s="141">
        <v>0</v>
      </c>
    </row>
    <row r="312" spans="1:9" x14ac:dyDescent="0.2">
      <c r="A312" s="142" t="s">
        <v>204</v>
      </c>
      <c r="B312" s="54">
        <v>0</v>
      </c>
      <c r="C312" s="54">
        <v>0</v>
      </c>
      <c r="D312" s="54">
        <v>0</v>
      </c>
      <c r="E312" s="54">
        <v>0</v>
      </c>
      <c r="F312" s="54">
        <v>0</v>
      </c>
      <c r="G312" s="54">
        <v>0</v>
      </c>
      <c r="H312" s="140">
        <v>0</v>
      </c>
      <c r="I312" s="141">
        <v>0</v>
      </c>
    </row>
    <row r="313" spans="1:9" x14ac:dyDescent="0.2">
      <c r="A313" s="144" t="s">
        <v>104</v>
      </c>
      <c r="B313" s="54">
        <v>0</v>
      </c>
      <c r="C313" s="54">
        <v>0</v>
      </c>
      <c r="D313" s="54">
        <v>0</v>
      </c>
      <c r="E313" s="54">
        <v>0</v>
      </c>
      <c r="F313" s="54">
        <v>0</v>
      </c>
      <c r="G313" s="54">
        <v>0</v>
      </c>
      <c r="H313" s="140">
        <v>0</v>
      </c>
      <c r="I313" s="141">
        <v>0</v>
      </c>
    </row>
    <row r="314" spans="1:9" x14ac:dyDescent="0.2">
      <c r="A314" s="145" t="s">
        <v>244</v>
      </c>
      <c r="B314" s="54">
        <v>0</v>
      </c>
      <c r="C314" s="54">
        <v>0</v>
      </c>
      <c r="D314" s="54">
        <v>0</v>
      </c>
      <c r="E314" s="54">
        <v>0</v>
      </c>
      <c r="F314" s="54">
        <v>0</v>
      </c>
      <c r="G314" s="54">
        <v>0</v>
      </c>
      <c r="H314" s="140">
        <v>0</v>
      </c>
      <c r="I314" s="141">
        <v>0</v>
      </c>
    </row>
    <row r="315" spans="1:9" x14ac:dyDescent="0.2">
      <c r="A315" s="145" t="s">
        <v>245</v>
      </c>
      <c r="B315" s="54">
        <v>0</v>
      </c>
      <c r="C315" s="54">
        <v>0</v>
      </c>
      <c r="D315" s="54">
        <v>0</v>
      </c>
      <c r="E315" s="54">
        <v>0</v>
      </c>
      <c r="F315" s="54">
        <v>0</v>
      </c>
      <c r="G315" s="54">
        <v>0</v>
      </c>
      <c r="H315" s="140">
        <v>0</v>
      </c>
      <c r="I315" s="141">
        <v>0</v>
      </c>
    </row>
    <row r="316" spans="1:9" x14ac:dyDescent="0.2">
      <c r="A316" s="145" t="s">
        <v>246</v>
      </c>
      <c r="B316" s="54">
        <v>0</v>
      </c>
      <c r="C316" s="54">
        <v>0</v>
      </c>
      <c r="D316" s="54">
        <v>0</v>
      </c>
      <c r="E316" s="54">
        <v>0</v>
      </c>
      <c r="F316" s="54">
        <v>0</v>
      </c>
      <c r="G316" s="54">
        <v>0</v>
      </c>
      <c r="H316" s="140">
        <v>0</v>
      </c>
      <c r="I316" s="141">
        <v>0</v>
      </c>
    </row>
    <row r="317" spans="1:9" x14ac:dyDescent="0.2">
      <c r="A317" s="145" t="s">
        <v>247</v>
      </c>
      <c r="B317" s="54">
        <v>0</v>
      </c>
      <c r="C317" s="54">
        <v>0</v>
      </c>
      <c r="D317" s="54">
        <v>0</v>
      </c>
      <c r="E317" s="54">
        <v>0</v>
      </c>
      <c r="F317" s="54">
        <v>0</v>
      </c>
      <c r="G317" s="54">
        <v>0</v>
      </c>
      <c r="H317" s="140">
        <v>0</v>
      </c>
      <c r="I317" s="141">
        <v>0</v>
      </c>
    </row>
    <row r="318" spans="1:9" x14ac:dyDescent="0.2">
      <c r="A318" s="145" t="s">
        <v>248</v>
      </c>
      <c r="B318" s="54">
        <v>0</v>
      </c>
      <c r="C318" s="54">
        <v>0</v>
      </c>
      <c r="D318" s="54">
        <v>0</v>
      </c>
      <c r="E318" s="54">
        <v>0</v>
      </c>
      <c r="F318" s="54">
        <v>0</v>
      </c>
      <c r="G318" s="54">
        <v>0</v>
      </c>
      <c r="H318" s="140">
        <v>0</v>
      </c>
      <c r="I318" s="141">
        <v>0</v>
      </c>
    </row>
    <row r="319" spans="1:9" x14ac:dyDescent="0.2">
      <c r="A319" s="145" t="s">
        <v>249</v>
      </c>
      <c r="B319" s="54">
        <v>0</v>
      </c>
      <c r="C319" s="54">
        <v>0</v>
      </c>
      <c r="D319" s="54">
        <v>0</v>
      </c>
      <c r="E319" s="54">
        <v>0</v>
      </c>
      <c r="F319" s="54">
        <v>0</v>
      </c>
      <c r="G319" s="54">
        <v>0</v>
      </c>
      <c r="H319" s="140">
        <v>0</v>
      </c>
      <c r="I319" s="141">
        <v>0</v>
      </c>
    </row>
    <row r="320" spans="1:9" x14ac:dyDescent="0.2">
      <c r="A320" s="145" t="s">
        <v>250</v>
      </c>
      <c r="B320" s="54">
        <v>0</v>
      </c>
      <c r="C320" s="54">
        <v>0</v>
      </c>
      <c r="D320" s="54">
        <v>0</v>
      </c>
      <c r="E320" s="54">
        <v>0</v>
      </c>
      <c r="F320" s="54">
        <v>0</v>
      </c>
      <c r="G320" s="54">
        <v>0</v>
      </c>
      <c r="H320" s="140">
        <v>0</v>
      </c>
      <c r="I320" s="141">
        <v>0</v>
      </c>
    </row>
    <row r="321" spans="1:9" x14ac:dyDescent="0.2">
      <c r="A321" s="145" t="s">
        <v>251</v>
      </c>
      <c r="B321" s="54">
        <v>0</v>
      </c>
      <c r="C321" s="54">
        <v>0</v>
      </c>
      <c r="D321" s="54">
        <v>0</v>
      </c>
      <c r="E321" s="54">
        <v>0</v>
      </c>
      <c r="F321" s="54">
        <v>0</v>
      </c>
      <c r="G321" s="54">
        <v>0</v>
      </c>
      <c r="H321" s="140">
        <v>0</v>
      </c>
      <c r="I321" s="141">
        <v>0</v>
      </c>
    </row>
    <row r="322" spans="1:9" x14ac:dyDescent="0.2">
      <c r="A322" s="145" t="s">
        <v>252</v>
      </c>
      <c r="B322" s="54">
        <v>0</v>
      </c>
      <c r="C322" s="54">
        <v>0</v>
      </c>
      <c r="D322" s="54">
        <v>0</v>
      </c>
      <c r="E322" s="54">
        <v>0</v>
      </c>
      <c r="F322" s="54">
        <v>0</v>
      </c>
      <c r="G322" s="54">
        <v>0</v>
      </c>
      <c r="H322" s="140">
        <v>0</v>
      </c>
      <c r="I322" s="141">
        <v>0</v>
      </c>
    </row>
    <row r="323" spans="1:9" x14ac:dyDescent="0.2">
      <c r="A323" s="145" t="s">
        <v>253</v>
      </c>
      <c r="B323" s="54">
        <v>0</v>
      </c>
      <c r="C323" s="54">
        <v>0</v>
      </c>
      <c r="D323" s="54">
        <v>0</v>
      </c>
      <c r="E323" s="54">
        <v>0</v>
      </c>
      <c r="F323" s="54">
        <v>0</v>
      </c>
      <c r="G323" s="54">
        <v>0</v>
      </c>
      <c r="H323" s="140">
        <v>0</v>
      </c>
      <c r="I323" s="141">
        <v>0</v>
      </c>
    </row>
    <row r="324" spans="1:9" x14ac:dyDescent="0.2">
      <c r="A324" s="145" t="s">
        <v>254</v>
      </c>
      <c r="B324" s="54">
        <v>0</v>
      </c>
      <c r="C324" s="54">
        <v>0</v>
      </c>
      <c r="D324" s="54">
        <v>0</v>
      </c>
      <c r="E324" s="54">
        <v>0</v>
      </c>
      <c r="F324" s="54">
        <v>0</v>
      </c>
      <c r="G324" s="54">
        <v>0</v>
      </c>
      <c r="H324" s="140">
        <v>0</v>
      </c>
      <c r="I324" s="141">
        <v>0</v>
      </c>
    </row>
    <row r="325" spans="1:9" x14ac:dyDescent="0.2">
      <c r="A325" s="146" t="s">
        <v>255</v>
      </c>
      <c r="B325" s="54">
        <v>0</v>
      </c>
      <c r="C325" s="54">
        <v>0</v>
      </c>
      <c r="D325" s="54">
        <v>0</v>
      </c>
      <c r="E325" s="54">
        <v>0</v>
      </c>
      <c r="F325" s="54">
        <v>0</v>
      </c>
      <c r="G325" s="54">
        <v>0</v>
      </c>
      <c r="H325" s="140">
        <v>0</v>
      </c>
      <c r="I325" s="141">
        <v>0</v>
      </c>
    </row>
    <row r="326" spans="1:9" x14ac:dyDescent="0.2">
      <c r="A326" s="145" t="s">
        <v>256</v>
      </c>
      <c r="B326" s="54">
        <v>0</v>
      </c>
      <c r="C326" s="54">
        <v>0</v>
      </c>
      <c r="D326" s="54">
        <v>0</v>
      </c>
      <c r="E326" s="54">
        <v>0</v>
      </c>
      <c r="F326" s="54">
        <v>0</v>
      </c>
      <c r="G326" s="54">
        <v>0</v>
      </c>
      <c r="H326" s="140">
        <v>0</v>
      </c>
      <c r="I326" s="141">
        <v>0</v>
      </c>
    </row>
    <row r="327" spans="1:9" x14ac:dyDescent="0.2">
      <c r="A327" s="145" t="s">
        <v>257</v>
      </c>
      <c r="B327" s="54">
        <v>0</v>
      </c>
      <c r="C327" s="54">
        <v>0</v>
      </c>
      <c r="D327" s="54">
        <v>0</v>
      </c>
      <c r="E327" s="54">
        <v>0</v>
      </c>
      <c r="F327" s="54">
        <v>0</v>
      </c>
      <c r="G327" s="54">
        <v>0</v>
      </c>
      <c r="H327" s="140">
        <v>0</v>
      </c>
      <c r="I327" s="141">
        <v>0</v>
      </c>
    </row>
    <row r="328" spans="1:9" x14ac:dyDescent="0.2">
      <c r="A328" s="145" t="s">
        <v>258</v>
      </c>
      <c r="B328" s="54">
        <v>0</v>
      </c>
      <c r="C328" s="54">
        <v>0</v>
      </c>
      <c r="D328" s="54">
        <v>0</v>
      </c>
      <c r="E328" s="54">
        <v>0</v>
      </c>
      <c r="F328" s="54">
        <v>0</v>
      </c>
      <c r="G328" s="54">
        <v>0</v>
      </c>
      <c r="H328" s="140">
        <v>0</v>
      </c>
      <c r="I328" s="141">
        <v>0</v>
      </c>
    </row>
    <row r="329" spans="1:9" x14ac:dyDescent="0.2">
      <c r="A329" s="142" t="s">
        <v>259</v>
      </c>
      <c r="B329" s="54">
        <v>0</v>
      </c>
      <c r="C329" s="54">
        <v>0</v>
      </c>
      <c r="D329" s="54">
        <v>0</v>
      </c>
      <c r="E329" s="54">
        <v>0</v>
      </c>
      <c r="F329" s="54">
        <v>0</v>
      </c>
      <c r="G329" s="54">
        <v>0</v>
      </c>
      <c r="H329" s="140">
        <v>0</v>
      </c>
      <c r="I329" s="141">
        <v>0</v>
      </c>
    </row>
    <row r="330" spans="1:9" x14ac:dyDescent="0.2">
      <c r="A330" s="147" t="s">
        <v>260</v>
      </c>
      <c r="B330" s="54">
        <v>0</v>
      </c>
      <c r="C330" s="54">
        <v>0</v>
      </c>
      <c r="D330" s="54">
        <v>0</v>
      </c>
      <c r="E330" s="54">
        <v>0</v>
      </c>
      <c r="F330" s="54">
        <v>0</v>
      </c>
      <c r="G330" s="54">
        <v>0</v>
      </c>
      <c r="H330" s="140">
        <v>0</v>
      </c>
      <c r="I330" s="141">
        <v>0</v>
      </c>
    </row>
    <row r="331" spans="1:9" x14ac:dyDescent="0.2">
      <c r="A331" s="142" t="s">
        <v>261</v>
      </c>
      <c r="B331" s="54">
        <v>0</v>
      </c>
      <c r="C331" s="54">
        <v>0</v>
      </c>
      <c r="D331" s="54">
        <v>0</v>
      </c>
      <c r="E331" s="54">
        <v>0</v>
      </c>
      <c r="F331" s="54">
        <v>0</v>
      </c>
      <c r="G331" s="54">
        <v>0</v>
      </c>
      <c r="H331" s="140">
        <v>0</v>
      </c>
      <c r="I331" s="141">
        <v>0</v>
      </c>
    </row>
    <row r="332" spans="1:9" x14ac:dyDescent="0.2">
      <c r="A332" s="142" t="s">
        <v>262</v>
      </c>
      <c r="B332" s="54">
        <v>0</v>
      </c>
      <c r="C332" s="54">
        <v>0</v>
      </c>
      <c r="D332" s="54">
        <v>0</v>
      </c>
      <c r="E332" s="54">
        <v>0</v>
      </c>
      <c r="F332" s="54">
        <v>0</v>
      </c>
      <c r="G332" s="54">
        <v>0</v>
      </c>
      <c r="H332" s="140">
        <v>0</v>
      </c>
      <c r="I332" s="141">
        <v>0</v>
      </c>
    </row>
    <row r="333" spans="1:9" x14ac:dyDescent="0.2">
      <c r="A333" s="142" t="s">
        <v>263</v>
      </c>
      <c r="B333" s="54">
        <v>0</v>
      </c>
      <c r="C333" s="54">
        <v>0</v>
      </c>
      <c r="D333" s="54">
        <v>0</v>
      </c>
      <c r="E333" s="54">
        <v>0</v>
      </c>
      <c r="F333" s="54">
        <v>0</v>
      </c>
      <c r="G333" s="54">
        <v>0</v>
      </c>
      <c r="H333" s="140">
        <v>0</v>
      </c>
      <c r="I333" s="141">
        <v>0</v>
      </c>
    </row>
    <row r="334" spans="1:9" x14ac:dyDescent="0.2">
      <c r="A334" s="142" t="s">
        <v>264</v>
      </c>
      <c r="B334" s="54">
        <v>0</v>
      </c>
      <c r="C334" s="54">
        <v>0</v>
      </c>
      <c r="D334" s="54">
        <v>0</v>
      </c>
      <c r="E334" s="54">
        <v>0</v>
      </c>
      <c r="F334" s="54">
        <v>0</v>
      </c>
      <c r="G334" s="54">
        <v>0</v>
      </c>
      <c r="H334" s="140">
        <v>0</v>
      </c>
      <c r="I334" s="141">
        <v>0</v>
      </c>
    </row>
    <row r="335" spans="1:9" x14ac:dyDescent="0.2">
      <c r="A335" s="142" t="s">
        <v>265</v>
      </c>
      <c r="B335" s="54">
        <v>0</v>
      </c>
      <c r="C335" s="54">
        <v>0</v>
      </c>
      <c r="D335" s="54">
        <v>0</v>
      </c>
      <c r="E335" s="54">
        <v>0</v>
      </c>
      <c r="F335" s="54">
        <v>0</v>
      </c>
      <c r="G335" s="54">
        <v>0</v>
      </c>
      <c r="H335" s="140">
        <v>0</v>
      </c>
      <c r="I335" s="141">
        <v>0</v>
      </c>
    </row>
    <row r="336" spans="1:9" x14ac:dyDescent="0.2">
      <c r="A336" s="142" t="s">
        <v>266</v>
      </c>
      <c r="B336" s="54">
        <v>0</v>
      </c>
      <c r="C336" s="54">
        <v>0</v>
      </c>
      <c r="D336" s="54">
        <v>0</v>
      </c>
      <c r="E336" s="54">
        <v>0</v>
      </c>
      <c r="F336" s="54">
        <v>0</v>
      </c>
      <c r="G336" s="54">
        <v>0</v>
      </c>
      <c r="H336" s="140">
        <v>0</v>
      </c>
      <c r="I336" s="141">
        <v>0</v>
      </c>
    </row>
    <row r="337" spans="1:9" x14ac:dyDescent="0.2">
      <c r="A337" s="142" t="s">
        <v>267</v>
      </c>
      <c r="B337" s="54">
        <v>0</v>
      </c>
      <c r="C337" s="54">
        <v>0</v>
      </c>
      <c r="D337" s="54">
        <v>0</v>
      </c>
      <c r="E337" s="54">
        <v>0</v>
      </c>
      <c r="F337" s="54">
        <v>0</v>
      </c>
      <c r="G337" s="54">
        <v>0</v>
      </c>
      <c r="H337" s="140">
        <v>0</v>
      </c>
      <c r="I337" s="141">
        <v>0</v>
      </c>
    </row>
    <row r="338" spans="1:9" x14ac:dyDescent="0.2">
      <c r="A338" s="142" t="s">
        <v>268</v>
      </c>
      <c r="B338" s="54">
        <v>0</v>
      </c>
      <c r="C338" s="54">
        <v>0</v>
      </c>
      <c r="D338" s="54">
        <v>0</v>
      </c>
      <c r="E338" s="54">
        <v>0</v>
      </c>
      <c r="F338" s="54">
        <v>0</v>
      </c>
      <c r="G338" s="54">
        <v>0</v>
      </c>
      <c r="H338" s="140">
        <v>0</v>
      </c>
      <c r="I338" s="141">
        <v>0</v>
      </c>
    </row>
    <row r="339" spans="1:9" x14ac:dyDescent="0.2">
      <c r="A339" s="142" t="s">
        <v>269</v>
      </c>
      <c r="B339" s="54">
        <v>0</v>
      </c>
      <c r="C339" s="54">
        <v>0</v>
      </c>
      <c r="D339" s="54">
        <v>0</v>
      </c>
      <c r="E339" s="54">
        <v>0</v>
      </c>
      <c r="F339" s="54">
        <v>0</v>
      </c>
      <c r="G339" s="54">
        <v>0</v>
      </c>
      <c r="H339" s="140">
        <v>0</v>
      </c>
      <c r="I339" s="141">
        <v>0</v>
      </c>
    </row>
    <row r="340" spans="1:9" x14ac:dyDescent="0.2">
      <c r="A340" s="142" t="s">
        <v>270</v>
      </c>
      <c r="B340" s="54">
        <v>0</v>
      </c>
      <c r="C340" s="54">
        <v>0</v>
      </c>
      <c r="D340" s="54">
        <v>0</v>
      </c>
      <c r="E340" s="54">
        <v>0</v>
      </c>
      <c r="F340" s="54">
        <v>0</v>
      </c>
      <c r="G340" s="54">
        <v>0</v>
      </c>
      <c r="H340" s="140">
        <v>0</v>
      </c>
      <c r="I340" s="141">
        <v>0</v>
      </c>
    </row>
    <row r="341" spans="1:9" x14ac:dyDescent="0.2">
      <c r="A341" s="142" t="s">
        <v>271</v>
      </c>
      <c r="B341" s="54">
        <v>0</v>
      </c>
      <c r="C341" s="54">
        <v>0</v>
      </c>
      <c r="D341" s="54">
        <v>0</v>
      </c>
      <c r="E341" s="54">
        <v>0</v>
      </c>
      <c r="F341" s="54">
        <v>0</v>
      </c>
      <c r="G341" s="54">
        <v>0</v>
      </c>
      <c r="H341" s="140">
        <v>0</v>
      </c>
      <c r="I341" s="141">
        <v>0</v>
      </c>
    </row>
    <row r="342" spans="1:9" x14ac:dyDescent="0.2">
      <c r="A342" s="142" t="s">
        <v>272</v>
      </c>
      <c r="B342" s="54">
        <v>0</v>
      </c>
      <c r="C342" s="54">
        <v>0</v>
      </c>
      <c r="D342" s="54">
        <v>0</v>
      </c>
      <c r="E342" s="54">
        <v>0</v>
      </c>
      <c r="F342" s="54">
        <v>0</v>
      </c>
      <c r="G342" s="54">
        <v>0</v>
      </c>
      <c r="H342" s="140">
        <v>0</v>
      </c>
      <c r="I342" s="141">
        <v>0</v>
      </c>
    </row>
    <row r="343" spans="1:9" x14ac:dyDescent="0.2">
      <c r="A343" s="142" t="s">
        <v>273</v>
      </c>
      <c r="B343" s="54">
        <v>0</v>
      </c>
      <c r="C343" s="54">
        <v>0</v>
      </c>
      <c r="D343" s="54">
        <v>0</v>
      </c>
      <c r="E343" s="54">
        <v>0</v>
      </c>
      <c r="F343" s="54">
        <v>0</v>
      </c>
      <c r="G343" s="54">
        <v>0</v>
      </c>
      <c r="H343" s="140">
        <v>0</v>
      </c>
      <c r="I343" s="141">
        <v>0</v>
      </c>
    </row>
    <row r="344" spans="1:9" x14ac:dyDescent="0.2">
      <c r="A344" s="142" t="s">
        <v>274</v>
      </c>
      <c r="B344" s="54">
        <v>0</v>
      </c>
      <c r="C344" s="54">
        <v>0</v>
      </c>
      <c r="D344" s="54">
        <v>0</v>
      </c>
      <c r="E344" s="54">
        <v>0</v>
      </c>
      <c r="F344" s="54">
        <v>0</v>
      </c>
      <c r="G344" s="54">
        <v>0</v>
      </c>
      <c r="H344" s="140">
        <v>0</v>
      </c>
      <c r="I344" s="141">
        <v>0</v>
      </c>
    </row>
    <row r="345" spans="1:9" x14ac:dyDescent="0.2">
      <c r="A345" s="142" t="s">
        <v>275</v>
      </c>
      <c r="B345" s="54">
        <v>0</v>
      </c>
      <c r="C345" s="54">
        <v>0</v>
      </c>
      <c r="D345" s="54">
        <v>0</v>
      </c>
      <c r="E345" s="54">
        <v>0</v>
      </c>
      <c r="F345" s="54">
        <v>0</v>
      </c>
      <c r="G345" s="54">
        <v>0</v>
      </c>
      <c r="H345" s="140">
        <v>0</v>
      </c>
      <c r="I345" s="141">
        <v>0</v>
      </c>
    </row>
    <row r="346" spans="1:9" x14ac:dyDescent="0.2">
      <c r="A346" s="142" t="s">
        <v>276</v>
      </c>
      <c r="B346" s="54">
        <v>0</v>
      </c>
      <c r="C346" s="54">
        <v>0</v>
      </c>
      <c r="D346" s="54">
        <v>0</v>
      </c>
      <c r="E346" s="54">
        <v>0</v>
      </c>
      <c r="F346" s="54">
        <v>0</v>
      </c>
      <c r="G346" s="54">
        <v>0</v>
      </c>
      <c r="H346" s="140">
        <v>0</v>
      </c>
      <c r="I346" s="141">
        <v>0</v>
      </c>
    </row>
    <row r="347" spans="1:9" x14ac:dyDescent="0.2">
      <c r="A347" s="144" t="s">
        <v>277</v>
      </c>
      <c r="B347" s="54">
        <v>0</v>
      </c>
      <c r="C347" s="54">
        <v>0</v>
      </c>
      <c r="D347" s="54">
        <v>0</v>
      </c>
      <c r="E347" s="54">
        <v>0</v>
      </c>
      <c r="F347" s="54">
        <v>0</v>
      </c>
      <c r="G347" s="54">
        <v>0</v>
      </c>
      <c r="H347" s="140">
        <v>0</v>
      </c>
      <c r="I347" s="141">
        <v>0</v>
      </c>
    </row>
    <row r="348" spans="1:9" x14ac:dyDescent="0.2">
      <c r="A348" s="148" t="s">
        <v>278</v>
      </c>
      <c r="B348" s="54">
        <v>0</v>
      </c>
      <c r="C348" s="54">
        <v>0</v>
      </c>
      <c r="D348" s="54">
        <v>0</v>
      </c>
      <c r="E348" s="54">
        <v>0</v>
      </c>
      <c r="F348" s="54">
        <v>0</v>
      </c>
      <c r="G348" s="54">
        <v>0</v>
      </c>
      <c r="H348" s="140">
        <v>0</v>
      </c>
      <c r="I348" s="141">
        <v>0</v>
      </c>
    </row>
    <row r="349" spans="1:9" x14ac:dyDescent="0.2">
      <c r="A349" s="148" t="s">
        <v>279</v>
      </c>
      <c r="B349" s="54">
        <v>0</v>
      </c>
      <c r="C349" s="54">
        <v>0</v>
      </c>
      <c r="D349" s="54">
        <v>0</v>
      </c>
      <c r="E349" s="54">
        <v>0</v>
      </c>
      <c r="F349" s="54">
        <v>0</v>
      </c>
      <c r="G349" s="54">
        <v>0</v>
      </c>
      <c r="H349" s="140">
        <v>0</v>
      </c>
      <c r="I349" s="141">
        <v>0</v>
      </c>
    </row>
    <row r="350" spans="1:9" x14ac:dyDescent="0.2">
      <c r="A350" s="148" t="s">
        <v>280</v>
      </c>
      <c r="B350" s="54">
        <v>0</v>
      </c>
      <c r="C350" s="54">
        <v>0</v>
      </c>
      <c r="D350" s="54">
        <v>0</v>
      </c>
      <c r="E350" s="54">
        <v>0</v>
      </c>
      <c r="F350" s="54">
        <v>0</v>
      </c>
      <c r="G350" s="54">
        <v>0</v>
      </c>
      <c r="H350" s="140">
        <v>0</v>
      </c>
      <c r="I350" s="141">
        <v>0</v>
      </c>
    </row>
    <row r="351" spans="1:9" x14ac:dyDescent="0.2">
      <c r="A351" s="148" t="s">
        <v>281</v>
      </c>
      <c r="B351" s="54">
        <v>0</v>
      </c>
      <c r="C351" s="54">
        <v>0</v>
      </c>
      <c r="D351" s="54">
        <v>0</v>
      </c>
      <c r="E351" s="54">
        <v>0</v>
      </c>
      <c r="F351" s="54">
        <v>0</v>
      </c>
      <c r="G351" s="54">
        <v>0</v>
      </c>
      <c r="H351" s="140">
        <v>0</v>
      </c>
      <c r="I351" s="141">
        <v>0</v>
      </c>
    </row>
    <row r="352" spans="1:9" x14ac:dyDescent="0.2">
      <c r="A352" s="148" t="s">
        <v>282</v>
      </c>
      <c r="B352" s="54">
        <v>0</v>
      </c>
      <c r="C352" s="54">
        <v>0</v>
      </c>
      <c r="D352" s="54">
        <v>0</v>
      </c>
      <c r="E352" s="54">
        <v>0</v>
      </c>
      <c r="F352" s="54">
        <v>0</v>
      </c>
      <c r="G352" s="54">
        <v>0</v>
      </c>
      <c r="H352" s="140">
        <v>0</v>
      </c>
      <c r="I352" s="141">
        <v>0</v>
      </c>
    </row>
    <row r="353" spans="1:9" x14ac:dyDescent="0.2">
      <c r="A353" s="148" t="s">
        <v>283</v>
      </c>
      <c r="B353" s="54">
        <v>0</v>
      </c>
      <c r="C353" s="54">
        <v>0</v>
      </c>
      <c r="D353" s="54">
        <v>0</v>
      </c>
      <c r="E353" s="54">
        <v>0</v>
      </c>
      <c r="F353" s="54">
        <v>0</v>
      </c>
      <c r="G353" s="54">
        <v>0</v>
      </c>
      <c r="H353" s="140">
        <v>0</v>
      </c>
      <c r="I353" s="141">
        <v>0</v>
      </c>
    </row>
    <row r="354" spans="1:9" x14ac:dyDescent="0.2">
      <c r="A354" s="148" t="s">
        <v>284</v>
      </c>
      <c r="B354" s="54">
        <v>0</v>
      </c>
      <c r="C354" s="54">
        <v>0</v>
      </c>
      <c r="D354" s="54">
        <v>0</v>
      </c>
      <c r="E354" s="54">
        <v>0</v>
      </c>
      <c r="F354" s="54">
        <v>0</v>
      </c>
      <c r="G354" s="54">
        <v>0</v>
      </c>
      <c r="H354" s="140">
        <v>0</v>
      </c>
      <c r="I354" s="141">
        <v>0</v>
      </c>
    </row>
    <row r="355" spans="1:9" x14ac:dyDescent="0.2">
      <c r="A355" s="148" t="s">
        <v>285</v>
      </c>
      <c r="B355" s="54">
        <v>0</v>
      </c>
      <c r="C355" s="54">
        <v>0</v>
      </c>
      <c r="D355" s="54">
        <v>0</v>
      </c>
      <c r="E355" s="54">
        <v>0</v>
      </c>
      <c r="F355" s="54">
        <v>0</v>
      </c>
      <c r="G355" s="54">
        <v>0</v>
      </c>
      <c r="H355" s="140">
        <v>0</v>
      </c>
      <c r="I355" s="141">
        <v>0</v>
      </c>
    </row>
    <row r="356" spans="1:9" x14ac:dyDescent="0.2">
      <c r="A356" s="147" t="s">
        <v>286</v>
      </c>
      <c r="B356" s="54">
        <v>0</v>
      </c>
      <c r="C356" s="54">
        <v>0</v>
      </c>
      <c r="D356" s="54">
        <v>0</v>
      </c>
      <c r="E356" s="54">
        <v>0</v>
      </c>
      <c r="F356" s="54">
        <v>0</v>
      </c>
      <c r="G356" s="54">
        <v>0</v>
      </c>
      <c r="H356" s="140">
        <v>0</v>
      </c>
      <c r="I356" s="141">
        <v>0</v>
      </c>
    </row>
    <row r="357" spans="1:9" x14ac:dyDescent="0.2">
      <c r="A357" s="142" t="s">
        <v>287</v>
      </c>
      <c r="B357" s="54">
        <f>Material_compnt_GREET2!B$67*Al_alloy_use_compnt!$G20</f>
        <v>0</v>
      </c>
      <c r="C357" s="54">
        <f>Material_compnt_GREET2!C$67*Al_alloy_use_compnt!$G20</f>
        <v>0</v>
      </c>
      <c r="D357" s="54">
        <f>Material_compnt_GREET2!D$67*Al_alloy_use_compnt!$G20</f>
        <v>0</v>
      </c>
      <c r="E357" s="54">
        <f>Material_compnt_GREET2!E$67*Al_alloy_use_compnt!$G20</f>
        <v>0</v>
      </c>
      <c r="F357" s="54">
        <f>Material_compnt_GREET2!F$67*Al_alloy_use_compnt!$G20</f>
        <v>0</v>
      </c>
      <c r="G357" s="54">
        <f>Material_compnt_GREET2!G$67*Al_alloy_use_compnt!$G20</f>
        <v>0</v>
      </c>
      <c r="H357" s="54">
        <f>Material_compnt_GREET2!H$67*Al_alloy_use_compnt!$G20</f>
        <v>0</v>
      </c>
      <c r="I357" s="143">
        <f>Material_compnt_GREET2!I$67*Al_alloy_use_compnt!$G20</f>
        <v>0</v>
      </c>
    </row>
    <row r="358" spans="1:9" x14ac:dyDescent="0.2">
      <c r="A358" s="142" t="s">
        <v>288</v>
      </c>
      <c r="B358" s="54">
        <f>Material_compnt_GREET2!B$67*Al_alloy_use_compnt!$G21</f>
        <v>0</v>
      </c>
      <c r="C358" s="54">
        <f>Material_compnt_GREET2!C$67*Al_alloy_use_compnt!$G21</f>
        <v>0</v>
      </c>
      <c r="D358" s="54">
        <f>Material_compnt_GREET2!D$67*Al_alloy_use_compnt!$G21</f>
        <v>0</v>
      </c>
      <c r="E358" s="54">
        <f>Material_compnt_GREET2!E$67*Al_alloy_use_compnt!$G21</f>
        <v>0</v>
      </c>
      <c r="F358" s="54">
        <f>Material_compnt_GREET2!F$67*Al_alloy_use_compnt!$G21</f>
        <v>0</v>
      </c>
      <c r="G358" s="54">
        <f>Material_compnt_GREET2!G$67*Al_alloy_use_compnt!$G21</f>
        <v>0</v>
      </c>
      <c r="H358" s="54">
        <f>Material_compnt_GREET2!H$67*Al_alloy_use_compnt!$G21</f>
        <v>0</v>
      </c>
      <c r="I358" s="143">
        <f>Material_compnt_GREET2!I$67*Al_alloy_use_compnt!$G21</f>
        <v>0</v>
      </c>
    </row>
    <row r="359" spans="1:9" x14ac:dyDescent="0.2">
      <c r="A359" s="142" t="s">
        <v>289</v>
      </c>
      <c r="B359" s="54">
        <f>Material_compnt_GREET2!B$67*Al_alloy_use_compnt!$G22</f>
        <v>0</v>
      </c>
      <c r="C359" s="54">
        <f>Material_compnt_GREET2!C$67*Al_alloy_use_compnt!$G22</f>
        <v>0</v>
      </c>
      <c r="D359" s="54">
        <f>Material_compnt_GREET2!D$67*Al_alloy_use_compnt!$G22</f>
        <v>9.1059225481492501</v>
      </c>
      <c r="E359" s="54">
        <f>Material_compnt_GREET2!E$67*Al_alloy_use_compnt!$G22</f>
        <v>5.0890972529905385</v>
      </c>
      <c r="F359" s="54">
        <f>Material_compnt_GREET2!F$67*Al_alloy_use_compnt!$G22</f>
        <v>0</v>
      </c>
      <c r="G359" s="54">
        <f>Material_compnt_GREET2!G$67*Al_alloy_use_compnt!$G22</f>
        <v>0</v>
      </c>
      <c r="H359" s="54">
        <f>Material_compnt_GREET2!H$67*Al_alloy_use_compnt!$G22</f>
        <v>0</v>
      </c>
      <c r="I359" s="143">
        <f>Material_compnt_GREET2!I$67*Al_alloy_use_compnt!$G22</f>
        <v>0</v>
      </c>
    </row>
    <row r="360" spans="1:9" x14ac:dyDescent="0.2">
      <c r="A360" s="142" t="s">
        <v>290</v>
      </c>
      <c r="B360" s="54">
        <f>Material_compnt_GREET2!B$67*Al_alloy_use_compnt!$G23</f>
        <v>0</v>
      </c>
      <c r="C360" s="54">
        <f>Material_compnt_GREET2!C$67*Al_alloy_use_compnt!$G23</f>
        <v>0</v>
      </c>
      <c r="D360" s="54">
        <f>Material_compnt_GREET2!D$67*Al_alloy_use_compnt!$G23</f>
        <v>9.1059225481492501</v>
      </c>
      <c r="E360" s="54">
        <f>Material_compnt_GREET2!E$67*Al_alloy_use_compnt!$G23</f>
        <v>5.0890972529905385</v>
      </c>
      <c r="F360" s="54">
        <f>Material_compnt_GREET2!F$67*Al_alloy_use_compnt!$G23</f>
        <v>0</v>
      </c>
      <c r="G360" s="54">
        <f>Material_compnt_GREET2!G$67*Al_alloy_use_compnt!$G23</f>
        <v>0</v>
      </c>
      <c r="H360" s="54">
        <f>Material_compnt_GREET2!H$67*Al_alloy_use_compnt!$G23</f>
        <v>0</v>
      </c>
      <c r="I360" s="143">
        <f>Material_compnt_GREET2!I$67*Al_alloy_use_compnt!$G23</f>
        <v>0</v>
      </c>
    </row>
    <row r="361" spans="1:9" x14ac:dyDescent="0.2">
      <c r="A361" s="142" t="s">
        <v>291</v>
      </c>
      <c r="B361" s="54">
        <f>Material_compnt_GREET2!B$67*Al_alloy_use_compnt!$G24</f>
        <v>0</v>
      </c>
      <c r="C361" s="54">
        <f>Material_compnt_GREET2!C$67*Al_alloy_use_compnt!$G24</f>
        <v>0</v>
      </c>
      <c r="D361" s="54">
        <f>Material_compnt_GREET2!D$67*Al_alloy_use_compnt!$G24</f>
        <v>0</v>
      </c>
      <c r="E361" s="54">
        <f>Material_compnt_GREET2!E$67*Al_alloy_use_compnt!$G24</f>
        <v>0</v>
      </c>
      <c r="F361" s="54">
        <f>Material_compnt_GREET2!F$67*Al_alloy_use_compnt!$G24</f>
        <v>0</v>
      </c>
      <c r="G361" s="54">
        <f>Material_compnt_GREET2!G$67*Al_alloy_use_compnt!$G24</f>
        <v>0</v>
      </c>
      <c r="H361" s="54">
        <f>Material_compnt_GREET2!H$67*Al_alloy_use_compnt!$G24</f>
        <v>0</v>
      </c>
      <c r="I361" s="143">
        <f>Material_compnt_GREET2!I$67*Al_alloy_use_compnt!$G24</f>
        <v>0</v>
      </c>
    </row>
    <row r="362" spans="1:9" x14ac:dyDescent="0.2">
      <c r="A362" s="142" t="s">
        <v>292</v>
      </c>
      <c r="B362" s="54">
        <f>Material_compnt_GREET2!B$67*Al_alloy_use_compnt!$G25</f>
        <v>0</v>
      </c>
      <c r="C362" s="54">
        <f>Material_compnt_GREET2!C$67*Al_alloy_use_compnt!$G25</f>
        <v>0</v>
      </c>
      <c r="D362" s="54">
        <f>Material_compnt_GREET2!D$67*Al_alloy_use_compnt!$G25</f>
        <v>0</v>
      </c>
      <c r="E362" s="54">
        <f>Material_compnt_GREET2!E$67*Al_alloy_use_compnt!$G25</f>
        <v>0</v>
      </c>
      <c r="F362" s="54">
        <f>Material_compnt_GREET2!F$67*Al_alloy_use_compnt!$G25</f>
        <v>0</v>
      </c>
      <c r="G362" s="54">
        <f>Material_compnt_GREET2!G$67*Al_alloy_use_compnt!$G25</f>
        <v>0</v>
      </c>
      <c r="H362" s="54">
        <f>Material_compnt_GREET2!H$67*Al_alloy_use_compnt!$G25</f>
        <v>0</v>
      </c>
      <c r="I362" s="143">
        <f>Material_compnt_GREET2!I$67*Al_alloy_use_compnt!$G25</f>
        <v>0</v>
      </c>
    </row>
    <row r="363" spans="1:9" x14ac:dyDescent="0.2">
      <c r="A363" s="142" t="s">
        <v>293</v>
      </c>
      <c r="B363" s="54">
        <f>Material_compnt_GREET2!B$67*Al_alloy_use_compnt!$G26</f>
        <v>0</v>
      </c>
      <c r="C363" s="54">
        <f>Material_compnt_GREET2!C$67*Al_alloy_use_compnt!$G26</f>
        <v>0</v>
      </c>
      <c r="D363" s="54">
        <f>Material_compnt_GREET2!D$67*Al_alloy_use_compnt!$G26</f>
        <v>0</v>
      </c>
      <c r="E363" s="54">
        <f>Material_compnt_GREET2!E$67*Al_alloy_use_compnt!$G26</f>
        <v>0</v>
      </c>
      <c r="F363" s="54">
        <f>Material_compnt_GREET2!F$67*Al_alloy_use_compnt!$G26</f>
        <v>0</v>
      </c>
      <c r="G363" s="54">
        <f>Material_compnt_GREET2!G$67*Al_alloy_use_compnt!$G26</f>
        <v>0</v>
      </c>
      <c r="H363" s="54">
        <f>Material_compnt_GREET2!H$67*Al_alloy_use_compnt!$G26</f>
        <v>0</v>
      </c>
      <c r="I363" s="143">
        <f>Material_compnt_GREET2!I$67*Al_alloy_use_compnt!$G26</f>
        <v>0</v>
      </c>
    </row>
    <row r="364" spans="1:9" x14ac:dyDescent="0.2">
      <c r="A364" s="142" t="s">
        <v>294</v>
      </c>
      <c r="B364" s="54">
        <f>Material_compnt_GREET2!B$67*Al_alloy_use_compnt!$G27</f>
        <v>0</v>
      </c>
      <c r="C364" s="54">
        <f>Material_compnt_GREET2!C$67*Al_alloy_use_compnt!$G27</f>
        <v>0</v>
      </c>
      <c r="D364" s="54">
        <f>Material_compnt_GREET2!D$67*Al_alloy_use_compnt!$G27</f>
        <v>0</v>
      </c>
      <c r="E364" s="54">
        <f>Material_compnt_GREET2!E$67*Al_alloy_use_compnt!$G27</f>
        <v>0</v>
      </c>
      <c r="F364" s="54">
        <f>Material_compnt_GREET2!F$67*Al_alloy_use_compnt!$G27</f>
        <v>0</v>
      </c>
      <c r="G364" s="54">
        <f>Material_compnt_GREET2!G$67*Al_alloy_use_compnt!$G27</f>
        <v>0</v>
      </c>
      <c r="H364" s="54">
        <f>Material_compnt_GREET2!H$67*Al_alloy_use_compnt!$G27</f>
        <v>0</v>
      </c>
      <c r="I364" s="143">
        <f>Material_compnt_GREET2!I$67*Al_alloy_use_compnt!$G27</f>
        <v>0</v>
      </c>
    </row>
    <row r="365" spans="1:9" x14ac:dyDescent="0.2">
      <c r="A365" s="144" t="s">
        <v>295</v>
      </c>
      <c r="B365" s="54">
        <f>Material_compnt_GREET2!B$67*Al_alloy_use_compnt!$G28</f>
        <v>0</v>
      </c>
      <c r="C365" s="54">
        <f>Material_compnt_GREET2!C$67*Al_alloy_use_compnt!$G28</f>
        <v>0</v>
      </c>
      <c r="D365" s="54">
        <f>Material_compnt_GREET2!D$67*Al_alloy_use_compnt!$G28</f>
        <v>0</v>
      </c>
      <c r="E365" s="54">
        <f>Material_compnt_GREET2!E$67*Al_alloy_use_compnt!$G28</f>
        <v>0</v>
      </c>
      <c r="F365" s="54">
        <f>Material_compnt_GREET2!F$67*Al_alloy_use_compnt!$G28</f>
        <v>0</v>
      </c>
      <c r="G365" s="54">
        <f>Material_compnt_GREET2!G$67*Al_alloy_use_compnt!$G28</f>
        <v>0</v>
      </c>
      <c r="H365" s="54">
        <f>Material_compnt_GREET2!H$67*Al_alloy_use_compnt!$G28</f>
        <v>0</v>
      </c>
      <c r="I365" s="143">
        <f>Material_compnt_GREET2!I$67*Al_alloy_use_compnt!$G28</f>
        <v>0</v>
      </c>
    </row>
    <row r="366" spans="1:9" x14ac:dyDescent="0.2">
      <c r="A366" s="142" t="s">
        <v>206</v>
      </c>
      <c r="B366" s="54">
        <v>0</v>
      </c>
      <c r="C366" s="54">
        <v>0</v>
      </c>
      <c r="D366" s="54">
        <v>0</v>
      </c>
      <c r="E366" s="54">
        <v>0</v>
      </c>
      <c r="F366" s="54">
        <v>0</v>
      </c>
      <c r="G366" s="54">
        <v>0</v>
      </c>
      <c r="H366" s="140">
        <v>0</v>
      </c>
      <c r="I366" s="141">
        <v>0</v>
      </c>
    </row>
    <row r="367" spans="1:9" ht="17" thickBot="1" x14ac:dyDescent="0.25">
      <c r="A367" s="149" t="s">
        <v>208</v>
      </c>
      <c r="B367" s="54">
        <v>0</v>
      </c>
      <c r="C367" s="54">
        <v>0</v>
      </c>
      <c r="D367" s="54">
        <v>0</v>
      </c>
      <c r="E367" s="54">
        <v>0</v>
      </c>
      <c r="F367" s="54">
        <v>0</v>
      </c>
      <c r="G367" s="54">
        <v>0</v>
      </c>
      <c r="H367" s="140">
        <v>0</v>
      </c>
      <c r="I367" s="141">
        <v>0</v>
      </c>
    </row>
    <row r="368" spans="1:9" ht="17" thickTop="1" x14ac:dyDescent="0.2">
      <c r="A368" s="139" t="s">
        <v>178</v>
      </c>
      <c r="B368" s="54"/>
      <c r="C368" s="54"/>
      <c r="D368" s="54"/>
      <c r="E368" s="54"/>
      <c r="F368" s="54"/>
      <c r="G368" s="54"/>
      <c r="H368" s="140"/>
      <c r="I368" s="141"/>
    </row>
    <row r="369" spans="1:9" x14ac:dyDescent="0.2">
      <c r="A369" s="142" t="s">
        <v>105</v>
      </c>
      <c r="B369" s="54">
        <f>Material_compnt_GREET2!B$71*'Alloy_compnt_G&amp;L'!$I$2</f>
        <v>0</v>
      </c>
      <c r="C369" s="54">
        <f>Material_compnt_GREET2!C$71*'Alloy_compnt_G&amp;L'!$I$2</f>
        <v>0</v>
      </c>
      <c r="D369" s="54">
        <f>Material_compnt_GREET2!D$71*'Alloy_compnt_G&amp;L'!$I$2</f>
        <v>0.29484044731290326</v>
      </c>
      <c r="E369" s="54">
        <f>Material_compnt_GREET2!E$71*'Alloy_compnt_G&amp;L'!$I$2</f>
        <v>0.22519357926029049</v>
      </c>
      <c r="F369" s="54">
        <f>Material_compnt_GREET2!F$71*'Alloy_compnt_G&amp;L'!$I$2</f>
        <v>0.79906651081115432</v>
      </c>
      <c r="G369" s="54">
        <f>Material_compnt_GREET2!G$71*'Alloy_compnt_G&amp;L'!$I$2</f>
        <v>0.72467045133487007</v>
      </c>
      <c r="H369" s="54">
        <f>Material_compnt_GREET2!H$71*'Alloy_compnt_G&amp;L'!$I$2</f>
        <v>0</v>
      </c>
      <c r="I369" s="143">
        <f>Material_compnt_GREET2!I$71*'Alloy_compnt_G&amp;L'!$I$2</f>
        <v>0</v>
      </c>
    </row>
    <row r="370" spans="1:9" x14ac:dyDescent="0.2">
      <c r="A370" s="142" t="s">
        <v>106</v>
      </c>
      <c r="B370" s="54">
        <f>Material_compnt_GREET2!B$71*'Alloy_compnt_G&amp;L'!$J$2</f>
        <v>0</v>
      </c>
      <c r="C370" s="54">
        <f>Material_compnt_GREET2!C$71*'Alloy_compnt_G&amp;L'!$J$2</f>
        <v>0</v>
      </c>
      <c r="D370" s="54">
        <f>Material_compnt_GREET2!D$71*'Alloy_compnt_G&amp;L'!$J$2</f>
        <v>0.26689348548229636</v>
      </c>
      <c r="E370" s="54">
        <f>Material_compnt_GREET2!E$71*'Alloy_compnt_G&amp;L'!$J$2</f>
        <v>0.2038482162972298</v>
      </c>
      <c r="F370" s="54">
        <f>Material_compnt_GREET2!F$71*'Alloy_compnt_G&amp;L'!$J$2</f>
        <v>0.72332560931246681</v>
      </c>
      <c r="G370" s="54">
        <f>Material_compnt_GREET2!G$71*'Alloy_compnt_G&amp;L'!$J$2</f>
        <v>0.65598130902824736</v>
      </c>
      <c r="H370" s="54">
        <f>Material_compnt_GREET2!H$71*'Alloy_compnt_G&amp;L'!$J$2</f>
        <v>0</v>
      </c>
      <c r="I370" s="143">
        <f>Material_compnt_GREET2!I$71*'Alloy_compnt_G&amp;L'!$J$2</f>
        <v>0</v>
      </c>
    </row>
    <row r="371" spans="1:9" x14ac:dyDescent="0.2">
      <c r="A371" s="142" t="s">
        <v>107</v>
      </c>
      <c r="B371" s="54">
        <f>Material_compnt_GREET2!B$71*'Alloy_compnt_G&amp;L'!$K$2</f>
        <v>0</v>
      </c>
      <c r="C371" s="54">
        <f>Material_compnt_GREET2!C$71*'Alloy_compnt_G&amp;L'!$K$2</f>
        <v>0</v>
      </c>
      <c r="D371" s="54">
        <f>Material_compnt_GREET2!D$71*'Alloy_compnt_G&amp;L'!$K$2</f>
        <v>0.83561415873514788</v>
      </c>
      <c r="E371" s="54">
        <f>Material_compnt_GREET2!E$71*'Alloy_compnt_G&amp;L'!$K$2</f>
        <v>0.6382263525955153</v>
      </c>
      <c r="F371" s="54">
        <f>Material_compnt_GREET2!F$71*'Alloy_compnt_G&amp;L'!$K$2</f>
        <v>2.2646529548107601</v>
      </c>
      <c r="G371" s="54">
        <f>Material_compnt_GREET2!G$71*'Alloy_compnt_G&amp;L'!$K$2</f>
        <v>2.0538053549680209</v>
      </c>
      <c r="H371" s="54">
        <f>Material_compnt_GREET2!H$71*'Alloy_compnt_G&amp;L'!$K$2</f>
        <v>0</v>
      </c>
      <c r="I371" s="143">
        <f>Material_compnt_GREET2!I$71*'Alloy_compnt_G&amp;L'!$K$2</f>
        <v>0</v>
      </c>
    </row>
    <row r="372" spans="1:9" x14ac:dyDescent="0.2">
      <c r="A372" s="142" t="s">
        <v>91</v>
      </c>
      <c r="B372" s="54">
        <v>0</v>
      </c>
      <c r="C372" s="54">
        <v>0</v>
      </c>
      <c r="D372" s="54">
        <v>0</v>
      </c>
      <c r="E372" s="54">
        <v>0</v>
      </c>
      <c r="F372" s="54">
        <v>0</v>
      </c>
      <c r="G372" s="54">
        <v>0</v>
      </c>
      <c r="H372" s="140">
        <v>0</v>
      </c>
      <c r="I372" s="141">
        <v>0</v>
      </c>
    </row>
    <row r="373" spans="1:9" x14ac:dyDescent="0.2">
      <c r="A373" s="142" t="s">
        <v>204</v>
      </c>
      <c r="B373" s="54">
        <v>0</v>
      </c>
      <c r="C373" s="54">
        <v>0</v>
      </c>
      <c r="D373" s="54">
        <v>0</v>
      </c>
      <c r="E373" s="54">
        <v>0</v>
      </c>
      <c r="F373" s="54">
        <v>0</v>
      </c>
      <c r="G373" s="54">
        <v>0</v>
      </c>
      <c r="H373" s="140">
        <v>0</v>
      </c>
      <c r="I373" s="141">
        <v>0</v>
      </c>
    </row>
    <row r="374" spans="1:9" x14ac:dyDescent="0.2">
      <c r="A374" s="144" t="s">
        <v>104</v>
      </c>
      <c r="B374" s="54">
        <v>0</v>
      </c>
      <c r="C374" s="54">
        <v>0</v>
      </c>
      <c r="D374" s="54">
        <v>0</v>
      </c>
      <c r="E374" s="54">
        <v>0</v>
      </c>
      <c r="F374" s="54">
        <v>0</v>
      </c>
      <c r="G374" s="54">
        <v>0</v>
      </c>
      <c r="H374" s="140">
        <v>0</v>
      </c>
      <c r="I374" s="141">
        <v>0</v>
      </c>
    </row>
    <row r="375" spans="1:9" x14ac:dyDescent="0.2">
      <c r="A375" s="145" t="s">
        <v>244</v>
      </c>
      <c r="B375" s="54">
        <v>0</v>
      </c>
      <c r="C375" s="54">
        <v>0</v>
      </c>
      <c r="D375" s="54">
        <v>0</v>
      </c>
      <c r="E375" s="54">
        <v>0</v>
      </c>
      <c r="F375" s="54">
        <v>0</v>
      </c>
      <c r="G375" s="54">
        <v>0</v>
      </c>
      <c r="H375" s="140">
        <v>0</v>
      </c>
      <c r="I375" s="141">
        <v>0</v>
      </c>
    </row>
    <row r="376" spans="1:9" x14ac:dyDescent="0.2">
      <c r="A376" s="145" t="s">
        <v>245</v>
      </c>
      <c r="B376" s="54">
        <v>0</v>
      </c>
      <c r="C376" s="54">
        <v>0</v>
      </c>
      <c r="D376" s="54">
        <v>0</v>
      </c>
      <c r="E376" s="54">
        <v>0</v>
      </c>
      <c r="F376" s="54">
        <v>0</v>
      </c>
      <c r="G376" s="54">
        <v>0</v>
      </c>
      <c r="H376" s="140">
        <v>0</v>
      </c>
      <c r="I376" s="141">
        <v>0</v>
      </c>
    </row>
    <row r="377" spans="1:9" x14ac:dyDescent="0.2">
      <c r="A377" s="145" t="s">
        <v>246</v>
      </c>
      <c r="B377" s="54">
        <v>0</v>
      </c>
      <c r="C377" s="54">
        <v>0</v>
      </c>
      <c r="D377" s="54">
        <v>0</v>
      </c>
      <c r="E377" s="54">
        <v>0</v>
      </c>
      <c r="F377" s="54">
        <v>0</v>
      </c>
      <c r="G377" s="54">
        <v>0</v>
      </c>
      <c r="H377" s="140">
        <v>0</v>
      </c>
      <c r="I377" s="141">
        <v>0</v>
      </c>
    </row>
    <row r="378" spans="1:9" x14ac:dyDescent="0.2">
      <c r="A378" s="145" t="s">
        <v>247</v>
      </c>
      <c r="B378" s="54">
        <v>0</v>
      </c>
      <c r="C378" s="54">
        <v>0</v>
      </c>
      <c r="D378" s="54">
        <v>0</v>
      </c>
      <c r="E378" s="54">
        <v>0</v>
      </c>
      <c r="F378" s="54">
        <v>0</v>
      </c>
      <c r="G378" s="54">
        <v>0</v>
      </c>
      <c r="H378" s="140">
        <v>0</v>
      </c>
      <c r="I378" s="141">
        <v>0</v>
      </c>
    </row>
    <row r="379" spans="1:9" x14ac:dyDescent="0.2">
      <c r="A379" s="145" t="s">
        <v>248</v>
      </c>
      <c r="B379" s="54">
        <v>0</v>
      </c>
      <c r="C379" s="54">
        <v>0</v>
      </c>
      <c r="D379" s="54">
        <v>0</v>
      </c>
      <c r="E379" s="54">
        <v>0</v>
      </c>
      <c r="F379" s="54">
        <v>0</v>
      </c>
      <c r="G379" s="54">
        <v>0</v>
      </c>
      <c r="H379" s="140">
        <v>0</v>
      </c>
      <c r="I379" s="141">
        <v>0</v>
      </c>
    </row>
    <row r="380" spans="1:9" x14ac:dyDescent="0.2">
      <c r="A380" s="145" t="s">
        <v>249</v>
      </c>
      <c r="B380" s="54">
        <v>0</v>
      </c>
      <c r="C380" s="54">
        <v>0</v>
      </c>
      <c r="D380" s="54">
        <v>0</v>
      </c>
      <c r="E380" s="54">
        <v>0</v>
      </c>
      <c r="F380" s="54">
        <v>0</v>
      </c>
      <c r="G380" s="54">
        <v>0</v>
      </c>
      <c r="H380" s="140">
        <v>0</v>
      </c>
      <c r="I380" s="141">
        <v>0</v>
      </c>
    </row>
    <row r="381" spans="1:9" x14ac:dyDescent="0.2">
      <c r="A381" s="145" t="s">
        <v>250</v>
      </c>
      <c r="B381" s="54">
        <v>0</v>
      </c>
      <c r="C381" s="54">
        <v>0</v>
      </c>
      <c r="D381" s="54">
        <v>0</v>
      </c>
      <c r="E381" s="54">
        <v>0</v>
      </c>
      <c r="F381" s="54">
        <v>0</v>
      </c>
      <c r="G381" s="54">
        <v>0</v>
      </c>
      <c r="H381" s="140">
        <v>0</v>
      </c>
      <c r="I381" s="141">
        <v>0</v>
      </c>
    </row>
    <row r="382" spans="1:9" x14ac:dyDescent="0.2">
      <c r="A382" s="145" t="s">
        <v>251</v>
      </c>
      <c r="B382" s="54">
        <v>0</v>
      </c>
      <c r="C382" s="54">
        <v>0</v>
      </c>
      <c r="D382" s="54">
        <v>0</v>
      </c>
      <c r="E382" s="54">
        <v>0</v>
      </c>
      <c r="F382" s="54">
        <v>0</v>
      </c>
      <c r="G382" s="54">
        <v>0</v>
      </c>
      <c r="H382" s="140">
        <v>0</v>
      </c>
      <c r="I382" s="141">
        <v>0</v>
      </c>
    </row>
    <row r="383" spans="1:9" x14ac:dyDescent="0.2">
      <c r="A383" s="145" t="s">
        <v>252</v>
      </c>
      <c r="B383" s="54">
        <v>0</v>
      </c>
      <c r="C383" s="54">
        <v>0</v>
      </c>
      <c r="D383" s="54">
        <v>0</v>
      </c>
      <c r="E383" s="54">
        <v>0</v>
      </c>
      <c r="F383" s="54">
        <v>0</v>
      </c>
      <c r="G383" s="54">
        <v>0</v>
      </c>
      <c r="H383" s="140">
        <v>0</v>
      </c>
      <c r="I383" s="141">
        <v>0</v>
      </c>
    </row>
    <row r="384" spans="1:9" x14ac:dyDescent="0.2">
      <c r="A384" s="145" t="s">
        <v>253</v>
      </c>
      <c r="B384" s="54">
        <v>0</v>
      </c>
      <c r="C384" s="54">
        <v>0</v>
      </c>
      <c r="D384" s="54">
        <v>0</v>
      </c>
      <c r="E384" s="54">
        <v>0</v>
      </c>
      <c r="F384" s="54">
        <v>0</v>
      </c>
      <c r="G384" s="54">
        <v>0</v>
      </c>
      <c r="H384" s="140">
        <v>0</v>
      </c>
      <c r="I384" s="141">
        <v>0</v>
      </c>
    </row>
    <row r="385" spans="1:9" x14ac:dyDescent="0.2">
      <c r="A385" s="145" t="s">
        <v>254</v>
      </c>
      <c r="B385" s="54">
        <v>0</v>
      </c>
      <c r="C385" s="54">
        <v>0</v>
      </c>
      <c r="D385" s="54">
        <v>0</v>
      </c>
      <c r="E385" s="54">
        <v>0</v>
      </c>
      <c r="F385" s="54">
        <v>0</v>
      </c>
      <c r="G385" s="54">
        <v>0</v>
      </c>
      <c r="H385" s="140">
        <v>0</v>
      </c>
      <c r="I385" s="141">
        <v>0</v>
      </c>
    </row>
    <row r="386" spans="1:9" x14ac:dyDescent="0.2">
      <c r="A386" s="146" t="s">
        <v>255</v>
      </c>
      <c r="B386" s="54">
        <v>0</v>
      </c>
      <c r="C386" s="54">
        <v>0</v>
      </c>
      <c r="D386" s="54">
        <v>0</v>
      </c>
      <c r="E386" s="54">
        <v>0</v>
      </c>
      <c r="F386" s="54">
        <v>0</v>
      </c>
      <c r="G386" s="54">
        <v>0</v>
      </c>
      <c r="H386" s="140">
        <v>0</v>
      </c>
      <c r="I386" s="141">
        <v>0</v>
      </c>
    </row>
    <row r="387" spans="1:9" x14ac:dyDescent="0.2">
      <c r="A387" s="145" t="s">
        <v>256</v>
      </c>
      <c r="B387" s="54">
        <v>0</v>
      </c>
      <c r="C387" s="54">
        <v>0</v>
      </c>
      <c r="D387" s="54">
        <v>0</v>
      </c>
      <c r="E387" s="54">
        <v>0</v>
      </c>
      <c r="F387" s="54">
        <v>0</v>
      </c>
      <c r="G387" s="54">
        <v>0</v>
      </c>
      <c r="H387" s="140">
        <v>0</v>
      </c>
      <c r="I387" s="141">
        <v>0</v>
      </c>
    </row>
    <row r="388" spans="1:9" x14ac:dyDescent="0.2">
      <c r="A388" s="145" t="s">
        <v>257</v>
      </c>
      <c r="B388" s="54">
        <v>0</v>
      </c>
      <c r="C388" s="54">
        <v>0</v>
      </c>
      <c r="D388" s="54">
        <v>0</v>
      </c>
      <c r="E388" s="54">
        <v>0</v>
      </c>
      <c r="F388" s="54">
        <v>0</v>
      </c>
      <c r="G388" s="54">
        <v>0</v>
      </c>
      <c r="H388" s="140">
        <v>0</v>
      </c>
      <c r="I388" s="141">
        <v>0</v>
      </c>
    </row>
    <row r="389" spans="1:9" x14ac:dyDescent="0.2">
      <c r="A389" s="145" t="s">
        <v>258</v>
      </c>
      <c r="B389" s="54">
        <v>0</v>
      </c>
      <c r="C389" s="54">
        <v>0</v>
      </c>
      <c r="D389" s="54">
        <v>0</v>
      </c>
      <c r="E389" s="54">
        <v>0</v>
      </c>
      <c r="F389" s="54">
        <v>0</v>
      </c>
      <c r="G389" s="54">
        <v>0</v>
      </c>
      <c r="H389" s="140">
        <v>0</v>
      </c>
      <c r="I389" s="141">
        <v>0</v>
      </c>
    </row>
    <row r="390" spans="1:9" x14ac:dyDescent="0.2">
      <c r="A390" s="142" t="s">
        <v>259</v>
      </c>
      <c r="B390" s="54">
        <v>0</v>
      </c>
      <c r="C390" s="54">
        <v>0</v>
      </c>
      <c r="D390" s="54">
        <v>0</v>
      </c>
      <c r="E390" s="54">
        <v>0</v>
      </c>
      <c r="F390" s="54">
        <v>0</v>
      </c>
      <c r="G390" s="54">
        <v>0</v>
      </c>
      <c r="H390" s="140">
        <v>0</v>
      </c>
      <c r="I390" s="141">
        <v>0</v>
      </c>
    </row>
    <row r="391" spans="1:9" x14ac:dyDescent="0.2">
      <c r="A391" s="147" t="s">
        <v>260</v>
      </c>
      <c r="B391" s="54">
        <v>0</v>
      </c>
      <c r="C391" s="54">
        <v>0</v>
      </c>
      <c r="D391" s="54">
        <v>0</v>
      </c>
      <c r="E391" s="54">
        <v>0</v>
      </c>
      <c r="F391" s="54">
        <v>0</v>
      </c>
      <c r="G391" s="54">
        <v>0</v>
      </c>
      <c r="H391" s="140">
        <v>0</v>
      </c>
      <c r="I391" s="141">
        <v>0</v>
      </c>
    </row>
    <row r="392" spans="1:9" x14ac:dyDescent="0.2">
      <c r="A392" s="142" t="s">
        <v>261</v>
      </c>
      <c r="B392" s="54">
        <v>0</v>
      </c>
      <c r="C392" s="54">
        <v>0</v>
      </c>
      <c r="D392" s="54">
        <v>0</v>
      </c>
      <c r="E392" s="54">
        <v>0</v>
      </c>
      <c r="F392" s="54">
        <v>0</v>
      </c>
      <c r="G392" s="54">
        <v>0</v>
      </c>
      <c r="H392" s="140">
        <v>0</v>
      </c>
      <c r="I392" s="141">
        <v>0</v>
      </c>
    </row>
    <row r="393" spans="1:9" x14ac:dyDescent="0.2">
      <c r="A393" s="142" t="s">
        <v>262</v>
      </c>
      <c r="B393" s="54">
        <v>0</v>
      </c>
      <c r="C393" s="54">
        <v>0</v>
      </c>
      <c r="D393" s="54">
        <v>0</v>
      </c>
      <c r="E393" s="54">
        <v>0</v>
      </c>
      <c r="F393" s="54">
        <v>0</v>
      </c>
      <c r="G393" s="54">
        <v>0</v>
      </c>
      <c r="H393" s="140">
        <v>0</v>
      </c>
      <c r="I393" s="141">
        <v>0</v>
      </c>
    </row>
    <row r="394" spans="1:9" x14ac:dyDescent="0.2">
      <c r="A394" s="142" t="s">
        <v>263</v>
      </c>
      <c r="B394" s="54">
        <v>0</v>
      </c>
      <c r="C394" s="54">
        <v>0</v>
      </c>
      <c r="D394" s="54">
        <v>0</v>
      </c>
      <c r="E394" s="54">
        <v>0</v>
      </c>
      <c r="F394" s="54">
        <v>0</v>
      </c>
      <c r="G394" s="54">
        <v>0</v>
      </c>
      <c r="H394" s="140">
        <v>0</v>
      </c>
      <c r="I394" s="141">
        <v>0</v>
      </c>
    </row>
    <row r="395" spans="1:9" x14ac:dyDescent="0.2">
      <c r="A395" s="142" t="s">
        <v>264</v>
      </c>
      <c r="B395" s="54">
        <v>0</v>
      </c>
      <c r="C395" s="54">
        <v>0</v>
      </c>
      <c r="D395" s="54">
        <v>0</v>
      </c>
      <c r="E395" s="54">
        <v>0</v>
      </c>
      <c r="F395" s="54">
        <v>0</v>
      </c>
      <c r="G395" s="54">
        <v>0</v>
      </c>
      <c r="H395" s="140">
        <v>0</v>
      </c>
      <c r="I395" s="141">
        <v>0</v>
      </c>
    </row>
    <row r="396" spans="1:9" x14ac:dyDescent="0.2">
      <c r="A396" s="142" t="s">
        <v>265</v>
      </c>
      <c r="B396" s="54">
        <v>0</v>
      </c>
      <c r="C396" s="54">
        <v>0</v>
      </c>
      <c r="D396" s="54">
        <v>0</v>
      </c>
      <c r="E396" s="54">
        <v>0</v>
      </c>
      <c r="F396" s="54">
        <v>0</v>
      </c>
      <c r="G396" s="54">
        <v>0</v>
      </c>
      <c r="H396" s="140">
        <v>0</v>
      </c>
      <c r="I396" s="141">
        <v>0</v>
      </c>
    </row>
    <row r="397" spans="1:9" x14ac:dyDescent="0.2">
      <c r="A397" s="142" t="s">
        <v>266</v>
      </c>
      <c r="B397" s="54">
        <v>0</v>
      </c>
      <c r="C397" s="54">
        <v>0</v>
      </c>
      <c r="D397" s="54">
        <v>0</v>
      </c>
      <c r="E397" s="54">
        <v>0</v>
      </c>
      <c r="F397" s="54">
        <v>0</v>
      </c>
      <c r="G397" s="54">
        <v>0</v>
      </c>
      <c r="H397" s="140">
        <v>0</v>
      </c>
      <c r="I397" s="141">
        <v>0</v>
      </c>
    </row>
    <row r="398" spans="1:9" x14ac:dyDescent="0.2">
      <c r="A398" s="142" t="s">
        <v>267</v>
      </c>
      <c r="B398" s="54">
        <v>0</v>
      </c>
      <c r="C398" s="54">
        <v>0</v>
      </c>
      <c r="D398" s="54">
        <v>0</v>
      </c>
      <c r="E398" s="54">
        <v>0</v>
      </c>
      <c r="F398" s="54">
        <v>0</v>
      </c>
      <c r="G398" s="54">
        <v>0</v>
      </c>
      <c r="H398" s="140">
        <v>0</v>
      </c>
      <c r="I398" s="141">
        <v>0</v>
      </c>
    </row>
    <row r="399" spans="1:9" x14ac:dyDescent="0.2">
      <c r="A399" s="142" t="s">
        <v>268</v>
      </c>
      <c r="B399" s="54">
        <v>0</v>
      </c>
      <c r="C399" s="54">
        <v>0</v>
      </c>
      <c r="D399" s="54">
        <v>0</v>
      </c>
      <c r="E399" s="54">
        <v>0</v>
      </c>
      <c r="F399" s="54">
        <v>0</v>
      </c>
      <c r="G399" s="54">
        <v>0</v>
      </c>
      <c r="H399" s="140">
        <v>0</v>
      </c>
      <c r="I399" s="141">
        <v>0</v>
      </c>
    </row>
    <row r="400" spans="1:9" x14ac:dyDescent="0.2">
      <c r="A400" s="142" t="s">
        <v>269</v>
      </c>
      <c r="B400" s="54">
        <v>0</v>
      </c>
      <c r="C400" s="54">
        <v>0</v>
      </c>
      <c r="D400" s="54">
        <v>0</v>
      </c>
      <c r="E400" s="54">
        <v>0</v>
      </c>
      <c r="F400" s="54">
        <v>0</v>
      </c>
      <c r="G400" s="54">
        <v>0</v>
      </c>
      <c r="H400" s="140">
        <v>0</v>
      </c>
      <c r="I400" s="141">
        <v>0</v>
      </c>
    </row>
    <row r="401" spans="1:9" x14ac:dyDescent="0.2">
      <c r="A401" s="142" t="s">
        <v>270</v>
      </c>
      <c r="B401" s="54">
        <v>0</v>
      </c>
      <c r="C401" s="54">
        <v>0</v>
      </c>
      <c r="D401" s="54">
        <v>0</v>
      </c>
      <c r="E401" s="54">
        <v>0</v>
      </c>
      <c r="F401" s="54">
        <v>0</v>
      </c>
      <c r="G401" s="54">
        <v>0</v>
      </c>
      <c r="H401" s="140">
        <v>0</v>
      </c>
      <c r="I401" s="141">
        <v>0</v>
      </c>
    </row>
    <row r="402" spans="1:9" x14ac:dyDescent="0.2">
      <c r="A402" s="142" t="s">
        <v>271</v>
      </c>
      <c r="B402" s="54">
        <v>0</v>
      </c>
      <c r="C402" s="54">
        <v>0</v>
      </c>
      <c r="D402" s="54">
        <v>0</v>
      </c>
      <c r="E402" s="54">
        <v>0</v>
      </c>
      <c r="F402" s="54">
        <v>0</v>
      </c>
      <c r="G402" s="54">
        <v>0</v>
      </c>
      <c r="H402" s="140">
        <v>0</v>
      </c>
      <c r="I402" s="141">
        <v>0</v>
      </c>
    </row>
    <row r="403" spans="1:9" x14ac:dyDescent="0.2">
      <c r="A403" s="142" t="s">
        <v>272</v>
      </c>
      <c r="B403" s="54">
        <v>0</v>
      </c>
      <c r="C403" s="54">
        <v>0</v>
      </c>
      <c r="D403" s="54">
        <v>0</v>
      </c>
      <c r="E403" s="54">
        <v>0</v>
      </c>
      <c r="F403" s="54">
        <v>0</v>
      </c>
      <c r="G403" s="54">
        <v>0</v>
      </c>
      <c r="H403" s="140">
        <v>0</v>
      </c>
      <c r="I403" s="141">
        <v>0</v>
      </c>
    </row>
    <row r="404" spans="1:9" x14ac:dyDescent="0.2">
      <c r="A404" s="142" t="s">
        <v>273</v>
      </c>
      <c r="B404" s="54">
        <v>0</v>
      </c>
      <c r="C404" s="54">
        <v>0</v>
      </c>
      <c r="D404" s="54">
        <v>0</v>
      </c>
      <c r="E404" s="54">
        <v>0</v>
      </c>
      <c r="F404" s="54">
        <v>0</v>
      </c>
      <c r="G404" s="54">
        <v>0</v>
      </c>
      <c r="H404" s="140">
        <v>0</v>
      </c>
      <c r="I404" s="141">
        <v>0</v>
      </c>
    </row>
    <row r="405" spans="1:9" x14ac:dyDescent="0.2">
      <c r="A405" s="142" t="s">
        <v>274</v>
      </c>
      <c r="B405" s="54">
        <v>0</v>
      </c>
      <c r="C405" s="54">
        <v>0</v>
      </c>
      <c r="D405" s="54">
        <v>0</v>
      </c>
      <c r="E405" s="54">
        <v>0</v>
      </c>
      <c r="F405" s="54">
        <v>0</v>
      </c>
      <c r="G405" s="54">
        <v>0</v>
      </c>
      <c r="H405" s="140">
        <v>0</v>
      </c>
      <c r="I405" s="141">
        <v>0</v>
      </c>
    </row>
    <row r="406" spans="1:9" x14ac:dyDescent="0.2">
      <c r="A406" s="142" t="s">
        <v>275</v>
      </c>
      <c r="B406" s="54">
        <v>0</v>
      </c>
      <c r="C406" s="54">
        <v>0</v>
      </c>
      <c r="D406" s="54">
        <v>0</v>
      </c>
      <c r="E406" s="54">
        <v>0</v>
      </c>
      <c r="F406" s="54">
        <v>0</v>
      </c>
      <c r="G406" s="54">
        <v>0</v>
      </c>
      <c r="H406" s="140">
        <v>0</v>
      </c>
      <c r="I406" s="141">
        <v>0</v>
      </c>
    </row>
    <row r="407" spans="1:9" x14ac:dyDescent="0.2">
      <c r="A407" s="142" t="s">
        <v>276</v>
      </c>
      <c r="B407" s="54">
        <v>0</v>
      </c>
      <c r="C407" s="54">
        <v>0</v>
      </c>
      <c r="D407" s="54">
        <v>0</v>
      </c>
      <c r="E407" s="54">
        <v>0</v>
      </c>
      <c r="F407" s="54">
        <v>0</v>
      </c>
      <c r="G407" s="54">
        <v>0</v>
      </c>
      <c r="H407" s="140">
        <v>0</v>
      </c>
      <c r="I407" s="141">
        <v>0</v>
      </c>
    </row>
    <row r="408" spans="1:9" x14ac:dyDescent="0.2">
      <c r="A408" s="144" t="s">
        <v>277</v>
      </c>
      <c r="B408" s="54">
        <v>0</v>
      </c>
      <c r="C408" s="54">
        <v>0</v>
      </c>
      <c r="D408" s="54">
        <v>0</v>
      </c>
      <c r="E408" s="54">
        <v>0</v>
      </c>
      <c r="F408" s="54">
        <v>0</v>
      </c>
      <c r="G408" s="54">
        <v>0</v>
      </c>
      <c r="H408" s="140">
        <v>0</v>
      </c>
      <c r="I408" s="141">
        <v>0</v>
      </c>
    </row>
    <row r="409" spans="1:9" x14ac:dyDescent="0.2">
      <c r="A409" s="148" t="s">
        <v>278</v>
      </c>
      <c r="B409" s="54">
        <v>0</v>
      </c>
      <c r="C409" s="54">
        <v>0</v>
      </c>
      <c r="D409" s="54">
        <v>0</v>
      </c>
      <c r="E409" s="54">
        <v>0</v>
      </c>
      <c r="F409" s="54">
        <v>0</v>
      </c>
      <c r="G409" s="54">
        <v>0</v>
      </c>
      <c r="H409" s="140">
        <v>0</v>
      </c>
      <c r="I409" s="141">
        <v>0</v>
      </c>
    </row>
    <row r="410" spans="1:9" x14ac:dyDescent="0.2">
      <c r="A410" s="148" t="s">
        <v>279</v>
      </c>
      <c r="B410" s="54">
        <v>0</v>
      </c>
      <c r="C410" s="54">
        <v>0</v>
      </c>
      <c r="D410" s="54">
        <v>0</v>
      </c>
      <c r="E410" s="54">
        <v>0</v>
      </c>
      <c r="F410" s="54">
        <v>0</v>
      </c>
      <c r="G410" s="54">
        <v>0</v>
      </c>
      <c r="H410" s="140">
        <v>0</v>
      </c>
      <c r="I410" s="141">
        <v>0</v>
      </c>
    </row>
    <row r="411" spans="1:9" x14ac:dyDescent="0.2">
      <c r="A411" s="148" t="s">
        <v>280</v>
      </c>
      <c r="B411" s="54">
        <v>0</v>
      </c>
      <c r="C411" s="54">
        <v>0</v>
      </c>
      <c r="D411" s="54">
        <v>0</v>
      </c>
      <c r="E411" s="54">
        <v>0</v>
      </c>
      <c r="F411" s="54">
        <v>0</v>
      </c>
      <c r="G411" s="54">
        <v>0</v>
      </c>
      <c r="H411" s="140">
        <v>0</v>
      </c>
      <c r="I411" s="141">
        <v>0</v>
      </c>
    </row>
    <row r="412" spans="1:9" x14ac:dyDescent="0.2">
      <c r="A412" s="148" t="s">
        <v>281</v>
      </c>
      <c r="B412" s="54">
        <v>0</v>
      </c>
      <c r="C412" s="54">
        <v>0</v>
      </c>
      <c r="D412" s="54">
        <v>0</v>
      </c>
      <c r="E412" s="54">
        <v>0</v>
      </c>
      <c r="F412" s="54">
        <v>0</v>
      </c>
      <c r="G412" s="54">
        <v>0</v>
      </c>
      <c r="H412" s="140">
        <v>0</v>
      </c>
      <c r="I412" s="141">
        <v>0</v>
      </c>
    </row>
    <row r="413" spans="1:9" x14ac:dyDescent="0.2">
      <c r="A413" s="148" t="s">
        <v>282</v>
      </c>
      <c r="B413" s="54">
        <v>0</v>
      </c>
      <c r="C413" s="54">
        <v>0</v>
      </c>
      <c r="D413" s="54">
        <v>0</v>
      </c>
      <c r="E413" s="54">
        <v>0</v>
      </c>
      <c r="F413" s="54">
        <v>0</v>
      </c>
      <c r="G413" s="54">
        <v>0</v>
      </c>
      <c r="H413" s="140">
        <v>0</v>
      </c>
      <c r="I413" s="141">
        <v>0</v>
      </c>
    </row>
    <row r="414" spans="1:9" x14ac:dyDescent="0.2">
      <c r="A414" s="148" t="s">
        <v>283</v>
      </c>
      <c r="B414" s="54">
        <v>0</v>
      </c>
      <c r="C414" s="54">
        <v>0</v>
      </c>
      <c r="D414" s="54">
        <v>0</v>
      </c>
      <c r="E414" s="54">
        <v>0</v>
      </c>
      <c r="F414" s="54">
        <v>0</v>
      </c>
      <c r="G414" s="54">
        <v>0</v>
      </c>
      <c r="H414" s="140">
        <v>0</v>
      </c>
      <c r="I414" s="141">
        <v>0</v>
      </c>
    </row>
    <row r="415" spans="1:9" x14ac:dyDescent="0.2">
      <c r="A415" s="148" t="s">
        <v>284</v>
      </c>
      <c r="B415" s="54">
        <v>0</v>
      </c>
      <c r="C415" s="54">
        <v>0</v>
      </c>
      <c r="D415" s="54">
        <v>0</v>
      </c>
      <c r="E415" s="54">
        <v>0</v>
      </c>
      <c r="F415" s="54">
        <v>0</v>
      </c>
      <c r="G415" s="54">
        <v>0</v>
      </c>
      <c r="H415" s="140">
        <v>0</v>
      </c>
      <c r="I415" s="141">
        <v>0</v>
      </c>
    </row>
    <row r="416" spans="1:9" x14ac:dyDescent="0.2">
      <c r="A416" s="148" t="s">
        <v>285</v>
      </c>
      <c r="B416" s="54">
        <v>0</v>
      </c>
      <c r="C416" s="54">
        <v>0</v>
      </c>
      <c r="D416" s="54">
        <v>0</v>
      </c>
      <c r="E416" s="54">
        <v>0</v>
      </c>
      <c r="F416" s="54">
        <v>0</v>
      </c>
      <c r="G416" s="54">
        <v>0</v>
      </c>
      <c r="H416" s="140">
        <v>0</v>
      </c>
      <c r="I416" s="141">
        <v>0</v>
      </c>
    </row>
    <row r="417" spans="1:9" x14ac:dyDescent="0.2">
      <c r="A417" s="147" t="s">
        <v>286</v>
      </c>
      <c r="B417" s="54">
        <v>0</v>
      </c>
      <c r="C417" s="54">
        <v>0</v>
      </c>
      <c r="D417" s="54">
        <v>0</v>
      </c>
      <c r="E417" s="54">
        <v>0</v>
      </c>
      <c r="F417" s="54">
        <v>0</v>
      </c>
      <c r="G417" s="54">
        <v>0</v>
      </c>
      <c r="H417" s="140">
        <v>0</v>
      </c>
      <c r="I417" s="141">
        <v>0</v>
      </c>
    </row>
    <row r="418" spans="1:9" x14ac:dyDescent="0.2">
      <c r="A418" s="142" t="s">
        <v>287</v>
      </c>
      <c r="B418" s="54">
        <f>Material_compnt_GREET2!B$72*Al_alloy_use_compnt!$H20</f>
        <v>0</v>
      </c>
      <c r="C418" s="54">
        <f>Material_compnt_GREET2!C$72*Al_alloy_use_compnt!$H20</f>
        <v>0</v>
      </c>
      <c r="D418" s="54">
        <f>Material_compnt_GREET2!D$72*Al_alloy_use_compnt!$H20</f>
        <v>0</v>
      </c>
      <c r="E418" s="54">
        <f>Material_compnt_GREET2!E$72*Al_alloy_use_compnt!$H20</f>
        <v>0</v>
      </c>
      <c r="F418" s="54">
        <f>Material_compnt_GREET2!F$72*Al_alloy_use_compnt!$H20</f>
        <v>0</v>
      </c>
      <c r="G418" s="54">
        <f>Material_compnt_GREET2!G$72*Al_alloy_use_compnt!$H20</f>
        <v>0</v>
      </c>
      <c r="H418" s="54">
        <f>Material_compnt_GREET2!H$72*Al_alloy_use_compnt!$H20</f>
        <v>0</v>
      </c>
      <c r="I418" s="143">
        <f>Material_compnt_GREET2!I$72*Al_alloy_use_compnt!$H20</f>
        <v>0</v>
      </c>
    </row>
    <row r="419" spans="1:9" x14ac:dyDescent="0.2">
      <c r="A419" s="142" t="s">
        <v>288</v>
      </c>
      <c r="B419" s="54">
        <f>Material_compnt_GREET2!B$72*Al_alloy_use_compnt!$H21</f>
        <v>0</v>
      </c>
      <c r="C419" s="54">
        <f>Material_compnt_GREET2!C$72*Al_alloy_use_compnt!$H21</f>
        <v>0</v>
      </c>
      <c r="D419" s="54">
        <f>Material_compnt_GREET2!D$72*Al_alloy_use_compnt!$H21</f>
        <v>0</v>
      </c>
      <c r="E419" s="54">
        <f>Material_compnt_GREET2!E$72*Al_alloy_use_compnt!$H21</f>
        <v>0</v>
      </c>
      <c r="F419" s="54">
        <f>Material_compnt_GREET2!F$72*Al_alloy_use_compnt!$H21</f>
        <v>0</v>
      </c>
      <c r="G419" s="54">
        <f>Material_compnt_GREET2!G$72*Al_alloy_use_compnt!$H21</f>
        <v>0</v>
      </c>
      <c r="H419" s="54">
        <f>Material_compnt_GREET2!H$72*Al_alloy_use_compnt!$H21</f>
        <v>0</v>
      </c>
      <c r="I419" s="143">
        <f>Material_compnt_GREET2!I$72*Al_alloy_use_compnt!$H21</f>
        <v>0</v>
      </c>
    </row>
    <row r="420" spans="1:9" x14ac:dyDescent="0.2">
      <c r="A420" s="142" t="s">
        <v>289</v>
      </c>
      <c r="B420" s="54">
        <f>Material_compnt_GREET2!B$72*Al_alloy_use_compnt!$H22</f>
        <v>0</v>
      </c>
      <c r="C420" s="54">
        <f>Material_compnt_GREET2!C$72*Al_alloy_use_compnt!$H22</f>
        <v>0</v>
      </c>
      <c r="D420" s="54">
        <f>Material_compnt_GREET2!D$72*Al_alloy_use_compnt!$H22</f>
        <v>6.553562549277328</v>
      </c>
      <c r="E420" s="54">
        <f>Material_compnt_GREET2!E$72*Al_alloy_use_compnt!$H22</f>
        <v>5.0054876148377367</v>
      </c>
      <c r="F420" s="54">
        <f>Material_compnt_GREET2!F$72*Al_alloy_use_compnt!$H22</f>
        <v>17.761241401442241</v>
      </c>
      <c r="G420" s="54">
        <f>Material_compnt_GREET2!G$72*Al_alloy_use_compnt!$H22</f>
        <v>16.107603870903034</v>
      </c>
      <c r="H420" s="54">
        <f>Material_compnt_GREET2!H$72*Al_alloy_use_compnt!$H22</f>
        <v>0</v>
      </c>
      <c r="I420" s="143">
        <f>Material_compnt_GREET2!I$72*Al_alloy_use_compnt!$H22</f>
        <v>0</v>
      </c>
    </row>
    <row r="421" spans="1:9" x14ac:dyDescent="0.2">
      <c r="A421" s="142" t="s">
        <v>290</v>
      </c>
      <c r="B421" s="54">
        <f>Material_compnt_GREET2!B$72*Al_alloy_use_compnt!$H23</f>
        <v>0</v>
      </c>
      <c r="C421" s="54">
        <f>Material_compnt_GREET2!C$72*Al_alloy_use_compnt!$H23</f>
        <v>0</v>
      </c>
      <c r="D421" s="54">
        <f>Material_compnt_GREET2!D$72*Al_alloy_use_compnt!$H23</f>
        <v>6.553562549277328</v>
      </c>
      <c r="E421" s="54">
        <f>Material_compnt_GREET2!E$72*Al_alloy_use_compnt!$H23</f>
        <v>5.0054876148377367</v>
      </c>
      <c r="F421" s="54">
        <f>Material_compnt_GREET2!F$72*Al_alloy_use_compnt!$H23</f>
        <v>17.761241401442241</v>
      </c>
      <c r="G421" s="54">
        <f>Material_compnt_GREET2!G$72*Al_alloy_use_compnt!$H23</f>
        <v>16.107603870903034</v>
      </c>
      <c r="H421" s="54">
        <f>Material_compnt_GREET2!H$72*Al_alloy_use_compnt!$H23</f>
        <v>0</v>
      </c>
      <c r="I421" s="143">
        <f>Material_compnt_GREET2!I$72*Al_alloy_use_compnt!$H23</f>
        <v>0</v>
      </c>
    </row>
    <row r="422" spans="1:9" x14ac:dyDescent="0.2">
      <c r="A422" s="142" t="s">
        <v>291</v>
      </c>
      <c r="B422" s="54">
        <f>Material_compnt_GREET2!B$72*Al_alloy_use_compnt!$H24</f>
        <v>0</v>
      </c>
      <c r="C422" s="54">
        <f>Material_compnt_GREET2!C$72*Al_alloy_use_compnt!$H24</f>
        <v>0</v>
      </c>
      <c r="D422" s="54">
        <f>Material_compnt_GREET2!D$72*Al_alloy_use_compnt!$H24</f>
        <v>0</v>
      </c>
      <c r="E422" s="54">
        <f>Material_compnt_GREET2!E$72*Al_alloy_use_compnt!$H24</f>
        <v>0</v>
      </c>
      <c r="F422" s="54">
        <f>Material_compnt_GREET2!F$72*Al_alloy_use_compnt!$H24</f>
        <v>0</v>
      </c>
      <c r="G422" s="54">
        <f>Material_compnt_GREET2!G$72*Al_alloy_use_compnt!$H24</f>
        <v>0</v>
      </c>
      <c r="H422" s="54">
        <f>Material_compnt_GREET2!H$72*Al_alloy_use_compnt!$H24</f>
        <v>0</v>
      </c>
      <c r="I422" s="143">
        <f>Material_compnt_GREET2!I$72*Al_alloy_use_compnt!$H24</f>
        <v>0</v>
      </c>
    </row>
    <row r="423" spans="1:9" x14ac:dyDescent="0.2">
      <c r="A423" s="142" t="s">
        <v>292</v>
      </c>
      <c r="B423" s="54">
        <f>Material_compnt_GREET2!B$72*Al_alloy_use_compnt!$H25</f>
        <v>0</v>
      </c>
      <c r="C423" s="54">
        <f>Material_compnt_GREET2!C$72*Al_alloy_use_compnt!$H25</f>
        <v>0</v>
      </c>
      <c r="D423" s="54">
        <f>Material_compnt_GREET2!D$72*Al_alloy_use_compnt!$H25</f>
        <v>0</v>
      </c>
      <c r="E423" s="54">
        <f>Material_compnt_GREET2!E$72*Al_alloy_use_compnt!$H25</f>
        <v>0</v>
      </c>
      <c r="F423" s="54">
        <f>Material_compnt_GREET2!F$72*Al_alloy_use_compnt!$H25</f>
        <v>0</v>
      </c>
      <c r="G423" s="54">
        <f>Material_compnt_GREET2!G$72*Al_alloy_use_compnt!$H25</f>
        <v>0</v>
      </c>
      <c r="H423" s="54">
        <f>Material_compnt_GREET2!H$72*Al_alloy_use_compnt!$H25</f>
        <v>0</v>
      </c>
      <c r="I423" s="143">
        <f>Material_compnt_GREET2!I$72*Al_alloy_use_compnt!$H25</f>
        <v>0</v>
      </c>
    </row>
    <row r="424" spans="1:9" x14ac:dyDescent="0.2">
      <c r="A424" s="142" t="s">
        <v>293</v>
      </c>
      <c r="B424" s="54">
        <f>Material_compnt_GREET2!B$72*Al_alloy_use_compnt!$H26</f>
        <v>0</v>
      </c>
      <c r="C424" s="54">
        <f>Material_compnt_GREET2!C$72*Al_alloy_use_compnt!$H26</f>
        <v>0</v>
      </c>
      <c r="D424" s="54">
        <f>Material_compnt_GREET2!D$72*Al_alloy_use_compnt!$H26</f>
        <v>0</v>
      </c>
      <c r="E424" s="54">
        <f>Material_compnt_GREET2!E$72*Al_alloy_use_compnt!$H26</f>
        <v>0</v>
      </c>
      <c r="F424" s="54">
        <f>Material_compnt_GREET2!F$72*Al_alloy_use_compnt!$H26</f>
        <v>0</v>
      </c>
      <c r="G424" s="54">
        <f>Material_compnt_GREET2!G$72*Al_alloy_use_compnt!$H26</f>
        <v>0</v>
      </c>
      <c r="H424" s="54">
        <f>Material_compnt_GREET2!H$72*Al_alloy_use_compnt!$H26</f>
        <v>0</v>
      </c>
      <c r="I424" s="143">
        <f>Material_compnt_GREET2!I$72*Al_alloy_use_compnt!$H26</f>
        <v>0</v>
      </c>
    </row>
    <row r="425" spans="1:9" x14ac:dyDescent="0.2">
      <c r="A425" s="142" t="s">
        <v>294</v>
      </c>
      <c r="B425" s="54">
        <f>Material_compnt_GREET2!B$72*Al_alloy_use_compnt!$H27</f>
        <v>0</v>
      </c>
      <c r="C425" s="54">
        <f>Material_compnt_GREET2!C$72*Al_alloy_use_compnt!$H27</f>
        <v>0</v>
      </c>
      <c r="D425" s="54">
        <f>Material_compnt_GREET2!D$72*Al_alloy_use_compnt!$H27</f>
        <v>0</v>
      </c>
      <c r="E425" s="54">
        <f>Material_compnt_GREET2!E$72*Al_alloy_use_compnt!$H27</f>
        <v>0</v>
      </c>
      <c r="F425" s="54">
        <f>Material_compnt_GREET2!F$72*Al_alloy_use_compnt!$H27</f>
        <v>0</v>
      </c>
      <c r="G425" s="54">
        <f>Material_compnt_GREET2!G$72*Al_alloy_use_compnt!$H27</f>
        <v>0</v>
      </c>
      <c r="H425" s="54">
        <f>Material_compnt_GREET2!H$72*Al_alloy_use_compnt!$H27</f>
        <v>0</v>
      </c>
      <c r="I425" s="143">
        <f>Material_compnt_GREET2!I$72*Al_alloy_use_compnt!$H27</f>
        <v>0</v>
      </c>
    </row>
    <row r="426" spans="1:9" x14ac:dyDescent="0.2">
      <c r="A426" s="144" t="s">
        <v>295</v>
      </c>
      <c r="B426" s="54">
        <f>Material_compnt_GREET2!B$72*Al_alloy_use_compnt!$H28</f>
        <v>0</v>
      </c>
      <c r="C426" s="54">
        <f>Material_compnt_GREET2!C$72*Al_alloy_use_compnt!$H28</f>
        <v>0</v>
      </c>
      <c r="D426" s="54">
        <f>Material_compnt_GREET2!D$72*Al_alloy_use_compnt!$H28</f>
        <v>0</v>
      </c>
      <c r="E426" s="54">
        <f>Material_compnt_GREET2!E$72*Al_alloy_use_compnt!$H28</f>
        <v>0</v>
      </c>
      <c r="F426" s="54">
        <f>Material_compnt_GREET2!F$72*Al_alloy_use_compnt!$H28</f>
        <v>0</v>
      </c>
      <c r="G426" s="54">
        <f>Material_compnt_GREET2!G$72*Al_alloy_use_compnt!$H28</f>
        <v>0</v>
      </c>
      <c r="H426" s="54">
        <f>Material_compnt_GREET2!H$72*Al_alloy_use_compnt!$H28</f>
        <v>0</v>
      </c>
      <c r="I426" s="143">
        <f>Material_compnt_GREET2!I$72*Al_alloy_use_compnt!$H28</f>
        <v>0</v>
      </c>
    </row>
    <row r="427" spans="1:9" x14ac:dyDescent="0.2">
      <c r="A427" s="142" t="s">
        <v>206</v>
      </c>
      <c r="B427" s="54">
        <v>0</v>
      </c>
      <c r="C427" s="54">
        <v>0</v>
      </c>
      <c r="D427" s="54">
        <v>0</v>
      </c>
      <c r="E427" s="54">
        <v>0</v>
      </c>
      <c r="F427" s="54">
        <v>0</v>
      </c>
      <c r="G427" s="54">
        <v>0</v>
      </c>
      <c r="H427" s="140">
        <v>0</v>
      </c>
      <c r="I427" s="141">
        <v>0</v>
      </c>
    </row>
    <row r="428" spans="1:9" ht="17" thickBot="1" x14ac:dyDescent="0.25">
      <c r="A428" s="149" t="s">
        <v>208</v>
      </c>
      <c r="B428" s="151">
        <v>0</v>
      </c>
      <c r="C428" s="151">
        <v>0</v>
      </c>
      <c r="D428" s="151">
        <v>0</v>
      </c>
      <c r="E428" s="151">
        <v>0</v>
      </c>
      <c r="F428" s="151">
        <v>0</v>
      </c>
      <c r="G428" s="151">
        <v>0</v>
      </c>
      <c r="H428" s="152">
        <v>0</v>
      </c>
      <c r="I428" s="153">
        <v>0</v>
      </c>
    </row>
    <row r="429" spans="1:9" s="1" customFormat="1" ht="17" thickTop="1" x14ac:dyDescent="0.2">
      <c r="A429" s="133"/>
      <c r="B429" s="134"/>
      <c r="C429" s="134"/>
      <c r="D429" s="134"/>
      <c r="E429" s="134"/>
      <c r="F429" s="134"/>
      <c r="G429" s="134"/>
      <c r="H429" s="134"/>
      <c r="I429" s="134"/>
    </row>
    <row r="431" spans="1:9" x14ac:dyDescent="0.2">
      <c r="B431" s="36"/>
      <c r="C431" s="36"/>
      <c r="D431" s="36"/>
      <c r="E431" s="36"/>
      <c r="F431" s="36"/>
      <c r="G431" s="36"/>
      <c r="H431" s="36"/>
      <c r="I431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34"/>
  <sheetViews>
    <sheetView zoomScale="70" zoomScaleNormal="70" zoomScalePageLayoutView="70" workbookViewId="0">
      <selection activeCell="J6" sqref="J6"/>
    </sheetView>
  </sheetViews>
  <sheetFormatPr baseColWidth="10" defaultRowHeight="16" x14ac:dyDescent="0.2"/>
  <cols>
    <col min="8" max="8" width="18.5" bestFit="1" customWidth="1"/>
    <col min="19" max="20" width="10.83203125" style="54"/>
  </cols>
  <sheetData>
    <row r="1" spans="1:24" x14ac:dyDescent="0.2">
      <c r="A1" s="93" t="s">
        <v>226</v>
      </c>
      <c r="J1" s="93" t="s">
        <v>222</v>
      </c>
      <c r="K1" t="s">
        <v>223</v>
      </c>
      <c r="L1" t="s">
        <v>224</v>
      </c>
      <c r="M1" t="s">
        <v>225</v>
      </c>
    </row>
    <row r="2" spans="1:24" x14ac:dyDescent="0.2">
      <c r="A2" s="71" t="s">
        <v>154</v>
      </c>
      <c r="B2" s="71" t="s">
        <v>155</v>
      </c>
      <c r="C2" s="129" t="s">
        <v>164</v>
      </c>
      <c r="D2" s="130" t="s">
        <v>173</v>
      </c>
      <c r="E2" s="130" t="s">
        <v>175</v>
      </c>
      <c r="F2" s="130" t="s">
        <v>176</v>
      </c>
      <c r="G2" s="130" t="s">
        <v>177</v>
      </c>
      <c r="H2" s="130" t="s">
        <v>178</v>
      </c>
      <c r="I2" s="54"/>
      <c r="J2" s="71" t="s">
        <v>154</v>
      </c>
      <c r="K2" s="71" t="s">
        <v>140</v>
      </c>
      <c r="L2" s="71" t="s">
        <v>141</v>
      </c>
      <c r="M2" s="71" t="s">
        <v>142</v>
      </c>
      <c r="N2" s="71" t="s">
        <v>143</v>
      </c>
      <c r="O2" s="71" t="s">
        <v>144</v>
      </c>
      <c r="P2" s="71" t="s">
        <v>145</v>
      </c>
      <c r="Q2" s="71" t="s">
        <v>146</v>
      </c>
      <c r="R2" s="71" t="s">
        <v>147</v>
      </c>
      <c r="S2" s="71" t="s">
        <v>148</v>
      </c>
      <c r="T2" s="71" t="s">
        <v>149</v>
      </c>
      <c r="U2" s="71" t="s">
        <v>150</v>
      </c>
      <c r="V2" s="71" t="s">
        <v>151</v>
      </c>
      <c r="W2" s="71" t="s">
        <v>152</v>
      </c>
      <c r="X2" s="71" t="s">
        <v>153</v>
      </c>
    </row>
    <row r="3" spans="1:24" x14ac:dyDescent="0.2">
      <c r="A3" s="66" t="s">
        <v>131</v>
      </c>
      <c r="B3" s="72"/>
      <c r="C3" s="73"/>
      <c r="D3" s="72"/>
      <c r="E3" s="72"/>
      <c r="F3" s="73"/>
      <c r="G3" s="73"/>
      <c r="H3" s="73"/>
      <c r="I3" s="54"/>
      <c r="J3" s="97" t="s">
        <v>131</v>
      </c>
      <c r="K3" s="72"/>
      <c r="L3" s="72"/>
      <c r="M3" s="72"/>
      <c r="N3" s="72">
        <v>0.75</v>
      </c>
      <c r="O3" s="72">
        <v>0.45</v>
      </c>
      <c r="P3" s="72"/>
      <c r="Q3" s="72"/>
      <c r="R3" s="72"/>
      <c r="S3" s="72"/>
      <c r="T3" s="72"/>
      <c r="U3" s="73"/>
      <c r="V3" s="73"/>
      <c r="W3" s="73"/>
      <c r="X3" s="73">
        <f>30%/0.85</f>
        <v>0.35294117647058826</v>
      </c>
    </row>
    <row r="4" spans="1:24" x14ac:dyDescent="0.2">
      <c r="A4" s="66">
        <v>3003</v>
      </c>
      <c r="B4" s="74"/>
      <c r="C4" s="73"/>
      <c r="D4" s="72"/>
      <c r="E4" s="72"/>
      <c r="F4" s="73"/>
      <c r="G4" s="73"/>
      <c r="H4" s="73"/>
      <c r="I4" s="54"/>
      <c r="J4" s="97">
        <v>3003</v>
      </c>
      <c r="K4" s="74"/>
      <c r="L4" s="72"/>
      <c r="M4" s="72"/>
      <c r="N4" s="72">
        <v>0.25</v>
      </c>
      <c r="O4" s="72"/>
      <c r="P4" s="72"/>
      <c r="Q4" s="72"/>
      <c r="R4" s="72"/>
      <c r="S4" s="72"/>
      <c r="T4" s="72"/>
      <c r="U4" s="73"/>
      <c r="V4" s="73"/>
      <c r="W4" s="73"/>
      <c r="X4" s="73">
        <f>5%/0.85</f>
        <v>5.8823529411764712E-2</v>
      </c>
    </row>
    <row r="5" spans="1:24" x14ac:dyDescent="0.2">
      <c r="A5" s="66">
        <v>3103</v>
      </c>
      <c r="B5" s="74"/>
      <c r="C5" s="73"/>
      <c r="D5" s="74"/>
      <c r="E5" s="74"/>
      <c r="F5" s="73"/>
      <c r="G5" s="73"/>
      <c r="H5" s="73"/>
      <c r="I5" s="54"/>
      <c r="J5" s="97">
        <v>3103</v>
      </c>
      <c r="K5" s="74"/>
      <c r="L5" s="74"/>
      <c r="M5" s="74"/>
      <c r="N5" s="74"/>
      <c r="O5" s="74">
        <v>0.25</v>
      </c>
      <c r="P5" s="74"/>
      <c r="Q5" s="74"/>
      <c r="R5" s="74"/>
      <c r="S5" s="74"/>
      <c r="T5" s="74"/>
      <c r="U5" s="73"/>
      <c r="V5" s="73"/>
      <c r="W5" s="73"/>
      <c r="X5" s="73"/>
    </row>
    <row r="6" spans="1:24" x14ac:dyDescent="0.2">
      <c r="A6" s="66">
        <v>4043</v>
      </c>
      <c r="B6" s="74">
        <f>5%/0.9</f>
        <v>5.5555555555555559E-2</v>
      </c>
      <c r="C6" s="73"/>
      <c r="D6" s="74"/>
      <c r="E6" s="74"/>
      <c r="F6" s="73"/>
      <c r="G6" s="73"/>
      <c r="H6" s="73"/>
      <c r="I6" s="54"/>
      <c r="J6" s="97">
        <v>4043</v>
      </c>
      <c r="K6" s="74">
        <f>5%/0.9</f>
        <v>5.5555555555555559E-2</v>
      </c>
      <c r="L6" s="74"/>
      <c r="M6" s="74"/>
      <c r="N6" s="74"/>
      <c r="O6" s="74">
        <v>0.2</v>
      </c>
      <c r="P6" s="74"/>
      <c r="Q6" s="74"/>
      <c r="R6" s="74"/>
      <c r="S6" s="74"/>
      <c r="T6" s="74"/>
      <c r="U6" s="73"/>
      <c r="V6" s="73"/>
      <c r="W6" s="73"/>
      <c r="X6" s="73"/>
    </row>
    <row r="7" spans="1:24" x14ac:dyDescent="0.2">
      <c r="A7" s="66" t="s">
        <v>132</v>
      </c>
      <c r="B7" s="74"/>
      <c r="C7" s="73"/>
      <c r="D7" s="74"/>
      <c r="E7" s="74"/>
      <c r="F7" s="73"/>
      <c r="G7" s="73"/>
      <c r="H7" s="73"/>
      <c r="I7" s="54"/>
      <c r="J7" s="97" t="s">
        <v>132</v>
      </c>
      <c r="K7" s="74"/>
      <c r="L7" s="74"/>
      <c r="M7" s="74"/>
      <c r="N7" s="74"/>
      <c r="O7" s="74">
        <v>0.05</v>
      </c>
      <c r="P7" s="74"/>
      <c r="Q7" s="74"/>
      <c r="R7" s="74"/>
      <c r="S7" s="74"/>
      <c r="T7" s="74"/>
      <c r="U7" s="73"/>
      <c r="V7" s="73"/>
      <c r="W7" s="73"/>
      <c r="X7" s="73">
        <f>5%/0.85</f>
        <v>5.8823529411764712E-2</v>
      </c>
    </row>
    <row r="8" spans="1:24" x14ac:dyDescent="0.2">
      <c r="A8" s="66">
        <v>5182</v>
      </c>
      <c r="B8" s="74">
        <f>10%/0.9</f>
        <v>0.11111111111111112</v>
      </c>
      <c r="C8" s="73">
        <f>2.5%/0.2</f>
        <v>0.125</v>
      </c>
      <c r="D8" s="74"/>
      <c r="E8" s="74"/>
      <c r="F8" s="73">
        <f t="shared" ref="F8:H9" si="0">2.5%/0.2</f>
        <v>0.125</v>
      </c>
      <c r="G8" s="73">
        <f t="shared" si="0"/>
        <v>0.125</v>
      </c>
      <c r="H8" s="73">
        <f t="shared" si="0"/>
        <v>0.125</v>
      </c>
      <c r="I8" s="54"/>
      <c r="J8" s="97">
        <v>5182</v>
      </c>
      <c r="K8" s="74">
        <f>10%/0.9</f>
        <v>0.11111111111111112</v>
      </c>
      <c r="L8" s="74">
        <v>0.3</v>
      </c>
      <c r="M8" s="74"/>
      <c r="N8" s="74"/>
      <c r="O8" s="74"/>
      <c r="P8" s="74"/>
      <c r="Q8" s="74"/>
      <c r="R8" s="74"/>
      <c r="S8" s="74"/>
      <c r="T8" s="74"/>
      <c r="U8" s="73"/>
      <c r="V8" s="73">
        <f>2.5%/0.2</f>
        <v>0.125</v>
      </c>
      <c r="W8" s="73"/>
      <c r="X8" s="73"/>
    </row>
    <row r="9" spans="1:24" x14ac:dyDescent="0.2">
      <c r="A9" s="66">
        <v>5754</v>
      </c>
      <c r="B9" s="74">
        <f>30%/0.9</f>
        <v>0.33333333333333331</v>
      </c>
      <c r="C9" s="73">
        <f>2.5%/0.2</f>
        <v>0.125</v>
      </c>
      <c r="D9" s="74"/>
      <c r="E9" s="74">
        <f>40%/0.6</f>
        <v>0.66666666666666674</v>
      </c>
      <c r="F9" s="73">
        <f t="shared" si="0"/>
        <v>0.125</v>
      </c>
      <c r="G9" s="73">
        <f t="shared" si="0"/>
        <v>0.125</v>
      </c>
      <c r="H9" s="73">
        <f t="shared" si="0"/>
        <v>0.125</v>
      </c>
      <c r="I9" s="54"/>
      <c r="J9" s="97">
        <v>5754</v>
      </c>
      <c r="K9" s="74">
        <f>30%/0.9</f>
        <v>0.33333333333333331</v>
      </c>
      <c r="L9" s="74">
        <v>0.05</v>
      </c>
      <c r="M9" s="74">
        <v>0.05</v>
      </c>
      <c r="N9" s="74"/>
      <c r="O9" s="74"/>
      <c r="P9" s="74"/>
      <c r="Q9" s="74">
        <f>40%/0.6</f>
        <v>0.66666666666666674</v>
      </c>
      <c r="R9" s="74">
        <f>5%/0.85</f>
        <v>5.8823529411764712E-2</v>
      </c>
      <c r="S9" s="74"/>
      <c r="T9" s="74"/>
      <c r="U9" s="73">
        <v>0.1</v>
      </c>
      <c r="V9" s="73">
        <f>2.5%/0.2</f>
        <v>0.125</v>
      </c>
      <c r="W9" s="73">
        <f>10%/0.35</f>
        <v>0.28571428571428575</v>
      </c>
      <c r="X9" s="73">
        <f>5%/0.85</f>
        <v>5.8823529411764712E-2</v>
      </c>
    </row>
    <row r="10" spans="1:24" x14ac:dyDescent="0.2">
      <c r="A10" s="66">
        <v>6008</v>
      </c>
      <c r="B10" s="74">
        <f>10%/0.9</f>
        <v>0.11111111111111112</v>
      </c>
      <c r="C10" s="73"/>
      <c r="D10" s="74"/>
      <c r="E10" s="74"/>
      <c r="F10" s="73"/>
      <c r="G10" s="73"/>
      <c r="H10" s="73"/>
      <c r="I10" s="54"/>
      <c r="J10" s="96">
        <v>6008</v>
      </c>
      <c r="K10" s="74">
        <f>10%/0.9</f>
        <v>0.11111111111111112</v>
      </c>
      <c r="L10" s="74"/>
      <c r="M10" s="74"/>
      <c r="N10" s="74"/>
      <c r="O10" s="74"/>
      <c r="P10" s="74"/>
      <c r="Q10" s="74"/>
      <c r="R10" s="74"/>
      <c r="S10" s="74"/>
      <c r="T10" s="74"/>
      <c r="U10" s="73"/>
      <c r="V10" s="73"/>
      <c r="W10" s="73"/>
      <c r="X10" s="73"/>
    </row>
    <row r="11" spans="1:24" x14ac:dyDescent="0.2">
      <c r="A11" s="66">
        <v>6014</v>
      </c>
      <c r="B11" s="74">
        <f>22.5%/0.9</f>
        <v>0.25</v>
      </c>
      <c r="C11" s="73"/>
      <c r="D11" s="74"/>
      <c r="E11" s="74"/>
      <c r="F11" s="73"/>
      <c r="G11" s="73"/>
      <c r="H11" s="73"/>
      <c r="I11" s="54"/>
      <c r="J11" s="96">
        <v>6014</v>
      </c>
      <c r="K11" s="74">
        <f>22.5%/0.9</f>
        <v>0.25</v>
      </c>
      <c r="L11" s="74"/>
      <c r="M11" s="74"/>
      <c r="N11" s="74"/>
      <c r="O11" s="74"/>
      <c r="P11" s="74"/>
      <c r="Q11" s="74"/>
      <c r="R11" s="74"/>
      <c r="S11" s="74"/>
      <c r="T11" s="74"/>
      <c r="U11" s="73"/>
      <c r="V11" s="73"/>
      <c r="W11" s="73"/>
      <c r="X11" s="73"/>
    </row>
    <row r="12" spans="1:24" x14ac:dyDescent="0.2">
      <c r="A12" s="66">
        <v>6016</v>
      </c>
      <c r="B12" s="74"/>
      <c r="C12" s="73"/>
      <c r="D12" s="74"/>
      <c r="E12" s="74"/>
      <c r="F12" s="73"/>
      <c r="G12" s="73"/>
      <c r="H12" s="73"/>
      <c r="I12" s="54"/>
      <c r="J12" s="96">
        <v>6016</v>
      </c>
      <c r="K12" s="74"/>
      <c r="L12" s="74">
        <v>0.35</v>
      </c>
      <c r="M12" s="74"/>
      <c r="N12" s="74"/>
      <c r="O12" s="74"/>
      <c r="P12" s="74"/>
      <c r="Q12" s="74"/>
      <c r="R12" s="74"/>
      <c r="S12" s="74"/>
      <c r="T12" s="74"/>
      <c r="U12" s="73"/>
      <c r="V12" s="73"/>
      <c r="W12" s="73"/>
      <c r="X12" s="73"/>
    </row>
    <row r="13" spans="1:24" x14ac:dyDescent="0.2">
      <c r="A13" s="66">
        <v>6060</v>
      </c>
      <c r="B13" s="74"/>
      <c r="C13" s="73"/>
      <c r="D13" s="74"/>
      <c r="E13" s="74"/>
      <c r="F13" s="73"/>
      <c r="G13" s="73"/>
      <c r="H13" s="73"/>
      <c r="I13" s="54"/>
      <c r="J13" s="96">
        <v>6060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3"/>
      <c r="V13" s="73"/>
      <c r="W13" s="73"/>
      <c r="X13" s="73">
        <f>20%/0.85</f>
        <v>0.23529411764705885</v>
      </c>
    </row>
    <row r="14" spans="1:24" x14ac:dyDescent="0.2">
      <c r="A14" s="66">
        <v>6061</v>
      </c>
      <c r="B14" s="74"/>
      <c r="C14" s="73"/>
      <c r="D14" s="74"/>
      <c r="E14" s="74"/>
      <c r="F14" s="73"/>
      <c r="G14" s="73"/>
      <c r="H14" s="73"/>
      <c r="I14" s="54"/>
      <c r="J14" s="96">
        <v>6061</v>
      </c>
      <c r="K14" s="74"/>
      <c r="L14" s="74"/>
      <c r="M14" s="74"/>
      <c r="N14" s="74"/>
      <c r="O14" s="74"/>
      <c r="P14" s="74"/>
      <c r="Q14" s="74"/>
      <c r="R14" s="74"/>
      <c r="S14" s="74">
        <f>10%/0.1</f>
        <v>1</v>
      </c>
      <c r="T14" s="74"/>
      <c r="U14" s="73"/>
      <c r="V14" s="73"/>
      <c r="W14" s="73">
        <f>12.5%/0.35</f>
        <v>0.35714285714285715</v>
      </c>
      <c r="X14" s="73"/>
    </row>
    <row r="15" spans="1:24" x14ac:dyDescent="0.2">
      <c r="A15" s="66">
        <v>6063</v>
      </c>
      <c r="B15" s="74"/>
      <c r="C15" s="73"/>
      <c r="D15" s="74"/>
      <c r="E15" s="74"/>
      <c r="F15" s="73"/>
      <c r="G15" s="73"/>
      <c r="H15" s="73"/>
      <c r="I15" s="54"/>
      <c r="J15" s="96">
        <v>6063</v>
      </c>
      <c r="K15" s="74"/>
      <c r="L15" s="74"/>
      <c r="M15" s="74"/>
      <c r="N15" s="74"/>
      <c r="O15" s="74">
        <v>0.05</v>
      </c>
      <c r="P15" s="74"/>
      <c r="Q15" s="74"/>
      <c r="R15" s="74"/>
      <c r="S15" s="74"/>
      <c r="T15" s="74"/>
      <c r="U15" s="73"/>
      <c r="V15" s="73"/>
      <c r="W15" s="73"/>
      <c r="X15" s="73">
        <f>20%/0.85</f>
        <v>0.23529411764705885</v>
      </c>
    </row>
    <row r="16" spans="1:24" x14ac:dyDescent="0.2">
      <c r="A16" s="66">
        <v>6082</v>
      </c>
      <c r="B16" s="74"/>
      <c r="C16" s="73">
        <f>10%/0.2</f>
        <v>0.5</v>
      </c>
      <c r="D16" s="74">
        <f>10%/0.1</f>
        <v>1</v>
      </c>
      <c r="E16" s="74">
        <f>20%/0.6</f>
        <v>0.33333333333333337</v>
      </c>
      <c r="F16" s="73">
        <f>10%/0.2</f>
        <v>0.5</v>
      </c>
      <c r="G16" s="73">
        <f>10%/0.2</f>
        <v>0.5</v>
      </c>
      <c r="H16" s="73">
        <f>10%/0.2</f>
        <v>0.5</v>
      </c>
      <c r="I16" s="54"/>
      <c r="J16" s="96">
        <v>6082</v>
      </c>
      <c r="K16" s="74"/>
      <c r="L16" s="74"/>
      <c r="M16" s="74">
        <v>0.8</v>
      </c>
      <c r="N16" s="74"/>
      <c r="O16" s="74"/>
      <c r="P16" s="74"/>
      <c r="Q16" s="74">
        <f>20%/0.6</f>
        <v>0.33333333333333337</v>
      </c>
      <c r="R16" s="74">
        <f>80%/0.85</f>
        <v>0.94117647058823539</v>
      </c>
      <c r="S16" s="74"/>
      <c r="T16" s="74">
        <f>10%/0.1</f>
        <v>1</v>
      </c>
      <c r="U16" s="73">
        <v>0.3</v>
      </c>
      <c r="V16" s="73">
        <f>10%/0.2</f>
        <v>0.5</v>
      </c>
      <c r="W16" s="73">
        <f>12.5%/0.35</f>
        <v>0.35714285714285715</v>
      </c>
      <c r="X16" s="73"/>
    </row>
    <row r="17" spans="1:24" x14ac:dyDescent="0.2">
      <c r="A17" s="66">
        <v>6111</v>
      </c>
      <c r="B17" s="74"/>
      <c r="C17" s="73"/>
      <c r="D17" s="74"/>
      <c r="E17" s="74"/>
      <c r="F17" s="73"/>
      <c r="G17" s="73"/>
      <c r="H17" s="73"/>
      <c r="I17" s="54"/>
      <c r="J17" s="96">
        <v>6111</v>
      </c>
      <c r="K17" s="74"/>
      <c r="L17" s="74">
        <v>0.2</v>
      </c>
      <c r="M17" s="74"/>
      <c r="N17" s="74"/>
      <c r="O17" s="74"/>
      <c r="P17" s="74"/>
      <c r="Q17" s="74"/>
      <c r="R17" s="74"/>
      <c r="S17" s="74"/>
      <c r="T17" s="74"/>
      <c r="U17" s="73"/>
      <c r="V17" s="73"/>
      <c r="W17" s="73"/>
      <c r="X17" s="73"/>
    </row>
    <row r="18" spans="1:24" x14ac:dyDescent="0.2">
      <c r="A18" s="69" t="s">
        <v>133</v>
      </c>
      <c r="B18" s="74">
        <f>12.5%/0.9</f>
        <v>0.1388888888888889</v>
      </c>
      <c r="C18" s="73"/>
      <c r="D18" s="74"/>
      <c r="E18" s="74"/>
      <c r="F18" s="73"/>
      <c r="G18" s="73"/>
      <c r="H18" s="73"/>
      <c r="I18" s="54"/>
      <c r="J18" s="98" t="s">
        <v>133</v>
      </c>
      <c r="K18" s="74">
        <f>12.5%/0.9</f>
        <v>0.1388888888888889</v>
      </c>
      <c r="L18" s="74">
        <v>0.1</v>
      </c>
      <c r="M18" s="74"/>
      <c r="N18" s="74"/>
      <c r="O18" s="74"/>
      <c r="P18" s="74"/>
      <c r="Q18" s="74"/>
      <c r="R18" s="74"/>
      <c r="S18" s="74"/>
      <c r="T18" s="74"/>
      <c r="U18" s="73"/>
      <c r="V18" s="73"/>
      <c r="W18" s="73"/>
      <c r="X18" s="73"/>
    </row>
    <row r="19" spans="1:24" x14ac:dyDescent="0.2">
      <c r="A19" s="70">
        <v>7020</v>
      </c>
      <c r="B19" s="75"/>
      <c r="C19" s="76">
        <f>5%/0.2</f>
        <v>0.25</v>
      </c>
      <c r="D19" s="75"/>
      <c r="E19" s="75"/>
      <c r="F19" s="76">
        <f>5%/0.2</f>
        <v>0.25</v>
      </c>
      <c r="G19" s="76">
        <f>5%/0.2</f>
        <v>0.25</v>
      </c>
      <c r="H19" s="76">
        <f>5%/0.2</f>
        <v>0.25</v>
      </c>
      <c r="I19" s="54"/>
      <c r="J19" s="99">
        <v>7020</v>
      </c>
      <c r="K19" s="75"/>
      <c r="L19" s="75"/>
      <c r="M19" s="75">
        <v>0.15</v>
      </c>
      <c r="N19" s="75"/>
      <c r="O19" s="75"/>
      <c r="P19" s="75"/>
      <c r="Q19" s="75"/>
      <c r="R19" s="75"/>
      <c r="S19" s="75"/>
      <c r="T19" s="75"/>
      <c r="U19" s="76"/>
      <c r="V19" s="76">
        <f>5%/0.2</f>
        <v>0.25</v>
      </c>
      <c r="W19" s="76"/>
      <c r="X19" s="76"/>
    </row>
    <row r="20" spans="1:24" x14ac:dyDescent="0.2">
      <c r="A20" s="69">
        <v>301</v>
      </c>
      <c r="B20" s="74"/>
      <c r="C20" s="73"/>
      <c r="D20" s="74"/>
      <c r="E20" s="74"/>
      <c r="F20" s="73"/>
      <c r="G20" s="73"/>
      <c r="H20" s="73"/>
      <c r="I20" s="54"/>
      <c r="J20" s="69">
        <v>301</v>
      </c>
      <c r="K20" s="74"/>
      <c r="L20" s="74"/>
      <c r="M20" s="74"/>
      <c r="N20" s="74"/>
      <c r="O20" s="74"/>
      <c r="P20" s="74">
        <v>0.22500000000000001</v>
      </c>
      <c r="Q20" s="74"/>
      <c r="R20" s="74"/>
      <c r="S20" s="74"/>
      <c r="T20" s="74"/>
      <c r="U20" s="73"/>
      <c r="V20" s="73"/>
      <c r="W20" s="73"/>
      <c r="X20" s="73"/>
    </row>
    <row r="21" spans="1:24" x14ac:dyDescent="0.2">
      <c r="A21" s="69">
        <v>319</v>
      </c>
      <c r="B21" s="74"/>
      <c r="C21" s="73"/>
      <c r="D21" s="74">
        <f>10%/0.9</f>
        <v>0.11111111111111112</v>
      </c>
      <c r="E21" s="74"/>
      <c r="F21" s="73"/>
      <c r="G21" s="73"/>
      <c r="H21" s="73"/>
      <c r="I21" s="54"/>
      <c r="J21" s="69">
        <v>319</v>
      </c>
      <c r="K21" s="74"/>
      <c r="L21" s="74"/>
      <c r="M21" s="74"/>
      <c r="N21" s="74"/>
      <c r="O21" s="74"/>
      <c r="P21" s="74">
        <v>0.22500000000000001</v>
      </c>
      <c r="Q21" s="74"/>
      <c r="R21" s="74"/>
      <c r="S21" s="74"/>
      <c r="T21" s="74">
        <f>10%/0.9</f>
        <v>0.11111111111111112</v>
      </c>
      <c r="U21" s="73"/>
      <c r="V21" s="73"/>
      <c r="W21" s="73"/>
      <c r="X21" s="73"/>
    </row>
    <row r="22" spans="1:24" x14ac:dyDescent="0.2">
      <c r="A22" s="69">
        <v>383</v>
      </c>
      <c r="B22" s="74"/>
      <c r="C22" s="73">
        <f>40%/0.8</f>
        <v>0.5</v>
      </c>
      <c r="D22" s="74"/>
      <c r="E22" s="74"/>
      <c r="F22" s="73">
        <f t="shared" ref="F22:H23" si="1">40%/0.8</f>
        <v>0.5</v>
      </c>
      <c r="G22" s="73">
        <f t="shared" si="1"/>
        <v>0.5</v>
      </c>
      <c r="H22" s="73">
        <f t="shared" si="1"/>
        <v>0.5</v>
      </c>
      <c r="I22" s="54"/>
      <c r="J22" s="69">
        <v>383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3"/>
      <c r="V22" s="73">
        <f>40%/0.8</f>
        <v>0.5</v>
      </c>
      <c r="W22" s="73"/>
      <c r="X22" s="73"/>
    </row>
    <row r="23" spans="1:24" x14ac:dyDescent="0.2">
      <c r="A23" s="69" t="s">
        <v>134</v>
      </c>
      <c r="B23" s="74"/>
      <c r="C23" s="73">
        <f>40%/0.8</f>
        <v>0.5</v>
      </c>
      <c r="D23" s="74"/>
      <c r="E23" s="74">
        <f>20%/0.4</f>
        <v>0.5</v>
      </c>
      <c r="F23" s="73">
        <f t="shared" si="1"/>
        <v>0.5</v>
      </c>
      <c r="G23" s="73">
        <f t="shared" si="1"/>
        <v>0.5</v>
      </c>
      <c r="H23" s="73">
        <f t="shared" si="1"/>
        <v>0.5</v>
      </c>
      <c r="I23" s="54"/>
      <c r="J23" s="69" t="s">
        <v>134</v>
      </c>
      <c r="K23" s="74"/>
      <c r="L23" s="74"/>
      <c r="M23" s="74"/>
      <c r="N23" s="74"/>
      <c r="O23" s="74"/>
      <c r="P23" s="74"/>
      <c r="Q23" s="74">
        <f>20%/0.4</f>
        <v>0.5</v>
      </c>
      <c r="R23" s="74">
        <f>7.5%/0.15</f>
        <v>0.5</v>
      </c>
      <c r="S23" s="74">
        <f>90%/0.9</f>
        <v>1</v>
      </c>
      <c r="T23" s="74"/>
      <c r="U23" s="73">
        <v>0.6</v>
      </c>
      <c r="V23" s="73">
        <f>40%/0.8</f>
        <v>0.5</v>
      </c>
      <c r="W23" s="73">
        <f>40%/0.65</f>
        <v>0.61538461538461542</v>
      </c>
      <c r="X23" s="73">
        <f>15%/0.15</f>
        <v>1</v>
      </c>
    </row>
    <row r="24" spans="1:24" x14ac:dyDescent="0.2">
      <c r="A24" s="69" t="s">
        <v>135</v>
      </c>
      <c r="B24" s="74"/>
      <c r="C24" s="73"/>
      <c r="D24" s="74">
        <f>40%/0.9</f>
        <v>0.44444444444444448</v>
      </c>
      <c r="E24" s="74"/>
      <c r="F24" s="73"/>
      <c r="G24" s="73"/>
      <c r="H24" s="73"/>
      <c r="I24" s="54"/>
      <c r="J24" s="69" t="s">
        <v>135</v>
      </c>
      <c r="K24" s="74"/>
      <c r="L24" s="74"/>
      <c r="M24" s="74"/>
      <c r="N24" s="74"/>
      <c r="O24" s="74"/>
      <c r="P24" s="74"/>
      <c r="Q24" s="74"/>
      <c r="R24" s="74"/>
      <c r="S24" s="74"/>
      <c r="T24" s="74">
        <f>40%/0.9</f>
        <v>0.44444444444444448</v>
      </c>
      <c r="U24" s="73"/>
      <c r="V24" s="73"/>
      <c r="W24" s="73"/>
      <c r="X24" s="73"/>
    </row>
    <row r="25" spans="1:24" x14ac:dyDescent="0.2">
      <c r="A25" s="69" t="s">
        <v>136</v>
      </c>
      <c r="B25" s="74"/>
      <c r="C25" s="73"/>
      <c r="D25" s="74">
        <f>40%/0.9</f>
        <v>0.44444444444444448</v>
      </c>
      <c r="E25" s="74"/>
      <c r="F25" s="73"/>
      <c r="G25" s="73"/>
      <c r="H25" s="73"/>
      <c r="I25" s="54"/>
      <c r="J25" s="69" t="s">
        <v>136</v>
      </c>
      <c r="K25" s="74"/>
      <c r="L25" s="74"/>
      <c r="M25" s="74"/>
      <c r="N25" s="74"/>
      <c r="O25" s="74"/>
      <c r="P25" s="74"/>
      <c r="Q25" s="74"/>
      <c r="R25" s="74"/>
      <c r="S25" s="74"/>
      <c r="T25" s="74">
        <f>40%/0.9</f>
        <v>0.44444444444444448</v>
      </c>
      <c r="U25" s="73"/>
      <c r="V25" s="73"/>
      <c r="W25" s="73"/>
      <c r="X25" s="73"/>
    </row>
    <row r="26" spans="1:24" x14ac:dyDescent="0.2">
      <c r="A26" s="69" t="s">
        <v>137</v>
      </c>
      <c r="B26" s="74"/>
      <c r="C26" s="73"/>
      <c r="D26" s="74"/>
      <c r="E26" s="74"/>
      <c r="F26" s="73"/>
      <c r="G26" s="73"/>
      <c r="H26" s="73"/>
      <c r="I26" s="54"/>
      <c r="J26" s="69" t="s">
        <v>137</v>
      </c>
      <c r="K26" s="74"/>
      <c r="L26" s="74"/>
      <c r="M26" s="74"/>
      <c r="N26" s="74"/>
      <c r="O26" s="74"/>
      <c r="P26" s="74">
        <v>0.27500000000000002</v>
      </c>
      <c r="Q26" s="74"/>
      <c r="R26" s="74"/>
      <c r="S26" s="74"/>
      <c r="T26" s="74"/>
      <c r="U26" s="73"/>
      <c r="V26" s="73"/>
      <c r="W26" s="73"/>
      <c r="X26" s="73"/>
    </row>
    <row r="27" spans="1:24" x14ac:dyDescent="0.2">
      <c r="A27" s="69" t="s">
        <v>138</v>
      </c>
      <c r="B27" s="74"/>
      <c r="C27" s="73"/>
      <c r="D27" s="74"/>
      <c r="E27" s="74"/>
      <c r="F27" s="73"/>
      <c r="G27" s="73"/>
      <c r="H27" s="73"/>
      <c r="I27" s="54"/>
      <c r="J27" s="69" t="s">
        <v>138</v>
      </c>
      <c r="K27" s="74"/>
      <c r="L27" s="74"/>
      <c r="M27" s="74"/>
      <c r="N27" s="74"/>
      <c r="O27" s="74"/>
      <c r="P27" s="74">
        <v>0.27500000000000002</v>
      </c>
      <c r="Q27" s="74"/>
      <c r="R27" s="74"/>
      <c r="S27" s="74"/>
      <c r="T27" s="74"/>
      <c r="U27" s="73"/>
      <c r="V27" s="73"/>
      <c r="W27" s="73"/>
      <c r="X27" s="73"/>
    </row>
    <row r="28" spans="1:24" x14ac:dyDescent="0.2">
      <c r="A28" s="70" t="s">
        <v>139</v>
      </c>
      <c r="B28" s="75">
        <f>10%/0.1</f>
        <v>1</v>
      </c>
      <c r="C28" s="76"/>
      <c r="D28" s="75"/>
      <c r="E28" s="75">
        <f>20%/0.4</f>
        <v>0.5</v>
      </c>
      <c r="F28" s="76"/>
      <c r="G28" s="76"/>
      <c r="H28" s="76"/>
      <c r="I28" s="54"/>
      <c r="J28" s="70" t="s">
        <v>139</v>
      </c>
      <c r="K28" s="75">
        <f>10%/0.1</f>
        <v>1</v>
      </c>
      <c r="L28" s="75"/>
      <c r="M28" s="75"/>
      <c r="N28" s="75"/>
      <c r="O28" s="75"/>
      <c r="P28" s="75"/>
      <c r="Q28" s="75">
        <f>20%/0.4</f>
        <v>0.5</v>
      </c>
      <c r="R28" s="75">
        <f>7.5%/0.15</f>
        <v>0.5</v>
      </c>
      <c r="S28" s="75"/>
      <c r="T28" s="75"/>
      <c r="U28" s="76"/>
      <c r="V28" s="76"/>
      <c r="W28" s="76">
        <f>25%/0.65</f>
        <v>0.38461538461538458</v>
      </c>
      <c r="X28" s="76"/>
    </row>
    <row r="29" spans="1:24" x14ac:dyDescent="0.2">
      <c r="A29" s="69" t="s">
        <v>296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U29" s="54"/>
      <c r="V29" s="54"/>
      <c r="W29" s="54"/>
    </row>
    <row r="30" spans="1:24" x14ac:dyDescent="0.2">
      <c r="I30" s="54"/>
      <c r="J30" s="54"/>
      <c r="K30" s="54"/>
      <c r="L30" s="54"/>
      <c r="M30" s="54"/>
      <c r="N30" s="54"/>
      <c r="O30" s="54"/>
      <c r="P30" s="54"/>
      <c r="Q30" s="54"/>
      <c r="R30" s="54"/>
      <c r="U30" s="54"/>
      <c r="V30" s="54"/>
      <c r="W30" s="54"/>
    </row>
    <row r="31" spans="1:24" x14ac:dyDescent="0.2"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54"/>
      <c r="V31" s="54"/>
      <c r="W31" s="54"/>
    </row>
    <row r="32" spans="1:24" x14ac:dyDescent="0.2">
      <c r="I32" s="54"/>
      <c r="J32" s="54"/>
      <c r="K32" s="54"/>
      <c r="L32" s="54"/>
      <c r="M32" s="54"/>
      <c r="N32" s="54"/>
      <c r="O32" s="54"/>
      <c r="P32" s="54"/>
      <c r="Q32" s="54"/>
      <c r="R32" s="54"/>
      <c r="U32" s="54"/>
      <c r="V32" s="54"/>
      <c r="W32" s="54"/>
    </row>
    <row r="33" spans="9:23" x14ac:dyDescent="0.2">
      <c r="I33" s="54"/>
      <c r="J33" s="54"/>
      <c r="K33" s="54"/>
      <c r="L33" s="54"/>
      <c r="M33" s="54"/>
      <c r="N33" s="54"/>
      <c r="O33" s="54"/>
      <c r="P33" s="54"/>
      <c r="Q33" s="54"/>
      <c r="R33" s="54"/>
      <c r="U33" s="54"/>
      <c r="V33" s="54"/>
      <c r="W33" s="54"/>
    </row>
    <row r="34" spans="9:23" x14ac:dyDescent="0.2">
      <c r="I34" s="54"/>
      <c r="J34" s="54"/>
      <c r="K34" s="54"/>
      <c r="L34" s="54"/>
      <c r="M34" s="54"/>
      <c r="N34" s="54"/>
      <c r="O34" s="54"/>
      <c r="P34" s="54"/>
      <c r="Q34" s="54"/>
      <c r="R34" s="54"/>
      <c r="U34" s="54"/>
      <c r="V34" s="54"/>
      <c r="W34" s="5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8"/>
  <sheetViews>
    <sheetView zoomScale="70" zoomScaleNormal="70" zoomScalePageLayoutView="70" workbookViewId="0">
      <selection activeCell="S38" sqref="S38"/>
    </sheetView>
  </sheetViews>
  <sheetFormatPr baseColWidth="10" defaultRowHeight="16" x14ac:dyDescent="0.2"/>
  <cols>
    <col min="14" max="14" width="12.1640625" bestFit="1" customWidth="1"/>
  </cols>
  <sheetData>
    <row r="1" spans="1:25" x14ac:dyDescent="0.2">
      <c r="A1" s="93" t="s">
        <v>220</v>
      </c>
      <c r="N1" s="93" t="s">
        <v>221</v>
      </c>
    </row>
    <row r="2" spans="1:25" x14ac:dyDescent="0.2">
      <c r="A2" s="50"/>
      <c r="B2" s="85" t="s">
        <v>209</v>
      </c>
      <c r="C2" s="85" t="s">
        <v>210</v>
      </c>
      <c r="D2" s="85" t="s">
        <v>211</v>
      </c>
      <c r="E2" s="85" t="s">
        <v>212</v>
      </c>
      <c r="F2" s="85" t="s">
        <v>213</v>
      </c>
      <c r="G2" s="85" t="s">
        <v>214</v>
      </c>
      <c r="H2" s="85" t="s">
        <v>215</v>
      </c>
      <c r="I2" s="85" t="s">
        <v>216</v>
      </c>
      <c r="J2" s="85" t="s">
        <v>217</v>
      </c>
      <c r="K2" s="85" t="s">
        <v>218</v>
      </c>
      <c r="L2" s="86" t="s">
        <v>219</v>
      </c>
      <c r="N2" s="50"/>
      <c r="O2" s="85" t="s">
        <v>209</v>
      </c>
      <c r="P2" s="85" t="s">
        <v>210</v>
      </c>
      <c r="Q2" s="85" t="s">
        <v>211</v>
      </c>
      <c r="R2" s="85" t="s">
        <v>212</v>
      </c>
      <c r="S2" s="85" t="s">
        <v>213</v>
      </c>
      <c r="T2" s="85" t="s">
        <v>214</v>
      </c>
      <c r="U2" s="85" t="s">
        <v>215</v>
      </c>
      <c r="V2" s="85" t="s">
        <v>216</v>
      </c>
      <c r="W2" s="85" t="s">
        <v>217</v>
      </c>
      <c r="X2" s="85" t="s">
        <v>218</v>
      </c>
      <c r="Y2" s="86" t="s">
        <v>219</v>
      </c>
    </row>
    <row r="3" spans="1:25" x14ac:dyDescent="0.2">
      <c r="A3" s="87" t="s">
        <v>131</v>
      </c>
      <c r="B3" s="94">
        <v>0.997</v>
      </c>
      <c r="C3" s="88">
        <v>2E-3</v>
      </c>
      <c r="D3" s="88">
        <v>2.5000000000000001E-3</v>
      </c>
      <c r="E3" s="88">
        <v>2.9999999999999997E-4</v>
      </c>
      <c r="F3" s="88">
        <v>2.9999999999999997E-4</v>
      </c>
      <c r="G3" s="88">
        <v>2.9999999999999997E-4</v>
      </c>
      <c r="H3" s="88">
        <v>2.9999999999999997E-4</v>
      </c>
      <c r="I3" s="88">
        <v>2.9999999999999997E-4</v>
      </c>
      <c r="J3" s="88">
        <v>6.9999999999999999E-4</v>
      </c>
      <c r="K3" s="88">
        <v>2.9999999999999997E-4</v>
      </c>
      <c r="L3" s="89">
        <f>SUM(B3:K3)</f>
        <v>1.0039999999999998</v>
      </c>
      <c r="N3" s="87" t="s">
        <v>131</v>
      </c>
      <c r="O3" s="94">
        <f>B3</f>
        <v>0.997</v>
      </c>
      <c r="P3" s="94">
        <v>5.0000000000000001E-4</v>
      </c>
      <c r="Q3" s="94">
        <v>5.0000000000000001E-4</v>
      </c>
      <c r="R3" s="94">
        <v>4.0000000000000002E-4</v>
      </c>
      <c r="S3" s="94">
        <f>(1/$L$3)*0.0003</f>
        <v>2.9880478087649406E-4</v>
      </c>
      <c r="T3" s="94">
        <f>(1/$L$3)*0.0003</f>
        <v>2.9880478087649406E-4</v>
      </c>
      <c r="U3" s="95">
        <v>1.0000000000000001E-5</v>
      </c>
      <c r="V3" s="94">
        <f>(1/$L$3)*0.0003</f>
        <v>2.9880478087649406E-4</v>
      </c>
      <c r="W3" s="94">
        <v>4.0000000000000002E-4</v>
      </c>
      <c r="X3" s="94">
        <f>(1/$L$3)*0.0003</f>
        <v>2.9880478087649406E-4</v>
      </c>
      <c r="Y3" s="89">
        <f>SUM(O3:X3)</f>
        <v>1.0000052191235058</v>
      </c>
    </row>
    <row r="4" spans="1:25" x14ac:dyDescent="0.2">
      <c r="A4" s="87">
        <v>3003</v>
      </c>
      <c r="B4" s="88">
        <v>0.9708</v>
      </c>
      <c r="C4" s="88">
        <v>6.0000000000000001E-3</v>
      </c>
      <c r="D4" s="88">
        <v>7.0000000000000001E-3</v>
      </c>
      <c r="E4" s="88">
        <v>1.1999999999999999E-3</v>
      </c>
      <c r="F4" s="88">
        <v>1.2E-2</v>
      </c>
      <c r="G4" s="88">
        <v>5.0000000000000001E-4</v>
      </c>
      <c r="H4" s="88">
        <v>5.0000000000000001E-4</v>
      </c>
      <c r="I4" s="88">
        <v>5.0000000000000001E-4</v>
      </c>
      <c r="J4" s="88">
        <v>1E-3</v>
      </c>
      <c r="K4" s="88">
        <v>5.0000000000000001E-4</v>
      </c>
      <c r="L4" s="89">
        <f t="shared" ref="L4:L28" si="0">SUM(B4:K4)</f>
        <v>0.99999999999999978</v>
      </c>
      <c r="N4" s="87">
        <v>3003</v>
      </c>
      <c r="O4" s="88">
        <f>(1/$L$4)*0.9708</f>
        <v>0.97080000000000022</v>
      </c>
      <c r="P4" s="88">
        <f>(1/$L$4)*0.006</f>
        <v>6.0000000000000019E-3</v>
      </c>
      <c r="Q4" s="88">
        <f>(1/$L$4)*0.007</f>
        <v>7.0000000000000019E-3</v>
      </c>
      <c r="R4" s="88">
        <f>(1/$L$4)*0.0012</f>
        <v>1.2000000000000001E-3</v>
      </c>
      <c r="S4" s="88">
        <f>(1/$L$4)*0.012</f>
        <v>1.2000000000000004E-2</v>
      </c>
      <c r="T4" s="88">
        <f>(1/$L$4)*0.0005</f>
        <v>5.0000000000000012E-4</v>
      </c>
      <c r="U4" s="88">
        <f>(1/$L$4)*0.0005</f>
        <v>5.0000000000000012E-4</v>
      </c>
      <c r="V4" s="88">
        <f>(1/$L$4)*0.0005</f>
        <v>5.0000000000000012E-4</v>
      </c>
      <c r="W4" s="88">
        <f>(1/$L$4)*0.001</f>
        <v>1.0000000000000002E-3</v>
      </c>
      <c r="X4" s="88">
        <f>(1/$L$4)*0.0005</f>
        <v>5.0000000000000012E-4</v>
      </c>
      <c r="Y4" s="89">
        <f t="shared" ref="Y4:Y28" si="1">SUM(O4:X4)</f>
        <v>1</v>
      </c>
    </row>
    <row r="5" spans="1:25" x14ac:dyDescent="0.2">
      <c r="A5" s="87">
        <v>3103</v>
      </c>
      <c r="B5" s="88">
        <v>0.96750000000000003</v>
      </c>
      <c r="C5" s="88">
        <v>5.0000000000000001E-3</v>
      </c>
      <c r="D5" s="88">
        <v>7.0000000000000001E-3</v>
      </c>
      <c r="E5" s="88">
        <v>1E-3</v>
      </c>
      <c r="F5" s="88">
        <v>1.2E-2</v>
      </c>
      <c r="G5" s="88">
        <v>3.0000000000000001E-3</v>
      </c>
      <c r="H5" s="88">
        <v>1E-3</v>
      </c>
      <c r="I5" s="88">
        <v>5.0000000000000001E-4</v>
      </c>
      <c r="J5" s="88">
        <v>2E-3</v>
      </c>
      <c r="K5" s="88">
        <v>1E-3</v>
      </c>
      <c r="L5" s="89">
        <f t="shared" si="0"/>
        <v>1</v>
      </c>
      <c r="N5" s="87">
        <v>3103</v>
      </c>
      <c r="O5" s="88">
        <f>(1/$L$5)*0.9675</f>
        <v>0.96750000000000003</v>
      </c>
      <c r="P5" s="88">
        <f>(1/$L$5)*0.005</f>
        <v>5.0000000000000001E-3</v>
      </c>
      <c r="Q5" s="88">
        <f>(1/$L$5)*0.007</f>
        <v>7.0000000000000001E-3</v>
      </c>
      <c r="R5" s="88">
        <f>(1/$L$5)*0.001</f>
        <v>1E-3</v>
      </c>
      <c r="S5" s="88">
        <f>(1/$L$5)*0.012</f>
        <v>1.2E-2</v>
      </c>
      <c r="T5" s="88">
        <f>(1/$L$5)*0.003</f>
        <v>3.0000000000000001E-3</v>
      </c>
      <c r="U5" s="88">
        <f>(1/$L$5)*0.001</f>
        <v>1E-3</v>
      </c>
      <c r="V5" s="88">
        <f>(1/$L$5)*0.0005</f>
        <v>5.0000000000000001E-4</v>
      </c>
      <c r="W5" s="88">
        <f>(1/$L$5)*0.002</f>
        <v>2E-3</v>
      </c>
      <c r="X5" s="88">
        <f>(1/$L$5)*0.001</f>
        <v>1E-3</v>
      </c>
      <c r="Y5" s="89">
        <f t="shared" si="1"/>
        <v>1</v>
      </c>
    </row>
    <row r="6" spans="1:25" x14ac:dyDescent="0.2">
      <c r="A6" s="87">
        <v>4043</v>
      </c>
      <c r="B6" s="88">
        <v>0.93200000000000005</v>
      </c>
      <c r="C6" s="88">
        <v>5.1999999999999998E-2</v>
      </c>
      <c r="D6" s="88">
        <v>8.0000000000000002E-3</v>
      </c>
      <c r="E6" s="88">
        <v>3.0000000000000001E-3</v>
      </c>
      <c r="F6" s="88">
        <v>5.0000000000000001E-4</v>
      </c>
      <c r="G6" s="88">
        <v>5.0000000000000001E-4</v>
      </c>
      <c r="H6" s="88">
        <v>5.0000000000000001E-4</v>
      </c>
      <c r="I6" s="88">
        <v>5.0000000000000001E-4</v>
      </c>
      <c r="J6" s="88">
        <v>1E-3</v>
      </c>
      <c r="K6" s="88">
        <v>2E-3</v>
      </c>
      <c r="L6" s="89">
        <f t="shared" si="0"/>
        <v>0.99999999999999989</v>
      </c>
      <c r="N6" s="87">
        <v>4043</v>
      </c>
      <c r="O6" s="88">
        <f>(1/$L$6)*0.932</f>
        <v>0.93200000000000005</v>
      </c>
      <c r="P6" s="88">
        <f>(1/$L$6)*0.052</f>
        <v>5.1999999999999998E-2</v>
      </c>
      <c r="Q6" s="88">
        <f>(1/$L$6)*0.008</f>
        <v>8.0000000000000002E-3</v>
      </c>
      <c r="R6" s="88">
        <f>(1/$L$6)*0.003</f>
        <v>3.0000000000000001E-3</v>
      </c>
      <c r="S6" s="88">
        <f>(1/$L$6)*0.0005</f>
        <v>5.0000000000000001E-4</v>
      </c>
      <c r="T6" s="88">
        <f>(1/$L$6)*0.0005</f>
        <v>5.0000000000000001E-4</v>
      </c>
      <c r="U6" s="88">
        <f>(1/$L$6)*0.0005</f>
        <v>5.0000000000000001E-4</v>
      </c>
      <c r="V6" s="88">
        <f>(1/$L$6)*0.0005</f>
        <v>5.0000000000000001E-4</v>
      </c>
      <c r="W6" s="88">
        <f>(1/$L$6)*0.001</f>
        <v>1E-3</v>
      </c>
      <c r="X6" s="88">
        <f>(1/$L$6)*0.002</f>
        <v>2E-3</v>
      </c>
      <c r="Y6" s="89">
        <f t="shared" si="1"/>
        <v>0.99999999999999989</v>
      </c>
    </row>
    <row r="7" spans="1:25" x14ac:dyDescent="0.2">
      <c r="A7" s="87" t="s">
        <v>132</v>
      </c>
      <c r="B7" s="88">
        <v>0.97750000000000004</v>
      </c>
      <c r="C7" s="88">
        <v>3.0000000000000001E-3</v>
      </c>
      <c r="D7" s="88">
        <v>4.4999999999999997E-3</v>
      </c>
      <c r="E7" s="88">
        <v>5.0000000000000001E-4</v>
      </c>
      <c r="F7" s="88">
        <v>1.5E-3</v>
      </c>
      <c r="G7" s="88">
        <v>8.9999999999999993E-3</v>
      </c>
      <c r="H7" s="88">
        <v>1E-3</v>
      </c>
      <c r="I7" s="88">
        <v>5.0000000000000001E-4</v>
      </c>
      <c r="J7" s="88">
        <v>2E-3</v>
      </c>
      <c r="K7" s="88">
        <v>5.0000000000000001E-4</v>
      </c>
      <c r="L7" s="89">
        <f t="shared" si="0"/>
        <v>0.99999999999999978</v>
      </c>
      <c r="N7" s="87" t="s">
        <v>132</v>
      </c>
      <c r="O7" s="88">
        <f>(1/$L$7)*0.9775</f>
        <v>0.97750000000000026</v>
      </c>
      <c r="P7" s="88">
        <f>(1/$L$7)*0.003</f>
        <v>3.0000000000000009E-3</v>
      </c>
      <c r="Q7" s="88">
        <f>(1/$L$7)*0.0045</f>
        <v>4.5000000000000005E-3</v>
      </c>
      <c r="R7" s="88">
        <f>(1/$L$7)*0.0005</f>
        <v>5.0000000000000012E-4</v>
      </c>
      <c r="S7" s="88">
        <f>(1/$L$7)*0.0015</f>
        <v>1.5000000000000005E-3</v>
      </c>
      <c r="T7" s="88">
        <f>(1/$L$7)*0.009</f>
        <v>9.0000000000000011E-3</v>
      </c>
      <c r="U7" s="88">
        <f>(1/$L$7)*0.001</f>
        <v>1.0000000000000002E-3</v>
      </c>
      <c r="V7" s="88">
        <f>(1/$L$7)*0.0005</f>
        <v>5.0000000000000012E-4</v>
      </c>
      <c r="W7" s="88">
        <f>(1/$L$7)*0.002</f>
        <v>2.0000000000000005E-3</v>
      </c>
      <c r="X7" s="88">
        <f>(1/$L$7)*0.0005</f>
        <v>5.0000000000000012E-4</v>
      </c>
      <c r="Y7" s="89">
        <f t="shared" si="1"/>
        <v>1</v>
      </c>
    </row>
    <row r="8" spans="1:25" x14ac:dyDescent="0.2">
      <c r="A8" s="87">
        <v>5182</v>
      </c>
      <c r="B8" s="88">
        <v>0.9395</v>
      </c>
      <c r="C8" s="88">
        <v>2E-3</v>
      </c>
      <c r="D8" s="88">
        <v>3.5000000000000001E-3</v>
      </c>
      <c r="E8" s="88">
        <v>1.5E-3</v>
      </c>
      <c r="F8" s="88">
        <v>3.5000000000000001E-3</v>
      </c>
      <c r="G8" s="88">
        <v>4.4999999999999998E-2</v>
      </c>
      <c r="H8" s="88">
        <v>1E-3</v>
      </c>
      <c r="I8" s="88">
        <v>5.0000000000000001E-4</v>
      </c>
      <c r="J8" s="88">
        <v>2.5000000000000001E-3</v>
      </c>
      <c r="K8" s="88">
        <v>1E-3</v>
      </c>
      <c r="L8" s="89">
        <f t="shared" si="0"/>
        <v>0.99999999999999978</v>
      </c>
      <c r="N8" s="87">
        <v>5182</v>
      </c>
      <c r="O8" s="88">
        <f>(1/$L$8)*0.9395</f>
        <v>0.93950000000000022</v>
      </c>
      <c r="P8" s="88">
        <f>(1/$L$8)*0.002</f>
        <v>2.0000000000000005E-3</v>
      </c>
      <c r="Q8" s="88">
        <f>(1/$L$8)*0.0035</f>
        <v>3.5000000000000009E-3</v>
      </c>
      <c r="R8" s="88">
        <f>(1/$L$8)*0.0015</f>
        <v>1.5000000000000005E-3</v>
      </c>
      <c r="S8" s="88">
        <f>(1/$L$8)*0.0035</f>
        <v>3.5000000000000009E-3</v>
      </c>
      <c r="T8" s="88">
        <f>(1/$L$8)*0.045</f>
        <v>4.5000000000000005E-2</v>
      </c>
      <c r="U8" s="88">
        <f>(1/$L$8)*0.001</f>
        <v>1.0000000000000002E-3</v>
      </c>
      <c r="V8" s="88">
        <f>(1/$L$8)*0.0005</f>
        <v>5.0000000000000012E-4</v>
      </c>
      <c r="W8" s="88">
        <f>(1/$L$8)*0.0025</f>
        <v>2.5000000000000005E-3</v>
      </c>
      <c r="X8" s="88">
        <f>(1/$L$8)*0.001</f>
        <v>1.0000000000000002E-3</v>
      </c>
      <c r="Y8" s="89">
        <f t="shared" si="1"/>
        <v>1</v>
      </c>
    </row>
    <row r="9" spans="1:25" x14ac:dyDescent="0.2">
      <c r="A9" s="87">
        <v>5754</v>
      </c>
      <c r="B9" s="88">
        <v>0.95250000000000001</v>
      </c>
      <c r="C9" s="88">
        <v>4.0000000000000001E-3</v>
      </c>
      <c r="D9" s="88">
        <v>4.0000000000000001E-3</v>
      </c>
      <c r="E9" s="88">
        <v>1E-3</v>
      </c>
      <c r="F9" s="88">
        <v>2E-3</v>
      </c>
      <c r="G9" s="88">
        <v>3.1E-2</v>
      </c>
      <c r="H9" s="88">
        <v>1.5E-3</v>
      </c>
      <c r="I9" s="88">
        <v>5.0000000000000001E-4</v>
      </c>
      <c r="J9" s="88">
        <v>2E-3</v>
      </c>
      <c r="K9" s="88">
        <v>1.5E-3</v>
      </c>
      <c r="L9" s="89">
        <f t="shared" si="0"/>
        <v>0.99999999999999989</v>
      </c>
      <c r="N9" s="87">
        <v>5754</v>
      </c>
      <c r="O9" s="88">
        <f>(1/$L$9)*0.9525</f>
        <v>0.95250000000000001</v>
      </c>
      <c r="P9" s="88">
        <f>(1/$L$9)*0.004</f>
        <v>4.0000000000000001E-3</v>
      </c>
      <c r="Q9" s="88">
        <f>(1/$L$9)*0.004</f>
        <v>4.0000000000000001E-3</v>
      </c>
      <c r="R9" s="88">
        <f>(1/$L$9)*0.001</f>
        <v>1E-3</v>
      </c>
      <c r="S9" s="88">
        <f>(1/$L$9)*0.002</f>
        <v>2E-3</v>
      </c>
      <c r="T9" s="88">
        <f>(1/$L$9)*0.031</f>
        <v>3.1E-2</v>
      </c>
      <c r="U9" s="88">
        <f>(1/$L$9)*0.0015</f>
        <v>1.5E-3</v>
      </c>
      <c r="V9" s="88">
        <f>(1/$L$9)*0.0005</f>
        <v>5.0000000000000001E-4</v>
      </c>
      <c r="W9" s="88">
        <f>(1/$L$9)*0.002</f>
        <v>2E-3</v>
      </c>
      <c r="X9" s="88">
        <f>(1/$L$9)*0.0015</f>
        <v>1.5E-3</v>
      </c>
      <c r="Y9" s="89">
        <f t="shared" si="1"/>
        <v>0.99999999999999989</v>
      </c>
    </row>
    <row r="10" spans="1:25" x14ac:dyDescent="0.2">
      <c r="A10" s="87">
        <v>6008</v>
      </c>
      <c r="B10" s="88">
        <v>0.97150000000000003</v>
      </c>
      <c r="C10" s="88">
        <v>7.0000000000000001E-3</v>
      </c>
      <c r="D10" s="88">
        <v>3.5000000000000001E-3</v>
      </c>
      <c r="E10" s="88">
        <v>3.0000000000000001E-3</v>
      </c>
      <c r="F10" s="88">
        <v>3.0000000000000001E-3</v>
      </c>
      <c r="G10" s="88">
        <v>5.4999999999999997E-3</v>
      </c>
      <c r="H10" s="88">
        <v>3.0000000000000001E-3</v>
      </c>
      <c r="I10" s="88">
        <v>5.0000000000000001E-4</v>
      </c>
      <c r="J10" s="88">
        <v>2E-3</v>
      </c>
      <c r="K10" s="88">
        <v>1E-3</v>
      </c>
      <c r="L10" s="89">
        <f t="shared" si="0"/>
        <v>0.99999999999999989</v>
      </c>
      <c r="N10" s="87">
        <v>6008</v>
      </c>
      <c r="O10" s="88">
        <f>(1/$L$10)*0.9715</f>
        <v>0.97150000000000003</v>
      </c>
      <c r="P10" s="88">
        <f>(1/$L$10)*0.007</f>
        <v>7.0000000000000001E-3</v>
      </c>
      <c r="Q10" s="88">
        <f>(1/$L$10)*0.0035</f>
        <v>3.5000000000000001E-3</v>
      </c>
      <c r="R10" s="88">
        <f>(1/$L$10)*0.003</f>
        <v>3.0000000000000001E-3</v>
      </c>
      <c r="S10" s="88">
        <f>(1/$L$10)*0.003</f>
        <v>3.0000000000000001E-3</v>
      </c>
      <c r="T10" s="88">
        <f>(1/$L$10)*0.0055</f>
        <v>5.4999999999999997E-3</v>
      </c>
      <c r="U10" s="88">
        <f>(1/$L$10)*0.003</f>
        <v>3.0000000000000001E-3</v>
      </c>
      <c r="V10" s="88">
        <f>(1/$L$10)*0.0005</f>
        <v>5.0000000000000001E-4</v>
      </c>
      <c r="W10" s="88">
        <f>(1/$L$10)*0.002</f>
        <v>2E-3</v>
      </c>
      <c r="X10" s="88">
        <f>(1/$L$10)*0.001</f>
        <v>1E-3</v>
      </c>
      <c r="Y10" s="89">
        <f t="shared" si="1"/>
        <v>0.99999999999999989</v>
      </c>
    </row>
    <row r="11" spans="1:25" x14ac:dyDescent="0.2">
      <c r="A11" s="87">
        <v>6014</v>
      </c>
      <c r="B11" s="88">
        <v>0.9778</v>
      </c>
      <c r="C11" s="88">
        <v>4.4999999999999997E-3</v>
      </c>
      <c r="D11" s="88">
        <v>3.5000000000000001E-3</v>
      </c>
      <c r="E11" s="88">
        <v>2.5000000000000001E-3</v>
      </c>
      <c r="F11" s="88">
        <v>1.25E-3</v>
      </c>
      <c r="G11" s="88">
        <v>6.0000000000000001E-3</v>
      </c>
      <c r="H11" s="88">
        <v>2E-3</v>
      </c>
      <c r="I11" s="88">
        <v>5.0000000000000001E-4</v>
      </c>
      <c r="J11" s="88">
        <v>1E-3</v>
      </c>
      <c r="K11" s="88">
        <v>1E-3</v>
      </c>
      <c r="L11" s="89">
        <f t="shared" si="0"/>
        <v>1.0000499999999997</v>
      </c>
      <c r="N11" s="87">
        <v>6014</v>
      </c>
      <c r="O11" s="88">
        <f>(1/$L$11)*0.9778</f>
        <v>0.97775111244437807</v>
      </c>
      <c r="P11" s="88">
        <f>(1/$L$11)*0.0045</f>
        <v>4.4997750112494381E-3</v>
      </c>
      <c r="Q11" s="88">
        <f>(1/$L$11)*0.0035</f>
        <v>3.4998250087495638E-3</v>
      </c>
      <c r="R11" s="88">
        <f>(1/$L$11)*0.0025</f>
        <v>2.4998750062496882E-3</v>
      </c>
      <c r="S11" s="88">
        <f>(1/$L$11)*0.00125</f>
        <v>1.2499375031248441E-3</v>
      </c>
      <c r="T11" s="88">
        <f>(1/$L$11)*0.006</f>
        <v>5.999700014999252E-3</v>
      </c>
      <c r="U11" s="88">
        <f>(1/$L$11)*0.002</f>
        <v>1.9999000049997508E-3</v>
      </c>
      <c r="V11" s="88">
        <f>(1/$L$11)*0.0005</f>
        <v>4.999750012499377E-4</v>
      </c>
      <c r="W11" s="88">
        <f>(1/$L$11)*0.001</f>
        <v>9.9995000249987541E-4</v>
      </c>
      <c r="X11" s="88">
        <f>(1/$L$11)*0.001</f>
        <v>9.9995000249987541E-4</v>
      </c>
      <c r="Y11" s="89">
        <f t="shared" si="1"/>
        <v>1.0000000000000004</v>
      </c>
    </row>
    <row r="12" spans="1:25" x14ac:dyDescent="0.2">
      <c r="A12" s="87">
        <v>6016</v>
      </c>
      <c r="B12" s="88">
        <v>0.96930000000000005</v>
      </c>
      <c r="C12" s="88">
        <v>1.2500000000000001E-2</v>
      </c>
      <c r="D12" s="88">
        <v>5.0000000000000001E-3</v>
      </c>
      <c r="E12" s="88">
        <v>2E-3</v>
      </c>
      <c r="F12" s="88">
        <v>2E-3</v>
      </c>
      <c r="G12" s="88">
        <v>4.2500000000000003E-3</v>
      </c>
      <c r="H12" s="88">
        <v>1E-3</v>
      </c>
      <c r="I12" s="88">
        <v>5.0000000000000001E-4</v>
      </c>
      <c r="J12" s="88">
        <v>2E-3</v>
      </c>
      <c r="K12" s="88">
        <v>1.5E-3</v>
      </c>
      <c r="L12" s="89">
        <f t="shared" si="0"/>
        <v>1.0000499999999999</v>
      </c>
      <c r="N12" s="87">
        <v>6016</v>
      </c>
      <c r="O12" s="88">
        <f>(1/$L$12)*0.9693</f>
        <v>0.96925153742312897</v>
      </c>
      <c r="P12" s="88">
        <f>(1/$L$12)*0.0125</f>
        <v>1.249937503124844E-2</v>
      </c>
      <c r="Q12" s="88">
        <f>(1/$L$12)*0.005</f>
        <v>4.9997500124993755E-3</v>
      </c>
      <c r="R12" s="88">
        <f>(1/$L$12)*0.002</f>
        <v>1.9999000049997504E-3</v>
      </c>
      <c r="S12" s="88">
        <f>(1/$L$12)*0.002</f>
        <v>1.9999000049997504E-3</v>
      </c>
      <c r="T12" s="88">
        <f>(1/$L$12)*0.00425</f>
        <v>4.2497875106244695E-3</v>
      </c>
      <c r="U12" s="88">
        <f>(1/$L$12)*0.001</f>
        <v>9.9995000249987519E-4</v>
      </c>
      <c r="V12" s="88">
        <f>(1/$L$12)*0.0005</f>
        <v>4.999750012499376E-4</v>
      </c>
      <c r="W12" s="88">
        <f>(1/$L$12)*0.002</f>
        <v>1.9999000049997504E-3</v>
      </c>
      <c r="X12" s="88">
        <f>(1/$L$12)*0.0015</f>
        <v>1.4999250037498126E-3</v>
      </c>
      <c r="Y12" s="89">
        <f t="shared" si="1"/>
        <v>1</v>
      </c>
    </row>
    <row r="13" spans="1:25" x14ac:dyDescent="0.2">
      <c r="A13" s="87">
        <v>6060</v>
      </c>
      <c r="B13" s="88">
        <v>0.98319999999999996</v>
      </c>
      <c r="C13" s="88">
        <v>4.4999999999999997E-3</v>
      </c>
      <c r="D13" s="88">
        <v>2E-3</v>
      </c>
      <c r="E13" s="88">
        <v>1E-3</v>
      </c>
      <c r="F13" s="88">
        <v>1E-3</v>
      </c>
      <c r="G13" s="88">
        <v>4.7999999999999996E-3</v>
      </c>
      <c r="H13" s="88">
        <v>5.0000000000000001E-4</v>
      </c>
      <c r="I13" s="88">
        <v>5.0000000000000001E-4</v>
      </c>
      <c r="J13" s="88">
        <v>1.5E-3</v>
      </c>
      <c r="K13" s="88">
        <v>1E-3</v>
      </c>
      <c r="L13" s="89">
        <f t="shared" si="0"/>
        <v>0.99999999999999978</v>
      </c>
      <c r="N13" s="87">
        <v>6060</v>
      </c>
      <c r="O13" s="88">
        <f>(1/$L$13)*0.9832</f>
        <v>0.98320000000000018</v>
      </c>
      <c r="P13" s="88">
        <f>(1/$L$13)*0.0045</f>
        <v>4.5000000000000005E-3</v>
      </c>
      <c r="Q13" s="88">
        <f>(1/$L$13)*0.002</f>
        <v>2.0000000000000005E-3</v>
      </c>
      <c r="R13" s="88">
        <f>(1/$L$13)*0.001</f>
        <v>1.0000000000000002E-3</v>
      </c>
      <c r="S13" s="88">
        <f>(1/$L$13)*0.001</f>
        <v>1.0000000000000002E-3</v>
      </c>
      <c r="T13" s="88">
        <f>(1/$L$13)*0.0048</f>
        <v>4.8000000000000004E-3</v>
      </c>
      <c r="U13" s="88">
        <f>(1/$L$13)*0.0005</f>
        <v>5.0000000000000012E-4</v>
      </c>
      <c r="V13" s="88">
        <f>(1/$L$13)*0.0005</f>
        <v>5.0000000000000012E-4</v>
      </c>
      <c r="W13" s="88">
        <f>(1/$L$13)*0.0015</f>
        <v>1.5000000000000005E-3</v>
      </c>
      <c r="X13" s="88">
        <f>(1/$L$13)*0.001</f>
        <v>1.0000000000000002E-3</v>
      </c>
      <c r="Y13" s="89">
        <f t="shared" si="1"/>
        <v>1</v>
      </c>
    </row>
    <row r="14" spans="1:25" x14ac:dyDescent="0.2">
      <c r="A14" s="12">
        <v>6061</v>
      </c>
      <c r="B14" s="88">
        <v>0.96619999999999995</v>
      </c>
      <c r="C14" s="88">
        <v>6.0000000000000001E-3</v>
      </c>
      <c r="D14" s="88">
        <v>7.0000000000000001E-3</v>
      </c>
      <c r="E14" s="88">
        <v>2.8E-3</v>
      </c>
      <c r="F14" s="88">
        <v>1.5E-3</v>
      </c>
      <c r="G14" s="88">
        <v>0.01</v>
      </c>
      <c r="H14" s="88">
        <v>2E-3</v>
      </c>
      <c r="I14" s="88">
        <v>5.0000000000000001E-4</v>
      </c>
      <c r="J14" s="88">
        <v>2.5000000000000001E-3</v>
      </c>
      <c r="K14" s="88">
        <v>1.5E-3</v>
      </c>
      <c r="L14" s="89">
        <f t="shared" si="0"/>
        <v>0.99999999999999978</v>
      </c>
      <c r="N14" s="12">
        <v>6061</v>
      </c>
      <c r="O14" s="88">
        <f>(1/$L$14)*0.9662</f>
        <v>0.96620000000000017</v>
      </c>
      <c r="P14" s="88">
        <f>(1/$L$14)*0.006</f>
        <v>6.0000000000000019E-3</v>
      </c>
      <c r="Q14" s="88">
        <f>(1/$L$14)*0.007</f>
        <v>7.0000000000000019E-3</v>
      </c>
      <c r="R14" s="88">
        <f>(1/$L$14)*0.0028</f>
        <v>2.8000000000000004E-3</v>
      </c>
      <c r="S14" s="88">
        <f>(1/$L$14)*0.0015</f>
        <v>1.5000000000000005E-3</v>
      </c>
      <c r="T14" s="88">
        <f>(1/$L$14)*0.01</f>
        <v>1.0000000000000002E-2</v>
      </c>
      <c r="U14" s="88">
        <f>(1/$L$14)*0.002</f>
        <v>2.0000000000000005E-3</v>
      </c>
      <c r="V14" s="88">
        <f>(1/$L$14)*0.0005</f>
        <v>5.0000000000000012E-4</v>
      </c>
      <c r="W14" s="88">
        <f>(1/$L$14)*0.0025</f>
        <v>2.5000000000000005E-3</v>
      </c>
      <c r="X14" s="88">
        <f>(1/$L$14)*0.0015</f>
        <v>1.5000000000000005E-3</v>
      </c>
      <c r="Y14" s="89">
        <f t="shared" si="1"/>
        <v>1</v>
      </c>
    </row>
    <row r="15" spans="1:25" x14ac:dyDescent="0.2">
      <c r="A15" s="87">
        <v>6063</v>
      </c>
      <c r="B15" s="88">
        <v>0.98</v>
      </c>
      <c r="C15" s="88">
        <v>4.0000000000000001E-3</v>
      </c>
      <c r="D15" s="88">
        <v>3.5000000000000001E-3</v>
      </c>
      <c r="E15" s="88">
        <v>1E-3</v>
      </c>
      <c r="F15" s="88">
        <v>1E-3</v>
      </c>
      <c r="G15" s="88">
        <v>7.0000000000000001E-3</v>
      </c>
      <c r="H15" s="88">
        <v>1E-3</v>
      </c>
      <c r="I15" s="88">
        <v>5.0000000000000001E-4</v>
      </c>
      <c r="J15" s="88">
        <v>1E-3</v>
      </c>
      <c r="K15" s="88">
        <v>1E-3</v>
      </c>
      <c r="L15" s="89">
        <f t="shared" si="0"/>
        <v>0.99999999999999989</v>
      </c>
      <c r="N15" s="87">
        <v>6063</v>
      </c>
      <c r="O15" s="88">
        <f>(1/$L$15)*0.98</f>
        <v>0.98</v>
      </c>
      <c r="P15" s="88">
        <f>(1/$L$15)*0.004</f>
        <v>4.0000000000000001E-3</v>
      </c>
      <c r="Q15" s="88">
        <f>(1/$L$15)*0.0035</f>
        <v>3.5000000000000001E-3</v>
      </c>
      <c r="R15" s="88">
        <f>(1/$L$15)*0.001</f>
        <v>1E-3</v>
      </c>
      <c r="S15" s="88">
        <f>(1/$L$15)*0.001</f>
        <v>1E-3</v>
      </c>
      <c r="T15" s="88">
        <f>(1/$L$15)*0.007</f>
        <v>7.0000000000000001E-3</v>
      </c>
      <c r="U15" s="88">
        <f>(1/$L$15)*0.001</f>
        <v>1E-3</v>
      </c>
      <c r="V15" s="88">
        <f>(1/$L$15)*0.0005</f>
        <v>5.0000000000000001E-4</v>
      </c>
      <c r="W15" s="88">
        <f>(1/$L$15)*0.001</f>
        <v>1E-3</v>
      </c>
      <c r="X15" s="88">
        <f>(1/$L$15)*0.001</f>
        <v>1E-3</v>
      </c>
      <c r="Y15" s="89">
        <f t="shared" si="1"/>
        <v>0.99999999999999989</v>
      </c>
    </row>
    <row r="16" spans="1:25" x14ac:dyDescent="0.2">
      <c r="A16" s="87">
        <v>6082</v>
      </c>
      <c r="B16" s="88">
        <v>0.96199999999999997</v>
      </c>
      <c r="C16" s="88">
        <v>0.01</v>
      </c>
      <c r="D16" s="88">
        <v>5.0000000000000001E-3</v>
      </c>
      <c r="E16" s="88">
        <v>1E-3</v>
      </c>
      <c r="F16" s="88">
        <v>7.0000000000000001E-3</v>
      </c>
      <c r="G16" s="88">
        <v>8.9999999999999993E-3</v>
      </c>
      <c r="H16" s="88">
        <v>2.5000000000000001E-3</v>
      </c>
      <c r="I16" s="88">
        <v>5.0000000000000001E-4</v>
      </c>
      <c r="J16" s="88">
        <v>2E-3</v>
      </c>
      <c r="K16" s="88">
        <v>1E-3</v>
      </c>
      <c r="L16" s="89">
        <f t="shared" si="0"/>
        <v>0.99999999999999989</v>
      </c>
      <c r="N16" s="87">
        <v>6082</v>
      </c>
      <c r="O16" s="88">
        <f>(1/$L$16)*0.962</f>
        <v>0.96199999999999997</v>
      </c>
      <c r="P16" s="88">
        <f>(1/$L$16)*0.01</f>
        <v>0.01</v>
      </c>
      <c r="Q16" s="88">
        <f>(1/$L$16)*0.005</f>
        <v>5.0000000000000001E-3</v>
      </c>
      <c r="R16" s="88">
        <f>(1/$L$16)*0.001</f>
        <v>1E-3</v>
      </c>
      <c r="S16" s="88">
        <f>(1/$L$16)*0.007</f>
        <v>7.0000000000000001E-3</v>
      </c>
      <c r="T16" s="88">
        <f>(1/$L$16)*0.009</f>
        <v>8.9999999999999993E-3</v>
      </c>
      <c r="U16" s="88">
        <f>(1/$L$16)*0.0025</f>
        <v>2.5000000000000001E-3</v>
      </c>
      <c r="V16" s="88">
        <f>(1/$L$16)*0.0005</f>
        <v>5.0000000000000001E-4</v>
      </c>
      <c r="W16" s="88">
        <f>(1/$L$16)*0.002</f>
        <v>2E-3</v>
      </c>
      <c r="X16" s="88">
        <f>(1/$L$16)*0.001</f>
        <v>1E-3</v>
      </c>
      <c r="Y16" s="89">
        <f t="shared" si="1"/>
        <v>0.99999999999999989</v>
      </c>
    </row>
    <row r="17" spans="1:25" x14ac:dyDescent="0.2">
      <c r="A17" s="87">
        <v>6111</v>
      </c>
      <c r="B17" s="88">
        <v>0.96619999999999995</v>
      </c>
      <c r="C17" s="88">
        <v>8.5000000000000006E-3</v>
      </c>
      <c r="D17" s="88">
        <v>4.0000000000000001E-3</v>
      </c>
      <c r="E17" s="88">
        <v>7.0000000000000001E-3</v>
      </c>
      <c r="F17" s="88">
        <v>2.8E-3</v>
      </c>
      <c r="G17" s="88">
        <v>7.4999999999999997E-3</v>
      </c>
      <c r="H17" s="88">
        <v>1E-3</v>
      </c>
      <c r="I17" s="88">
        <v>5.0000000000000001E-4</v>
      </c>
      <c r="J17" s="88">
        <v>1.5E-3</v>
      </c>
      <c r="K17" s="88">
        <v>1E-3</v>
      </c>
      <c r="L17" s="89">
        <f t="shared" si="0"/>
        <v>0.99999999999999978</v>
      </c>
      <c r="N17" s="87">
        <v>6111</v>
      </c>
      <c r="O17" s="88">
        <f>(1/$L$17)*0.9662</f>
        <v>0.96620000000000017</v>
      </c>
      <c r="P17" s="88">
        <f>(1/$L$17)*0.0085</f>
        <v>8.5000000000000023E-3</v>
      </c>
      <c r="Q17" s="88">
        <f>(1/$L$17)*0.004</f>
        <v>4.000000000000001E-3</v>
      </c>
      <c r="R17" s="88">
        <f>(1/$L$17)*0.007</f>
        <v>7.0000000000000019E-3</v>
      </c>
      <c r="S17" s="88">
        <f>(1/$L$17)*0.0028</f>
        <v>2.8000000000000004E-3</v>
      </c>
      <c r="T17" s="88">
        <f>(1/$L$17)*0.0075</f>
        <v>7.5000000000000015E-3</v>
      </c>
      <c r="U17" s="88">
        <f>(1/$L$17)*0.001</f>
        <v>1.0000000000000002E-3</v>
      </c>
      <c r="V17" s="88">
        <f>(1/$L$17)*0.0005</f>
        <v>5.0000000000000012E-4</v>
      </c>
      <c r="W17" s="88">
        <f>(1/$L$17)*0.0015</f>
        <v>1.5000000000000005E-3</v>
      </c>
      <c r="X17" s="88">
        <f>(1/$L$17)*0.001</f>
        <v>1.0000000000000002E-3</v>
      </c>
      <c r="Y17" s="89">
        <f t="shared" si="1"/>
        <v>1</v>
      </c>
    </row>
    <row r="18" spans="1:25" x14ac:dyDescent="0.2">
      <c r="A18" s="53" t="s">
        <v>133</v>
      </c>
      <c r="B18" s="88">
        <v>0.96579999999999999</v>
      </c>
      <c r="C18" s="88">
        <v>8.9999999999999993E-3</v>
      </c>
      <c r="D18" s="88">
        <v>3.3E-3</v>
      </c>
      <c r="E18" s="88">
        <v>2.5000000000000001E-3</v>
      </c>
      <c r="F18" s="88">
        <v>4.0000000000000001E-3</v>
      </c>
      <c r="G18" s="88">
        <v>8.0000000000000002E-3</v>
      </c>
      <c r="H18" s="88">
        <v>1.5E-3</v>
      </c>
      <c r="I18" s="88">
        <v>5.0000000000000001E-4</v>
      </c>
      <c r="J18" s="88">
        <v>3.0000000000000001E-3</v>
      </c>
      <c r="K18" s="88">
        <v>2.5000000000000001E-3</v>
      </c>
      <c r="L18" s="89">
        <f t="shared" si="0"/>
        <v>1.0000999999999998</v>
      </c>
      <c r="N18" s="53" t="s">
        <v>133</v>
      </c>
      <c r="O18" s="88">
        <f>(1/$L$18)*0.9658</f>
        <v>0.96570342965703448</v>
      </c>
      <c r="P18" s="88">
        <f>(1/$L$18)*0.009</f>
        <v>8.999100089991002E-3</v>
      </c>
      <c r="Q18" s="88">
        <f>(1/$L$18)*0.0033</f>
        <v>3.2996700329967011E-3</v>
      </c>
      <c r="R18" s="88">
        <f>(1/$L$18)*0.0025</f>
        <v>2.4997500249975008E-3</v>
      </c>
      <c r="S18" s="88">
        <f>(1/$L$18)*0.004</f>
        <v>3.9996000399960012E-3</v>
      </c>
      <c r="T18" s="88">
        <f>(1/$L$18)*0.008</f>
        <v>7.9992000799920023E-3</v>
      </c>
      <c r="U18" s="88">
        <f>(1/$L$18)*0.0015</f>
        <v>1.4998500149985005E-3</v>
      </c>
      <c r="V18" s="88">
        <f>(1/$L$18)*0.0005</f>
        <v>4.9995000499950014E-4</v>
      </c>
      <c r="W18" s="88">
        <f>(1/$L$18)*0.003</f>
        <v>2.9997000299970011E-3</v>
      </c>
      <c r="X18" s="88">
        <f>(1/$L$18)*0.0025</f>
        <v>2.4997500249975008E-3</v>
      </c>
      <c r="Y18" s="89">
        <f t="shared" si="1"/>
        <v>1.0000000000000002</v>
      </c>
    </row>
    <row r="19" spans="1:25" x14ac:dyDescent="0.2">
      <c r="A19" s="90">
        <v>7020</v>
      </c>
      <c r="B19" s="91">
        <v>0.9274</v>
      </c>
      <c r="C19" s="91">
        <v>3.5000000000000001E-3</v>
      </c>
      <c r="D19" s="91">
        <v>4.0000000000000001E-3</v>
      </c>
      <c r="E19" s="91">
        <v>2E-3</v>
      </c>
      <c r="F19" s="91">
        <v>2.7499999999999998E-3</v>
      </c>
      <c r="G19" s="91">
        <v>1.2E-2</v>
      </c>
      <c r="H19" s="91">
        <v>2.2499999999999998E-3</v>
      </c>
      <c r="I19" s="91">
        <v>5.0000000000000001E-4</v>
      </c>
      <c r="J19" s="91">
        <v>4.4999999999999998E-2</v>
      </c>
      <c r="K19" s="91">
        <v>5.9999999999999995E-4</v>
      </c>
      <c r="L19" s="92">
        <f t="shared" si="0"/>
        <v>1</v>
      </c>
      <c r="N19" s="90">
        <v>7020</v>
      </c>
      <c r="O19" s="91">
        <f>(1/$L$19)*0.9274</f>
        <v>0.9274</v>
      </c>
      <c r="P19" s="91">
        <f>(1/$L$19)*0.0035</f>
        <v>3.5000000000000001E-3</v>
      </c>
      <c r="Q19" s="91">
        <f>(1/$L$19)*0.004</f>
        <v>4.0000000000000001E-3</v>
      </c>
      <c r="R19" s="91">
        <f>(1/$L$19)*0.002</f>
        <v>2E-3</v>
      </c>
      <c r="S19" s="91">
        <f>(1/$L$19)*0.00275</f>
        <v>2.7499999999999998E-3</v>
      </c>
      <c r="T19" s="91">
        <f>(1/$L$19)*0.012</f>
        <v>1.2E-2</v>
      </c>
      <c r="U19" s="91">
        <f>(1/$L$19)*0.00225</f>
        <v>2.2499999999999998E-3</v>
      </c>
      <c r="V19" s="91">
        <f>(1/$L$19)*0.0005</f>
        <v>5.0000000000000001E-4</v>
      </c>
      <c r="W19" s="91">
        <f>(1/$L$19)*0.045</f>
        <v>4.4999999999999998E-2</v>
      </c>
      <c r="X19" s="91">
        <f>(1/$L$19)*0.0006</f>
        <v>5.9999999999999995E-4</v>
      </c>
      <c r="Y19" s="92">
        <f t="shared" si="1"/>
        <v>1</v>
      </c>
    </row>
    <row r="20" spans="1:25" x14ac:dyDescent="0.2">
      <c r="A20" s="77">
        <v>301</v>
      </c>
      <c r="B20" s="88">
        <v>0.83050000000000002</v>
      </c>
      <c r="C20" s="88">
        <v>0.1</v>
      </c>
      <c r="D20" s="88">
        <v>1.15E-2</v>
      </c>
      <c r="E20" s="88">
        <v>3.2500000000000001E-2</v>
      </c>
      <c r="F20" s="88">
        <v>6.4999999999999997E-3</v>
      </c>
      <c r="G20" s="88">
        <v>3.7499999999999999E-3</v>
      </c>
      <c r="H20" s="88">
        <v>2.9999999999999997E-4</v>
      </c>
      <c r="I20" s="88">
        <v>1.2500000000000001E-2</v>
      </c>
      <c r="J20" s="88">
        <v>5.0000000000000001E-4</v>
      </c>
      <c r="K20" s="88">
        <v>2E-3</v>
      </c>
      <c r="L20" s="89">
        <f t="shared" si="0"/>
        <v>1.0000499999999997</v>
      </c>
      <c r="N20" s="77">
        <v>301</v>
      </c>
      <c r="O20" s="88">
        <f>(1/$L$20)*0.8305</f>
        <v>0.83045847707614651</v>
      </c>
      <c r="P20" s="88">
        <f>(1/$L$20)*0.1</f>
        <v>9.9995000249987531E-2</v>
      </c>
      <c r="Q20" s="88">
        <f>(1/$L$20)*0.0115</f>
        <v>1.1499425028748567E-2</v>
      </c>
      <c r="R20" s="88">
        <f>(1/$L$20)*0.0325</f>
        <v>3.249837508124595E-2</v>
      </c>
      <c r="S20" s="88">
        <f>(1/$L$20)*0.0065</f>
        <v>6.4996750162491894E-3</v>
      </c>
      <c r="T20" s="88">
        <f>(1/$L$20)*0.00375</f>
        <v>3.7498125093745321E-3</v>
      </c>
      <c r="U20" s="88">
        <f>(1/$L$20)*0.0003</f>
        <v>2.9998500074996255E-4</v>
      </c>
      <c r="V20" s="88">
        <f>(1/$L$20)*0.0125</f>
        <v>1.2499375031248441E-2</v>
      </c>
      <c r="W20" s="88">
        <f>(1/$L$20)*0.0005</f>
        <v>4.999750012499377E-4</v>
      </c>
      <c r="X20" s="88">
        <f>(1/$L$20)*0.002</f>
        <v>1.9999000049997508E-3</v>
      </c>
      <c r="Y20" s="89">
        <f t="shared" si="1"/>
        <v>1.0000000000000004</v>
      </c>
    </row>
    <row r="21" spans="1:25" x14ac:dyDescent="0.2">
      <c r="A21" s="77">
        <v>319</v>
      </c>
      <c r="B21" s="88">
        <v>0.86799999999999999</v>
      </c>
      <c r="C21" s="88">
        <v>0.06</v>
      </c>
      <c r="D21" s="88">
        <v>0.01</v>
      </c>
      <c r="E21" s="88">
        <v>3.5000000000000003E-2</v>
      </c>
      <c r="F21" s="88">
        <v>5.0000000000000001E-3</v>
      </c>
      <c r="G21" s="88">
        <v>1E-3</v>
      </c>
      <c r="H21" s="88">
        <v>5.0000000000000001E-3</v>
      </c>
      <c r="I21" s="88">
        <v>3.5000000000000001E-3</v>
      </c>
      <c r="J21" s="88">
        <v>0.01</v>
      </c>
      <c r="K21" s="88">
        <v>2.5000000000000001E-3</v>
      </c>
      <c r="L21" s="89">
        <f t="shared" si="0"/>
        <v>0.99999999999999989</v>
      </c>
      <c r="N21" s="77">
        <v>319</v>
      </c>
      <c r="O21" s="88">
        <f>(1/$L$21)*0.868</f>
        <v>0.86799999999999999</v>
      </c>
      <c r="P21" s="88">
        <f>(1/$L$21)*0.06</f>
        <v>0.06</v>
      </c>
      <c r="Q21" s="88">
        <f>(1/$L$21)*0.01</f>
        <v>0.01</v>
      </c>
      <c r="R21" s="88">
        <f>(1/$L$21)*0.035</f>
        <v>3.5000000000000003E-2</v>
      </c>
      <c r="S21" s="88">
        <f>(1/$L$21)*0.005</f>
        <v>5.0000000000000001E-3</v>
      </c>
      <c r="T21" s="88">
        <f>(1/$L$21)*0.001</f>
        <v>1E-3</v>
      </c>
      <c r="U21" s="88">
        <f>(1/$L$21)*0.005</f>
        <v>5.0000000000000001E-3</v>
      </c>
      <c r="V21" s="88">
        <f>(1/$L$21)*0.0035</f>
        <v>3.5000000000000001E-3</v>
      </c>
      <c r="W21" s="88">
        <f>(1/$L$21)*0.01</f>
        <v>0.01</v>
      </c>
      <c r="X21" s="88">
        <f>(1/$L$21)*0.0025</f>
        <v>2.5000000000000001E-3</v>
      </c>
      <c r="Y21" s="89">
        <f t="shared" si="1"/>
        <v>0.99999999999999989</v>
      </c>
    </row>
    <row r="22" spans="1:25" x14ac:dyDescent="0.2">
      <c r="A22" s="77">
        <v>383</v>
      </c>
      <c r="B22" s="88">
        <v>0.80800000000000005</v>
      </c>
      <c r="C22" s="88">
        <v>0.105</v>
      </c>
      <c r="D22" s="88">
        <v>1.2999999999999999E-2</v>
      </c>
      <c r="E22" s="88">
        <v>2.5000000000000001E-2</v>
      </c>
      <c r="F22" s="88">
        <v>5.0000000000000001E-3</v>
      </c>
      <c r="G22" s="88">
        <v>1E-3</v>
      </c>
      <c r="H22" s="88">
        <v>5.0000000000000001E-3</v>
      </c>
      <c r="I22" s="88">
        <v>3.0000000000000001E-3</v>
      </c>
      <c r="J22" s="88">
        <v>0.03</v>
      </c>
      <c r="K22" s="88">
        <v>5.0000000000000001E-3</v>
      </c>
      <c r="L22" s="89">
        <f t="shared" si="0"/>
        <v>1</v>
      </c>
      <c r="N22" s="77">
        <v>383</v>
      </c>
      <c r="O22" s="88">
        <f>(1/$L$22)*0.808</f>
        <v>0.80800000000000005</v>
      </c>
      <c r="P22" s="88">
        <f>(1/$L$22)*0.105</f>
        <v>0.105</v>
      </c>
      <c r="Q22" s="88">
        <f>(1/$L$22)*0.013</f>
        <v>1.2999999999999999E-2</v>
      </c>
      <c r="R22" s="88">
        <f>(1/$L$22)*0.025</f>
        <v>2.5000000000000001E-2</v>
      </c>
      <c r="S22" s="88">
        <f>(1/$L$22)*0.005</f>
        <v>5.0000000000000001E-3</v>
      </c>
      <c r="T22" s="88">
        <f>(1/$L$22)*0.001</f>
        <v>1E-3</v>
      </c>
      <c r="U22" s="88">
        <f>(1/$L$22)*0.005</f>
        <v>5.0000000000000001E-3</v>
      </c>
      <c r="V22" s="88">
        <f>(1/$L$22)*0.003</f>
        <v>3.0000000000000001E-3</v>
      </c>
      <c r="W22" s="88">
        <f>(1/$L$22)*0.03</f>
        <v>0.03</v>
      </c>
      <c r="X22" s="88">
        <f>(1/$L$22)*0.005</f>
        <v>5.0000000000000001E-3</v>
      </c>
      <c r="Y22" s="89">
        <f t="shared" si="1"/>
        <v>1</v>
      </c>
    </row>
    <row r="23" spans="1:25" x14ac:dyDescent="0.2">
      <c r="A23" s="77" t="s">
        <v>134</v>
      </c>
      <c r="B23" s="88">
        <v>0.91749999999999998</v>
      </c>
      <c r="C23" s="88">
        <v>7.0000000000000007E-2</v>
      </c>
      <c r="D23" s="88">
        <v>2E-3</v>
      </c>
      <c r="E23" s="88">
        <v>2E-3</v>
      </c>
      <c r="F23" s="88">
        <v>1E-3</v>
      </c>
      <c r="G23" s="88">
        <v>3.5000000000000001E-3</v>
      </c>
      <c r="H23" s="88">
        <v>5.0000000000000001E-4</v>
      </c>
      <c r="I23" s="88">
        <v>5.0000000000000001E-4</v>
      </c>
      <c r="J23" s="88">
        <v>1E-3</v>
      </c>
      <c r="K23" s="88">
        <v>2E-3</v>
      </c>
      <c r="L23" s="89">
        <f t="shared" si="0"/>
        <v>0.99999999999999989</v>
      </c>
      <c r="N23" s="77" t="s">
        <v>134</v>
      </c>
      <c r="O23" s="88">
        <f>(1/$L$23)*0.9175</f>
        <v>0.91749999999999998</v>
      </c>
      <c r="P23" s="88">
        <f>(1/$L$23)*0.07</f>
        <v>7.0000000000000007E-2</v>
      </c>
      <c r="Q23" s="88">
        <f>(1/$L$23)*0.002</f>
        <v>2E-3</v>
      </c>
      <c r="R23" s="88">
        <f>(1/$L$23)*0.002</f>
        <v>2E-3</v>
      </c>
      <c r="S23" s="88">
        <f>(1/$L$23)*0.001</f>
        <v>1E-3</v>
      </c>
      <c r="T23" s="88">
        <f>(1/$L$23)*0.0035</f>
        <v>3.5000000000000001E-3</v>
      </c>
      <c r="U23" s="88">
        <f>(1/$L$23)*0.0005</f>
        <v>5.0000000000000001E-4</v>
      </c>
      <c r="V23" s="88">
        <f>(1/$L$23)*0.0005</f>
        <v>5.0000000000000001E-4</v>
      </c>
      <c r="W23" s="88">
        <f>(1/$L$23)*0.001</f>
        <v>1E-3</v>
      </c>
      <c r="X23" s="88">
        <f>(1/$L$23)*0.002</f>
        <v>2E-3</v>
      </c>
      <c r="Y23" s="89">
        <f t="shared" si="1"/>
        <v>0.99999999999999989</v>
      </c>
    </row>
    <row r="24" spans="1:25" x14ac:dyDescent="0.2">
      <c r="A24" s="77" t="s">
        <v>135</v>
      </c>
      <c r="B24" s="88">
        <v>0.91700000000000004</v>
      </c>
      <c r="C24" s="88">
        <v>7.0000000000000007E-2</v>
      </c>
      <c r="D24" s="88">
        <v>2E-3</v>
      </c>
      <c r="E24" s="88">
        <v>2E-3</v>
      </c>
      <c r="F24" s="88">
        <v>2.9999999999999997E-4</v>
      </c>
      <c r="G24" s="88">
        <v>5.4999999999999997E-3</v>
      </c>
      <c r="H24" s="88">
        <v>5.0000000000000001E-4</v>
      </c>
      <c r="I24" s="88">
        <v>5.0000000000000001E-4</v>
      </c>
      <c r="J24" s="88">
        <v>1E-3</v>
      </c>
      <c r="K24" s="88">
        <v>1.1999999999999999E-3</v>
      </c>
      <c r="L24" s="89">
        <f t="shared" si="0"/>
        <v>0.99999999999999989</v>
      </c>
      <c r="N24" s="77" t="s">
        <v>135</v>
      </c>
      <c r="O24" s="88">
        <f>(1/$L$24)*0.917</f>
        <v>0.91700000000000004</v>
      </c>
      <c r="P24" s="88">
        <f>(1/$L$24)*0.07</f>
        <v>7.0000000000000007E-2</v>
      </c>
      <c r="Q24" s="88">
        <f>(1/$L$24)*0.002</f>
        <v>2E-3</v>
      </c>
      <c r="R24" s="88">
        <f>(1/$L$24)*0.002</f>
        <v>2E-3</v>
      </c>
      <c r="S24" s="88">
        <f>(1/$L$24)*0.0003</f>
        <v>2.9999999999999997E-4</v>
      </c>
      <c r="T24" s="88">
        <f>(1/$L$24)*0.0055</f>
        <v>5.4999999999999997E-3</v>
      </c>
      <c r="U24" s="88">
        <f>(1/$L$24)*0.0005</f>
        <v>5.0000000000000001E-4</v>
      </c>
      <c r="V24" s="88">
        <f>(1/$L$24)*0.0005</f>
        <v>5.0000000000000001E-4</v>
      </c>
      <c r="W24" s="88">
        <f>(1/$L$24)*0.001</f>
        <v>1E-3</v>
      </c>
      <c r="X24" s="88">
        <f>(1/$L$24)*0.0012</f>
        <v>1.1999999999999999E-3</v>
      </c>
      <c r="Y24" s="89">
        <f t="shared" si="1"/>
        <v>0.99999999999999989</v>
      </c>
    </row>
    <row r="25" spans="1:25" x14ac:dyDescent="0.2">
      <c r="A25" s="77" t="s">
        <v>136</v>
      </c>
      <c r="B25" s="88">
        <v>0.86250000000000004</v>
      </c>
      <c r="C25" s="88">
        <v>9.5000000000000001E-2</v>
      </c>
      <c r="D25" s="88">
        <v>1.2999999999999999E-2</v>
      </c>
      <c r="E25" s="88">
        <v>6.0000000000000001E-3</v>
      </c>
      <c r="F25" s="88">
        <v>3.5000000000000001E-3</v>
      </c>
      <c r="G25" s="88">
        <v>5.0000000000000001E-3</v>
      </c>
      <c r="H25" s="88">
        <v>2.5000000000000001E-3</v>
      </c>
      <c r="I25" s="88">
        <v>5.0000000000000001E-3</v>
      </c>
      <c r="J25" s="88">
        <v>5.0000000000000001E-3</v>
      </c>
      <c r="K25" s="88">
        <v>2.5000000000000001E-3</v>
      </c>
      <c r="L25" s="89">
        <f t="shared" si="0"/>
        <v>0.99999999999999989</v>
      </c>
      <c r="N25" s="77" t="s">
        <v>136</v>
      </c>
      <c r="O25" s="88">
        <f>(1/$L$25)*0.8625</f>
        <v>0.86250000000000004</v>
      </c>
      <c r="P25" s="88">
        <f>(1/$L$25)*0.095</f>
        <v>9.5000000000000001E-2</v>
      </c>
      <c r="Q25" s="88">
        <f>(1/$L$25)*0.013</f>
        <v>1.2999999999999999E-2</v>
      </c>
      <c r="R25" s="88">
        <f>(1/$L$25)*0.006</f>
        <v>6.0000000000000001E-3</v>
      </c>
      <c r="S25" s="88">
        <f>(1/$L$25)*0.0035</f>
        <v>3.5000000000000001E-3</v>
      </c>
      <c r="T25" s="88">
        <f>(1/$L$25)*0.005</f>
        <v>5.0000000000000001E-3</v>
      </c>
      <c r="U25" s="88">
        <f>(1/$L$25)*0.0025</f>
        <v>2.5000000000000001E-3</v>
      </c>
      <c r="V25" s="88">
        <f>(1/$L$25)*0.005</f>
        <v>5.0000000000000001E-3</v>
      </c>
      <c r="W25" s="88">
        <f>(1/$L$25)*0.005</f>
        <v>5.0000000000000001E-3</v>
      </c>
      <c r="X25" s="88">
        <f>(1/$L$25)*0.0025</f>
        <v>2.5000000000000001E-3</v>
      </c>
      <c r="Y25" s="89">
        <f t="shared" si="1"/>
        <v>0.99999999999999989</v>
      </c>
    </row>
    <row r="26" spans="1:25" x14ac:dyDescent="0.2">
      <c r="A26" s="77" t="s">
        <v>137</v>
      </c>
      <c r="B26" s="88">
        <v>0.83599999999999997</v>
      </c>
      <c r="C26" s="88">
        <v>8.5000000000000006E-2</v>
      </c>
      <c r="D26" s="88">
        <v>1.2999999999999999E-2</v>
      </c>
      <c r="E26" s="88">
        <v>3.5000000000000003E-2</v>
      </c>
      <c r="F26" s="88">
        <v>5.0000000000000001E-3</v>
      </c>
      <c r="G26" s="88">
        <v>1E-3</v>
      </c>
      <c r="H26" s="88">
        <v>5.0000000000000001E-3</v>
      </c>
      <c r="I26" s="88">
        <v>5.0000000000000001E-3</v>
      </c>
      <c r="J26" s="88">
        <v>0.01</v>
      </c>
      <c r="K26" s="88">
        <v>5.0000000000000001E-3</v>
      </c>
      <c r="L26" s="89">
        <f t="shared" si="0"/>
        <v>1</v>
      </c>
      <c r="N26" s="77" t="s">
        <v>137</v>
      </c>
      <c r="O26" s="88">
        <f>(1/$L$26)*0.836</f>
        <v>0.83599999999999997</v>
      </c>
      <c r="P26" s="88">
        <f>(1/$L$26)*0.085</f>
        <v>8.5000000000000006E-2</v>
      </c>
      <c r="Q26" s="88">
        <f>(1/$L$26)*0.013</f>
        <v>1.2999999999999999E-2</v>
      </c>
      <c r="R26" s="88">
        <f>(1/$L$26)*0.035</f>
        <v>3.5000000000000003E-2</v>
      </c>
      <c r="S26" s="88">
        <f>(1/$L$26)*0.005</f>
        <v>5.0000000000000001E-3</v>
      </c>
      <c r="T26" s="88">
        <f>(1/$L$26)*0.001</f>
        <v>1E-3</v>
      </c>
      <c r="U26" s="88">
        <f>(1/$L$26)*0.005</f>
        <v>5.0000000000000001E-3</v>
      </c>
      <c r="V26" s="88">
        <f>(1/$L$26)*0.005</f>
        <v>5.0000000000000001E-3</v>
      </c>
      <c r="W26" s="88">
        <f>(1/$L$26)*0.01</f>
        <v>0.01</v>
      </c>
      <c r="X26" s="88">
        <f>(1/$L$26)*0.005</f>
        <v>5.0000000000000001E-3</v>
      </c>
      <c r="Y26" s="89">
        <f t="shared" si="1"/>
        <v>1</v>
      </c>
    </row>
    <row r="27" spans="1:25" x14ac:dyDescent="0.2">
      <c r="A27" s="77" t="s">
        <v>138</v>
      </c>
      <c r="B27" s="88">
        <v>0.74350000000000005</v>
      </c>
      <c r="C27" s="88">
        <v>0.17</v>
      </c>
      <c r="D27" s="88">
        <v>1.2999999999999999E-2</v>
      </c>
      <c r="E27" s="88">
        <v>4.4999999999999998E-2</v>
      </c>
      <c r="F27" s="88">
        <v>5.0000000000000001E-3</v>
      </c>
      <c r="G27" s="88">
        <v>5.4999999999999997E-3</v>
      </c>
      <c r="H27" s="88">
        <v>1E-3</v>
      </c>
      <c r="I27" s="88">
        <v>1E-3</v>
      </c>
      <c r="J27" s="88">
        <v>1.4999999999999999E-2</v>
      </c>
      <c r="K27" s="88">
        <v>1E-3</v>
      </c>
      <c r="L27" s="89">
        <f t="shared" si="0"/>
        <v>1</v>
      </c>
      <c r="N27" s="77" t="s">
        <v>138</v>
      </c>
      <c r="O27" s="88">
        <f>(1/$L$27)*0.7435</f>
        <v>0.74350000000000005</v>
      </c>
      <c r="P27" s="88">
        <f>(1/$L$27)*0.17</f>
        <v>0.17</v>
      </c>
      <c r="Q27" s="88">
        <f>(1/$L$27)*0.013</f>
        <v>1.2999999999999999E-2</v>
      </c>
      <c r="R27" s="88">
        <f>(1/$L$27)*0.045</f>
        <v>4.4999999999999998E-2</v>
      </c>
      <c r="S27" s="88">
        <f>(1/$L$27)*0.005</f>
        <v>5.0000000000000001E-3</v>
      </c>
      <c r="T27" s="88">
        <f>(1/$L$27)*0.0055</f>
        <v>5.4999999999999997E-3</v>
      </c>
      <c r="U27" s="88">
        <f>(1/$L$27)*0.001</f>
        <v>1E-3</v>
      </c>
      <c r="V27" s="88">
        <f>(1/$L$27)*0.001</f>
        <v>1E-3</v>
      </c>
      <c r="W27" s="88">
        <f>(1/$L$27)*0.015</f>
        <v>1.4999999999999999E-2</v>
      </c>
      <c r="X27" s="88">
        <f>(1/$L$27)*0.001</f>
        <v>1E-3</v>
      </c>
      <c r="Y27" s="89">
        <f t="shared" si="1"/>
        <v>1</v>
      </c>
    </row>
    <row r="28" spans="1:25" x14ac:dyDescent="0.2">
      <c r="A28" s="90" t="s">
        <v>139</v>
      </c>
      <c r="B28" s="91">
        <v>0.87849999999999995</v>
      </c>
      <c r="C28" s="91">
        <v>0.105</v>
      </c>
      <c r="D28" s="91">
        <v>1.5E-3</v>
      </c>
      <c r="E28" s="91">
        <v>2.9999999999999997E-4</v>
      </c>
      <c r="F28" s="91">
        <v>6.4999999999999997E-3</v>
      </c>
      <c r="G28" s="91">
        <v>3.0000000000000001E-3</v>
      </c>
      <c r="H28" s="91">
        <v>1.5E-3</v>
      </c>
      <c r="I28" s="91">
        <v>1.5E-3</v>
      </c>
      <c r="J28" s="91">
        <v>6.9999999999999999E-4</v>
      </c>
      <c r="K28" s="91">
        <v>1.5E-3</v>
      </c>
      <c r="L28" s="92">
        <f t="shared" si="0"/>
        <v>0.99999999999999967</v>
      </c>
      <c r="N28" s="90" t="s">
        <v>139</v>
      </c>
      <c r="O28" s="91">
        <f>(1/$L$28)*0.8785</f>
        <v>0.87850000000000039</v>
      </c>
      <c r="P28" s="91">
        <f>(1/$L$28)*0.105</f>
        <v>0.10500000000000004</v>
      </c>
      <c r="Q28" s="91">
        <f>(1/$L$28)*0.0015</f>
        <v>1.5000000000000007E-3</v>
      </c>
      <c r="R28" s="91">
        <f>(1/$L$28)*0.0003</f>
        <v>3.0000000000000008E-4</v>
      </c>
      <c r="S28" s="91">
        <f>(1/$L$28)*0.0065</f>
        <v>6.5000000000000023E-3</v>
      </c>
      <c r="T28" s="91">
        <f>(1/$L$28)*0.003</f>
        <v>3.0000000000000014E-3</v>
      </c>
      <c r="U28" s="91">
        <f>(1/$L$28)*0.0015</f>
        <v>1.5000000000000007E-3</v>
      </c>
      <c r="V28" s="91">
        <f>(1/$L$28)*0.0015</f>
        <v>1.5000000000000007E-3</v>
      </c>
      <c r="W28" s="91">
        <f>(1/$L$28)*0.0007</f>
        <v>7.0000000000000032E-4</v>
      </c>
      <c r="X28" s="91">
        <f>(1/$L$28)*0.0015</f>
        <v>1.5000000000000007E-3</v>
      </c>
      <c r="Y28" s="92">
        <f t="shared" si="1"/>
        <v>1.0000000000000002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41"/>
  <sheetViews>
    <sheetView zoomScale="80" zoomScaleNormal="80" zoomScalePageLayoutView="80" workbookViewId="0">
      <selection activeCell="S10" sqref="S10"/>
    </sheetView>
  </sheetViews>
  <sheetFormatPr baseColWidth="10" defaultRowHeight="16" x14ac:dyDescent="0.2"/>
  <cols>
    <col min="1" max="1" width="35.6640625" bestFit="1" customWidth="1"/>
    <col min="2" max="2" width="25" style="100" bestFit="1" customWidth="1"/>
    <col min="3" max="14" width="10.83203125" style="121"/>
    <col min="16" max="16" width="2.33203125" customWidth="1"/>
    <col min="17" max="17" width="24.6640625" bestFit="1" customWidth="1"/>
    <col min="18" max="18" width="25" bestFit="1" customWidth="1"/>
  </cols>
  <sheetData>
    <row r="1" spans="1:31" x14ac:dyDescent="0.2">
      <c r="A1" s="93" t="s">
        <v>237</v>
      </c>
      <c r="Q1" s="93" t="s">
        <v>238</v>
      </c>
    </row>
    <row r="2" spans="1:31" x14ac:dyDescent="0.2">
      <c r="A2" s="101" t="s">
        <v>187</v>
      </c>
      <c r="B2" s="102" t="s">
        <v>188</v>
      </c>
      <c r="C2" s="103" t="s">
        <v>189</v>
      </c>
      <c r="D2" s="103" t="s">
        <v>190</v>
      </c>
      <c r="E2" s="103" t="s">
        <v>191</v>
      </c>
      <c r="F2" s="103" t="s">
        <v>192</v>
      </c>
      <c r="G2" s="103" t="s">
        <v>193</v>
      </c>
      <c r="H2" s="103" t="s">
        <v>2</v>
      </c>
      <c r="I2" s="103" t="s">
        <v>194</v>
      </c>
      <c r="J2" s="103" t="s">
        <v>195</v>
      </c>
      <c r="K2" s="103" t="s">
        <v>196</v>
      </c>
      <c r="L2" s="103" t="s">
        <v>197</v>
      </c>
      <c r="M2" s="103" t="s">
        <v>198</v>
      </c>
      <c r="N2" s="104" t="s">
        <v>199</v>
      </c>
      <c r="O2" s="125" t="s">
        <v>219</v>
      </c>
      <c r="Q2" s="101" t="s">
        <v>187</v>
      </c>
      <c r="R2" s="102" t="s">
        <v>188</v>
      </c>
      <c r="S2" s="103" t="s">
        <v>189</v>
      </c>
      <c r="T2" s="103" t="s">
        <v>190</v>
      </c>
      <c r="U2" s="103" t="s">
        <v>191</v>
      </c>
      <c r="V2" s="103" t="s">
        <v>192</v>
      </c>
      <c r="W2" s="103" t="s">
        <v>193</v>
      </c>
      <c r="X2" s="103" t="s">
        <v>2</v>
      </c>
      <c r="Y2" s="103" t="s">
        <v>194</v>
      </c>
      <c r="Z2" s="103" t="s">
        <v>195</v>
      </c>
      <c r="AA2" s="103" t="s">
        <v>196</v>
      </c>
      <c r="AB2" s="103" t="s">
        <v>197</v>
      </c>
      <c r="AC2" s="103" t="s">
        <v>198</v>
      </c>
      <c r="AD2" s="104" t="s">
        <v>199</v>
      </c>
      <c r="AE2" s="125" t="s">
        <v>219</v>
      </c>
    </row>
    <row r="3" spans="1:31" x14ac:dyDescent="0.2">
      <c r="A3" s="105" t="s">
        <v>105</v>
      </c>
      <c r="B3" s="106" t="s">
        <v>200</v>
      </c>
      <c r="C3" s="123">
        <v>1.0000000000000001E-5</v>
      </c>
      <c r="D3" s="107">
        <v>1.0000000000000001E-5</v>
      </c>
      <c r="E3" s="107">
        <v>0.99299999999999999</v>
      </c>
      <c r="F3" s="107">
        <v>1.0000000000000001E-5</v>
      </c>
      <c r="G3" s="107">
        <v>3.0000000000000001E-3</v>
      </c>
      <c r="H3" s="107">
        <v>1.0000000000000001E-5</v>
      </c>
      <c r="I3" s="107">
        <v>1.0000000000000001E-5</v>
      </c>
      <c r="J3" s="107">
        <v>1.0000000000000001E-5</v>
      </c>
      <c r="K3" s="107">
        <v>1.0000000000000001E-5</v>
      </c>
      <c r="L3" s="107">
        <v>1.0000000000000001E-5</v>
      </c>
      <c r="M3" s="107">
        <v>1.0000000000000001E-5</v>
      </c>
      <c r="N3" s="122">
        <v>1.0000000000000001E-5</v>
      </c>
      <c r="O3" s="81">
        <f>SUM(C3:N3)</f>
        <v>0.99609999999999965</v>
      </c>
      <c r="Q3" s="105" t="s">
        <v>105</v>
      </c>
      <c r="R3" s="106" t="s">
        <v>200</v>
      </c>
      <c r="S3" s="123">
        <f>(1/$O3)*C3</f>
        <v>1.0039152695512504E-5</v>
      </c>
      <c r="T3" s="107">
        <f>(1/$O3)*D3</f>
        <v>1.0039152695512504E-5</v>
      </c>
      <c r="U3" s="107">
        <f t="shared" ref="U3:AC4" si="0">(1/$O3)*E3</f>
        <v>0.99688786266439156</v>
      </c>
      <c r="V3" s="107">
        <f t="shared" si="0"/>
        <v>1.0039152695512504E-5</v>
      </c>
      <c r="W3" s="107">
        <f t="shared" si="0"/>
        <v>3.0117458086537509E-3</v>
      </c>
      <c r="X3" s="107">
        <f t="shared" si="0"/>
        <v>1.0039152695512504E-5</v>
      </c>
      <c r="Y3" s="107">
        <f t="shared" si="0"/>
        <v>1.0039152695512504E-5</v>
      </c>
      <c r="Z3" s="107">
        <f t="shared" si="0"/>
        <v>1.0039152695512504E-5</v>
      </c>
      <c r="AA3" s="107">
        <f t="shared" si="0"/>
        <v>1.0039152695512504E-5</v>
      </c>
      <c r="AB3" s="107">
        <f t="shared" si="0"/>
        <v>1.0039152695512504E-5</v>
      </c>
      <c r="AC3" s="107">
        <f t="shared" si="0"/>
        <v>1.0039152695512504E-5</v>
      </c>
      <c r="AD3" s="122">
        <f>(1/$O3)*N3</f>
        <v>1.0039152695512504E-5</v>
      </c>
      <c r="AE3" s="81">
        <f>SUM(S3:AD3)</f>
        <v>1.0000000000000002</v>
      </c>
    </row>
    <row r="4" spans="1:31" x14ac:dyDescent="0.2">
      <c r="A4" s="105" t="s">
        <v>106</v>
      </c>
      <c r="B4" s="106" t="s">
        <v>201</v>
      </c>
      <c r="C4" s="119">
        <v>1.0000000000000001E-5</v>
      </c>
      <c r="D4" s="107">
        <v>1.0000000000000001E-5</v>
      </c>
      <c r="E4" s="107">
        <v>0.99299999999999999</v>
      </c>
      <c r="F4" s="107">
        <v>1.0000000000000001E-5</v>
      </c>
      <c r="G4" s="107">
        <v>3.0000000000000001E-3</v>
      </c>
      <c r="H4" s="107">
        <v>1.0000000000000001E-5</v>
      </c>
      <c r="I4" s="107">
        <v>1.0000000000000001E-5</v>
      </c>
      <c r="J4" s="107">
        <v>1.0000000000000001E-5</v>
      </c>
      <c r="K4" s="107">
        <v>1.0000000000000001E-5</v>
      </c>
      <c r="L4" s="107">
        <v>1.0000000000000001E-5</v>
      </c>
      <c r="M4" s="107">
        <v>1.0000000000000001E-5</v>
      </c>
      <c r="N4" s="122">
        <v>1.0000000000000001E-5</v>
      </c>
      <c r="O4" s="81">
        <f t="shared" ref="O4:O37" si="1">SUM(C4:N4)</f>
        <v>0.99609999999999965</v>
      </c>
      <c r="Q4" s="105" t="s">
        <v>106</v>
      </c>
      <c r="R4" s="106" t="s">
        <v>201</v>
      </c>
      <c r="S4" s="119">
        <f>(1/$O4)*C4</f>
        <v>1.0039152695512504E-5</v>
      </c>
      <c r="T4" s="107">
        <f>(1/$O4)*D4</f>
        <v>1.0039152695512504E-5</v>
      </c>
      <c r="U4" s="107">
        <f t="shared" si="0"/>
        <v>0.99688786266439156</v>
      </c>
      <c r="V4" s="107">
        <f t="shared" si="0"/>
        <v>1.0039152695512504E-5</v>
      </c>
      <c r="W4" s="107">
        <f t="shared" si="0"/>
        <v>3.0117458086537509E-3</v>
      </c>
      <c r="X4" s="107">
        <f t="shared" si="0"/>
        <v>1.0039152695512504E-5</v>
      </c>
      <c r="Y4" s="107">
        <f t="shared" si="0"/>
        <v>1.0039152695512504E-5</v>
      </c>
      <c r="Z4" s="107">
        <f t="shared" si="0"/>
        <v>1.0039152695512504E-5</v>
      </c>
      <c r="AA4" s="107">
        <f t="shared" si="0"/>
        <v>1.0039152695512504E-5</v>
      </c>
      <c r="AB4" s="107">
        <f t="shared" si="0"/>
        <v>1.0039152695512504E-5</v>
      </c>
      <c r="AC4" s="107">
        <f t="shared" si="0"/>
        <v>1.0039152695512504E-5</v>
      </c>
      <c r="AD4" s="122">
        <f>(1/$O4)*N4</f>
        <v>1.0039152695512504E-5</v>
      </c>
      <c r="AE4" s="81">
        <f t="shared" ref="AE4:AE37" si="2">SUM(S4:AD4)</f>
        <v>1.0000000000000002</v>
      </c>
    </row>
    <row r="5" spans="1:31" x14ac:dyDescent="0.2">
      <c r="A5" s="105" t="s">
        <v>107</v>
      </c>
      <c r="B5" s="106" t="s">
        <v>202</v>
      </c>
      <c r="C5" s="119">
        <v>1.0000000000000001E-5</v>
      </c>
      <c r="D5" s="107">
        <v>1.0000000000000001E-5</v>
      </c>
      <c r="E5" s="107">
        <v>0.99299999999999999</v>
      </c>
      <c r="F5" s="107">
        <v>1.0000000000000001E-5</v>
      </c>
      <c r="G5" s="107">
        <v>3.0000000000000001E-3</v>
      </c>
      <c r="H5" s="107">
        <v>1.0000000000000001E-5</v>
      </c>
      <c r="I5" s="107">
        <v>1.0000000000000001E-5</v>
      </c>
      <c r="J5" s="107">
        <v>1.0000000000000001E-5</v>
      </c>
      <c r="K5" s="107">
        <v>1.0000000000000001E-5</v>
      </c>
      <c r="L5" s="107">
        <v>1.0000000000000001E-5</v>
      </c>
      <c r="M5" s="107">
        <v>1.0000000000000001E-5</v>
      </c>
      <c r="N5" s="122">
        <v>1.0000000000000001E-5</v>
      </c>
      <c r="O5" s="81">
        <f t="shared" si="1"/>
        <v>0.99609999999999965</v>
      </c>
      <c r="Q5" s="105" t="s">
        <v>107</v>
      </c>
      <c r="R5" s="106" t="s">
        <v>202</v>
      </c>
      <c r="S5" s="119">
        <f t="shared" ref="S5:S37" si="3">(1/$O5)*C5</f>
        <v>1.0039152695512504E-5</v>
      </c>
      <c r="T5" s="107">
        <f t="shared" ref="T5:T37" si="4">(1/$O5)*D5</f>
        <v>1.0039152695512504E-5</v>
      </c>
      <c r="U5" s="107">
        <f t="shared" ref="U5:U37" si="5">(1/$O5)*E5</f>
        <v>0.99688786266439156</v>
      </c>
      <c r="V5" s="107">
        <f t="shared" ref="V5:V37" si="6">(1/$O5)*F5</f>
        <v>1.0039152695512504E-5</v>
      </c>
      <c r="W5" s="107">
        <f t="shared" ref="W5:W37" si="7">(1/$O5)*G5</f>
        <v>3.0117458086537509E-3</v>
      </c>
      <c r="X5" s="107">
        <f t="shared" ref="X5:X37" si="8">(1/$O5)*H5</f>
        <v>1.0039152695512504E-5</v>
      </c>
      <c r="Y5" s="107">
        <f t="shared" ref="Y5:Y37" si="9">(1/$O5)*I5</f>
        <v>1.0039152695512504E-5</v>
      </c>
      <c r="Z5" s="107">
        <f t="shared" ref="Z5:Z37" si="10">(1/$O5)*J5</f>
        <v>1.0039152695512504E-5</v>
      </c>
      <c r="AA5" s="107">
        <f t="shared" ref="AA5:AA37" si="11">(1/$O5)*K5</f>
        <v>1.0039152695512504E-5</v>
      </c>
      <c r="AB5" s="107">
        <f t="shared" ref="AB5:AB37" si="12">(1/$O5)*L5</f>
        <v>1.0039152695512504E-5</v>
      </c>
      <c r="AC5" s="107">
        <f t="shared" ref="AC5:AC37" si="13">(1/$O5)*M5</f>
        <v>1.0039152695512504E-5</v>
      </c>
      <c r="AD5" s="122">
        <f t="shared" ref="AD5:AD37" si="14">(1/$O5)*N5</f>
        <v>1.0039152695512504E-5</v>
      </c>
      <c r="AE5" s="81">
        <f t="shared" si="2"/>
        <v>1.0000000000000002</v>
      </c>
    </row>
    <row r="6" spans="1:31" x14ac:dyDescent="0.2">
      <c r="A6" s="105" t="s">
        <v>203</v>
      </c>
      <c r="B6" s="106" t="s">
        <v>202</v>
      </c>
      <c r="C6" s="119">
        <v>1.0000000000000001E-5</v>
      </c>
      <c r="D6" s="107">
        <v>1.0000000000000001E-5</v>
      </c>
      <c r="E6" s="107">
        <v>0.99299999999999999</v>
      </c>
      <c r="F6" s="107">
        <v>1.0000000000000001E-5</v>
      </c>
      <c r="G6" s="107">
        <v>3.0000000000000001E-3</v>
      </c>
      <c r="H6" s="107">
        <v>1.0000000000000001E-5</v>
      </c>
      <c r="I6" s="107">
        <v>1.0000000000000001E-5</v>
      </c>
      <c r="J6" s="107">
        <v>1.0000000000000001E-5</v>
      </c>
      <c r="K6" s="107">
        <v>1.0000000000000001E-5</v>
      </c>
      <c r="L6" s="107">
        <v>1.0000000000000001E-5</v>
      </c>
      <c r="M6" s="107">
        <v>1.0000000000000001E-5</v>
      </c>
      <c r="N6" s="122">
        <v>1.0000000000000001E-5</v>
      </c>
      <c r="O6" s="81">
        <f t="shared" si="1"/>
        <v>0.99609999999999965</v>
      </c>
      <c r="Q6" s="154" t="s">
        <v>203</v>
      </c>
      <c r="R6" s="155" t="s">
        <v>202</v>
      </c>
      <c r="S6" s="119">
        <f t="shared" si="3"/>
        <v>1.0039152695512504E-5</v>
      </c>
      <c r="T6" s="107">
        <f t="shared" si="4"/>
        <v>1.0039152695512504E-5</v>
      </c>
      <c r="U6" s="107">
        <f t="shared" si="5"/>
        <v>0.99688786266439156</v>
      </c>
      <c r="V6" s="107">
        <f t="shared" si="6"/>
        <v>1.0039152695512504E-5</v>
      </c>
      <c r="W6" s="107">
        <f t="shared" si="7"/>
        <v>3.0117458086537509E-3</v>
      </c>
      <c r="X6" s="107">
        <f t="shared" si="8"/>
        <v>1.0039152695512504E-5</v>
      </c>
      <c r="Y6" s="107">
        <f t="shared" si="9"/>
        <v>1.0039152695512504E-5</v>
      </c>
      <c r="Z6" s="107">
        <f t="shared" si="10"/>
        <v>1.0039152695512504E-5</v>
      </c>
      <c r="AA6" s="107">
        <f t="shared" si="11"/>
        <v>1.0039152695512504E-5</v>
      </c>
      <c r="AB6" s="107">
        <f t="shared" si="12"/>
        <v>1.0039152695512504E-5</v>
      </c>
      <c r="AC6" s="107">
        <f t="shared" si="13"/>
        <v>1.0039152695512504E-5</v>
      </c>
      <c r="AD6" s="122">
        <f t="shared" si="14"/>
        <v>1.0039152695512504E-5</v>
      </c>
      <c r="AE6" s="81">
        <f t="shared" si="2"/>
        <v>1.0000000000000002</v>
      </c>
    </row>
    <row r="7" spans="1:31" x14ac:dyDescent="0.2">
      <c r="A7" s="105" t="s">
        <v>91</v>
      </c>
      <c r="B7" s="106" t="s">
        <v>233</v>
      </c>
      <c r="C7" s="119">
        <v>1.0000000000000001E-5</v>
      </c>
      <c r="D7" s="107">
        <v>1.0000000000000001E-5</v>
      </c>
      <c r="E7" s="108">
        <v>0.73</v>
      </c>
      <c r="F7" s="107">
        <v>1.0000000000000001E-5</v>
      </c>
      <c r="G7" s="107">
        <v>6.0000000000000001E-3</v>
      </c>
      <c r="H7" s="107">
        <v>1.0000000000000001E-5</v>
      </c>
      <c r="I7" s="107">
        <v>0.156</v>
      </c>
      <c r="J7" s="107">
        <v>0.105</v>
      </c>
      <c r="K7" s="107">
        <v>1.0000000000000001E-5</v>
      </c>
      <c r="L7" s="107">
        <v>1.0000000000000001E-5</v>
      </c>
      <c r="M7" s="107">
        <v>2E-3</v>
      </c>
      <c r="N7" s="122">
        <v>1.0000000000000001E-5</v>
      </c>
      <c r="O7" s="81">
        <f t="shared" si="1"/>
        <v>0.99906999999999979</v>
      </c>
      <c r="Q7" s="105" t="s">
        <v>91</v>
      </c>
      <c r="R7" s="106" t="s">
        <v>233</v>
      </c>
      <c r="S7" s="119">
        <f t="shared" si="3"/>
        <v>1.000930865705106E-5</v>
      </c>
      <c r="T7" s="107">
        <f t="shared" si="4"/>
        <v>1.000930865705106E-5</v>
      </c>
      <c r="U7" s="107">
        <f t="shared" si="5"/>
        <v>0.73067953196472735</v>
      </c>
      <c r="V7" s="107">
        <f t="shared" si="6"/>
        <v>1.000930865705106E-5</v>
      </c>
      <c r="W7" s="107">
        <f t="shared" si="7"/>
        <v>6.0055851942306358E-3</v>
      </c>
      <c r="X7" s="107">
        <f t="shared" si="8"/>
        <v>1.000930865705106E-5</v>
      </c>
      <c r="Y7" s="107">
        <f t="shared" si="9"/>
        <v>0.15614521504999651</v>
      </c>
      <c r="Z7" s="107">
        <f t="shared" si="10"/>
        <v>0.10509774089903612</v>
      </c>
      <c r="AA7" s="107">
        <f t="shared" si="11"/>
        <v>1.000930865705106E-5</v>
      </c>
      <c r="AB7" s="107">
        <f t="shared" si="12"/>
        <v>1.000930865705106E-5</v>
      </c>
      <c r="AC7" s="107">
        <f t="shared" si="13"/>
        <v>2.0018617314102121E-3</v>
      </c>
      <c r="AD7" s="122">
        <f t="shared" si="14"/>
        <v>1.000930865705106E-5</v>
      </c>
      <c r="AE7" s="81">
        <f t="shared" si="2"/>
        <v>1.0000000000000002</v>
      </c>
    </row>
    <row r="8" spans="1:31" x14ac:dyDescent="0.2">
      <c r="A8" s="105" t="s">
        <v>204</v>
      </c>
      <c r="B8" s="106" t="s">
        <v>234</v>
      </c>
      <c r="C8" s="119">
        <v>1.0000000000000001E-5</v>
      </c>
      <c r="D8" s="107">
        <v>1.7999999999999999E-2</v>
      </c>
      <c r="E8" s="107">
        <f>1-SUM(F8:N8)-SUM(C8:D8)</f>
        <v>0.94291999999999998</v>
      </c>
      <c r="F8" s="107">
        <v>1.0000000000000001E-5</v>
      </c>
      <c r="G8" s="107">
        <v>5.0000000000000001E-3</v>
      </c>
      <c r="H8" s="107">
        <v>1.0000000000000001E-5</v>
      </c>
      <c r="I8" s="107">
        <v>1.0000000000000001E-5</v>
      </c>
      <c r="J8" s="107">
        <v>1.0000000000000001E-5</v>
      </c>
      <c r="K8" s="107">
        <v>1.0000000000000001E-5</v>
      </c>
      <c r="L8" s="107">
        <v>1.0000000000000001E-5</v>
      </c>
      <c r="M8" s="107">
        <v>1.0000000000000001E-5</v>
      </c>
      <c r="N8" s="122">
        <v>3.4000000000000002E-2</v>
      </c>
      <c r="O8" s="126">
        <f t="shared" si="1"/>
        <v>0.99999999999999967</v>
      </c>
      <c r="Q8" s="105" t="s">
        <v>204</v>
      </c>
      <c r="R8" s="106" t="s">
        <v>234</v>
      </c>
      <c r="S8" s="119">
        <f t="shared" si="3"/>
        <v>1.0000000000000006E-5</v>
      </c>
      <c r="T8" s="107">
        <f t="shared" si="4"/>
        <v>1.8000000000000006E-2</v>
      </c>
      <c r="U8" s="107">
        <f t="shared" si="5"/>
        <v>0.94292000000000042</v>
      </c>
      <c r="V8" s="107">
        <f t="shared" si="6"/>
        <v>1.0000000000000006E-5</v>
      </c>
      <c r="W8" s="107">
        <f t="shared" si="7"/>
        <v>5.0000000000000027E-3</v>
      </c>
      <c r="X8" s="107">
        <f t="shared" si="8"/>
        <v>1.0000000000000006E-5</v>
      </c>
      <c r="Y8" s="107">
        <f t="shared" si="9"/>
        <v>1.0000000000000006E-5</v>
      </c>
      <c r="Z8" s="107">
        <f t="shared" si="10"/>
        <v>1.0000000000000006E-5</v>
      </c>
      <c r="AA8" s="107">
        <f t="shared" si="11"/>
        <v>1.0000000000000006E-5</v>
      </c>
      <c r="AB8" s="107">
        <f t="shared" si="12"/>
        <v>1.0000000000000006E-5</v>
      </c>
      <c r="AC8" s="107">
        <f t="shared" si="13"/>
        <v>1.0000000000000006E-5</v>
      </c>
      <c r="AD8" s="122">
        <f t="shared" si="14"/>
        <v>3.4000000000000016E-2</v>
      </c>
      <c r="AE8" s="126">
        <f t="shared" si="2"/>
        <v>1</v>
      </c>
    </row>
    <row r="9" spans="1:31" x14ac:dyDescent="0.2">
      <c r="A9" s="105" t="s">
        <v>104</v>
      </c>
      <c r="B9" s="106" t="s">
        <v>235</v>
      </c>
      <c r="C9" s="119">
        <v>1.0000000000000001E-5</v>
      </c>
      <c r="D9" s="107">
        <v>0.122</v>
      </c>
      <c r="E9" s="107">
        <f>1-SUM(F9:N9)-SUM(C9:D9)</f>
        <v>0.87742000000000009</v>
      </c>
      <c r="F9" s="107">
        <v>1.0000000000000001E-5</v>
      </c>
      <c r="G9" s="107">
        <v>2.9999999999999997E-4</v>
      </c>
      <c r="H9" s="107">
        <v>1.0000000000000001E-5</v>
      </c>
      <c r="I9" s="107">
        <v>1.0000000000000001E-5</v>
      </c>
      <c r="J9" s="107">
        <v>1.0000000000000001E-5</v>
      </c>
      <c r="K9" s="107">
        <v>1.0000000000000001E-5</v>
      </c>
      <c r="L9" s="107">
        <v>1.0000000000000001E-5</v>
      </c>
      <c r="M9" s="107">
        <v>1.0000000000000001E-5</v>
      </c>
      <c r="N9" s="122">
        <v>2.0000000000000001E-4</v>
      </c>
      <c r="O9" s="126">
        <f t="shared" si="1"/>
        <v>0.99999999999999967</v>
      </c>
      <c r="Q9" s="105" t="s">
        <v>104</v>
      </c>
      <c r="R9" s="106" t="s">
        <v>235</v>
      </c>
      <c r="S9" s="119">
        <f t="shared" si="3"/>
        <v>1.0000000000000006E-5</v>
      </c>
      <c r="T9" s="107">
        <f t="shared" si="4"/>
        <v>0.12200000000000005</v>
      </c>
      <c r="U9" s="107">
        <f t="shared" si="5"/>
        <v>0.87742000000000053</v>
      </c>
      <c r="V9" s="107">
        <f t="shared" si="6"/>
        <v>1.0000000000000006E-5</v>
      </c>
      <c r="W9" s="107">
        <f t="shared" si="7"/>
        <v>3.0000000000000008E-4</v>
      </c>
      <c r="X9" s="107">
        <f t="shared" si="8"/>
        <v>1.0000000000000006E-5</v>
      </c>
      <c r="Y9" s="107">
        <f t="shared" si="9"/>
        <v>1.0000000000000006E-5</v>
      </c>
      <c r="Z9" s="107">
        <f t="shared" si="10"/>
        <v>1.0000000000000006E-5</v>
      </c>
      <c r="AA9" s="107">
        <f t="shared" si="11"/>
        <v>1.0000000000000006E-5</v>
      </c>
      <c r="AB9" s="107">
        <f t="shared" si="12"/>
        <v>1.0000000000000006E-5</v>
      </c>
      <c r="AC9" s="107">
        <f t="shared" si="13"/>
        <v>1.0000000000000006E-5</v>
      </c>
      <c r="AD9" s="122">
        <f t="shared" si="14"/>
        <v>2.0000000000000009E-4</v>
      </c>
      <c r="AE9" s="126">
        <f t="shared" si="2"/>
        <v>1.0000000000000002</v>
      </c>
    </row>
    <row r="10" spans="1:31" x14ac:dyDescent="0.2">
      <c r="A10" s="105" t="s">
        <v>231</v>
      </c>
      <c r="B10" s="113" t="s">
        <v>131</v>
      </c>
      <c r="C10" s="116">
        <v>0.997</v>
      </c>
      <c r="D10" s="117">
        <v>5.0000000000000001E-4</v>
      </c>
      <c r="E10" s="117">
        <v>5.0000000000000001E-4</v>
      </c>
      <c r="F10" s="117">
        <v>4.0000000000000002E-4</v>
      </c>
      <c r="G10" s="117">
        <v>2.9880478087649406E-4</v>
      </c>
      <c r="H10" s="117">
        <v>2.9880478087649406E-4</v>
      </c>
      <c r="I10" s="118">
        <v>1.0000000000000001E-5</v>
      </c>
      <c r="J10" s="117">
        <v>2.9880478087649406E-4</v>
      </c>
      <c r="K10" s="117">
        <v>4.0000000000000002E-4</v>
      </c>
      <c r="L10" s="117">
        <v>2.9880478087649406E-4</v>
      </c>
      <c r="M10" s="107">
        <v>1.0000000000000001E-5</v>
      </c>
      <c r="N10" s="122">
        <v>1.0000000000000001E-5</v>
      </c>
      <c r="O10" s="126">
        <f t="shared" si="1"/>
        <v>1.0000252191235059</v>
      </c>
      <c r="Q10" s="105" t="s">
        <v>231</v>
      </c>
      <c r="R10" s="113" t="s">
        <v>131</v>
      </c>
      <c r="S10" s="119">
        <f t="shared" si="3"/>
        <v>0.99697485716794476</v>
      </c>
      <c r="T10" s="107">
        <f t="shared" si="4"/>
        <v>4.9998739075624108E-4</v>
      </c>
      <c r="U10" s="107">
        <f t="shared" si="5"/>
        <v>4.9998739075624108E-4</v>
      </c>
      <c r="V10" s="107">
        <f t="shared" si="6"/>
        <v>3.9998991260499289E-4</v>
      </c>
      <c r="W10" s="107">
        <f t="shared" si="7"/>
        <v>2.9879724547185726E-4</v>
      </c>
      <c r="X10" s="107">
        <f t="shared" si="8"/>
        <v>2.9879724547185726E-4</v>
      </c>
      <c r="Y10" s="107">
        <f t="shared" si="9"/>
        <v>9.9997478151248235E-6</v>
      </c>
      <c r="Z10" s="107">
        <f t="shared" si="10"/>
        <v>2.9879724547185726E-4</v>
      </c>
      <c r="AA10" s="107">
        <f t="shared" si="11"/>
        <v>3.9998991260499289E-4</v>
      </c>
      <c r="AB10" s="107">
        <f t="shared" si="12"/>
        <v>2.9879724547185726E-4</v>
      </c>
      <c r="AC10" s="107">
        <f t="shared" si="13"/>
        <v>9.9997478151248235E-6</v>
      </c>
      <c r="AD10" s="122">
        <f t="shared" si="14"/>
        <v>9.9997478151248235E-6</v>
      </c>
      <c r="AE10" s="126">
        <f t="shared" si="2"/>
        <v>1.0000000000000002</v>
      </c>
    </row>
    <row r="11" spans="1:31" x14ac:dyDescent="0.2">
      <c r="A11" s="105"/>
      <c r="B11" s="113">
        <v>3003</v>
      </c>
      <c r="C11" s="116">
        <v>0.97080000000000022</v>
      </c>
      <c r="D11" s="117">
        <v>6.0000000000000019E-3</v>
      </c>
      <c r="E11" s="117">
        <v>7.0000000000000019E-3</v>
      </c>
      <c r="F11" s="117">
        <v>1.2000000000000001E-3</v>
      </c>
      <c r="G11" s="117">
        <v>1.2000000000000004E-2</v>
      </c>
      <c r="H11" s="117">
        <v>5.0000000000000012E-4</v>
      </c>
      <c r="I11" s="117">
        <v>5.0000000000000012E-4</v>
      </c>
      <c r="J11" s="117">
        <v>5.0000000000000012E-4</v>
      </c>
      <c r="K11" s="117">
        <v>1.0000000000000002E-3</v>
      </c>
      <c r="L11" s="117">
        <v>5.0000000000000012E-4</v>
      </c>
      <c r="M11" s="107">
        <v>1.0000000000000001E-5</v>
      </c>
      <c r="N11" s="122">
        <v>1.0000000000000001E-5</v>
      </c>
      <c r="O11" s="126">
        <f t="shared" si="1"/>
        <v>1.0000200000000001</v>
      </c>
      <c r="Q11" s="105"/>
      <c r="R11" s="113">
        <v>3003</v>
      </c>
      <c r="S11" s="119">
        <f t="shared" si="3"/>
        <v>0.97078058438831238</v>
      </c>
      <c r="T11" s="107">
        <f t="shared" si="4"/>
        <v>5.9998800023999535E-3</v>
      </c>
      <c r="U11" s="107">
        <f t="shared" si="5"/>
        <v>6.9998600027999453E-3</v>
      </c>
      <c r="V11" s="107">
        <f t="shared" si="6"/>
        <v>1.1999760004799903E-3</v>
      </c>
      <c r="W11" s="107">
        <f t="shared" si="7"/>
        <v>1.1999760004799907E-2</v>
      </c>
      <c r="X11" s="107">
        <f t="shared" si="8"/>
        <v>4.9999000019999612E-4</v>
      </c>
      <c r="Y11" s="107">
        <f t="shared" si="9"/>
        <v>4.9999000019999612E-4</v>
      </c>
      <c r="Z11" s="107">
        <f t="shared" si="10"/>
        <v>4.9999000019999612E-4</v>
      </c>
      <c r="AA11" s="107">
        <f t="shared" si="11"/>
        <v>9.9998000039999225E-4</v>
      </c>
      <c r="AB11" s="107">
        <f t="shared" si="12"/>
        <v>4.9999000019999612E-4</v>
      </c>
      <c r="AC11" s="107">
        <f t="shared" si="13"/>
        <v>9.9998000039999203E-6</v>
      </c>
      <c r="AD11" s="122">
        <f t="shared" si="14"/>
        <v>9.9998000039999203E-6</v>
      </c>
      <c r="AE11" s="126">
        <f t="shared" si="2"/>
        <v>1</v>
      </c>
    </row>
    <row r="12" spans="1:31" x14ac:dyDescent="0.2">
      <c r="A12" s="105"/>
      <c r="B12" s="113">
        <v>3103</v>
      </c>
      <c r="C12" s="116">
        <v>0.96750000000000003</v>
      </c>
      <c r="D12" s="117">
        <v>5.0000000000000001E-3</v>
      </c>
      <c r="E12" s="117">
        <v>7.0000000000000001E-3</v>
      </c>
      <c r="F12" s="117">
        <v>1E-3</v>
      </c>
      <c r="G12" s="117">
        <v>1.2E-2</v>
      </c>
      <c r="H12" s="117">
        <v>3.0000000000000001E-3</v>
      </c>
      <c r="I12" s="117">
        <v>1E-3</v>
      </c>
      <c r="J12" s="117">
        <v>5.0000000000000001E-4</v>
      </c>
      <c r="K12" s="117">
        <v>2E-3</v>
      </c>
      <c r="L12" s="117">
        <v>1E-3</v>
      </c>
      <c r="M12" s="107">
        <v>1.0000000000000001E-5</v>
      </c>
      <c r="N12" s="122">
        <v>1.0000000000000001E-5</v>
      </c>
      <c r="O12" s="126">
        <f t="shared" si="1"/>
        <v>1.0000200000000001</v>
      </c>
      <c r="Q12" s="105"/>
      <c r="R12" s="113">
        <v>3103</v>
      </c>
      <c r="S12" s="119">
        <f t="shared" si="3"/>
        <v>0.96748065038699216</v>
      </c>
      <c r="T12" s="107">
        <f t="shared" si="4"/>
        <v>4.9999000019999599E-3</v>
      </c>
      <c r="U12" s="107">
        <f t="shared" si="5"/>
        <v>6.9998600027999435E-3</v>
      </c>
      <c r="V12" s="107">
        <f t="shared" si="6"/>
        <v>9.9998000039999203E-4</v>
      </c>
      <c r="W12" s="107">
        <f t="shared" si="7"/>
        <v>1.1999760004799903E-2</v>
      </c>
      <c r="X12" s="107">
        <f t="shared" si="8"/>
        <v>2.9999400011999759E-3</v>
      </c>
      <c r="Y12" s="107">
        <f t="shared" si="9"/>
        <v>9.9998000039999203E-4</v>
      </c>
      <c r="Z12" s="107">
        <f t="shared" si="10"/>
        <v>4.9999000019999601E-4</v>
      </c>
      <c r="AA12" s="107">
        <f t="shared" si="11"/>
        <v>1.9999600007999841E-3</v>
      </c>
      <c r="AB12" s="107">
        <f t="shared" si="12"/>
        <v>9.9998000039999203E-4</v>
      </c>
      <c r="AC12" s="107">
        <f t="shared" si="13"/>
        <v>9.9998000039999203E-6</v>
      </c>
      <c r="AD12" s="122">
        <f t="shared" si="14"/>
        <v>9.9998000039999203E-6</v>
      </c>
      <c r="AE12" s="126">
        <f t="shared" si="2"/>
        <v>1</v>
      </c>
    </row>
    <row r="13" spans="1:31" x14ac:dyDescent="0.2">
      <c r="A13" s="105"/>
      <c r="B13" s="113">
        <v>4043</v>
      </c>
      <c r="C13" s="116">
        <v>0.93200000000000005</v>
      </c>
      <c r="D13" s="117">
        <v>5.1999999999999998E-2</v>
      </c>
      <c r="E13" s="117">
        <v>8.0000000000000002E-3</v>
      </c>
      <c r="F13" s="117">
        <v>3.0000000000000001E-3</v>
      </c>
      <c r="G13" s="117">
        <v>5.0000000000000001E-4</v>
      </c>
      <c r="H13" s="117">
        <v>5.0000000000000001E-4</v>
      </c>
      <c r="I13" s="117">
        <v>5.0000000000000001E-4</v>
      </c>
      <c r="J13" s="117">
        <v>5.0000000000000001E-4</v>
      </c>
      <c r="K13" s="117">
        <v>1E-3</v>
      </c>
      <c r="L13" s="117">
        <v>2E-3</v>
      </c>
      <c r="M13" s="107">
        <v>1.0000000000000001E-5</v>
      </c>
      <c r="N13" s="122">
        <v>1.0000000000000001E-5</v>
      </c>
      <c r="O13" s="126">
        <f t="shared" si="1"/>
        <v>1.0000199999999999</v>
      </c>
      <c r="Q13" s="105"/>
      <c r="R13" s="113">
        <v>4043</v>
      </c>
      <c r="S13" s="119">
        <f t="shared" si="3"/>
        <v>0.93198136037279267</v>
      </c>
      <c r="T13" s="107">
        <f t="shared" si="4"/>
        <v>5.1998960020799588E-2</v>
      </c>
      <c r="U13" s="107">
        <f t="shared" si="5"/>
        <v>7.999840003199938E-3</v>
      </c>
      <c r="V13" s="107">
        <f t="shared" si="6"/>
        <v>2.9999400011999763E-3</v>
      </c>
      <c r="W13" s="107">
        <f t="shared" si="7"/>
        <v>4.9999000019999612E-4</v>
      </c>
      <c r="X13" s="107">
        <f t="shared" si="8"/>
        <v>4.9999000019999612E-4</v>
      </c>
      <c r="Y13" s="107">
        <f t="shared" si="9"/>
        <v>4.9999000019999612E-4</v>
      </c>
      <c r="Z13" s="107">
        <f t="shared" si="10"/>
        <v>4.9999000019999612E-4</v>
      </c>
      <c r="AA13" s="107">
        <f t="shared" si="11"/>
        <v>9.9998000039999225E-4</v>
      </c>
      <c r="AB13" s="107">
        <f t="shared" si="12"/>
        <v>1.9999600007999845E-3</v>
      </c>
      <c r="AC13" s="107">
        <f t="shared" si="13"/>
        <v>9.999800003999922E-6</v>
      </c>
      <c r="AD13" s="122">
        <f t="shared" si="14"/>
        <v>9.999800003999922E-6</v>
      </c>
      <c r="AE13" s="126">
        <f t="shared" si="2"/>
        <v>1</v>
      </c>
    </row>
    <row r="14" spans="1:31" x14ac:dyDescent="0.2">
      <c r="A14" s="105"/>
      <c r="B14" s="113" t="s">
        <v>132</v>
      </c>
      <c r="C14" s="116">
        <v>0.97750000000000026</v>
      </c>
      <c r="D14" s="117">
        <v>3.0000000000000009E-3</v>
      </c>
      <c r="E14" s="117">
        <v>4.5000000000000005E-3</v>
      </c>
      <c r="F14" s="117">
        <v>5.0000000000000012E-4</v>
      </c>
      <c r="G14" s="117">
        <v>1.5000000000000005E-3</v>
      </c>
      <c r="H14" s="117">
        <v>9.0000000000000011E-3</v>
      </c>
      <c r="I14" s="117">
        <v>1.0000000000000002E-3</v>
      </c>
      <c r="J14" s="117">
        <v>5.0000000000000012E-4</v>
      </c>
      <c r="K14" s="117">
        <v>2.0000000000000005E-3</v>
      </c>
      <c r="L14" s="117">
        <v>5.0000000000000012E-4</v>
      </c>
      <c r="M14" s="107">
        <v>1.0000000000000001E-5</v>
      </c>
      <c r="N14" s="122">
        <v>1.0000000000000001E-5</v>
      </c>
      <c r="O14" s="126">
        <f t="shared" si="1"/>
        <v>1.0000200000000001</v>
      </c>
      <c r="Q14" s="105"/>
      <c r="R14" s="113" t="s">
        <v>132</v>
      </c>
      <c r="S14" s="119">
        <f t="shared" si="3"/>
        <v>0.97748045039099229</v>
      </c>
      <c r="T14" s="107">
        <f t="shared" si="4"/>
        <v>2.9999400011999767E-3</v>
      </c>
      <c r="U14" s="107">
        <f t="shared" si="5"/>
        <v>4.499910001799964E-3</v>
      </c>
      <c r="V14" s="107">
        <f t="shared" si="6"/>
        <v>4.9999000019999612E-4</v>
      </c>
      <c r="W14" s="107">
        <f t="shared" si="7"/>
        <v>1.4999700005999884E-3</v>
      </c>
      <c r="X14" s="107">
        <f t="shared" si="8"/>
        <v>8.999820003599928E-3</v>
      </c>
      <c r="Y14" s="107">
        <f t="shared" si="9"/>
        <v>9.9998000039999225E-4</v>
      </c>
      <c r="Z14" s="107">
        <f t="shared" si="10"/>
        <v>4.9999000019999612E-4</v>
      </c>
      <c r="AA14" s="107">
        <f t="shared" si="11"/>
        <v>1.9999600007999845E-3</v>
      </c>
      <c r="AB14" s="107">
        <f t="shared" si="12"/>
        <v>4.9999000019999612E-4</v>
      </c>
      <c r="AC14" s="107">
        <f t="shared" si="13"/>
        <v>9.9998000039999203E-6</v>
      </c>
      <c r="AD14" s="122">
        <f t="shared" si="14"/>
        <v>9.9998000039999203E-6</v>
      </c>
      <c r="AE14" s="126">
        <f t="shared" si="2"/>
        <v>1</v>
      </c>
    </row>
    <row r="15" spans="1:31" x14ac:dyDescent="0.2">
      <c r="A15" s="105"/>
      <c r="B15" s="113">
        <v>5182</v>
      </c>
      <c r="C15" s="116">
        <v>0.93950000000000022</v>
      </c>
      <c r="D15" s="117">
        <v>2.0000000000000005E-3</v>
      </c>
      <c r="E15" s="117">
        <v>3.5000000000000009E-3</v>
      </c>
      <c r="F15" s="117">
        <v>1.5000000000000005E-3</v>
      </c>
      <c r="G15" s="117">
        <v>3.5000000000000009E-3</v>
      </c>
      <c r="H15" s="117">
        <v>4.5000000000000005E-2</v>
      </c>
      <c r="I15" s="117">
        <v>1.0000000000000002E-3</v>
      </c>
      <c r="J15" s="117">
        <v>5.0000000000000012E-4</v>
      </c>
      <c r="K15" s="117">
        <v>2.5000000000000005E-3</v>
      </c>
      <c r="L15" s="117">
        <v>1.0000000000000002E-3</v>
      </c>
      <c r="M15" s="107">
        <v>1.0000000000000001E-5</v>
      </c>
      <c r="N15" s="122">
        <v>1.0000000000000001E-5</v>
      </c>
      <c r="O15" s="126">
        <f t="shared" si="1"/>
        <v>1.0000200000000001</v>
      </c>
      <c r="Q15" s="105"/>
      <c r="R15" s="113">
        <v>5182</v>
      </c>
      <c r="S15" s="119">
        <f t="shared" si="3"/>
        <v>0.93948121037579257</v>
      </c>
      <c r="T15" s="107">
        <f t="shared" si="4"/>
        <v>1.9999600007999845E-3</v>
      </c>
      <c r="U15" s="107">
        <f t="shared" si="5"/>
        <v>3.4999300013999726E-3</v>
      </c>
      <c r="V15" s="107">
        <f t="shared" si="6"/>
        <v>1.4999700005999884E-3</v>
      </c>
      <c r="W15" s="107">
        <f t="shared" si="7"/>
        <v>3.4999300013999726E-3</v>
      </c>
      <c r="X15" s="107">
        <f t="shared" si="8"/>
        <v>4.4999100017999644E-2</v>
      </c>
      <c r="Y15" s="107">
        <f t="shared" si="9"/>
        <v>9.9998000039999225E-4</v>
      </c>
      <c r="Z15" s="107">
        <f t="shared" si="10"/>
        <v>4.9999000019999612E-4</v>
      </c>
      <c r="AA15" s="107">
        <f t="shared" si="11"/>
        <v>2.4999500009999804E-3</v>
      </c>
      <c r="AB15" s="107">
        <f t="shared" si="12"/>
        <v>9.9998000039999225E-4</v>
      </c>
      <c r="AC15" s="107">
        <f t="shared" si="13"/>
        <v>9.9998000039999203E-6</v>
      </c>
      <c r="AD15" s="122">
        <f t="shared" si="14"/>
        <v>9.9998000039999203E-6</v>
      </c>
      <c r="AE15" s="126">
        <f t="shared" si="2"/>
        <v>1</v>
      </c>
    </row>
    <row r="16" spans="1:31" x14ac:dyDescent="0.2">
      <c r="A16" s="105"/>
      <c r="B16" s="113">
        <v>5754</v>
      </c>
      <c r="C16" s="116">
        <v>0.95250000000000001</v>
      </c>
      <c r="D16" s="117">
        <v>4.0000000000000001E-3</v>
      </c>
      <c r="E16" s="117">
        <v>4.0000000000000001E-3</v>
      </c>
      <c r="F16" s="117">
        <v>1E-3</v>
      </c>
      <c r="G16" s="117">
        <v>2E-3</v>
      </c>
      <c r="H16" s="117">
        <v>3.1E-2</v>
      </c>
      <c r="I16" s="117">
        <v>1.5E-3</v>
      </c>
      <c r="J16" s="117">
        <v>5.0000000000000001E-4</v>
      </c>
      <c r="K16" s="117">
        <v>2E-3</v>
      </c>
      <c r="L16" s="117">
        <v>1.5E-3</v>
      </c>
      <c r="M16" s="107">
        <v>1.0000000000000001E-5</v>
      </c>
      <c r="N16" s="122">
        <v>1.0000000000000001E-5</v>
      </c>
      <c r="O16" s="126">
        <f t="shared" si="1"/>
        <v>1.0000199999999999</v>
      </c>
      <c r="Q16" s="105"/>
      <c r="R16" s="113">
        <v>5754</v>
      </c>
      <c r="S16" s="119">
        <f t="shared" si="3"/>
        <v>0.95248095038099256</v>
      </c>
      <c r="T16" s="107">
        <f t="shared" si="4"/>
        <v>3.999920001599969E-3</v>
      </c>
      <c r="U16" s="107">
        <f t="shared" si="5"/>
        <v>3.999920001599969E-3</v>
      </c>
      <c r="V16" s="107">
        <f t="shared" si="6"/>
        <v>9.9998000039999225E-4</v>
      </c>
      <c r="W16" s="107">
        <f t="shared" si="7"/>
        <v>1.9999600007999845E-3</v>
      </c>
      <c r="X16" s="107">
        <f t="shared" si="8"/>
        <v>3.0999380012399755E-2</v>
      </c>
      <c r="Y16" s="107">
        <f t="shared" si="9"/>
        <v>1.4999700005999882E-3</v>
      </c>
      <c r="Z16" s="107">
        <f t="shared" si="10"/>
        <v>4.9999000019999612E-4</v>
      </c>
      <c r="AA16" s="107">
        <f t="shared" si="11"/>
        <v>1.9999600007999845E-3</v>
      </c>
      <c r="AB16" s="107">
        <f t="shared" si="12"/>
        <v>1.4999700005999882E-3</v>
      </c>
      <c r="AC16" s="107">
        <f t="shared" si="13"/>
        <v>9.999800003999922E-6</v>
      </c>
      <c r="AD16" s="122">
        <f t="shared" si="14"/>
        <v>9.999800003999922E-6</v>
      </c>
      <c r="AE16" s="126">
        <f t="shared" si="2"/>
        <v>1.0000000000000002</v>
      </c>
    </row>
    <row r="17" spans="1:31" x14ac:dyDescent="0.2">
      <c r="A17" s="105"/>
      <c r="B17" s="113">
        <v>6008</v>
      </c>
      <c r="C17" s="116">
        <v>0.97150000000000003</v>
      </c>
      <c r="D17" s="117">
        <v>7.0000000000000001E-3</v>
      </c>
      <c r="E17" s="117">
        <v>3.5000000000000001E-3</v>
      </c>
      <c r="F17" s="117">
        <v>3.0000000000000001E-3</v>
      </c>
      <c r="G17" s="117">
        <v>3.0000000000000001E-3</v>
      </c>
      <c r="H17" s="117">
        <v>5.4999999999999997E-3</v>
      </c>
      <c r="I17" s="117">
        <v>3.0000000000000001E-3</v>
      </c>
      <c r="J17" s="117">
        <v>5.0000000000000001E-4</v>
      </c>
      <c r="K17" s="117">
        <v>2E-3</v>
      </c>
      <c r="L17" s="117">
        <v>1E-3</v>
      </c>
      <c r="M17" s="107">
        <v>1.0000000000000001E-5</v>
      </c>
      <c r="N17" s="122">
        <v>1.0000000000000001E-5</v>
      </c>
      <c r="O17" s="126">
        <f t="shared" si="1"/>
        <v>1.0000199999999999</v>
      </c>
      <c r="Q17" s="105"/>
      <c r="R17" s="113">
        <v>6008</v>
      </c>
      <c r="S17" s="119">
        <f t="shared" si="3"/>
        <v>0.97148057038859237</v>
      </c>
      <c r="T17" s="107">
        <f t="shared" si="4"/>
        <v>6.9998600027999453E-3</v>
      </c>
      <c r="U17" s="107">
        <f t="shared" si="5"/>
        <v>3.4999300013999726E-3</v>
      </c>
      <c r="V17" s="107">
        <f t="shared" si="6"/>
        <v>2.9999400011999763E-3</v>
      </c>
      <c r="W17" s="107">
        <f t="shared" si="7"/>
        <v>2.9999400011999763E-3</v>
      </c>
      <c r="X17" s="107">
        <f t="shared" si="8"/>
        <v>5.4998900021999567E-3</v>
      </c>
      <c r="Y17" s="107">
        <f t="shared" si="9"/>
        <v>2.9999400011999763E-3</v>
      </c>
      <c r="Z17" s="107">
        <f t="shared" si="10"/>
        <v>4.9999000019999612E-4</v>
      </c>
      <c r="AA17" s="107">
        <f t="shared" si="11"/>
        <v>1.9999600007999845E-3</v>
      </c>
      <c r="AB17" s="107">
        <f t="shared" si="12"/>
        <v>9.9998000039999225E-4</v>
      </c>
      <c r="AC17" s="107">
        <f t="shared" si="13"/>
        <v>9.999800003999922E-6</v>
      </c>
      <c r="AD17" s="122">
        <f t="shared" si="14"/>
        <v>9.999800003999922E-6</v>
      </c>
      <c r="AE17" s="126">
        <f t="shared" si="2"/>
        <v>1</v>
      </c>
    </row>
    <row r="18" spans="1:31" x14ac:dyDescent="0.2">
      <c r="A18" s="105"/>
      <c r="B18" s="113">
        <v>6014</v>
      </c>
      <c r="C18" s="116">
        <v>0.97775111244437807</v>
      </c>
      <c r="D18" s="117">
        <v>4.4997750112494381E-3</v>
      </c>
      <c r="E18" s="117">
        <v>3.4998250087495638E-3</v>
      </c>
      <c r="F18" s="117">
        <v>2.4998750062496882E-3</v>
      </c>
      <c r="G18" s="117">
        <v>1.2499375031248441E-3</v>
      </c>
      <c r="H18" s="117">
        <v>5.999700014999252E-3</v>
      </c>
      <c r="I18" s="117">
        <v>1.9999000049997508E-3</v>
      </c>
      <c r="J18" s="117">
        <v>4.999750012499377E-4</v>
      </c>
      <c r="K18" s="117">
        <v>9.9995000249987541E-4</v>
      </c>
      <c r="L18" s="117">
        <v>9.9995000249987541E-4</v>
      </c>
      <c r="M18" s="107">
        <v>1.0000000000000001E-5</v>
      </c>
      <c r="N18" s="122">
        <v>1.0000000000000001E-5</v>
      </c>
      <c r="O18" s="126">
        <f t="shared" si="1"/>
        <v>1.0000200000000006</v>
      </c>
      <c r="Q18" s="105"/>
      <c r="R18" s="113">
        <v>6014</v>
      </c>
      <c r="S18" s="119">
        <f t="shared" si="3"/>
        <v>0.9777315578132213</v>
      </c>
      <c r="T18" s="107">
        <f t="shared" si="4"/>
        <v>4.4996850175490844E-3</v>
      </c>
      <c r="U18" s="107">
        <f t="shared" si="5"/>
        <v>3.499755013649289E-3</v>
      </c>
      <c r="V18" s="107">
        <f t="shared" si="6"/>
        <v>2.4998250097494918E-3</v>
      </c>
      <c r="W18" s="107">
        <f t="shared" si="7"/>
        <v>1.2499125048747459E-3</v>
      </c>
      <c r="X18" s="107">
        <f t="shared" si="8"/>
        <v>5.9995800233987812E-3</v>
      </c>
      <c r="Y18" s="107">
        <f t="shared" si="9"/>
        <v>1.9998600077995939E-3</v>
      </c>
      <c r="Z18" s="107">
        <f t="shared" si="10"/>
        <v>4.9996500194989847E-4</v>
      </c>
      <c r="AA18" s="107">
        <f t="shared" si="11"/>
        <v>9.9993000389979694E-4</v>
      </c>
      <c r="AB18" s="107">
        <f t="shared" si="12"/>
        <v>9.9993000389979694E-4</v>
      </c>
      <c r="AC18" s="107">
        <f t="shared" si="13"/>
        <v>9.9998000039999153E-6</v>
      </c>
      <c r="AD18" s="122">
        <f t="shared" si="14"/>
        <v>9.9998000039999153E-6</v>
      </c>
      <c r="AE18" s="126">
        <f t="shared" si="2"/>
        <v>0.99999999999999978</v>
      </c>
    </row>
    <row r="19" spans="1:31" x14ac:dyDescent="0.2">
      <c r="A19" s="105"/>
      <c r="B19" s="113">
        <v>6016</v>
      </c>
      <c r="C19" s="116">
        <v>0.96925153742312897</v>
      </c>
      <c r="D19" s="117">
        <v>1.249937503124844E-2</v>
      </c>
      <c r="E19" s="117">
        <v>4.9997500124993755E-3</v>
      </c>
      <c r="F19" s="117">
        <v>1.9999000049997504E-3</v>
      </c>
      <c r="G19" s="117">
        <v>1.9999000049997504E-3</v>
      </c>
      <c r="H19" s="117">
        <v>4.2497875106244695E-3</v>
      </c>
      <c r="I19" s="117">
        <v>9.9995000249987519E-4</v>
      </c>
      <c r="J19" s="117">
        <v>4.999750012499376E-4</v>
      </c>
      <c r="K19" s="117">
        <v>1.9999000049997504E-3</v>
      </c>
      <c r="L19" s="117">
        <v>1.4999250037498126E-3</v>
      </c>
      <c r="M19" s="107">
        <v>1.0000000000000001E-5</v>
      </c>
      <c r="N19" s="122">
        <v>1.0000000000000001E-5</v>
      </c>
      <c r="O19" s="126">
        <f t="shared" si="1"/>
        <v>1.0000200000000001</v>
      </c>
      <c r="Q19" s="105"/>
      <c r="R19" s="113">
        <v>6016</v>
      </c>
      <c r="S19" s="119">
        <f t="shared" si="3"/>
        <v>0.96923215278007324</v>
      </c>
      <c r="T19" s="107">
        <f t="shared" si="4"/>
        <v>1.2499125048747464E-2</v>
      </c>
      <c r="U19" s="107">
        <f t="shared" si="5"/>
        <v>4.9996500194989853E-3</v>
      </c>
      <c r="V19" s="107">
        <f t="shared" si="6"/>
        <v>1.9998600077995943E-3</v>
      </c>
      <c r="W19" s="107">
        <f t="shared" si="7"/>
        <v>1.9998600077995943E-3</v>
      </c>
      <c r="X19" s="107">
        <f t="shared" si="8"/>
        <v>4.2497025165741378E-3</v>
      </c>
      <c r="Y19" s="107">
        <f t="shared" si="9"/>
        <v>9.9993000389979715E-4</v>
      </c>
      <c r="Z19" s="107">
        <f t="shared" si="10"/>
        <v>4.9996500194989858E-4</v>
      </c>
      <c r="AA19" s="107">
        <f t="shared" si="11"/>
        <v>1.9998600077995943E-3</v>
      </c>
      <c r="AB19" s="107">
        <f t="shared" si="12"/>
        <v>1.4998950058496955E-3</v>
      </c>
      <c r="AC19" s="107">
        <f t="shared" si="13"/>
        <v>9.9998000039999203E-6</v>
      </c>
      <c r="AD19" s="122">
        <f t="shared" si="14"/>
        <v>9.9998000039999203E-6</v>
      </c>
      <c r="AE19" s="126">
        <f t="shared" si="2"/>
        <v>1</v>
      </c>
    </row>
    <row r="20" spans="1:31" x14ac:dyDescent="0.2">
      <c r="A20" s="105"/>
      <c r="B20" s="113">
        <v>6060</v>
      </c>
      <c r="C20" s="116">
        <v>0.98320000000000018</v>
      </c>
      <c r="D20" s="117">
        <v>4.5000000000000005E-3</v>
      </c>
      <c r="E20" s="117">
        <v>2.0000000000000005E-3</v>
      </c>
      <c r="F20" s="117">
        <v>1.0000000000000002E-3</v>
      </c>
      <c r="G20" s="117">
        <v>1.0000000000000002E-3</v>
      </c>
      <c r="H20" s="117">
        <v>4.8000000000000004E-3</v>
      </c>
      <c r="I20" s="117">
        <v>5.0000000000000012E-4</v>
      </c>
      <c r="J20" s="117">
        <v>5.0000000000000012E-4</v>
      </c>
      <c r="K20" s="117">
        <v>1.5000000000000005E-3</v>
      </c>
      <c r="L20" s="117">
        <v>1.0000000000000002E-3</v>
      </c>
      <c r="M20" s="107">
        <v>1.0000000000000001E-5</v>
      </c>
      <c r="N20" s="122">
        <v>1.0000000000000001E-5</v>
      </c>
      <c r="O20" s="126">
        <f t="shared" si="1"/>
        <v>1.0000200000000001</v>
      </c>
      <c r="Q20" s="105"/>
      <c r="R20" s="113">
        <v>6060</v>
      </c>
      <c r="S20" s="119">
        <f t="shared" si="3"/>
        <v>0.98318033639327218</v>
      </c>
      <c r="T20" s="107">
        <f t="shared" si="4"/>
        <v>4.499910001799964E-3</v>
      </c>
      <c r="U20" s="107">
        <f t="shared" si="5"/>
        <v>1.9999600007999845E-3</v>
      </c>
      <c r="V20" s="107">
        <f t="shared" si="6"/>
        <v>9.9998000039999225E-4</v>
      </c>
      <c r="W20" s="107">
        <f t="shared" si="7"/>
        <v>9.9998000039999225E-4</v>
      </c>
      <c r="X20" s="107">
        <f t="shared" si="8"/>
        <v>4.7999040019199614E-3</v>
      </c>
      <c r="Y20" s="107">
        <f t="shared" si="9"/>
        <v>4.9999000019999612E-4</v>
      </c>
      <c r="Z20" s="107">
        <f t="shared" si="10"/>
        <v>4.9999000019999612E-4</v>
      </c>
      <c r="AA20" s="107">
        <f t="shared" si="11"/>
        <v>1.4999700005999884E-3</v>
      </c>
      <c r="AB20" s="107">
        <f t="shared" si="12"/>
        <v>9.9998000039999225E-4</v>
      </c>
      <c r="AC20" s="107">
        <f t="shared" si="13"/>
        <v>9.9998000039999203E-6</v>
      </c>
      <c r="AD20" s="122">
        <f t="shared" si="14"/>
        <v>9.9998000039999203E-6</v>
      </c>
      <c r="AE20" s="126">
        <f t="shared" si="2"/>
        <v>1</v>
      </c>
    </row>
    <row r="21" spans="1:31" x14ac:dyDescent="0.2">
      <c r="A21" s="105"/>
      <c r="B21" s="114">
        <v>6061</v>
      </c>
      <c r="C21" s="116">
        <v>0.96620000000000017</v>
      </c>
      <c r="D21" s="117">
        <v>6.0000000000000019E-3</v>
      </c>
      <c r="E21" s="117">
        <v>7.0000000000000019E-3</v>
      </c>
      <c r="F21" s="117">
        <v>2.8000000000000004E-3</v>
      </c>
      <c r="G21" s="117">
        <v>1.5000000000000005E-3</v>
      </c>
      <c r="H21" s="117">
        <v>1.0000000000000002E-2</v>
      </c>
      <c r="I21" s="117">
        <v>2.0000000000000005E-3</v>
      </c>
      <c r="J21" s="117">
        <v>5.0000000000000012E-4</v>
      </c>
      <c r="K21" s="117">
        <v>2.5000000000000005E-3</v>
      </c>
      <c r="L21" s="117">
        <v>1.5000000000000005E-3</v>
      </c>
      <c r="M21" s="107">
        <v>1.0000000000000001E-5</v>
      </c>
      <c r="N21" s="122">
        <v>1.0000000000000001E-5</v>
      </c>
      <c r="O21" s="126">
        <f t="shared" si="1"/>
        <v>1.0000200000000001</v>
      </c>
      <c r="Q21" s="105"/>
      <c r="R21" s="114">
        <v>6061</v>
      </c>
      <c r="S21" s="119">
        <f t="shared" si="3"/>
        <v>0.96618067638647231</v>
      </c>
      <c r="T21" s="107">
        <f t="shared" si="4"/>
        <v>5.9998800023999535E-3</v>
      </c>
      <c r="U21" s="107">
        <f t="shared" si="5"/>
        <v>6.9998600027999453E-3</v>
      </c>
      <c r="V21" s="107">
        <f t="shared" si="6"/>
        <v>2.7999440011199778E-3</v>
      </c>
      <c r="W21" s="107">
        <f t="shared" si="7"/>
        <v>1.4999700005999884E-3</v>
      </c>
      <c r="X21" s="107">
        <f t="shared" si="8"/>
        <v>9.9998000039999216E-3</v>
      </c>
      <c r="Y21" s="107">
        <f t="shared" si="9"/>
        <v>1.9999600007999845E-3</v>
      </c>
      <c r="Z21" s="107">
        <f t="shared" si="10"/>
        <v>4.9999000019999612E-4</v>
      </c>
      <c r="AA21" s="107">
        <f t="shared" si="11"/>
        <v>2.4999500009999804E-3</v>
      </c>
      <c r="AB21" s="107">
        <f t="shared" si="12"/>
        <v>1.4999700005999884E-3</v>
      </c>
      <c r="AC21" s="107">
        <f t="shared" si="13"/>
        <v>9.9998000039999203E-6</v>
      </c>
      <c r="AD21" s="122">
        <f t="shared" si="14"/>
        <v>9.9998000039999203E-6</v>
      </c>
      <c r="AE21" s="126">
        <f t="shared" si="2"/>
        <v>1</v>
      </c>
    </row>
    <row r="22" spans="1:31" x14ac:dyDescent="0.2">
      <c r="A22" s="105"/>
      <c r="B22" s="113">
        <v>6063</v>
      </c>
      <c r="C22" s="116">
        <v>0.98</v>
      </c>
      <c r="D22" s="117">
        <v>4.0000000000000001E-3</v>
      </c>
      <c r="E22" s="117">
        <v>3.5000000000000001E-3</v>
      </c>
      <c r="F22" s="117">
        <v>1E-3</v>
      </c>
      <c r="G22" s="117">
        <v>1E-3</v>
      </c>
      <c r="H22" s="117">
        <v>7.0000000000000001E-3</v>
      </c>
      <c r="I22" s="117">
        <v>1E-3</v>
      </c>
      <c r="J22" s="117">
        <v>5.0000000000000001E-4</v>
      </c>
      <c r="K22" s="117">
        <v>1E-3</v>
      </c>
      <c r="L22" s="117">
        <v>1E-3</v>
      </c>
      <c r="M22" s="107">
        <v>1.0000000000000001E-5</v>
      </c>
      <c r="N22" s="122">
        <v>1.0000000000000001E-5</v>
      </c>
      <c r="O22" s="126">
        <f t="shared" si="1"/>
        <v>1.0000199999999999</v>
      </c>
      <c r="Q22" s="105"/>
      <c r="R22" s="113">
        <v>6063</v>
      </c>
      <c r="S22" s="119">
        <f t="shared" si="3"/>
        <v>0.9799804003919923</v>
      </c>
      <c r="T22" s="107">
        <f t="shared" si="4"/>
        <v>3.999920001599969E-3</v>
      </c>
      <c r="U22" s="107">
        <f t="shared" si="5"/>
        <v>3.4999300013999726E-3</v>
      </c>
      <c r="V22" s="107">
        <f t="shared" si="6"/>
        <v>9.9998000039999225E-4</v>
      </c>
      <c r="W22" s="107">
        <f t="shared" si="7"/>
        <v>9.9998000039999225E-4</v>
      </c>
      <c r="X22" s="107">
        <f t="shared" si="8"/>
        <v>6.9998600027999453E-3</v>
      </c>
      <c r="Y22" s="107">
        <f t="shared" si="9"/>
        <v>9.9998000039999225E-4</v>
      </c>
      <c r="Z22" s="107">
        <f t="shared" si="10"/>
        <v>4.9999000019999612E-4</v>
      </c>
      <c r="AA22" s="107">
        <f t="shared" si="11"/>
        <v>9.9998000039999225E-4</v>
      </c>
      <c r="AB22" s="107">
        <f t="shared" si="12"/>
        <v>9.9998000039999225E-4</v>
      </c>
      <c r="AC22" s="107">
        <f t="shared" si="13"/>
        <v>9.999800003999922E-6</v>
      </c>
      <c r="AD22" s="122">
        <f t="shared" si="14"/>
        <v>9.999800003999922E-6</v>
      </c>
      <c r="AE22" s="126">
        <f t="shared" si="2"/>
        <v>1.0000000000000002</v>
      </c>
    </row>
    <row r="23" spans="1:31" x14ac:dyDescent="0.2">
      <c r="A23" s="105"/>
      <c r="B23" s="113">
        <v>6082</v>
      </c>
      <c r="C23" s="116">
        <v>0.96199999999999997</v>
      </c>
      <c r="D23" s="117">
        <v>0.01</v>
      </c>
      <c r="E23" s="117">
        <v>5.0000000000000001E-3</v>
      </c>
      <c r="F23" s="117">
        <v>1E-3</v>
      </c>
      <c r="G23" s="117">
        <v>7.0000000000000001E-3</v>
      </c>
      <c r="H23" s="117">
        <v>8.9999999999999993E-3</v>
      </c>
      <c r="I23" s="117">
        <v>2.5000000000000001E-3</v>
      </c>
      <c r="J23" s="117">
        <v>5.0000000000000001E-4</v>
      </c>
      <c r="K23" s="117">
        <v>2E-3</v>
      </c>
      <c r="L23" s="117">
        <v>1E-3</v>
      </c>
      <c r="M23" s="107">
        <v>1.0000000000000001E-5</v>
      </c>
      <c r="N23" s="122">
        <v>1.0000000000000001E-5</v>
      </c>
      <c r="O23" s="126">
        <f t="shared" si="1"/>
        <v>1.0000199999999999</v>
      </c>
      <c r="Q23" s="105"/>
      <c r="R23" s="113">
        <v>6082</v>
      </c>
      <c r="S23" s="119">
        <f t="shared" si="3"/>
        <v>0.96198076038479241</v>
      </c>
      <c r="T23" s="107">
        <f t="shared" si="4"/>
        <v>9.9998000039999216E-3</v>
      </c>
      <c r="U23" s="107">
        <f t="shared" si="5"/>
        <v>4.9999000019999608E-3</v>
      </c>
      <c r="V23" s="107">
        <f t="shared" si="6"/>
        <v>9.9998000039999225E-4</v>
      </c>
      <c r="W23" s="107">
        <f t="shared" si="7"/>
        <v>6.9998600027999453E-3</v>
      </c>
      <c r="X23" s="107">
        <f t="shared" si="8"/>
        <v>8.999820003599928E-3</v>
      </c>
      <c r="Y23" s="107">
        <f t="shared" si="9"/>
        <v>2.4999500009999804E-3</v>
      </c>
      <c r="Z23" s="107">
        <f t="shared" si="10"/>
        <v>4.9999000019999612E-4</v>
      </c>
      <c r="AA23" s="107">
        <f t="shared" si="11"/>
        <v>1.9999600007999845E-3</v>
      </c>
      <c r="AB23" s="107">
        <f t="shared" si="12"/>
        <v>9.9998000039999225E-4</v>
      </c>
      <c r="AC23" s="107">
        <f t="shared" si="13"/>
        <v>9.999800003999922E-6</v>
      </c>
      <c r="AD23" s="122">
        <f t="shared" si="14"/>
        <v>9.999800003999922E-6</v>
      </c>
      <c r="AE23" s="126">
        <f t="shared" si="2"/>
        <v>1.0000000000000002</v>
      </c>
    </row>
    <row r="24" spans="1:31" x14ac:dyDescent="0.2">
      <c r="A24" s="105"/>
      <c r="B24" s="113">
        <v>6111</v>
      </c>
      <c r="C24" s="116">
        <v>0.96620000000000017</v>
      </c>
      <c r="D24" s="117">
        <v>8.5000000000000023E-3</v>
      </c>
      <c r="E24" s="117">
        <v>4.000000000000001E-3</v>
      </c>
      <c r="F24" s="117">
        <v>7.0000000000000019E-3</v>
      </c>
      <c r="G24" s="117">
        <v>2.8000000000000004E-3</v>
      </c>
      <c r="H24" s="117">
        <v>7.5000000000000015E-3</v>
      </c>
      <c r="I24" s="117">
        <v>1.0000000000000002E-3</v>
      </c>
      <c r="J24" s="117">
        <v>5.0000000000000012E-4</v>
      </c>
      <c r="K24" s="117">
        <v>1.5000000000000005E-3</v>
      </c>
      <c r="L24" s="117">
        <v>1.0000000000000002E-3</v>
      </c>
      <c r="M24" s="107">
        <v>1.0000000000000001E-5</v>
      </c>
      <c r="N24" s="122">
        <v>1.0000000000000001E-5</v>
      </c>
      <c r="O24" s="126">
        <f t="shared" si="1"/>
        <v>1.0000200000000001</v>
      </c>
      <c r="Q24" s="105"/>
      <c r="R24" s="113">
        <v>6111</v>
      </c>
      <c r="S24" s="119">
        <f t="shared" si="3"/>
        <v>0.96618067638647231</v>
      </c>
      <c r="T24" s="107">
        <f t="shared" si="4"/>
        <v>8.499830003399933E-3</v>
      </c>
      <c r="U24" s="107">
        <f t="shared" si="5"/>
        <v>3.999920001599969E-3</v>
      </c>
      <c r="V24" s="107">
        <f t="shared" si="6"/>
        <v>6.9998600027999453E-3</v>
      </c>
      <c r="W24" s="107">
        <f t="shared" si="7"/>
        <v>2.7999440011199778E-3</v>
      </c>
      <c r="X24" s="107">
        <f t="shared" si="8"/>
        <v>7.4998500029999412E-3</v>
      </c>
      <c r="Y24" s="107">
        <f t="shared" si="9"/>
        <v>9.9998000039999225E-4</v>
      </c>
      <c r="Z24" s="107">
        <f t="shared" si="10"/>
        <v>4.9999000019999612E-4</v>
      </c>
      <c r="AA24" s="107">
        <f t="shared" si="11"/>
        <v>1.4999700005999884E-3</v>
      </c>
      <c r="AB24" s="107">
        <f t="shared" si="12"/>
        <v>9.9998000039999225E-4</v>
      </c>
      <c r="AC24" s="107">
        <f t="shared" si="13"/>
        <v>9.9998000039999203E-6</v>
      </c>
      <c r="AD24" s="122">
        <f t="shared" si="14"/>
        <v>9.9998000039999203E-6</v>
      </c>
      <c r="AE24" s="126">
        <f t="shared" si="2"/>
        <v>1</v>
      </c>
    </row>
    <row r="25" spans="1:31" x14ac:dyDescent="0.2">
      <c r="A25" s="105"/>
      <c r="B25" s="114" t="s">
        <v>133</v>
      </c>
      <c r="C25" s="116">
        <v>0.96570342965703448</v>
      </c>
      <c r="D25" s="117">
        <v>8.999100089991002E-3</v>
      </c>
      <c r="E25" s="117">
        <v>3.2996700329967011E-3</v>
      </c>
      <c r="F25" s="117">
        <v>2.4997500249975008E-3</v>
      </c>
      <c r="G25" s="117">
        <v>3.9996000399960012E-3</v>
      </c>
      <c r="H25" s="117">
        <v>7.9992000799920023E-3</v>
      </c>
      <c r="I25" s="117">
        <v>1.4998500149985005E-3</v>
      </c>
      <c r="J25" s="117">
        <v>4.9995000499950014E-4</v>
      </c>
      <c r="K25" s="117">
        <v>2.9997000299970011E-3</v>
      </c>
      <c r="L25" s="117">
        <v>2.4997500249975008E-3</v>
      </c>
      <c r="M25" s="107">
        <v>1.0000000000000001E-5</v>
      </c>
      <c r="N25" s="122">
        <v>1.0000000000000001E-5</v>
      </c>
      <c r="O25" s="126">
        <f t="shared" si="1"/>
        <v>1.0000200000000004</v>
      </c>
      <c r="Q25" s="105"/>
      <c r="R25" s="114" t="s">
        <v>133</v>
      </c>
      <c r="S25" s="119">
        <f t="shared" si="3"/>
        <v>0.96568411597471471</v>
      </c>
      <c r="T25" s="107">
        <f t="shared" si="4"/>
        <v>8.9989201115887665E-3</v>
      </c>
      <c r="U25" s="107">
        <f t="shared" si="5"/>
        <v>3.2996040409158816E-3</v>
      </c>
      <c r="V25" s="107">
        <f t="shared" si="6"/>
        <v>2.4997000309968801E-3</v>
      </c>
      <c r="W25" s="107">
        <f t="shared" si="7"/>
        <v>3.9995200495950081E-3</v>
      </c>
      <c r="X25" s="107">
        <f t="shared" si="8"/>
        <v>7.9990400991900162E-3</v>
      </c>
      <c r="Y25" s="107">
        <f t="shared" si="9"/>
        <v>1.499820018598128E-3</v>
      </c>
      <c r="Z25" s="107">
        <f t="shared" si="10"/>
        <v>4.9994000619937601E-4</v>
      </c>
      <c r="AA25" s="107">
        <f t="shared" si="11"/>
        <v>2.9996400371962561E-3</v>
      </c>
      <c r="AB25" s="107">
        <f t="shared" si="12"/>
        <v>2.4997000309968801E-3</v>
      </c>
      <c r="AC25" s="107">
        <f t="shared" si="13"/>
        <v>9.999800003999917E-6</v>
      </c>
      <c r="AD25" s="122">
        <f t="shared" si="14"/>
        <v>9.999800003999917E-6</v>
      </c>
      <c r="AE25" s="126">
        <f t="shared" si="2"/>
        <v>1</v>
      </c>
    </row>
    <row r="26" spans="1:31" x14ac:dyDescent="0.2">
      <c r="A26" s="105"/>
      <c r="B26" s="113">
        <v>7020</v>
      </c>
      <c r="C26" s="116">
        <v>0.9274</v>
      </c>
      <c r="D26" s="117">
        <v>3.5000000000000001E-3</v>
      </c>
      <c r="E26" s="117">
        <v>4.0000000000000001E-3</v>
      </c>
      <c r="F26" s="117">
        <v>2E-3</v>
      </c>
      <c r="G26" s="117">
        <v>2.7499999999999998E-3</v>
      </c>
      <c r="H26" s="117">
        <v>1.2E-2</v>
      </c>
      <c r="I26" s="117">
        <v>2.2499999999999998E-3</v>
      </c>
      <c r="J26" s="117">
        <v>5.0000000000000001E-4</v>
      </c>
      <c r="K26" s="117">
        <v>4.4999999999999998E-2</v>
      </c>
      <c r="L26" s="117">
        <v>5.9999999999999995E-4</v>
      </c>
      <c r="M26" s="107">
        <v>1.0000000000000001E-5</v>
      </c>
      <c r="N26" s="122">
        <v>1.0000000000000001E-5</v>
      </c>
      <c r="O26" s="126">
        <f t="shared" si="1"/>
        <v>1.0000200000000001</v>
      </c>
      <c r="Q26" s="105"/>
      <c r="R26" s="113">
        <v>7020</v>
      </c>
      <c r="S26" s="119">
        <f t="shared" si="3"/>
        <v>0.92738145237095249</v>
      </c>
      <c r="T26" s="107">
        <f t="shared" si="4"/>
        <v>3.4999300013999718E-3</v>
      </c>
      <c r="U26" s="107">
        <f t="shared" si="5"/>
        <v>3.9999200015999681E-3</v>
      </c>
      <c r="V26" s="107">
        <f t="shared" si="6"/>
        <v>1.9999600007999841E-3</v>
      </c>
      <c r="W26" s="107">
        <f t="shared" si="7"/>
        <v>2.7499450010999775E-3</v>
      </c>
      <c r="X26" s="107">
        <f t="shared" si="8"/>
        <v>1.1999760004799903E-2</v>
      </c>
      <c r="Y26" s="107">
        <f t="shared" si="9"/>
        <v>2.2499550008999816E-3</v>
      </c>
      <c r="Z26" s="107">
        <f t="shared" si="10"/>
        <v>4.9999000019999601E-4</v>
      </c>
      <c r="AA26" s="107">
        <f t="shared" si="11"/>
        <v>4.4999100017999637E-2</v>
      </c>
      <c r="AB26" s="107">
        <f t="shared" si="12"/>
        <v>5.9998800023999507E-4</v>
      </c>
      <c r="AC26" s="107">
        <f t="shared" si="13"/>
        <v>9.9998000039999203E-6</v>
      </c>
      <c r="AD26" s="122">
        <f t="shared" si="14"/>
        <v>9.9998000039999203E-6</v>
      </c>
      <c r="AE26" s="126">
        <f t="shared" si="2"/>
        <v>0.99999999999999978</v>
      </c>
    </row>
    <row r="27" spans="1:31" x14ac:dyDescent="0.2">
      <c r="A27" s="105" t="s">
        <v>232</v>
      </c>
      <c r="B27" s="106">
        <v>301</v>
      </c>
      <c r="C27" s="119">
        <v>0.83050000000000002</v>
      </c>
      <c r="D27" s="107">
        <v>0.1</v>
      </c>
      <c r="E27" s="107">
        <v>1.15E-2</v>
      </c>
      <c r="F27" s="107">
        <v>3.2500000000000001E-2</v>
      </c>
      <c r="G27" s="107">
        <v>6.4999999999999997E-3</v>
      </c>
      <c r="H27" s="107">
        <v>3.7000000000000002E-3</v>
      </c>
      <c r="I27" s="107">
        <v>2.9999999999999997E-4</v>
      </c>
      <c r="J27" s="107">
        <v>1.2500000000000001E-2</v>
      </c>
      <c r="K27" s="107">
        <v>5.0000000000000001E-4</v>
      </c>
      <c r="L27" s="107">
        <v>2E-3</v>
      </c>
      <c r="M27" s="107">
        <v>1.0000000000000001E-5</v>
      </c>
      <c r="N27" s="122">
        <v>1.0000000000000001E-5</v>
      </c>
      <c r="O27" s="126">
        <f t="shared" si="1"/>
        <v>1.0000199999999999</v>
      </c>
      <c r="Q27" s="105" t="s">
        <v>232</v>
      </c>
      <c r="R27" s="106">
        <v>301</v>
      </c>
      <c r="S27" s="119">
        <f t="shared" si="3"/>
        <v>0.83048339033219343</v>
      </c>
      <c r="T27" s="107">
        <f t="shared" si="4"/>
        <v>9.9998000039999216E-2</v>
      </c>
      <c r="U27" s="107">
        <f t="shared" si="5"/>
        <v>1.149977000459991E-2</v>
      </c>
      <c r="V27" s="107">
        <f t="shared" si="6"/>
        <v>3.2499350012999743E-2</v>
      </c>
      <c r="W27" s="107">
        <f t="shared" si="7"/>
        <v>6.4998700025999485E-3</v>
      </c>
      <c r="X27" s="107">
        <f t="shared" si="8"/>
        <v>3.6999260014799712E-3</v>
      </c>
      <c r="Y27" s="107">
        <f t="shared" si="9"/>
        <v>2.9999400011999759E-4</v>
      </c>
      <c r="Z27" s="107">
        <f t="shared" si="10"/>
        <v>1.2499750004999902E-2</v>
      </c>
      <c r="AA27" s="107">
        <f t="shared" si="11"/>
        <v>4.9999000019999612E-4</v>
      </c>
      <c r="AB27" s="107">
        <f t="shared" si="12"/>
        <v>1.9999600007999845E-3</v>
      </c>
      <c r="AC27" s="107">
        <f t="shared" si="13"/>
        <v>9.999800003999922E-6</v>
      </c>
      <c r="AD27" s="122">
        <f t="shared" si="14"/>
        <v>9.999800003999922E-6</v>
      </c>
      <c r="AE27" s="126">
        <f t="shared" si="2"/>
        <v>1.0000000000000002</v>
      </c>
    </row>
    <row r="28" spans="1:31" x14ac:dyDescent="0.2">
      <c r="A28" s="105"/>
      <c r="B28" s="106">
        <v>319</v>
      </c>
      <c r="C28" s="119">
        <v>0.86799999999999999</v>
      </c>
      <c r="D28" s="107">
        <v>0.06</v>
      </c>
      <c r="E28" s="107">
        <v>0.01</v>
      </c>
      <c r="F28" s="107">
        <v>3.5000000000000003E-2</v>
      </c>
      <c r="G28" s="107">
        <v>5.0000000000000001E-3</v>
      </c>
      <c r="H28" s="107">
        <v>1E-3</v>
      </c>
      <c r="I28" s="107">
        <v>5.0000000000000001E-3</v>
      </c>
      <c r="J28" s="107">
        <v>3.5000000000000001E-3</v>
      </c>
      <c r="K28" s="107">
        <v>0.01</v>
      </c>
      <c r="L28" s="107">
        <v>2.5000000000000001E-3</v>
      </c>
      <c r="M28" s="107">
        <v>1.0000000000000001E-5</v>
      </c>
      <c r="N28" s="122">
        <v>1.0000000000000001E-5</v>
      </c>
      <c r="O28" s="126">
        <f t="shared" si="1"/>
        <v>1.0000199999999999</v>
      </c>
      <c r="Q28" s="105"/>
      <c r="R28" s="106">
        <v>319</v>
      </c>
      <c r="S28" s="119">
        <f t="shared" si="3"/>
        <v>0.86798264034719319</v>
      </c>
      <c r="T28" s="107">
        <f t="shared" si="4"/>
        <v>5.9998800023999523E-2</v>
      </c>
      <c r="U28" s="107">
        <f t="shared" si="5"/>
        <v>9.9998000039999216E-3</v>
      </c>
      <c r="V28" s="107">
        <f t="shared" si="6"/>
        <v>3.4999300013999729E-2</v>
      </c>
      <c r="W28" s="107">
        <f t="shared" si="7"/>
        <v>4.9999000019999608E-3</v>
      </c>
      <c r="X28" s="107">
        <f t="shared" si="8"/>
        <v>9.9998000039999225E-4</v>
      </c>
      <c r="Y28" s="107">
        <f t="shared" si="9"/>
        <v>4.9999000019999608E-3</v>
      </c>
      <c r="Z28" s="107">
        <f t="shared" si="10"/>
        <v>3.4999300013999726E-3</v>
      </c>
      <c r="AA28" s="107">
        <f t="shared" si="11"/>
        <v>9.9998000039999216E-3</v>
      </c>
      <c r="AB28" s="107">
        <f t="shared" si="12"/>
        <v>2.4999500009999804E-3</v>
      </c>
      <c r="AC28" s="107">
        <f t="shared" si="13"/>
        <v>9.999800003999922E-6</v>
      </c>
      <c r="AD28" s="122">
        <f t="shared" si="14"/>
        <v>9.999800003999922E-6</v>
      </c>
      <c r="AE28" s="126">
        <f t="shared" si="2"/>
        <v>1.0000000000000002</v>
      </c>
    </row>
    <row r="29" spans="1:31" x14ac:dyDescent="0.2">
      <c r="A29" s="105"/>
      <c r="B29" s="106">
        <v>383</v>
      </c>
      <c r="C29" s="119">
        <v>0.80800000000000005</v>
      </c>
      <c r="D29" s="107">
        <v>0.105</v>
      </c>
      <c r="E29" s="107">
        <v>1.2999999999999999E-2</v>
      </c>
      <c r="F29" s="107">
        <v>2.5000000000000001E-2</v>
      </c>
      <c r="G29" s="107">
        <v>5.0000000000000001E-3</v>
      </c>
      <c r="H29" s="107">
        <v>1E-3</v>
      </c>
      <c r="I29" s="107">
        <v>5.0000000000000001E-3</v>
      </c>
      <c r="J29" s="107">
        <v>3.0000000000000001E-3</v>
      </c>
      <c r="K29" s="107">
        <v>0.03</v>
      </c>
      <c r="L29" s="107">
        <v>5.0000000000000001E-3</v>
      </c>
      <c r="M29" s="107">
        <v>1.0000000000000001E-5</v>
      </c>
      <c r="N29" s="122">
        <v>1.0000000000000001E-5</v>
      </c>
      <c r="O29" s="126">
        <f t="shared" si="1"/>
        <v>1.0000200000000001</v>
      </c>
      <c r="Q29" s="105"/>
      <c r="R29" s="106">
        <v>383</v>
      </c>
      <c r="S29" s="119">
        <f t="shared" si="3"/>
        <v>0.80798384032319348</v>
      </c>
      <c r="T29" s="107">
        <f t="shared" si="4"/>
        <v>0.10499790004199915</v>
      </c>
      <c r="U29" s="107">
        <f t="shared" si="5"/>
        <v>1.2999740005199894E-2</v>
      </c>
      <c r="V29" s="107">
        <f t="shared" si="6"/>
        <v>2.49995000099998E-2</v>
      </c>
      <c r="W29" s="107">
        <f t="shared" si="7"/>
        <v>4.9999000019999599E-3</v>
      </c>
      <c r="X29" s="107">
        <f t="shared" si="8"/>
        <v>9.9998000039999203E-4</v>
      </c>
      <c r="Y29" s="107">
        <f t="shared" si="9"/>
        <v>4.9999000019999599E-3</v>
      </c>
      <c r="Z29" s="107">
        <f t="shared" si="10"/>
        <v>2.9999400011999759E-3</v>
      </c>
      <c r="AA29" s="107">
        <f t="shared" si="11"/>
        <v>2.9999400011999758E-2</v>
      </c>
      <c r="AB29" s="107">
        <f t="shared" si="12"/>
        <v>4.9999000019999599E-3</v>
      </c>
      <c r="AC29" s="107">
        <f t="shared" si="13"/>
        <v>9.9998000039999203E-6</v>
      </c>
      <c r="AD29" s="122">
        <f t="shared" si="14"/>
        <v>9.9998000039999203E-6</v>
      </c>
      <c r="AE29" s="126">
        <f t="shared" si="2"/>
        <v>1.0000000000000002</v>
      </c>
    </row>
    <row r="30" spans="1:31" x14ac:dyDescent="0.2">
      <c r="A30" s="105"/>
      <c r="B30" s="106" t="s">
        <v>134</v>
      </c>
      <c r="C30" s="119">
        <v>0.91749999999999998</v>
      </c>
      <c r="D30" s="107">
        <v>7.0000000000000007E-2</v>
      </c>
      <c r="E30" s="107">
        <v>2E-3</v>
      </c>
      <c r="F30" s="107">
        <v>2E-3</v>
      </c>
      <c r="G30" s="107">
        <v>1E-3</v>
      </c>
      <c r="H30" s="107">
        <v>3.5000000000000001E-3</v>
      </c>
      <c r="I30" s="107">
        <v>5.0000000000000001E-4</v>
      </c>
      <c r="J30" s="107">
        <v>5.0000000000000001E-4</v>
      </c>
      <c r="K30" s="107">
        <v>1E-3</v>
      </c>
      <c r="L30" s="107">
        <v>2E-3</v>
      </c>
      <c r="M30" s="107">
        <v>1.0000000000000001E-5</v>
      </c>
      <c r="N30" s="122">
        <v>1.0000000000000001E-5</v>
      </c>
      <c r="O30" s="126">
        <f t="shared" si="1"/>
        <v>1.0000199999999999</v>
      </c>
      <c r="Q30" s="105"/>
      <c r="R30" s="106" t="s">
        <v>134</v>
      </c>
      <c r="S30" s="119">
        <f t="shared" si="3"/>
        <v>0.91748165036699281</v>
      </c>
      <c r="T30" s="107">
        <f t="shared" si="4"/>
        <v>6.9998600027999458E-2</v>
      </c>
      <c r="U30" s="107">
        <f t="shared" si="5"/>
        <v>1.9999600007999845E-3</v>
      </c>
      <c r="V30" s="107">
        <f t="shared" si="6"/>
        <v>1.9999600007999845E-3</v>
      </c>
      <c r="W30" s="107">
        <f t="shared" si="7"/>
        <v>9.9998000039999225E-4</v>
      </c>
      <c r="X30" s="107">
        <f t="shared" si="8"/>
        <v>3.4999300013999726E-3</v>
      </c>
      <c r="Y30" s="107">
        <f t="shared" si="9"/>
        <v>4.9999000019999612E-4</v>
      </c>
      <c r="Z30" s="107">
        <f t="shared" si="10"/>
        <v>4.9999000019999612E-4</v>
      </c>
      <c r="AA30" s="107">
        <f t="shared" si="11"/>
        <v>9.9998000039999225E-4</v>
      </c>
      <c r="AB30" s="107">
        <f t="shared" si="12"/>
        <v>1.9999600007999845E-3</v>
      </c>
      <c r="AC30" s="107">
        <f t="shared" si="13"/>
        <v>9.999800003999922E-6</v>
      </c>
      <c r="AD30" s="122">
        <f t="shared" si="14"/>
        <v>9.999800003999922E-6</v>
      </c>
      <c r="AE30" s="126">
        <f t="shared" si="2"/>
        <v>1</v>
      </c>
    </row>
    <row r="31" spans="1:31" x14ac:dyDescent="0.2">
      <c r="A31" s="105"/>
      <c r="B31" s="106" t="s">
        <v>135</v>
      </c>
      <c r="C31" s="119">
        <v>0.91700000000000004</v>
      </c>
      <c r="D31" s="107">
        <v>7.0000000000000007E-2</v>
      </c>
      <c r="E31" s="107">
        <v>2E-3</v>
      </c>
      <c r="F31" s="107">
        <v>2E-3</v>
      </c>
      <c r="G31" s="107">
        <v>2.9999999999999997E-4</v>
      </c>
      <c r="H31" s="107">
        <v>5.4999999999999997E-3</v>
      </c>
      <c r="I31" s="107">
        <v>5.0000000000000001E-4</v>
      </c>
      <c r="J31" s="107">
        <v>5.0000000000000001E-4</v>
      </c>
      <c r="K31" s="107">
        <v>1E-3</v>
      </c>
      <c r="L31" s="107">
        <v>1.1999999999999999E-3</v>
      </c>
      <c r="M31" s="107">
        <v>1.0000000000000001E-5</v>
      </c>
      <c r="N31" s="122">
        <v>1.0000000000000001E-5</v>
      </c>
      <c r="O31" s="126">
        <f t="shared" si="1"/>
        <v>1.0000199999999999</v>
      </c>
      <c r="Q31" s="105"/>
      <c r="R31" s="106" t="s">
        <v>135</v>
      </c>
      <c r="S31" s="119">
        <f t="shared" si="3"/>
        <v>0.91698166036679285</v>
      </c>
      <c r="T31" s="107">
        <f t="shared" si="4"/>
        <v>6.9998600027999458E-2</v>
      </c>
      <c r="U31" s="107">
        <f t="shared" si="5"/>
        <v>1.9999600007999845E-3</v>
      </c>
      <c r="V31" s="107">
        <f t="shared" si="6"/>
        <v>1.9999600007999845E-3</v>
      </c>
      <c r="W31" s="107">
        <f t="shared" si="7"/>
        <v>2.9999400011999759E-4</v>
      </c>
      <c r="X31" s="107">
        <f t="shared" si="8"/>
        <v>5.4998900021999567E-3</v>
      </c>
      <c r="Y31" s="107">
        <f t="shared" si="9"/>
        <v>4.9999000019999612E-4</v>
      </c>
      <c r="Z31" s="107">
        <f t="shared" si="10"/>
        <v>4.9999000019999612E-4</v>
      </c>
      <c r="AA31" s="107">
        <f t="shared" si="11"/>
        <v>9.9998000039999225E-4</v>
      </c>
      <c r="AB31" s="107">
        <f t="shared" si="12"/>
        <v>1.1999760004799903E-3</v>
      </c>
      <c r="AC31" s="107">
        <f t="shared" si="13"/>
        <v>9.999800003999922E-6</v>
      </c>
      <c r="AD31" s="122">
        <f t="shared" si="14"/>
        <v>9.999800003999922E-6</v>
      </c>
      <c r="AE31" s="126">
        <f t="shared" si="2"/>
        <v>1.0000000000000002</v>
      </c>
    </row>
    <row r="32" spans="1:31" x14ac:dyDescent="0.2">
      <c r="A32" s="105"/>
      <c r="B32" s="106" t="s">
        <v>136</v>
      </c>
      <c r="C32" s="119">
        <v>0.86250000000000004</v>
      </c>
      <c r="D32" s="107">
        <v>9.5000000000000001E-2</v>
      </c>
      <c r="E32" s="107">
        <v>1.2999999999999999E-2</v>
      </c>
      <c r="F32" s="107">
        <v>6.0000000000000001E-3</v>
      </c>
      <c r="G32" s="107">
        <v>3.5000000000000001E-3</v>
      </c>
      <c r="H32" s="107">
        <v>5.0000000000000001E-3</v>
      </c>
      <c r="I32" s="107">
        <v>2.5000000000000001E-3</v>
      </c>
      <c r="J32" s="107">
        <v>5.0000000000000001E-3</v>
      </c>
      <c r="K32" s="107">
        <v>5.0000000000000001E-3</v>
      </c>
      <c r="L32" s="107">
        <v>2.5000000000000001E-3</v>
      </c>
      <c r="M32" s="107">
        <v>1.0000000000000001E-5</v>
      </c>
      <c r="N32" s="122">
        <v>1.0000000000000001E-5</v>
      </c>
      <c r="O32" s="126">
        <f t="shared" si="1"/>
        <v>1.0000199999999999</v>
      </c>
      <c r="Q32" s="105"/>
      <c r="R32" s="106" t="s">
        <v>136</v>
      </c>
      <c r="S32" s="119">
        <f t="shared" si="3"/>
        <v>0.86248275034499322</v>
      </c>
      <c r="T32" s="107">
        <f t="shared" si="4"/>
        <v>9.4998100037999259E-2</v>
      </c>
      <c r="U32" s="107">
        <f t="shared" si="5"/>
        <v>1.2999740005199897E-2</v>
      </c>
      <c r="V32" s="107">
        <f t="shared" si="6"/>
        <v>5.9998800023999526E-3</v>
      </c>
      <c r="W32" s="107">
        <f t="shared" si="7"/>
        <v>3.4999300013999726E-3</v>
      </c>
      <c r="X32" s="107">
        <f t="shared" si="8"/>
        <v>4.9999000019999608E-3</v>
      </c>
      <c r="Y32" s="107">
        <f t="shared" si="9"/>
        <v>2.4999500009999804E-3</v>
      </c>
      <c r="Z32" s="107">
        <f t="shared" si="10"/>
        <v>4.9999000019999608E-3</v>
      </c>
      <c r="AA32" s="107">
        <f t="shared" si="11"/>
        <v>4.9999000019999608E-3</v>
      </c>
      <c r="AB32" s="107">
        <f t="shared" si="12"/>
        <v>2.4999500009999804E-3</v>
      </c>
      <c r="AC32" s="107">
        <f t="shared" si="13"/>
        <v>9.999800003999922E-6</v>
      </c>
      <c r="AD32" s="122">
        <f t="shared" si="14"/>
        <v>9.999800003999922E-6</v>
      </c>
      <c r="AE32" s="126">
        <f t="shared" si="2"/>
        <v>1.0000000000000002</v>
      </c>
    </row>
    <row r="33" spans="1:31" x14ac:dyDescent="0.2">
      <c r="A33" s="105"/>
      <c r="B33" s="106" t="s">
        <v>137</v>
      </c>
      <c r="C33" s="119">
        <v>0.83599999999999997</v>
      </c>
      <c r="D33" s="107">
        <v>8.5000000000000006E-2</v>
      </c>
      <c r="E33" s="107">
        <v>1.2999999999999999E-2</v>
      </c>
      <c r="F33" s="107">
        <v>3.5000000000000003E-2</v>
      </c>
      <c r="G33" s="107">
        <v>5.0000000000000001E-3</v>
      </c>
      <c r="H33" s="107">
        <v>1E-3</v>
      </c>
      <c r="I33" s="107">
        <v>5.0000000000000001E-3</v>
      </c>
      <c r="J33" s="107">
        <v>5.0000000000000001E-3</v>
      </c>
      <c r="K33" s="107">
        <v>0.01</v>
      </c>
      <c r="L33" s="107">
        <v>5.0000000000000001E-3</v>
      </c>
      <c r="M33" s="107">
        <v>1.0000000000000001E-5</v>
      </c>
      <c r="N33" s="122">
        <v>1.0000000000000001E-5</v>
      </c>
      <c r="O33" s="126">
        <f t="shared" si="1"/>
        <v>1.0000200000000001</v>
      </c>
      <c r="Q33" s="105"/>
      <c r="R33" s="106" t="s">
        <v>137</v>
      </c>
      <c r="S33" s="119">
        <f t="shared" si="3"/>
        <v>0.83598328033439318</v>
      </c>
      <c r="T33" s="107">
        <f t="shared" si="4"/>
        <v>8.4998300033999316E-2</v>
      </c>
      <c r="U33" s="107">
        <f t="shared" si="5"/>
        <v>1.2999740005199894E-2</v>
      </c>
      <c r="V33" s="107">
        <f t="shared" si="6"/>
        <v>3.4999300013999722E-2</v>
      </c>
      <c r="W33" s="107">
        <f t="shared" si="7"/>
        <v>4.9999000019999599E-3</v>
      </c>
      <c r="X33" s="107">
        <f t="shared" si="8"/>
        <v>9.9998000039999203E-4</v>
      </c>
      <c r="Y33" s="107">
        <f t="shared" si="9"/>
        <v>4.9999000019999599E-3</v>
      </c>
      <c r="Z33" s="107">
        <f t="shared" si="10"/>
        <v>4.9999000019999599E-3</v>
      </c>
      <c r="AA33" s="107">
        <f t="shared" si="11"/>
        <v>9.9998000039999198E-3</v>
      </c>
      <c r="AB33" s="107">
        <f t="shared" si="12"/>
        <v>4.9999000019999599E-3</v>
      </c>
      <c r="AC33" s="107">
        <f t="shared" si="13"/>
        <v>9.9998000039999203E-6</v>
      </c>
      <c r="AD33" s="122">
        <f t="shared" si="14"/>
        <v>9.9998000039999203E-6</v>
      </c>
      <c r="AE33" s="126">
        <f t="shared" si="2"/>
        <v>1.0000000000000002</v>
      </c>
    </row>
    <row r="34" spans="1:31" x14ac:dyDescent="0.2">
      <c r="A34" s="105"/>
      <c r="B34" s="106" t="s">
        <v>138</v>
      </c>
      <c r="C34" s="119">
        <v>0.74350000000000005</v>
      </c>
      <c r="D34" s="107">
        <v>0.17</v>
      </c>
      <c r="E34" s="107">
        <v>1.2999999999999999E-2</v>
      </c>
      <c r="F34" s="107">
        <v>4.4999999999999998E-2</v>
      </c>
      <c r="G34" s="107">
        <v>5.0000000000000001E-3</v>
      </c>
      <c r="H34" s="107">
        <v>5.4999999999999997E-3</v>
      </c>
      <c r="I34" s="107">
        <v>1E-3</v>
      </c>
      <c r="J34" s="107">
        <v>1E-3</v>
      </c>
      <c r="K34" s="107">
        <v>1.4999999999999999E-2</v>
      </c>
      <c r="L34" s="107">
        <v>1E-3</v>
      </c>
      <c r="M34" s="107">
        <v>1.0000000000000001E-5</v>
      </c>
      <c r="N34" s="122">
        <v>1.0000000000000001E-5</v>
      </c>
      <c r="O34" s="126">
        <f t="shared" si="1"/>
        <v>1.0000200000000001</v>
      </c>
      <c r="Q34" s="105"/>
      <c r="R34" s="106" t="s">
        <v>138</v>
      </c>
      <c r="S34" s="119">
        <f t="shared" si="3"/>
        <v>0.74348513029739405</v>
      </c>
      <c r="T34" s="107">
        <f t="shared" si="4"/>
        <v>0.16999660006799863</v>
      </c>
      <c r="U34" s="107">
        <f t="shared" si="5"/>
        <v>1.2999740005199894E-2</v>
      </c>
      <c r="V34" s="107">
        <f t="shared" si="6"/>
        <v>4.4999100017999637E-2</v>
      </c>
      <c r="W34" s="107">
        <f t="shared" si="7"/>
        <v>4.9999000019999599E-3</v>
      </c>
      <c r="X34" s="107">
        <f t="shared" si="8"/>
        <v>5.499890002199955E-3</v>
      </c>
      <c r="Y34" s="107">
        <f t="shared" si="9"/>
        <v>9.9998000039999203E-4</v>
      </c>
      <c r="Z34" s="107">
        <f t="shared" si="10"/>
        <v>9.9998000039999203E-4</v>
      </c>
      <c r="AA34" s="107">
        <f t="shared" si="11"/>
        <v>1.4999700005999879E-2</v>
      </c>
      <c r="AB34" s="107">
        <f t="shared" si="12"/>
        <v>9.9998000039999203E-4</v>
      </c>
      <c r="AC34" s="107">
        <f t="shared" si="13"/>
        <v>9.9998000039999203E-6</v>
      </c>
      <c r="AD34" s="122">
        <f t="shared" si="14"/>
        <v>9.9998000039999203E-6</v>
      </c>
      <c r="AE34" s="126">
        <f t="shared" si="2"/>
        <v>1.0000000000000002</v>
      </c>
    </row>
    <row r="35" spans="1:31" x14ac:dyDescent="0.2">
      <c r="A35" s="105"/>
      <c r="B35" s="106" t="s">
        <v>139</v>
      </c>
      <c r="C35" s="119">
        <v>0.87849999999999995</v>
      </c>
      <c r="D35" s="107">
        <v>0.105</v>
      </c>
      <c r="E35" s="107">
        <v>1.5E-3</v>
      </c>
      <c r="F35" s="107">
        <v>2.9999999999999997E-4</v>
      </c>
      <c r="G35" s="107">
        <v>6.4999999999999997E-3</v>
      </c>
      <c r="H35" s="107">
        <v>3.0000000000000001E-3</v>
      </c>
      <c r="I35" s="107">
        <v>1.5E-3</v>
      </c>
      <c r="J35" s="107">
        <v>1.5E-3</v>
      </c>
      <c r="K35" s="107">
        <v>6.9999999999999999E-4</v>
      </c>
      <c r="L35" s="107">
        <v>1.5E-3</v>
      </c>
      <c r="M35" s="107">
        <v>1.0000000000000001E-5</v>
      </c>
      <c r="N35" s="122">
        <v>1.0000000000000001E-5</v>
      </c>
      <c r="O35" s="126">
        <f t="shared" si="1"/>
        <v>1.0000199999999997</v>
      </c>
      <c r="Q35" s="105"/>
      <c r="R35" s="106" t="s">
        <v>139</v>
      </c>
      <c r="S35" s="119">
        <f t="shared" si="3"/>
        <v>0.87848243035139328</v>
      </c>
      <c r="T35" s="107">
        <f t="shared" si="4"/>
        <v>0.10499790004199919</v>
      </c>
      <c r="U35" s="107">
        <f t="shared" si="5"/>
        <v>1.4999700005999886E-3</v>
      </c>
      <c r="V35" s="107">
        <f t="shared" si="6"/>
        <v>2.999940001199977E-4</v>
      </c>
      <c r="W35" s="107">
        <f t="shared" si="7"/>
        <v>6.4998700025999502E-3</v>
      </c>
      <c r="X35" s="107">
        <f t="shared" si="8"/>
        <v>2.9999400011999772E-3</v>
      </c>
      <c r="Y35" s="107">
        <f t="shared" si="9"/>
        <v>1.4999700005999886E-3</v>
      </c>
      <c r="Z35" s="107">
        <f t="shared" si="10"/>
        <v>1.4999700005999886E-3</v>
      </c>
      <c r="AA35" s="107">
        <f t="shared" si="11"/>
        <v>6.9998600027999466E-4</v>
      </c>
      <c r="AB35" s="107">
        <f t="shared" si="12"/>
        <v>1.4999700005999886E-3</v>
      </c>
      <c r="AC35" s="107">
        <f t="shared" si="13"/>
        <v>9.9998000039999237E-6</v>
      </c>
      <c r="AD35" s="122">
        <f t="shared" si="14"/>
        <v>9.9998000039999237E-6</v>
      </c>
      <c r="AE35" s="126">
        <f t="shared" si="2"/>
        <v>1.0000000000000004</v>
      </c>
    </row>
    <row r="36" spans="1:31" x14ac:dyDescent="0.2">
      <c r="A36" s="105" t="s">
        <v>206</v>
      </c>
      <c r="B36" s="106" t="s">
        <v>207</v>
      </c>
      <c r="C36" s="109">
        <v>0.09</v>
      </c>
      <c r="D36" s="107">
        <v>1.0000000000000001E-5</v>
      </c>
      <c r="E36" s="107">
        <v>1.0000000000000001E-5</v>
      </c>
      <c r="F36" s="107">
        <v>1.0000000000000001E-5</v>
      </c>
      <c r="G36" s="107">
        <v>1.2999999999999999E-3</v>
      </c>
      <c r="H36" s="107">
        <v>0.90169999999999995</v>
      </c>
      <c r="I36" s="107">
        <v>1.0000000000000001E-5</v>
      </c>
      <c r="J36" s="107">
        <v>1.0000000000000001E-5</v>
      </c>
      <c r="K36" s="107">
        <v>7.0000000000000001E-3</v>
      </c>
      <c r="L36" s="107">
        <v>1.0000000000000001E-5</v>
      </c>
      <c r="M36" s="107">
        <v>1.0000000000000001E-5</v>
      </c>
      <c r="N36" s="122">
        <v>1.0000000000000001E-5</v>
      </c>
      <c r="O36" s="126">
        <f t="shared" si="1"/>
        <v>1.0000800000000001</v>
      </c>
      <c r="Q36" s="105" t="s">
        <v>206</v>
      </c>
      <c r="R36" s="106" t="s">
        <v>207</v>
      </c>
      <c r="S36" s="119">
        <f t="shared" si="3"/>
        <v>8.9992800575953907E-2</v>
      </c>
      <c r="T36" s="107">
        <f t="shared" si="4"/>
        <v>9.9992000639948798E-6</v>
      </c>
      <c r="U36" s="107">
        <f t="shared" si="5"/>
        <v>9.9992000639948798E-6</v>
      </c>
      <c r="V36" s="107">
        <f t="shared" si="6"/>
        <v>9.9992000639948798E-6</v>
      </c>
      <c r="W36" s="107">
        <f t="shared" si="7"/>
        <v>1.2998960083193344E-3</v>
      </c>
      <c r="X36" s="107">
        <f t="shared" si="8"/>
        <v>0.9016278697704182</v>
      </c>
      <c r="Y36" s="107">
        <f t="shared" si="9"/>
        <v>9.9992000639948798E-6</v>
      </c>
      <c r="Z36" s="107">
        <f t="shared" si="10"/>
        <v>9.9992000639948798E-6</v>
      </c>
      <c r="AA36" s="107">
        <f t="shared" si="11"/>
        <v>6.9994400447964157E-3</v>
      </c>
      <c r="AB36" s="107">
        <f t="shared" si="12"/>
        <v>9.9992000639948798E-6</v>
      </c>
      <c r="AC36" s="107">
        <f t="shared" si="13"/>
        <v>9.9992000639948798E-6</v>
      </c>
      <c r="AD36" s="122">
        <f t="shared" si="14"/>
        <v>9.9992000639948798E-6</v>
      </c>
      <c r="AE36" s="126">
        <f t="shared" si="2"/>
        <v>0.99999999999999967</v>
      </c>
    </row>
    <row r="37" spans="1:31" x14ac:dyDescent="0.2">
      <c r="A37" s="115" t="s">
        <v>208</v>
      </c>
      <c r="B37" s="110" t="s">
        <v>207</v>
      </c>
      <c r="C37" s="111">
        <v>0.09</v>
      </c>
      <c r="D37" s="112">
        <v>1.0000000000000001E-5</v>
      </c>
      <c r="E37" s="112">
        <v>1.0000000000000001E-5</v>
      </c>
      <c r="F37" s="112">
        <v>1.0000000000000001E-5</v>
      </c>
      <c r="G37" s="112">
        <v>1.2999999999999999E-3</v>
      </c>
      <c r="H37" s="112">
        <v>0.90169999999999995</v>
      </c>
      <c r="I37" s="112">
        <v>1.0000000000000001E-5</v>
      </c>
      <c r="J37" s="112">
        <v>1.0000000000000001E-5</v>
      </c>
      <c r="K37" s="112">
        <v>7.0000000000000001E-3</v>
      </c>
      <c r="L37" s="112">
        <v>1.0000000000000001E-5</v>
      </c>
      <c r="M37" s="112">
        <v>1.0000000000000001E-5</v>
      </c>
      <c r="N37" s="124">
        <v>1.0000000000000001E-5</v>
      </c>
      <c r="O37" s="126">
        <f t="shared" si="1"/>
        <v>1.0000800000000001</v>
      </c>
      <c r="Q37" s="115" t="s">
        <v>208</v>
      </c>
      <c r="R37" s="110" t="s">
        <v>207</v>
      </c>
      <c r="S37" s="167">
        <f t="shared" si="3"/>
        <v>8.9992800575953907E-2</v>
      </c>
      <c r="T37" s="112">
        <f t="shared" si="4"/>
        <v>9.9992000639948798E-6</v>
      </c>
      <c r="U37" s="112">
        <f t="shared" si="5"/>
        <v>9.9992000639948798E-6</v>
      </c>
      <c r="V37" s="112">
        <f t="shared" si="6"/>
        <v>9.9992000639948798E-6</v>
      </c>
      <c r="W37" s="112">
        <f t="shared" si="7"/>
        <v>1.2998960083193344E-3</v>
      </c>
      <c r="X37" s="112">
        <f t="shared" si="8"/>
        <v>0.9016278697704182</v>
      </c>
      <c r="Y37" s="112">
        <f t="shared" si="9"/>
        <v>9.9992000639948798E-6</v>
      </c>
      <c r="Z37" s="112">
        <f t="shared" si="10"/>
        <v>9.9992000639948798E-6</v>
      </c>
      <c r="AA37" s="112">
        <f t="shared" si="11"/>
        <v>6.9994400447964157E-3</v>
      </c>
      <c r="AB37" s="112">
        <f t="shared" si="12"/>
        <v>9.9992000639948798E-6</v>
      </c>
      <c r="AC37" s="112">
        <f t="shared" si="13"/>
        <v>9.9992000639948798E-6</v>
      </c>
      <c r="AD37" s="124">
        <f t="shared" si="14"/>
        <v>9.9992000639948798E-6</v>
      </c>
      <c r="AE37" s="126">
        <f t="shared" si="2"/>
        <v>0.99999999999999967</v>
      </c>
    </row>
    <row r="38" spans="1:31" x14ac:dyDescent="0.2">
      <c r="A38" s="82" t="s">
        <v>236</v>
      </c>
      <c r="B38" s="68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1:31" x14ac:dyDescent="0.2">
      <c r="A39" s="83"/>
      <c r="B39" s="68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</row>
    <row r="40" spans="1:31" x14ac:dyDescent="0.2">
      <c r="A40" s="84"/>
      <c r="B40" s="68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S40" s="158"/>
    </row>
    <row r="41" spans="1:31" x14ac:dyDescent="0.2">
      <c r="A41" s="82"/>
      <c r="B41" s="68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</row>
  </sheetData>
  <conditionalFormatting sqref="C3:N37">
    <cfRule type="cellIs" dxfId="1" priority="10" operator="greaterThan">
      <formula>0.00001</formula>
    </cfRule>
  </conditionalFormatting>
  <conditionalFormatting sqref="S3:AD37">
    <cfRule type="cellIs" dxfId="0" priority="3" operator="greaterThan">
      <formula>0.0001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2"/>
  <sheetViews>
    <sheetView zoomScale="80" zoomScaleNormal="80" zoomScalePageLayoutView="80" workbookViewId="0">
      <selection activeCell="B6" sqref="B6"/>
    </sheetView>
  </sheetViews>
  <sheetFormatPr baseColWidth="10" defaultRowHeight="16" x14ac:dyDescent="0.2"/>
  <cols>
    <col min="1" max="1" width="28.33203125" bestFit="1" customWidth="1"/>
  </cols>
  <sheetData>
    <row r="1" spans="1:13" x14ac:dyDescent="0.2">
      <c r="B1" s="103" t="s">
        <v>189</v>
      </c>
      <c r="C1" s="103" t="s">
        <v>190</v>
      </c>
      <c r="D1" s="103" t="s">
        <v>191</v>
      </c>
      <c r="E1" s="103" t="s">
        <v>192</v>
      </c>
      <c r="F1" s="103" t="s">
        <v>193</v>
      </c>
      <c r="G1" s="103" t="s">
        <v>2</v>
      </c>
      <c r="H1" s="103" t="s">
        <v>194</v>
      </c>
      <c r="I1" s="103" t="s">
        <v>195</v>
      </c>
      <c r="J1" s="103" t="s">
        <v>196</v>
      </c>
      <c r="K1" s="103" t="s">
        <v>197</v>
      </c>
      <c r="L1" s="103" t="s">
        <v>198</v>
      </c>
      <c r="M1" s="104" t="s">
        <v>199</v>
      </c>
    </row>
    <row r="2" spans="1:13" x14ac:dyDescent="0.2">
      <c r="A2" s="142" t="s">
        <v>105</v>
      </c>
      <c r="B2" s="81">
        <f>All_metal_alloy_composition!S3</f>
        <v>1.0039152695512504E-5</v>
      </c>
      <c r="C2" s="81">
        <f>All_metal_alloy_composition!T3</f>
        <v>1.0039152695512504E-5</v>
      </c>
      <c r="D2" s="81">
        <f>All_metal_alloy_composition!U3</f>
        <v>0.99688786266439156</v>
      </c>
      <c r="E2" s="81">
        <f>All_metal_alloy_composition!V3</f>
        <v>1.0039152695512504E-5</v>
      </c>
      <c r="F2" s="81">
        <f>All_metal_alloy_composition!W3</f>
        <v>3.0117458086537509E-3</v>
      </c>
      <c r="G2" s="81">
        <f>All_metal_alloy_composition!X3</f>
        <v>1.0039152695512504E-5</v>
      </c>
      <c r="H2" s="81">
        <f>All_metal_alloy_composition!Y3</f>
        <v>1.0039152695512504E-5</v>
      </c>
      <c r="I2" s="81">
        <f>All_metal_alloy_composition!Z3</f>
        <v>1.0039152695512504E-5</v>
      </c>
      <c r="J2" s="81">
        <f>All_metal_alloy_composition!AA3</f>
        <v>1.0039152695512504E-5</v>
      </c>
      <c r="K2" s="81">
        <f>All_metal_alloy_composition!AB3</f>
        <v>1.0039152695512504E-5</v>
      </c>
      <c r="L2" s="81">
        <f>All_metal_alloy_composition!AC3</f>
        <v>1.0039152695512504E-5</v>
      </c>
      <c r="M2" s="81">
        <f>All_metal_alloy_composition!AD3</f>
        <v>1.0039152695512504E-5</v>
      </c>
    </row>
    <row r="3" spans="1:13" x14ac:dyDescent="0.2">
      <c r="A3" s="142" t="s">
        <v>106</v>
      </c>
      <c r="B3" s="81">
        <f>All_metal_alloy_composition!S4</f>
        <v>1.0039152695512504E-5</v>
      </c>
      <c r="C3" s="81">
        <f>All_metal_alloy_composition!T4</f>
        <v>1.0039152695512504E-5</v>
      </c>
      <c r="D3" s="81">
        <f>All_metal_alloy_composition!U4</f>
        <v>0.99688786266439156</v>
      </c>
      <c r="E3" s="81">
        <f>All_metal_alloy_composition!V4</f>
        <v>1.0039152695512504E-5</v>
      </c>
      <c r="F3" s="81">
        <f>All_metal_alloy_composition!W4</f>
        <v>3.0117458086537509E-3</v>
      </c>
      <c r="G3" s="81">
        <f>All_metal_alloy_composition!X4</f>
        <v>1.0039152695512504E-5</v>
      </c>
      <c r="H3" s="81">
        <f>All_metal_alloy_composition!Y4</f>
        <v>1.0039152695512504E-5</v>
      </c>
      <c r="I3" s="81">
        <f>All_metal_alloy_composition!Z4</f>
        <v>1.0039152695512504E-5</v>
      </c>
      <c r="J3" s="81">
        <f>All_metal_alloy_composition!AA4</f>
        <v>1.0039152695512504E-5</v>
      </c>
      <c r="K3" s="81">
        <f>All_metal_alloy_composition!AB4</f>
        <v>1.0039152695512504E-5</v>
      </c>
      <c r="L3" s="81">
        <f>All_metal_alloy_composition!AC4</f>
        <v>1.0039152695512504E-5</v>
      </c>
      <c r="M3" s="81">
        <f>All_metal_alloy_composition!AD4</f>
        <v>1.0039152695512504E-5</v>
      </c>
    </row>
    <row r="4" spans="1:13" x14ac:dyDescent="0.2">
      <c r="A4" s="142" t="s">
        <v>107</v>
      </c>
      <c r="B4" s="81">
        <f>All_metal_alloy_composition!S5</f>
        <v>1.0039152695512504E-5</v>
      </c>
      <c r="C4" s="81">
        <f>All_metal_alloy_composition!T5</f>
        <v>1.0039152695512504E-5</v>
      </c>
      <c r="D4" s="81">
        <f>All_metal_alloy_composition!U5</f>
        <v>0.99688786266439156</v>
      </c>
      <c r="E4" s="81">
        <f>All_metal_alloy_composition!V5</f>
        <v>1.0039152695512504E-5</v>
      </c>
      <c r="F4" s="81">
        <f>All_metal_alloy_composition!W5</f>
        <v>3.0117458086537509E-3</v>
      </c>
      <c r="G4" s="81">
        <f>All_metal_alloy_composition!X5</f>
        <v>1.0039152695512504E-5</v>
      </c>
      <c r="H4" s="81">
        <f>All_metal_alloy_composition!Y5</f>
        <v>1.0039152695512504E-5</v>
      </c>
      <c r="I4" s="81">
        <f>All_metal_alloy_composition!Z5</f>
        <v>1.0039152695512504E-5</v>
      </c>
      <c r="J4" s="81">
        <f>All_metal_alloy_composition!AA5</f>
        <v>1.0039152695512504E-5</v>
      </c>
      <c r="K4" s="81">
        <f>All_metal_alloy_composition!AB5</f>
        <v>1.0039152695512504E-5</v>
      </c>
      <c r="L4" s="81">
        <f>All_metal_alloy_composition!AC5</f>
        <v>1.0039152695512504E-5</v>
      </c>
      <c r="M4" s="81">
        <f>All_metal_alloy_composition!AD5</f>
        <v>1.0039152695512504E-5</v>
      </c>
    </row>
    <row r="5" spans="1:13" x14ac:dyDescent="0.2">
      <c r="A5" s="142" t="s">
        <v>91</v>
      </c>
      <c r="B5" s="81">
        <f>All_metal_alloy_composition!S7</f>
        <v>1.000930865705106E-5</v>
      </c>
      <c r="C5" s="81">
        <f>All_metal_alloy_composition!T7</f>
        <v>1.000930865705106E-5</v>
      </c>
      <c r="D5" s="81">
        <f>All_metal_alloy_composition!U7</f>
        <v>0.73067953196472735</v>
      </c>
      <c r="E5" s="81">
        <f>All_metal_alloy_composition!V7</f>
        <v>1.000930865705106E-5</v>
      </c>
      <c r="F5" s="81">
        <f>All_metal_alloy_composition!W7</f>
        <v>6.0055851942306358E-3</v>
      </c>
      <c r="G5" s="81">
        <f>All_metal_alloy_composition!X7</f>
        <v>1.000930865705106E-5</v>
      </c>
      <c r="H5" s="81">
        <f>All_metal_alloy_composition!Y7</f>
        <v>0.15614521504999651</v>
      </c>
      <c r="I5" s="81">
        <f>All_metal_alloy_composition!Z7</f>
        <v>0.10509774089903612</v>
      </c>
      <c r="J5" s="81">
        <f>All_metal_alloy_composition!AA7</f>
        <v>1.000930865705106E-5</v>
      </c>
      <c r="K5" s="81">
        <f>All_metal_alloy_composition!AB7</f>
        <v>1.000930865705106E-5</v>
      </c>
      <c r="L5" s="81">
        <f>All_metal_alloy_composition!AC7</f>
        <v>2.0018617314102121E-3</v>
      </c>
      <c r="M5" s="81">
        <f>All_metal_alloy_composition!AD7</f>
        <v>1.000930865705106E-5</v>
      </c>
    </row>
    <row r="6" spans="1:13" x14ac:dyDescent="0.2">
      <c r="A6" s="142" t="s">
        <v>204</v>
      </c>
      <c r="B6" s="81">
        <f>All_metal_alloy_composition!S8</f>
        <v>1.0000000000000006E-5</v>
      </c>
      <c r="C6" s="81">
        <f>All_metal_alloy_composition!T8</f>
        <v>1.8000000000000006E-2</v>
      </c>
      <c r="D6" s="81">
        <f>All_metal_alloy_composition!U8</f>
        <v>0.94292000000000042</v>
      </c>
      <c r="E6" s="81">
        <f>All_metal_alloy_composition!V8</f>
        <v>1.0000000000000006E-5</v>
      </c>
      <c r="F6" s="81">
        <f>All_metal_alloy_composition!W8</f>
        <v>5.0000000000000027E-3</v>
      </c>
      <c r="G6" s="81">
        <f>All_metal_alloy_composition!X8</f>
        <v>1.0000000000000006E-5</v>
      </c>
      <c r="H6" s="81">
        <f>All_metal_alloy_composition!Y8</f>
        <v>1.0000000000000006E-5</v>
      </c>
      <c r="I6" s="81">
        <f>All_metal_alloy_composition!Z8</f>
        <v>1.0000000000000006E-5</v>
      </c>
      <c r="J6" s="81">
        <f>All_metal_alloy_composition!AA8</f>
        <v>1.0000000000000006E-5</v>
      </c>
      <c r="K6" s="81">
        <f>All_metal_alloy_composition!AB8</f>
        <v>1.0000000000000006E-5</v>
      </c>
      <c r="L6" s="81">
        <f>All_metal_alloy_composition!AC8</f>
        <v>1.0000000000000006E-5</v>
      </c>
      <c r="M6" s="81">
        <f>All_metal_alloy_composition!AD8</f>
        <v>3.4000000000000016E-2</v>
      </c>
    </row>
    <row r="7" spans="1:13" s="22" customFormat="1" x14ac:dyDescent="0.2">
      <c r="A7" s="144" t="s">
        <v>104</v>
      </c>
      <c r="B7" s="156">
        <f>All_metal_alloy_composition!S9</f>
        <v>1.0000000000000006E-5</v>
      </c>
      <c r="C7" s="156">
        <f>All_metal_alloy_composition!T9</f>
        <v>0.12200000000000005</v>
      </c>
      <c r="D7" s="156">
        <f>All_metal_alloy_composition!U9</f>
        <v>0.87742000000000053</v>
      </c>
      <c r="E7" s="156">
        <f>All_metal_alloy_composition!V9</f>
        <v>1.0000000000000006E-5</v>
      </c>
      <c r="F7" s="156">
        <f>All_metal_alloy_composition!W9</f>
        <v>3.0000000000000008E-4</v>
      </c>
      <c r="G7" s="156">
        <f>All_metal_alloy_composition!X9</f>
        <v>1.0000000000000006E-5</v>
      </c>
      <c r="H7" s="156">
        <f>All_metal_alloy_composition!Y9</f>
        <v>1.0000000000000006E-5</v>
      </c>
      <c r="I7" s="156">
        <f>All_metal_alloy_composition!Z9</f>
        <v>1.0000000000000006E-5</v>
      </c>
      <c r="J7" s="156">
        <f>All_metal_alloy_composition!AA9</f>
        <v>1.0000000000000006E-5</v>
      </c>
      <c r="K7" s="156">
        <f>All_metal_alloy_composition!AB9</f>
        <v>1.0000000000000006E-5</v>
      </c>
      <c r="L7" s="156">
        <f>All_metal_alloy_composition!AC9</f>
        <v>1.0000000000000006E-5</v>
      </c>
      <c r="M7" s="156">
        <f>All_metal_alloy_composition!AD9</f>
        <v>2.0000000000000009E-4</v>
      </c>
    </row>
    <row r="8" spans="1:13" x14ac:dyDescent="0.2">
      <c r="A8" s="145" t="s">
        <v>244</v>
      </c>
      <c r="B8" s="81">
        <f>All_metal_alloy_composition!S10</f>
        <v>0.99697485716794476</v>
      </c>
      <c r="C8" s="81">
        <f>All_metal_alloy_composition!T10</f>
        <v>4.9998739075624108E-4</v>
      </c>
      <c r="D8" s="81">
        <f>All_metal_alloy_composition!U10</f>
        <v>4.9998739075624108E-4</v>
      </c>
      <c r="E8" s="81">
        <f>All_metal_alloy_composition!V10</f>
        <v>3.9998991260499289E-4</v>
      </c>
      <c r="F8" s="81">
        <f>All_metal_alloy_composition!W10</f>
        <v>2.9879724547185726E-4</v>
      </c>
      <c r="G8" s="81">
        <f>All_metal_alloy_composition!X10</f>
        <v>2.9879724547185726E-4</v>
      </c>
      <c r="H8" s="81">
        <f>All_metal_alloy_composition!Y10</f>
        <v>9.9997478151248235E-6</v>
      </c>
      <c r="I8" s="81">
        <f>All_metal_alloy_composition!Z10</f>
        <v>2.9879724547185726E-4</v>
      </c>
      <c r="J8" s="81">
        <f>All_metal_alloy_composition!AA10</f>
        <v>3.9998991260499289E-4</v>
      </c>
      <c r="K8" s="81">
        <f>All_metal_alloy_composition!AB10</f>
        <v>2.9879724547185726E-4</v>
      </c>
      <c r="L8" s="81">
        <f>All_metal_alloy_composition!AC10</f>
        <v>9.9997478151248235E-6</v>
      </c>
      <c r="M8" s="81">
        <f>All_metal_alloy_composition!AD10</f>
        <v>9.9997478151248235E-6</v>
      </c>
    </row>
    <row r="9" spans="1:13" x14ac:dyDescent="0.2">
      <c r="A9" s="145" t="s">
        <v>245</v>
      </c>
      <c r="B9" s="81">
        <f>All_metal_alloy_composition!S11</f>
        <v>0.97078058438831238</v>
      </c>
      <c r="C9" s="81">
        <f>All_metal_alloy_composition!T11</f>
        <v>5.9998800023999535E-3</v>
      </c>
      <c r="D9" s="81">
        <f>All_metal_alloy_composition!U11</f>
        <v>6.9998600027999453E-3</v>
      </c>
      <c r="E9" s="81">
        <f>All_metal_alloy_composition!V11</f>
        <v>1.1999760004799903E-3</v>
      </c>
      <c r="F9" s="81">
        <f>All_metal_alloy_composition!W11</f>
        <v>1.1999760004799907E-2</v>
      </c>
      <c r="G9" s="81">
        <f>All_metal_alloy_composition!X11</f>
        <v>4.9999000019999612E-4</v>
      </c>
      <c r="H9" s="81">
        <f>All_metal_alloy_composition!Y11</f>
        <v>4.9999000019999612E-4</v>
      </c>
      <c r="I9" s="81">
        <f>All_metal_alloy_composition!Z11</f>
        <v>4.9999000019999612E-4</v>
      </c>
      <c r="J9" s="81">
        <f>All_metal_alloy_composition!AA11</f>
        <v>9.9998000039999225E-4</v>
      </c>
      <c r="K9" s="81">
        <f>All_metal_alloy_composition!AB11</f>
        <v>4.9999000019999612E-4</v>
      </c>
      <c r="L9" s="81">
        <f>All_metal_alloy_composition!AC11</f>
        <v>9.9998000039999203E-6</v>
      </c>
      <c r="M9" s="81">
        <f>All_metal_alloy_composition!AD11</f>
        <v>9.9998000039999203E-6</v>
      </c>
    </row>
    <row r="10" spans="1:13" x14ac:dyDescent="0.2">
      <c r="A10" s="145" t="s">
        <v>246</v>
      </c>
      <c r="B10" s="81">
        <f>All_metal_alloy_composition!S12</f>
        <v>0.96748065038699216</v>
      </c>
      <c r="C10" s="81">
        <f>All_metal_alloy_composition!T12</f>
        <v>4.9999000019999599E-3</v>
      </c>
      <c r="D10" s="81">
        <f>All_metal_alloy_composition!U12</f>
        <v>6.9998600027999435E-3</v>
      </c>
      <c r="E10" s="81">
        <f>All_metal_alloy_composition!V12</f>
        <v>9.9998000039999203E-4</v>
      </c>
      <c r="F10" s="81">
        <f>All_metal_alloy_composition!W12</f>
        <v>1.1999760004799903E-2</v>
      </c>
      <c r="G10" s="81">
        <f>All_metal_alloy_composition!X12</f>
        <v>2.9999400011999759E-3</v>
      </c>
      <c r="H10" s="81">
        <f>All_metal_alloy_composition!Y12</f>
        <v>9.9998000039999203E-4</v>
      </c>
      <c r="I10" s="81">
        <f>All_metal_alloy_composition!Z12</f>
        <v>4.9999000019999601E-4</v>
      </c>
      <c r="J10" s="81">
        <f>All_metal_alloy_composition!AA12</f>
        <v>1.9999600007999841E-3</v>
      </c>
      <c r="K10" s="81">
        <f>All_metal_alloy_composition!AB12</f>
        <v>9.9998000039999203E-4</v>
      </c>
      <c r="L10" s="81">
        <f>All_metal_alloy_composition!AC12</f>
        <v>9.9998000039999203E-6</v>
      </c>
      <c r="M10" s="81">
        <f>All_metal_alloy_composition!AD12</f>
        <v>9.9998000039999203E-6</v>
      </c>
    </row>
    <row r="11" spans="1:13" x14ac:dyDescent="0.2">
      <c r="A11" s="145" t="s">
        <v>247</v>
      </c>
      <c r="B11" s="81">
        <f>All_metal_alloy_composition!S13</f>
        <v>0.93198136037279267</v>
      </c>
      <c r="C11" s="81">
        <f>All_metal_alloy_composition!T13</f>
        <v>5.1998960020799588E-2</v>
      </c>
      <c r="D11" s="81">
        <f>All_metal_alloy_composition!U13</f>
        <v>7.999840003199938E-3</v>
      </c>
      <c r="E11" s="81">
        <f>All_metal_alloy_composition!V13</f>
        <v>2.9999400011999763E-3</v>
      </c>
      <c r="F11" s="81">
        <f>All_metal_alloy_composition!W13</f>
        <v>4.9999000019999612E-4</v>
      </c>
      <c r="G11" s="81">
        <f>All_metal_alloy_composition!X13</f>
        <v>4.9999000019999612E-4</v>
      </c>
      <c r="H11" s="81">
        <f>All_metal_alloy_composition!Y13</f>
        <v>4.9999000019999612E-4</v>
      </c>
      <c r="I11" s="81">
        <f>All_metal_alloy_composition!Z13</f>
        <v>4.9999000019999612E-4</v>
      </c>
      <c r="J11" s="81">
        <f>All_metal_alloy_composition!AA13</f>
        <v>9.9998000039999225E-4</v>
      </c>
      <c r="K11" s="81">
        <f>All_metal_alloy_composition!AB13</f>
        <v>1.9999600007999845E-3</v>
      </c>
      <c r="L11" s="81">
        <f>All_metal_alloy_composition!AC13</f>
        <v>9.999800003999922E-6</v>
      </c>
      <c r="M11" s="81">
        <f>All_metal_alloy_composition!AD13</f>
        <v>9.999800003999922E-6</v>
      </c>
    </row>
    <row r="12" spans="1:13" x14ac:dyDescent="0.2">
      <c r="A12" s="145" t="s">
        <v>248</v>
      </c>
      <c r="B12" s="81">
        <f>All_metal_alloy_composition!S14</f>
        <v>0.97748045039099229</v>
      </c>
      <c r="C12" s="81">
        <f>All_metal_alloy_composition!T14</f>
        <v>2.9999400011999767E-3</v>
      </c>
      <c r="D12" s="81">
        <f>All_metal_alloy_composition!U14</f>
        <v>4.499910001799964E-3</v>
      </c>
      <c r="E12" s="81">
        <f>All_metal_alloy_composition!V14</f>
        <v>4.9999000019999612E-4</v>
      </c>
      <c r="F12" s="81">
        <f>All_metal_alloy_composition!W14</f>
        <v>1.4999700005999884E-3</v>
      </c>
      <c r="G12" s="81">
        <f>All_metal_alloy_composition!X14</f>
        <v>8.999820003599928E-3</v>
      </c>
      <c r="H12" s="81">
        <f>All_metal_alloy_composition!Y14</f>
        <v>9.9998000039999225E-4</v>
      </c>
      <c r="I12" s="81">
        <f>All_metal_alloy_composition!Z14</f>
        <v>4.9999000019999612E-4</v>
      </c>
      <c r="J12" s="81">
        <f>All_metal_alloy_composition!AA14</f>
        <v>1.9999600007999845E-3</v>
      </c>
      <c r="K12" s="81">
        <f>All_metal_alloy_composition!AB14</f>
        <v>4.9999000019999612E-4</v>
      </c>
      <c r="L12" s="81">
        <f>All_metal_alloy_composition!AC14</f>
        <v>9.9998000039999203E-6</v>
      </c>
      <c r="M12" s="81">
        <f>All_metal_alloy_composition!AD14</f>
        <v>9.9998000039999203E-6</v>
      </c>
    </row>
    <row r="13" spans="1:13" x14ac:dyDescent="0.2">
      <c r="A13" s="145" t="s">
        <v>249</v>
      </c>
      <c r="B13" s="81">
        <f>All_metal_alloy_composition!S15</f>
        <v>0.93948121037579257</v>
      </c>
      <c r="C13" s="81">
        <f>All_metal_alloy_composition!T15</f>
        <v>1.9999600007999845E-3</v>
      </c>
      <c r="D13" s="81">
        <f>All_metal_alloy_composition!U15</f>
        <v>3.4999300013999726E-3</v>
      </c>
      <c r="E13" s="81">
        <f>All_metal_alloy_composition!V15</f>
        <v>1.4999700005999884E-3</v>
      </c>
      <c r="F13" s="81">
        <f>All_metal_alloy_composition!W15</f>
        <v>3.4999300013999726E-3</v>
      </c>
      <c r="G13" s="81">
        <f>All_metal_alloy_composition!X15</f>
        <v>4.4999100017999644E-2</v>
      </c>
      <c r="H13" s="81">
        <f>All_metal_alloy_composition!Y15</f>
        <v>9.9998000039999225E-4</v>
      </c>
      <c r="I13" s="81">
        <f>All_metal_alloy_composition!Z15</f>
        <v>4.9999000019999612E-4</v>
      </c>
      <c r="J13" s="81">
        <f>All_metal_alloy_composition!AA15</f>
        <v>2.4999500009999804E-3</v>
      </c>
      <c r="K13" s="81">
        <f>All_metal_alloy_composition!AB15</f>
        <v>9.9998000039999225E-4</v>
      </c>
      <c r="L13" s="81">
        <f>All_metal_alloy_composition!AC15</f>
        <v>9.9998000039999203E-6</v>
      </c>
      <c r="M13" s="81">
        <f>All_metal_alloy_composition!AD15</f>
        <v>9.9998000039999203E-6</v>
      </c>
    </row>
    <row r="14" spans="1:13" x14ac:dyDescent="0.2">
      <c r="A14" s="145" t="s">
        <v>250</v>
      </c>
      <c r="B14" s="81">
        <f>All_metal_alloy_composition!S16</f>
        <v>0.95248095038099256</v>
      </c>
      <c r="C14" s="81">
        <f>All_metal_alloy_composition!T16</f>
        <v>3.999920001599969E-3</v>
      </c>
      <c r="D14" s="81">
        <f>All_metal_alloy_composition!U16</f>
        <v>3.999920001599969E-3</v>
      </c>
      <c r="E14" s="81">
        <f>All_metal_alloy_composition!V16</f>
        <v>9.9998000039999225E-4</v>
      </c>
      <c r="F14" s="81">
        <f>All_metal_alloy_composition!W16</f>
        <v>1.9999600007999845E-3</v>
      </c>
      <c r="G14" s="81">
        <f>All_metal_alloy_composition!X16</f>
        <v>3.0999380012399755E-2</v>
      </c>
      <c r="H14" s="81">
        <f>All_metal_alloy_composition!Y16</f>
        <v>1.4999700005999882E-3</v>
      </c>
      <c r="I14" s="81">
        <f>All_metal_alloy_composition!Z16</f>
        <v>4.9999000019999612E-4</v>
      </c>
      <c r="J14" s="81">
        <f>All_metal_alloy_composition!AA16</f>
        <v>1.9999600007999845E-3</v>
      </c>
      <c r="K14" s="81">
        <f>All_metal_alloy_composition!AB16</f>
        <v>1.4999700005999882E-3</v>
      </c>
      <c r="L14" s="81">
        <f>All_metal_alloy_composition!AC16</f>
        <v>9.999800003999922E-6</v>
      </c>
      <c r="M14" s="81">
        <f>All_metal_alloy_composition!AD16</f>
        <v>9.999800003999922E-6</v>
      </c>
    </row>
    <row r="15" spans="1:13" x14ac:dyDescent="0.2">
      <c r="A15" s="145" t="s">
        <v>251</v>
      </c>
      <c r="B15" s="81">
        <f>All_metal_alloy_composition!S17</f>
        <v>0.97148057038859237</v>
      </c>
      <c r="C15" s="81">
        <f>All_metal_alloy_composition!T17</f>
        <v>6.9998600027999453E-3</v>
      </c>
      <c r="D15" s="81">
        <f>All_metal_alloy_composition!U17</f>
        <v>3.4999300013999726E-3</v>
      </c>
      <c r="E15" s="81">
        <f>All_metal_alloy_composition!V17</f>
        <v>2.9999400011999763E-3</v>
      </c>
      <c r="F15" s="81">
        <f>All_metal_alloy_composition!W17</f>
        <v>2.9999400011999763E-3</v>
      </c>
      <c r="G15" s="81">
        <f>All_metal_alloy_composition!X17</f>
        <v>5.4998900021999567E-3</v>
      </c>
      <c r="H15" s="81">
        <f>All_metal_alloy_composition!Y17</f>
        <v>2.9999400011999763E-3</v>
      </c>
      <c r="I15" s="81">
        <f>All_metal_alloy_composition!Z17</f>
        <v>4.9999000019999612E-4</v>
      </c>
      <c r="J15" s="81">
        <f>All_metal_alloy_composition!AA17</f>
        <v>1.9999600007999845E-3</v>
      </c>
      <c r="K15" s="81">
        <f>All_metal_alloy_composition!AB17</f>
        <v>9.9998000039999225E-4</v>
      </c>
      <c r="L15" s="81">
        <f>All_metal_alloy_composition!AC17</f>
        <v>9.999800003999922E-6</v>
      </c>
      <c r="M15" s="81">
        <f>All_metal_alloy_composition!AD17</f>
        <v>9.999800003999922E-6</v>
      </c>
    </row>
    <row r="16" spans="1:13" x14ac:dyDescent="0.2">
      <c r="A16" s="145" t="s">
        <v>252</v>
      </c>
      <c r="B16" s="81">
        <f>All_metal_alloy_composition!S18</f>
        <v>0.9777315578132213</v>
      </c>
      <c r="C16" s="81">
        <f>All_metal_alloy_composition!T18</f>
        <v>4.4996850175490844E-3</v>
      </c>
      <c r="D16" s="81">
        <f>All_metal_alloy_composition!U18</f>
        <v>3.499755013649289E-3</v>
      </c>
      <c r="E16" s="81">
        <f>All_metal_alloy_composition!V18</f>
        <v>2.4998250097494918E-3</v>
      </c>
      <c r="F16" s="81">
        <f>All_metal_alloy_composition!W18</f>
        <v>1.2499125048747459E-3</v>
      </c>
      <c r="G16" s="81">
        <f>All_metal_alloy_composition!X18</f>
        <v>5.9995800233987812E-3</v>
      </c>
      <c r="H16" s="81">
        <f>All_metal_alloy_composition!Y18</f>
        <v>1.9998600077995939E-3</v>
      </c>
      <c r="I16" s="81">
        <f>All_metal_alloy_composition!Z18</f>
        <v>4.9996500194989847E-4</v>
      </c>
      <c r="J16" s="81">
        <f>All_metal_alloy_composition!AA18</f>
        <v>9.9993000389979694E-4</v>
      </c>
      <c r="K16" s="81">
        <f>All_metal_alloy_composition!AB18</f>
        <v>9.9993000389979694E-4</v>
      </c>
      <c r="L16" s="81">
        <f>All_metal_alloy_composition!AC18</f>
        <v>9.9998000039999153E-6</v>
      </c>
      <c r="M16" s="81">
        <f>All_metal_alloy_composition!AD18</f>
        <v>9.9998000039999153E-6</v>
      </c>
    </row>
    <row r="17" spans="1:13" x14ac:dyDescent="0.2">
      <c r="A17" s="145" t="s">
        <v>253</v>
      </c>
      <c r="B17" s="81">
        <f>All_metal_alloy_composition!S19</f>
        <v>0.96923215278007324</v>
      </c>
      <c r="C17" s="81">
        <f>All_metal_alloy_composition!T19</f>
        <v>1.2499125048747464E-2</v>
      </c>
      <c r="D17" s="81">
        <f>All_metal_alloy_composition!U19</f>
        <v>4.9996500194989853E-3</v>
      </c>
      <c r="E17" s="81">
        <f>All_metal_alloy_composition!V19</f>
        <v>1.9998600077995943E-3</v>
      </c>
      <c r="F17" s="81">
        <f>All_metal_alloy_composition!W19</f>
        <v>1.9998600077995943E-3</v>
      </c>
      <c r="G17" s="81">
        <f>All_metal_alloy_composition!X19</f>
        <v>4.2497025165741378E-3</v>
      </c>
      <c r="H17" s="81">
        <f>All_metal_alloy_composition!Y19</f>
        <v>9.9993000389979715E-4</v>
      </c>
      <c r="I17" s="81">
        <f>All_metal_alloy_composition!Z19</f>
        <v>4.9996500194989858E-4</v>
      </c>
      <c r="J17" s="81">
        <f>All_metal_alloy_composition!AA19</f>
        <v>1.9998600077995943E-3</v>
      </c>
      <c r="K17" s="81">
        <f>All_metal_alloy_composition!AB19</f>
        <v>1.4998950058496955E-3</v>
      </c>
      <c r="L17" s="81">
        <f>All_metal_alloy_composition!AC19</f>
        <v>9.9998000039999203E-6</v>
      </c>
      <c r="M17" s="81">
        <f>All_metal_alloy_composition!AD19</f>
        <v>9.9998000039999203E-6</v>
      </c>
    </row>
    <row r="18" spans="1:13" x14ac:dyDescent="0.2">
      <c r="A18" s="145" t="s">
        <v>254</v>
      </c>
      <c r="B18" s="81">
        <f>All_metal_alloy_composition!S20</f>
        <v>0.98318033639327218</v>
      </c>
      <c r="C18" s="81">
        <f>All_metal_alloy_composition!T20</f>
        <v>4.499910001799964E-3</v>
      </c>
      <c r="D18" s="81">
        <f>All_metal_alloy_composition!U20</f>
        <v>1.9999600007999845E-3</v>
      </c>
      <c r="E18" s="81">
        <f>All_metal_alloy_composition!V20</f>
        <v>9.9998000039999225E-4</v>
      </c>
      <c r="F18" s="81">
        <f>All_metal_alloy_composition!W20</f>
        <v>9.9998000039999225E-4</v>
      </c>
      <c r="G18" s="81">
        <f>All_metal_alloy_composition!X20</f>
        <v>4.7999040019199614E-3</v>
      </c>
      <c r="H18" s="81">
        <f>All_metal_alloy_composition!Y20</f>
        <v>4.9999000019999612E-4</v>
      </c>
      <c r="I18" s="81">
        <f>All_metal_alloy_composition!Z20</f>
        <v>4.9999000019999612E-4</v>
      </c>
      <c r="J18" s="81">
        <f>All_metal_alloy_composition!AA20</f>
        <v>1.4999700005999884E-3</v>
      </c>
      <c r="K18" s="81">
        <f>All_metal_alloy_composition!AB20</f>
        <v>9.9998000039999225E-4</v>
      </c>
      <c r="L18" s="81">
        <f>All_metal_alloy_composition!AC20</f>
        <v>9.9998000039999203E-6</v>
      </c>
      <c r="M18" s="81">
        <f>All_metal_alloy_composition!AD20</f>
        <v>9.9998000039999203E-6</v>
      </c>
    </row>
    <row r="19" spans="1:13" x14ac:dyDescent="0.2">
      <c r="A19" s="146" t="s">
        <v>255</v>
      </c>
      <c r="B19" s="81">
        <f>All_metal_alloy_composition!S21</f>
        <v>0.96618067638647231</v>
      </c>
      <c r="C19" s="81">
        <f>All_metal_alloy_composition!T21</f>
        <v>5.9998800023999535E-3</v>
      </c>
      <c r="D19" s="81">
        <f>All_metal_alloy_composition!U21</f>
        <v>6.9998600027999453E-3</v>
      </c>
      <c r="E19" s="81">
        <f>All_metal_alloy_composition!V21</f>
        <v>2.7999440011199778E-3</v>
      </c>
      <c r="F19" s="81">
        <f>All_metal_alloy_composition!W21</f>
        <v>1.4999700005999884E-3</v>
      </c>
      <c r="G19" s="81">
        <f>All_metal_alloy_composition!X21</f>
        <v>9.9998000039999216E-3</v>
      </c>
      <c r="H19" s="81">
        <f>All_metal_alloy_composition!Y21</f>
        <v>1.9999600007999845E-3</v>
      </c>
      <c r="I19" s="81">
        <f>All_metal_alloy_composition!Z21</f>
        <v>4.9999000019999612E-4</v>
      </c>
      <c r="J19" s="81">
        <f>All_metal_alloy_composition!AA21</f>
        <v>2.4999500009999804E-3</v>
      </c>
      <c r="K19" s="81">
        <f>All_metal_alloy_composition!AB21</f>
        <v>1.4999700005999884E-3</v>
      </c>
      <c r="L19" s="81">
        <f>All_metal_alloy_composition!AC21</f>
        <v>9.9998000039999203E-6</v>
      </c>
      <c r="M19" s="81">
        <f>All_metal_alloy_composition!AD21</f>
        <v>9.9998000039999203E-6</v>
      </c>
    </row>
    <row r="20" spans="1:13" x14ac:dyDescent="0.2">
      <c r="A20" s="145" t="s">
        <v>256</v>
      </c>
      <c r="B20" s="81">
        <f>All_metal_alloy_composition!S22</f>
        <v>0.9799804003919923</v>
      </c>
      <c r="C20" s="81">
        <f>All_metal_alloy_composition!T22</f>
        <v>3.999920001599969E-3</v>
      </c>
      <c r="D20" s="81">
        <f>All_metal_alloy_composition!U22</f>
        <v>3.4999300013999726E-3</v>
      </c>
      <c r="E20" s="81">
        <f>All_metal_alloy_composition!V22</f>
        <v>9.9998000039999225E-4</v>
      </c>
      <c r="F20" s="81">
        <f>All_metal_alloy_composition!W22</f>
        <v>9.9998000039999225E-4</v>
      </c>
      <c r="G20" s="81">
        <f>All_metal_alloy_composition!X22</f>
        <v>6.9998600027999453E-3</v>
      </c>
      <c r="H20" s="81">
        <f>All_metal_alloy_composition!Y22</f>
        <v>9.9998000039999225E-4</v>
      </c>
      <c r="I20" s="81">
        <f>All_metal_alloy_composition!Z22</f>
        <v>4.9999000019999612E-4</v>
      </c>
      <c r="J20" s="81">
        <f>All_metal_alloy_composition!AA22</f>
        <v>9.9998000039999225E-4</v>
      </c>
      <c r="K20" s="81">
        <f>All_metal_alloy_composition!AB22</f>
        <v>9.9998000039999225E-4</v>
      </c>
      <c r="L20" s="81">
        <f>All_metal_alloy_composition!AC22</f>
        <v>9.999800003999922E-6</v>
      </c>
      <c r="M20" s="81">
        <f>All_metal_alloy_composition!AD22</f>
        <v>9.999800003999922E-6</v>
      </c>
    </row>
    <row r="21" spans="1:13" x14ac:dyDescent="0.2">
      <c r="A21" s="145" t="s">
        <v>257</v>
      </c>
      <c r="B21" s="81">
        <f>All_metal_alloy_composition!S23</f>
        <v>0.96198076038479241</v>
      </c>
      <c r="C21" s="81">
        <f>All_metal_alloy_composition!T23</f>
        <v>9.9998000039999216E-3</v>
      </c>
      <c r="D21" s="81">
        <f>All_metal_alloy_composition!U23</f>
        <v>4.9999000019999608E-3</v>
      </c>
      <c r="E21" s="81">
        <f>All_metal_alloy_composition!V23</f>
        <v>9.9998000039999225E-4</v>
      </c>
      <c r="F21" s="81">
        <f>All_metal_alloy_composition!W23</f>
        <v>6.9998600027999453E-3</v>
      </c>
      <c r="G21" s="81">
        <f>All_metal_alloy_composition!X23</f>
        <v>8.999820003599928E-3</v>
      </c>
      <c r="H21" s="81">
        <f>All_metal_alloy_composition!Y23</f>
        <v>2.4999500009999804E-3</v>
      </c>
      <c r="I21" s="81">
        <f>All_metal_alloy_composition!Z23</f>
        <v>4.9999000019999612E-4</v>
      </c>
      <c r="J21" s="81">
        <f>All_metal_alloy_composition!AA23</f>
        <v>1.9999600007999845E-3</v>
      </c>
      <c r="K21" s="81">
        <f>All_metal_alloy_composition!AB23</f>
        <v>9.9998000039999225E-4</v>
      </c>
      <c r="L21" s="81">
        <f>All_metal_alloy_composition!AC23</f>
        <v>9.999800003999922E-6</v>
      </c>
      <c r="M21" s="81">
        <f>All_metal_alloy_composition!AD23</f>
        <v>9.999800003999922E-6</v>
      </c>
    </row>
    <row r="22" spans="1:13" x14ac:dyDescent="0.2">
      <c r="A22" s="145" t="s">
        <v>258</v>
      </c>
      <c r="B22" s="81">
        <f>All_metal_alloy_composition!S24</f>
        <v>0.96618067638647231</v>
      </c>
      <c r="C22" s="81">
        <f>All_metal_alloy_composition!T24</f>
        <v>8.499830003399933E-3</v>
      </c>
      <c r="D22" s="81">
        <f>All_metal_alloy_composition!U24</f>
        <v>3.999920001599969E-3</v>
      </c>
      <c r="E22" s="81">
        <f>All_metal_alloy_composition!V24</f>
        <v>6.9998600027999453E-3</v>
      </c>
      <c r="F22" s="81">
        <f>All_metal_alloy_composition!W24</f>
        <v>2.7999440011199778E-3</v>
      </c>
      <c r="G22" s="81">
        <f>All_metal_alloy_composition!X24</f>
        <v>7.4998500029999412E-3</v>
      </c>
      <c r="H22" s="81">
        <f>All_metal_alloy_composition!Y24</f>
        <v>9.9998000039999225E-4</v>
      </c>
      <c r="I22" s="81">
        <f>All_metal_alloy_composition!Z24</f>
        <v>4.9999000019999612E-4</v>
      </c>
      <c r="J22" s="81">
        <f>All_metal_alloy_composition!AA24</f>
        <v>1.4999700005999884E-3</v>
      </c>
      <c r="K22" s="81">
        <f>All_metal_alloy_composition!AB24</f>
        <v>9.9998000039999225E-4</v>
      </c>
      <c r="L22" s="81">
        <f>All_metal_alloy_composition!AC24</f>
        <v>9.9998000039999203E-6</v>
      </c>
      <c r="M22" s="81">
        <f>All_metal_alloy_composition!AD24</f>
        <v>9.9998000039999203E-6</v>
      </c>
    </row>
    <row r="23" spans="1:13" x14ac:dyDescent="0.2">
      <c r="A23" s="142" t="s">
        <v>259</v>
      </c>
      <c r="B23" s="81">
        <f>All_metal_alloy_composition!S25</f>
        <v>0.96568411597471471</v>
      </c>
      <c r="C23" s="81">
        <f>All_metal_alloy_composition!T25</f>
        <v>8.9989201115887665E-3</v>
      </c>
      <c r="D23" s="81">
        <f>All_metal_alloy_composition!U25</f>
        <v>3.2996040409158816E-3</v>
      </c>
      <c r="E23" s="81">
        <f>All_metal_alloy_composition!V25</f>
        <v>2.4997000309968801E-3</v>
      </c>
      <c r="F23" s="81">
        <f>All_metal_alloy_composition!W25</f>
        <v>3.9995200495950081E-3</v>
      </c>
      <c r="G23" s="81">
        <f>All_metal_alloy_composition!X25</f>
        <v>7.9990400991900162E-3</v>
      </c>
      <c r="H23" s="81">
        <f>All_metal_alloy_composition!Y25</f>
        <v>1.499820018598128E-3</v>
      </c>
      <c r="I23" s="81">
        <f>All_metal_alloy_composition!Z25</f>
        <v>4.9994000619937601E-4</v>
      </c>
      <c r="J23" s="81">
        <f>All_metal_alloy_composition!AA25</f>
        <v>2.9996400371962561E-3</v>
      </c>
      <c r="K23" s="81">
        <f>All_metal_alloy_composition!AB25</f>
        <v>2.4997000309968801E-3</v>
      </c>
      <c r="L23" s="81">
        <f>All_metal_alloy_composition!AC25</f>
        <v>9.999800003999917E-6</v>
      </c>
      <c r="M23" s="81">
        <f>All_metal_alloy_composition!AD25</f>
        <v>9.999800003999917E-6</v>
      </c>
    </row>
    <row r="24" spans="1:13" s="22" customFormat="1" x14ac:dyDescent="0.2">
      <c r="A24" s="147" t="s">
        <v>260</v>
      </c>
      <c r="B24" s="156">
        <f>All_metal_alloy_composition!S26</f>
        <v>0.92738145237095249</v>
      </c>
      <c r="C24" s="156">
        <f>All_metal_alloy_composition!T26</f>
        <v>3.4999300013999718E-3</v>
      </c>
      <c r="D24" s="156">
        <f>All_metal_alloy_composition!U26</f>
        <v>3.9999200015999681E-3</v>
      </c>
      <c r="E24" s="156">
        <f>All_metal_alloy_composition!V26</f>
        <v>1.9999600007999841E-3</v>
      </c>
      <c r="F24" s="156">
        <f>All_metal_alloy_composition!W26</f>
        <v>2.7499450010999775E-3</v>
      </c>
      <c r="G24" s="156">
        <f>All_metal_alloy_composition!X26</f>
        <v>1.1999760004799903E-2</v>
      </c>
      <c r="H24" s="156">
        <f>All_metal_alloy_composition!Y26</f>
        <v>2.2499550008999816E-3</v>
      </c>
      <c r="I24" s="156">
        <f>All_metal_alloy_composition!Z26</f>
        <v>4.9999000019999601E-4</v>
      </c>
      <c r="J24" s="156">
        <f>All_metal_alloy_composition!AA26</f>
        <v>4.4999100017999637E-2</v>
      </c>
      <c r="K24" s="156">
        <f>All_metal_alloy_composition!AB26</f>
        <v>5.9998800023999507E-4</v>
      </c>
      <c r="L24" s="156">
        <f>All_metal_alloy_composition!AC26</f>
        <v>9.9998000039999203E-6</v>
      </c>
      <c r="M24" s="156">
        <f>All_metal_alloy_composition!AD26</f>
        <v>9.9998000039999203E-6</v>
      </c>
    </row>
    <row r="25" spans="1:13" x14ac:dyDescent="0.2">
      <c r="A25" s="142" t="s">
        <v>261</v>
      </c>
      <c r="B25" s="81">
        <f>All_metal_alloy_composition!S10</f>
        <v>0.99697485716794476</v>
      </c>
      <c r="C25" s="81">
        <f>All_metal_alloy_composition!T10</f>
        <v>4.9998739075624108E-4</v>
      </c>
      <c r="D25" s="81">
        <f>All_metal_alloy_composition!U10</f>
        <v>4.9998739075624108E-4</v>
      </c>
      <c r="E25" s="81">
        <f>All_metal_alloy_composition!V10</f>
        <v>3.9998991260499289E-4</v>
      </c>
      <c r="F25" s="81">
        <f>All_metal_alloy_composition!W10</f>
        <v>2.9879724547185726E-4</v>
      </c>
      <c r="G25" s="81">
        <f>All_metal_alloy_composition!X10</f>
        <v>2.9879724547185726E-4</v>
      </c>
      <c r="H25" s="81">
        <f>All_metal_alloy_composition!Y10</f>
        <v>9.9997478151248235E-6</v>
      </c>
      <c r="I25" s="81">
        <f>All_metal_alloy_composition!Z10</f>
        <v>2.9879724547185726E-4</v>
      </c>
      <c r="J25" s="81">
        <f>All_metal_alloy_composition!AA10</f>
        <v>3.9998991260499289E-4</v>
      </c>
      <c r="K25" s="81">
        <f>All_metal_alloy_composition!AB10</f>
        <v>2.9879724547185726E-4</v>
      </c>
      <c r="L25" s="81">
        <f>All_metal_alloy_composition!AC10</f>
        <v>9.9997478151248235E-6</v>
      </c>
      <c r="M25" s="81">
        <f>All_metal_alloy_composition!AD10</f>
        <v>9.9997478151248235E-6</v>
      </c>
    </row>
    <row r="26" spans="1:13" x14ac:dyDescent="0.2">
      <c r="A26" s="142" t="s">
        <v>262</v>
      </c>
      <c r="B26" s="81">
        <f>All_metal_alloy_composition!S11</f>
        <v>0.97078058438831238</v>
      </c>
      <c r="C26" s="81">
        <f>All_metal_alloy_composition!T11</f>
        <v>5.9998800023999535E-3</v>
      </c>
      <c r="D26" s="81">
        <f>All_metal_alloy_composition!U11</f>
        <v>6.9998600027999453E-3</v>
      </c>
      <c r="E26" s="81">
        <f>All_metal_alloy_composition!V11</f>
        <v>1.1999760004799903E-3</v>
      </c>
      <c r="F26" s="81">
        <f>All_metal_alloy_composition!W11</f>
        <v>1.1999760004799907E-2</v>
      </c>
      <c r="G26" s="81">
        <f>All_metal_alloy_composition!X11</f>
        <v>4.9999000019999612E-4</v>
      </c>
      <c r="H26" s="81">
        <f>All_metal_alloy_composition!Y11</f>
        <v>4.9999000019999612E-4</v>
      </c>
      <c r="I26" s="81">
        <f>All_metal_alloy_composition!Z11</f>
        <v>4.9999000019999612E-4</v>
      </c>
      <c r="J26" s="81">
        <f>All_metal_alloy_composition!AA11</f>
        <v>9.9998000039999225E-4</v>
      </c>
      <c r="K26" s="81">
        <f>All_metal_alloy_composition!AB11</f>
        <v>4.9999000019999612E-4</v>
      </c>
      <c r="L26" s="81">
        <f>All_metal_alloy_composition!AC11</f>
        <v>9.9998000039999203E-6</v>
      </c>
      <c r="M26" s="81">
        <f>All_metal_alloy_composition!AD11</f>
        <v>9.9998000039999203E-6</v>
      </c>
    </row>
    <row r="27" spans="1:13" x14ac:dyDescent="0.2">
      <c r="A27" s="142" t="s">
        <v>263</v>
      </c>
      <c r="B27" s="81">
        <f>All_metal_alloy_composition!S12</f>
        <v>0.96748065038699216</v>
      </c>
      <c r="C27" s="81">
        <f>All_metal_alloy_composition!T12</f>
        <v>4.9999000019999599E-3</v>
      </c>
      <c r="D27" s="81">
        <f>All_metal_alloy_composition!U12</f>
        <v>6.9998600027999435E-3</v>
      </c>
      <c r="E27" s="81">
        <f>All_metal_alloy_composition!V12</f>
        <v>9.9998000039999203E-4</v>
      </c>
      <c r="F27" s="81">
        <f>All_metal_alloy_composition!W12</f>
        <v>1.1999760004799903E-2</v>
      </c>
      <c r="G27" s="81">
        <f>All_metal_alloy_composition!X12</f>
        <v>2.9999400011999759E-3</v>
      </c>
      <c r="H27" s="81">
        <f>All_metal_alloy_composition!Y12</f>
        <v>9.9998000039999203E-4</v>
      </c>
      <c r="I27" s="81">
        <f>All_metal_alloy_composition!Z12</f>
        <v>4.9999000019999601E-4</v>
      </c>
      <c r="J27" s="81">
        <f>All_metal_alloy_composition!AA12</f>
        <v>1.9999600007999841E-3</v>
      </c>
      <c r="K27" s="81">
        <f>All_metal_alloy_composition!AB12</f>
        <v>9.9998000039999203E-4</v>
      </c>
      <c r="L27" s="81">
        <f>All_metal_alloy_composition!AC12</f>
        <v>9.9998000039999203E-6</v>
      </c>
      <c r="M27" s="81">
        <f>All_metal_alloy_composition!AD12</f>
        <v>9.9998000039999203E-6</v>
      </c>
    </row>
    <row r="28" spans="1:13" x14ac:dyDescent="0.2">
      <c r="A28" s="142" t="s">
        <v>264</v>
      </c>
      <c r="B28" s="81">
        <f>All_metal_alloy_composition!S13</f>
        <v>0.93198136037279267</v>
      </c>
      <c r="C28" s="81">
        <f>All_metal_alloy_composition!T13</f>
        <v>5.1998960020799588E-2</v>
      </c>
      <c r="D28" s="81">
        <f>All_metal_alloy_composition!U13</f>
        <v>7.999840003199938E-3</v>
      </c>
      <c r="E28" s="81">
        <f>All_metal_alloy_composition!V13</f>
        <v>2.9999400011999763E-3</v>
      </c>
      <c r="F28" s="81">
        <f>All_metal_alloy_composition!W13</f>
        <v>4.9999000019999612E-4</v>
      </c>
      <c r="G28" s="81">
        <f>All_metal_alloy_composition!X13</f>
        <v>4.9999000019999612E-4</v>
      </c>
      <c r="H28" s="81">
        <f>All_metal_alloy_composition!Y13</f>
        <v>4.9999000019999612E-4</v>
      </c>
      <c r="I28" s="81">
        <f>All_metal_alloy_composition!Z13</f>
        <v>4.9999000019999612E-4</v>
      </c>
      <c r="J28" s="81">
        <f>All_metal_alloy_composition!AA13</f>
        <v>9.9998000039999225E-4</v>
      </c>
      <c r="K28" s="81">
        <f>All_metal_alloy_composition!AB13</f>
        <v>1.9999600007999845E-3</v>
      </c>
      <c r="L28" s="81">
        <f>All_metal_alloy_composition!AC13</f>
        <v>9.999800003999922E-6</v>
      </c>
      <c r="M28" s="81">
        <f>All_metal_alloy_composition!AD13</f>
        <v>9.999800003999922E-6</v>
      </c>
    </row>
    <row r="29" spans="1:13" x14ac:dyDescent="0.2">
      <c r="A29" s="142" t="s">
        <v>265</v>
      </c>
      <c r="B29" s="81">
        <f>All_metal_alloy_composition!S14</f>
        <v>0.97748045039099229</v>
      </c>
      <c r="C29" s="81">
        <f>All_metal_alloy_composition!T14</f>
        <v>2.9999400011999767E-3</v>
      </c>
      <c r="D29" s="81">
        <f>All_metal_alloy_composition!U14</f>
        <v>4.499910001799964E-3</v>
      </c>
      <c r="E29" s="81">
        <f>All_metal_alloy_composition!V14</f>
        <v>4.9999000019999612E-4</v>
      </c>
      <c r="F29" s="81">
        <f>All_metal_alloy_composition!W14</f>
        <v>1.4999700005999884E-3</v>
      </c>
      <c r="G29" s="81">
        <f>All_metal_alloy_composition!X14</f>
        <v>8.999820003599928E-3</v>
      </c>
      <c r="H29" s="81">
        <f>All_metal_alloy_composition!Y14</f>
        <v>9.9998000039999225E-4</v>
      </c>
      <c r="I29" s="81">
        <f>All_metal_alloy_composition!Z14</f>
        <v>4.9999000019999612E-4</v>
      </c>
      <c r="J29" s="81">
        <f>All_metal_alloy_composition!AA14</f>
        <v>1.9999600007999845E-3</v>
      </c>
      <c r="K29" s="81">
        <f>All_metal_alloy_composition!AB14</f>
        <v>4.9999000019999612E-4</v>
      </c>
      <c r="L29" s="81">
        <f>All_metal_alloy_composition!AC14</f>
        <v>9.9998000039999203E-6</v>
      </c>
      <c r="M29" s="81">
        <f>All_metal_alloy_composition!AD14</f>
        <v>9.9998000039999203E-6</v>
      </c>
    </row>
    <row r="30" spans="1:13" x14ac:dyDescent="0.2">
      <c r="A30" s="142" t="s">
        <v>266</v>
      </c>
      <c r="B30" s="81">
        <f>All_metal_alloy_composition!S15</f>
        <v>0.93948121037579257</v>
      </c>
      <c r="C30" s="81">
        <f>All_metal_alloy_composition!T15</f>
        <v>1.9999600007999845E-3</v>
      </c>
      <c r="D30" s="81">
        <f>All_metal_alloy_composition!U15</f>
        <v>3.4999300013999726E-3</v>
      </c>
      <c r="E30" s="81">
        <f>All_metal_alloy_composition!V15</f>
        <v>1.4999700005999884E-3</v>
      </c>
      <c r="F30" s="81">
        <f>All_metal_alloy_composition!W15</f>
        <v>3.4999300013999726E-3</v>
      </c>
      <c r="G30" s="81">
        <f>All_metal_alloy_composition!X15</f>
        <v>4.4999100017999644E-2</v>
      </c>
      <c r="H30" s="81">
        <f>All_metal_alloy_composition!Y15</f>
        <v>9.9998000039999225E-4</v>
      </c>
      <c r="I30" s="81">
        <f>All_metal_alloy_composition!Z15</f>
        <v>4.9999000019999612E-4</v>
      </c>
      <c r="J30" s="81">
        <f>All_metal_alloy_composition!AA15</f>
        <v>2.4999500009999804E-3</v>
      </c>
      <c r="K30" s="81">
        <f>All_metal_alloy_composition!AB15</f>
        <v>9.9998000039999225E-4</v>
      </c>
      <c r="L30" s="81">
        <f>All_metal_alloy_composition!AC15</f>
        <v>9.9998000039999203E-6</v>
      </c>
      <c r="M30" s="81">
        <f>All_metal_alloy_composition!AD15</f>
        <v>9.9998000039999203E-6</v>
      </c>
    </row>
    <row r="31" spans="1:13" x14ac:dyDescent="0.2">
      <c r="A31" s="142" t="s">
        <v>267</v>
      </c>
      <c r="B31" s="81">
        <f>All_metal_alloy_composition!S16</f>
        <v>0.95248095038099256</v>
      </c>
      <c r="C31" s="81">
        <f>All_metal_alloy_composition!T16</f>
        <v>3.999920001599969E-3</v>
      </c>
      <c r="D31" s="81">
        <f>All_metal_alloy_composition!U16</f>
        <v>3.999920001599969E-3</v>
      </c>
      <c r="E31" s="81">
        <f>All_metal_alloy_composition!V16</f>
        <v>9.9998000039999225E-4</v>
      </c>
      <c r="F31" s="81">
        <f>All_metal_alloy_composition!W16</f>
        <v>1.9999600007999845E-3</v>
      </c>
      <c r="G31" s="81">
        <f>All_metal_alloy_composition!X16</f>
        <v>3.0999380012399755E-2</v>
      </c>
      <c r="H31" s="81">
        <f>All_metal_alloy_composition!Y16</f>
        <v>1.4999700005999882E-3</v>
      </c>
      <c r="I31" s="81">
        <f>All_metal_alloy_composition!Z16</f>
        <v>4.9999000019999612E-4</v>
      </c>
      <c r="J31" s="81">
        <f>All_metal_alloy_composition!AA16</f>
        <v>1.9999600007999845E-3</v>
      </c>
      <c r="K31" s="81">
        <f>All_metal_alloy_composition!AB16</f>
        <v>1.4999700005999882E-3</v>
      </c>
      <c r="L31" s="81">
        <f>All_metal_alloy_composition!AC16</f>
        <v>9.999800003999922E-6</v>
      </c>
      <c r="M31" s="81">
        <f>All_metal_alloy_composition!AD16</f>
        <v>9.999800003999922E-6</v>
      </c>
    </row>
    <row r="32" spans="1:13" x14ac:dyDescent="0.2">
      <c r="A32" s="142" t="s">
        <v>268</v>
      </c>
      <c r="B32" s="81">
        <f>All_metal_alloy_composition!S17</f>
        <v>0.97148057038859237</v>
      </c>
      <c r="C32" s="81">
        <f>All_metal_alloy_composition!T17</f>
        <v>6.9998600027999453E-3</v>
      </c>
      <c r="D32" s="81">
        <f>All_metal_alloy_composition!U17</f>
        <v>3.4999300013999726E-3</v>
      </c>
      <c r="E32" s="81">
        <f>All_metal_alloy_composition!V17</f>
        <v>2.9999400011999763E-3</v>
      </c>
      <c r="F32" s="81">
        <f>All_metal_alloy_composition!W17</f>
        <v>2.9999400011999763E-3</v>
      </c>
      <c r="G32" s="81">
        <f>All_metal_alloy_composition!X17</f>
        <v>5.4998900021999567E-3</v>
      </c>
      <c r="H32" s="81">
        <f>All_metal_alloy_composition!Y17</f>
        <v>2.9999400011999763E-3</v>
      </c>
      <c r="I32" s="81">
        <f>All_metal_alloy_composition!Z17</f>
        <v>4.9999000019999612E-4</v>
      </c>
      <c r="J32" s="81">
        <f>All_metal_alloy_composition!AA17</f>
        <v>1.9999600007999845E-3</v>
      </c>
      <c r="K32" s="81">
        <f>All_metal_alloy_composition!AB17</f>
        <v>9.9998000039999225E-4</v>
      </c>
      <c r="L32" s="81">
        <f>All_metal_alloy_composition!AC17</f>
        <v>9.999800003999922E-6</v>
      </c>
      <c r="M32" s="81">
        <f>All_metal_alloy_composition!AD17</f>
        <v>9.999800003999922E-6</v>
      </c>
    </row>
    <row r="33" spans="1:13" x14ac:dyDescent="0.2">
      <c r="A33" s="142" t="s">
        <v>269</v>
      </c>
      <c r="B33" s="81">
        <f>All_metal_alloy_composition!S18</f>
        <v>0.9777315578132213</v>
      </c>
      <c r="C33" s="81">
        <f>All_metal_alloy_composition!T18</f>
        <v>4.4996850175490844E-3</v>
      </c>
      <c r="D33" s="81">
        <f>All_metal_alloy_composition!U18</f>
        <v>3.499755013649289E-3</v>
      </c>
      <c r="E33" s="81">
        <f>All_metal_alloy_composition!V18</f>
        <v>2.4998250097494918E-3</v>
      </c>
      <c r="F33" s="81">
        <f>All_metal_alloy_composition!W18</f>
        <v>1.2499125048747459E-3</v>
      </c>
      <c r="G33" s="81">
        <f>All_metal_alloy_composition!X18</f>
        <v>5.9995800233987812E-3</v>
      </c>
      <c r="H33" s="81">
        <f>All_metal_alloy_composition!Y18</f>
        <v>1.9998600077995939E-3</v>
      </c>
      <c r="I33" s="81">
        <f>All_metal_alloy_composition!Z18</f>
        <v>4.9996500194989847E-4</v>
      </c>
      <c r="J33" s="81">
        <f>All_metal_alloy_composition!AA18</f>
        <v>9.9993000389979694E-4</v>
      </c>
      <c r="K33" s="81">
        <f>All_metal_alloy_composition!AB18</f>
        <v>9.9993000389979694E-4</v>
      </c>
      <c r="L33" s="81">
        <f>All_metal_alloy_composition!AC18</f>
        <v>9.9998000039999153E-6</v>
      </c>
      <c r="M33" s="81">
        <f>All_metal_alloy_composition!AD18</f>
        <v>9.9998000039999153E-6</v>
      </c>
    </row>
    <row r="34" spans="1:13" x14ac:dyDescent="0.2">
      <c r="A34" s="142" t="s">
        <v>270</v>
      </c>
      <c r="B34" s="81">
        <f>All_metal_alloy_composition!S19</f>
        <v>0.96923215278007324</v>
      </c>
      <c r="C34" s="81">
        <f>All_metal_alloy_composition!T19</f>
        <v>1.2499125048747464E-2</v>
      </c>
      <c r="D34" s="81">
        <f>All_metal_alloy_composition!U19</f>
        <v>4.9996500194989853E-3</v>
      </c>
      <c r="E34" s="81">
        <f>All_metal_alloy_composition!V19</f>
        <v>1.9998600077995943E-3</v>
      </c>
      <c r="F34" s="81">
        <f>All_metal_alloy_composition!W19</f>
        <v>1.9998600077995943E-3</v>
      </c>
      <c r="G34" s="81">
        <f>All_metal_alloy_composition!X19</f>
        <v>4.2497025165741378E-3</v>
      </c>
      <c r="H34" s="81">
        <f>All_metal_alloy_composition!Y19</f>
        <v>9.9993000389979715E-4</v>
      </c>
      <c r="I34" s="81">
        <f>All_metal_alloy_composition!Z19</f>
        <v>4.9996500194989858E-4</v>
      </c>
      <c r="J34" s="81">
        <f>All_metal_alloy_composition!AA19</f>
        <v>1.9998600077995943E-3</v>
      </c>
      <c r="K34" s="81">
        <f>All_metal_alloy_composition!AB19</f>
        <v>1.4998950058496955E-3</v>
      </c>
      <c r="L34" s="81">
        <f>All_metal_alloy_composition!AC19</f>
        <v>9.9998000039999203E-6</v>
      </c>
      <c r="M34" s="81">
        <f>All_metal_alloy_composition!AD19</f>
        <v>9.9998000039999203E-6</v>
      </c>
    </row>
    <row r="35" spans="1:13" x14ac:dyDescent="0.2">
      <c r="A35" s="142" t="s">
        <v>271</v>
      </c>
      <c r="B35" s="81">
        <f>All_metal_alloy_composition!S20</f>
        <v>0.98318033639327218</v>
      </c>
      <c r="C35" s="81">
        <f>All_metal_alloy_composition!T20</f>
        <v>4.499910001799964E-3</v>
      </c>
      <c r="D35" s="81">
        <f>All_metal_alloy_composition!U20</f>
        <v>1.9999600007999845E-3</v>
      </c>
      <c r="E35" s="81">
        <f>All_metal_alloy_composition!V20</f>
        <v>9.9998000039999225E-4</v>
      </c>
      <c r="F35" s="81">
        <f>All_metal_alloy_composition!W20</f>
        <v>9.9998000039999225E-4</v>
      </c>
      <c r="G35" s="81">
        <f>All_metal_alloy_composition!X20</f>
        <v>4.7999040019199614E-3</v>
      </c>
      <c r="H35" s="81">
        <f>All_metal_alloy_composition!Y20</f>
        <v>4.9999000019999612E-4</v>
      </c>
      <c r="I35" s="81">
        <f>All_metal_alloy_composition!Z20</f>
        <v>4.9999000019999612E-4</v>
      </c>
      <c r="J35" s="81">
        <f>All_metal_alloy_composition!AA20</f>
        <v>1.4999700005999884E-3</v>
      </c>
      <c r="K35" s="81">
        <f>All_metal_alloy_composition!AB20</f>
        <v>9.9998000039999225E-4</v>
      </c>
      <c r="L35" s="81">
        <f>All_metal_alloy_composition!AC20</f>
        <v>9.9998000039999203E-6</v>
      </c>
      <c r="M35" s="81">
        <f>All_metal_alloy_composition!AD20</f>
        <v>9.9998000039999203E-6</v>
      </c>
    </row>
    <row r="36" spans="1:13" x14ac:dyDescent="0.2">
      <c r="A36" s="142" t="s">
        <v>272</v>
      </c>
      <c r="B36" s="81">
        <f>All_metal_alloy_composition!S21</f>
        <v>0.96618067638647231</v>
      </c>
      <c r="C36" s="81">
        <f>All_metal_alloy_composition!T21</f>
        <v>5.9998800023999535E-3</v>
      </c>
      <c r="D36" s="81">
        <f>All_metal_alloy_composition!U21</f>
        <v>6.9998600027999453E-3</v>
      </c>
      <c r="E36" s="81">
        <f>All_metal_alloy_composition!V21</f>
        <v>2.7999440011199778E-3</v>
      </c>
      <c r="F36" s="81">
        <f>All_metal_alloy_composition!W21</f>
        <v>1.4999700005999884E-3</v>
      </c>
      <c r="G36" s="81">
        <f>All_metal_alloy_composition!X21</f>
        <v>9.9998000039999216E-3</v>
      </c>
      <c r="H36" s="81">
        <f>All_metal_alloy_composition!Y21</f>
        <v>1.9999600007999845E-3</v>
      </c>
      <c r="I36" s="81">
        <f>All_metal_alloy_composition!Z21</f>
        <v>4.9999000019999612E-4</v>
      </c>
      <c r="J36" s="81">
        <f>All_metal_alloy_composition!AA21</f>
        <v>2.4999500009999804E-3</v>
      </c>
      <c r="K36" s="81">
        <f>All_metal_alloy_composition!AB21</f>
        <v>1.4999700005999884E-3</v>
      </c>
      <c r="L36" s="81">
        <f>All_metal_alloy_composition!AC21</f>
        <v>9.9998000039999203E-6</v>
      </c>
      <c r="M36" s="81">
        <f>All_metal_alloy_composition!AD21</f>
        <v>9.9998000039999203E-6</v>
      </c>
    </row>
    <row r="37" spans="1:13" x14ac:dyDescent="0.2">
      <c r="A37" s="142" t="s">
        <v>273</v>
      </c>
      <c r="B37" s="81">
        <f>All_metal_alloy_composition!S22</f>
        <v>0.9799804003919923</v>
      </c>
      <c r="C37" s="81">
        <f>All_metal_alloy_composition!T22</f>
        <v>3.999920001599969E-3</v>
      </c>
      <c r="D37" s="81">
        <f>All_metal_alloy_composition!U22</f>
        <v>3.4999300013999726E-3</v>
      </c>
      <c r="E37" s="81">
        <f>All_metal_alloy_composition!V22</f>
        <v>9.9998000039999225E-4</v>
      </c>
      <c r="F37" s="81">
        <f>All_metal_alloy_composition!W22</f>
        <v>9.9998000039999225E-4</v>
      </c>
      <c r="G37" s="81">
        <f>All_metal_alloy_composition!X22</f>
        <v>6.9998600027999453E-3</v>
      </c>
      <c r="H37" s="81">
        <f>All_metal_alloy_composition!Y22</f>
        <v>9.9998000039999225E-4</v>
      </c>
      <c r="I37" s="81">
        <f>All_metal_alloy_composition!Z22</f>
        <v>4.9999000019999612E-4</v>
      </c>
      <c r="J37" s="81">
        <f>All_metal_alloy_composition!AA22</f>
        <v>9.9998000039999225E-4</v>
      </c>
      <c r="K37" s="81">
        <f>All_metal_alloy_composition!AB22</f>
        <v>9.9998000039999225E-4</v>
      </c>
      <c r="L37" s="81">
        <f>All_metal_alloy_composition!AC22</f>
        <v>9.999800003999922E-6</v>
      </c>
      <c r="M37" s="81">
        <f>All_metal_alloy_composition!AD22</f>
        <v>9.999800003999922E-6</v>
      </c>
    </row>
    <row r="38" spans="1:13" x14ac:dyDescent="0.2">
      <c r="A38" s="142" t="s">
        <v>274</v>
      </c>
      <c r="B38" s="81">
        <f>All_metal_alloy_composition!S23</f>
        <v>0.96198076038479241</v>
      </c>
      <c r="C38" s="81">
        <f>All_metal_alloy_composition!T23</f>
        <v>9.9998000039999216E-3</v>
      </c>
      <c r="D38" s="81">
        <f>All_metal_alloy_composition!U23</f>
        <v>4.9999000019999608E-3</v>
      </c>
      <c r="E38" s="81">
        <f>All_metal_alloy_composition!V23</f>
        <v>9.9998000039999225E-4</v>
      </c>
      <c r="F38" s="81">
        <f>All_metal_alloy_composition!W23</f>
        <v>6.9998600027999453E-3</v>
      </c>
      <c r="G38" s="81">
        <f>All_metal_alloy_composition!X23</f>
        <v>8.999820003599928E-3</v>
      </c>
      <c r="H38" s="81">
        <f>All_metal_alloy_composition!Y23</f>
        <v>2.4999500009999804E-3</v>
      </c>
      <c r="I38" s="81">
        <f>All_metal_alloy_composition!Z23</f>
        <v>4.9999000019999612E-4</v>
      </c>
      <c r="J38" s="81">
        <f>All_metal_alloy_composition!AA23</f>
        <v>1.9999600007999845E-3</v>
      </c>
      <c r="K38" s="81">
        <f>All_metal_alloy_composition!AB23</f>
        <v>9.9998000039999225E-4</v>
      </c>
      <c r="L38" s="81">
        <f>All_metal_alloy_composition!AC23</f>
        <v>9.999800003999922E-6</v>
      </c>
      <c r="M38" s="81">
        <f>All_metal_alloy_composition!AD23</f>
        <v>9.999800003999922E-6</v>
      </c>
    </row>
    <row r="39" spans="1:13" x14ac:dyDescent="0.2">
      <c r="A39" s="142" t="s">
        <v>275</v>
      </c>
      <c r="B39" s="81">
        <f>All_metal_alloy_composition!S24</f>
        <v>0.96618067638647231</v>
      </c>
      <c r="C39" s="81">
        <f>All_metal_alloy_composition!T24</f>
        <v>8.499830003399933E-3</v>
      </c>
      <c r="D39" s="81">
        <f>All_metal_alloy_composition!U24</f>
        <v>3.999920001599969E-3</v>
      </c>
      <c r="E39" s="81">
        <f>All_metal_alloy_composition!V24</f>
        <v>6.9998600027999453E-3</v>
      </c>
      <c r="F39" s="81">
        <f>All_metal_alloy_composition!W24</f>
        <v>2.7999440011199778E-3</v>
      </c>
      <c r="G39" s="81">
        <f>All_metal_alloy_composition!X24</f>
        <v>7.4998500029999412E-3</v>
      </c>
      <c r="H39" s="81">
        <f>All_metal_alloy_composition!Y24</f>
        <v>9.9998000039999225E-4</v>
      </c>
      <c r="I39" s="81">
        <f>All_metal_alloy_composition!Z24</f>
        <v>4.9999000019999612E-4</v>
      </c>
      <c r="J39" s="81">
        <f>All_metal_alloy_composition!AA24</f>
        <v>1.4999700005999884E-3</v>
      </c>
      <c r="K39" s="81">
        <f>All_metal_alloy_composition!AB24</f>
        <v>9.9998000039999225E-4</v>
      </c>
      <c r="L39" s="81">
        <f>All_metal_alloy_composition!AC24</f>
        <v>9.9998000039999203E-6</v>
      </c>
      <c r="M39" s="81">
        <f>All_metal_alloy_composition!AD24</f>
        <v>9.9998000039999203E-6</v>
      </c>
    </row>
    <row r="40" spans="1:13" x14ac:dyDescent="0.2">
      <c r="A40" s="142" t="s">
        <v>276</v>
      </c>
      <c r="B40" s="81">
        <f>All_metal_alloy_composition!S25</f>
        <v>0.96568411597471471</v>
      </c>
      <c r="C40" s="81">
        <f>All_metal_alloy_composition!T25</f>
        <v>8.9989201115887665E-3</v>
      </c>
      <c r="D40" s="81">
        <f>All_metal_alloy_composition!U25</f>
        <v>3.2996040409158816E-3</v>
      </c>
      <c r="E40" s="81">
        <f>All_metal_alloy_composition!V25</f>
        <v>2.4997000309968801E-3</v>
      </c>
      <c r="F40" s="81">
        <f>All_metal_alloy_composition!W25</f>
        <v>3.9995200495950081E-3</v>
      </c>
      <c r="G40" s="81">
        <f>All_metal_alloy_composition!X25</f>
        <v>7.9990400991900162E-3</v>
      </c>
      <c r="H40" s="81">
        <f>All_metal_alloy_composition!Y25</f>
        <v>1.499820018598128E-3</v>
      </c>
      <c r="I40" s="81">
        <f>All_metal_alloy_composition!Z25</f>
        <v>4.9994000619937601E-4</v>
      </c>
      <c r="J40" s="81">
        <f>All_metal_alloy_composition!AA25</f>
        <v>2.9996400371962561E-3</v>
      </c>
      <c r="K40" s="81">
        <f>All_metal_alloy_composition!AB25</f>
        <v>2.4997000309968801E-3</v>
      </c>
      <c r="L40" s="81">
        <f>All_metal_alloy_composition!AC25</f>
        <v>9.999800003999917E-6</v>
      </c>
      <c r="M40" s="81">
        <f>All_metal_alloy_composition!AD25</f>
        <v>9.999800003999917E-6</v>
      </c>
    </row>
    <row r="41" spans="1:13" s="22" customFormat="1" x14ac:dyDescent="0.2">
      <c r="A41" s="144" t="s">
        <v>277</v>
      </c>
      <c r="B41" s="156">
        <f>All_metal_alloy_composition!S26</f>
        <v>0.92738145237095249</v>
      </c>
      <c r="C41" s="156">
        <f>All_metal_alloy_composition!T26</f>
        <v>3.4999300013999718E-3</v>
      </c>
      <c r="D41" s="156">
        <f>All_metal_alloy_composition!U26</f>
        <v>3.9999200015999681E-3</v>
      </c>
      <c r="E41" s="156">
        <f>All_metal_alloy_composition!V26</f>
        <v>1.9999600007999841E-3</v>
      </c>
      <c r="F41" s="156">
        <f>All_metal_alloy_composition!W26</f>
        <v>2.7499450010999775E-3</v>
      </c>
      <c r="G41" s="156">
        <f>All_metal_alloy_composition!X26</f>
        <v>1.1999760004799903E-2</v>
      </c>
      <c r="H41" s="156">
        <f>All_metal_alloy_composition!Y26</f>
        <v>2.2499550008999816E-3</v>
      </c>
      <c r="I41" s="156">
        <f>All_metal_alloy_composition!Z26</f>
        <v>4.9999000019999601E-4</v>
      </c>
      <c r="J41" s="156">
        <f>All_metal_alloy_composition!AA26</f>
        <v>4.4999100017999637E-2</v>
      </c>
      <c r="K41" s="156">
        <f>All_metal_alloy_composition!AB26</f>
        <v>5.9998800023999507E-4</v>
      </c>
      <c r="L41" s="156">
        <f>All_metal_alloy_composition!AC26</f>
        <v>9.9998000039999203E-6</v>
      </c>
      <c r="M41" s="156">
        <f>All_metal_alloy_composition!AD26</f>
        <v>9.9998000039999203E-6</v>
      </c>
    </row>
    <row r="42" spans="1:13" x14ac:dyDescent="0.2">
      <c r="A42" s="148" t="s">
        <v>278</v>
      </c>
      <c r="B42" s="81">
        <f>All_metal_alloy_composition!S27</f>
        <v>0.83048339033219343</v>
      </c>
      <c r="C42" s="81">
        <f>All_metal_alloy_composition!T27</f>
        <v>9.9998000039999216E-2</v>
      </c>
      <c r="D42" s="81">
        <f>All_metal_alloy_composition!U27</f>
        <v>1.149977000459991E-2</v>
      </c>
      <c r="E42" s="81">
        <f>All_metal_alloy_composition!V27</f>
        <v>3.2499350012999743E-2</v>
      </c>
      <c r="F42" s="81">
        <f>All_metal_alloy_composition!W27</f>
        <v>6.4998700025999485E-3</v>
      </c>
      <c r="G42" s="81">
        <f>All_metal_alloy_composition!X27</f>
        <v>3.6999260014799712E-3</v>
      </c>
      <c r="H42" s="81">
        <f>All_metal_alloy_composition!Y27</f>
        <v>2.9999400011999759E-4</v>
      </c>
      <c r="I42" s="81">
        <f>All_metal_alloy_composition!Z27</f>
        <v>1.2499750004999902E-2</v>
      </c>
      <c r="J42" s="81">
        <f>All_metal_alloy_composition!AA27</f>
        <v>4.9999000019999612E-4</v>
      </c>
      <c r="K42" s="81">
        <f>All_metal_alloy_composition!AB27</f>
        <v>1.9999600007999845E-3</v>
      </c>
      <c r="L42" s="81">
        <f>All_metal_alloy_composition!AC27</f>
        <v>9.999800003999922E-6</v>
      </c>
      <c r="M42" s="81">
        <f>All_metal_alloy_composition!AD27</f>
        <v>9.999800003999922E-6</v>
      </c>
    </row>
    <row r="43" spans="1:13" x14ac:dyDescent="0.2">
      <c r="A43" s="148" t="s">
        <v>279</v>
      </c>
      <c r="B43" s="81">
        <f>All_metal_alloy_composition!S28</f>
        <v>0.86798264034719319</v>
      </c>
      <c r="C43" s="81">
        <f>All_metal_alloy_composition!T28</f>
        <v>5.9998800023999523E-2</v>
      </c>
      <c r="D43" s="81">
        <f>All_metal_alloy_composition!U28</f>
        <v>9.9998000039999216E-3</v>
      </c>
      <c r="E43" s="81">
        <f>All_metal_alloy_composition!V28</f>
        <v>3.4999300013999729E-2</v>
      </c>
      <c r="F43" s="81">
        <f>All_metal_alloy_composition!W28</f>
        <v>4.9999000019999608E-3</v>
      </c>
      <c r="G43" s="81">
        <f>All_metal_alloy_composition!X28</f>
        <v>9.9998000039999225E-4</v>
      </c>
      <c r="H43" s="81">
        <f>All_metal_alloy_composition!Y28</f>
        <v>4.9999000019999608E-3</v>
      </c>
      <c r="I43" s="81">
        <f>All_metal_alloy_composition!Z28</f>
        <v>3.4999300013999726E-3</v>
      </c>
      <c r="J43" s="81">
        <f>All_metal_alloy_composition!AA28</f>
        <v>9.9998000039999216E-3</v>
      </c>
      <c r="K43" s="81">
        <f>All_metal_alloy_composition!AB28</f>
        <v>2.4999500009999804E-3</v>
      </c>
      <c r="L43" s="81">
        <f>All_metal_alloy_composition!AC28</f>
        <v>9.999800003999922E-6</v>
      </c>
      <c r="M43" s="81">
        <f>All_metal_alloy_composition!AD28</f>
        <v>9.999800003999922E-6</v>
      </c>
    </row>
    <row r="44" spans="1:13" x14ac:dyDescent="0.2">
      <c r="A44" s="148" t="s">
        <v>280</v>
      </c>
      <c r="B44" s="81">
        <f>All_metal_alloy_composition!S29</f>
        <v>0.80798384032319348</v>
      </c>
      <c r="C44" s="81">
        <f>All_metal_alloy_composition!T29</f>
        <v>0.10499790004199915</v>
      </c>
      <c r="D44" s="81">
        <f>All_metal_alloy_composition!U29</f>
        <v>1.2999740005199894E-2</v>
      </c>
      <c r="E44" s="81">
        <f>All_metal_alloy_composition!V29</f>
        <v>2.49995000099998E-2</v>
      </c>
      <c r="F44" s="81">
        <f>All_metal_alloy_composition!W29</f>
        <v>4.9999000019999599E-3</v>
      </c>
      <c r="G44" s="81">
        <f>All_metal_alloy_composition!X29</f>
        <v>9.9998000039999203E-4</v>
      </c>
      <c r="H44" s="81">
        <f>All_metal_alloy_composition!Y29</f>
        <v>4.9999000019999599E-3</v>
      </c>
      <c r="I44" s="81">
        <f>All_metal_alloy_composition!Z29</f>
        <v>2.9999400011999759E-3</v>
      </c>
      <c r="J44" s="81">
        <f>All_metal_alloy_composition!AA29</f>
        <v>2.9999400011999758E-2</v>
      </c>
      <c r="K44" s="81">
        <f>All_metal_alloy_composition!AB29</f>
        <v>4.9999000019999599E-3</v>
      </c>
      <c r="L44" s="81">
        <f>All_metal_alloy_composition!AC29</f>
        <v>9.9998000039999203E-6</v>
      </c>
      <c r="M44" s="81">
        <f>All_metal_alloy_composition!AD29</f>
        <v>9.9998000039999203E-6</v>
      </c>
    </row>
    <row r="45" spans="1:13" x14ac:dyDescent="0.2">
      <c r="A45" s="148" t="s">
        <v>281</v>
      </c>
      <c r="B45" s="81">
        <f>All_metal_alloy_composition!S30</f>
        <v>0.91748165036699281</v>
      </c>
      <c r="C45" s="81">
        <f>All_metal_alloy_composition!T30</f>
        <v>6.9998600027999458E-2</v>
      </c>
      <c r="D45" s="81">
        <f>All_metal_alloy_composition!U30</f>
        <v>1.9999600007999845E-3</v>
      </c>
      <c r="E45" s="81">
        <f>All_metal_alloy_composition!V30</f>
        <v>1.9999600007999845E-3</v>
      </c>
      <c r="F45" s="81">
        <f>All_metal_alloy_composition!W30</f>
        <v>9.9998000039999225E-4</v>
      </c>
      <c r="G45" s="81">
        <f>All_metal_alloy_composition!X30</f>
        <v>3.4999300013999726E-3</v>
      </c>
      <c r="H45" s="81">
        <f>All_metal_alloy_composition!Y30</f>
        <v>4.9999000019999612E-4</v>
      </c>
      <c r="I45" s="81">
        <f>All_metal_alloy_composition!Z30</f>
        <v>4.9999000019999612E-4</v>
      </c>
      <c r="J45" s="81">
        <f>All_metal_alloy_composition!AA30</f>
        <v>9.9998000039999225E-4</v>
      </c>
      <c r="K45" s="81">
        <f>All_metal_alloy_composition!AB30</f>
        <v>1.9999600007999845E-3</v>
      </c>
      <c r="L45" s="81">
        <f>All_metal_alloy_composition!AC30</f>
        <v>9.999800003999922E-6</v>
      </c>
      <c r="M45" s="81">
        <f>All_metal_alloy_composition!AD30</f>
        <v>9.999800003999922E-6</v>
      </c>
    </row>
    <row r="46" spans="1:13" x14ac:dyDescent="0.2">
      <c r="A46" s="148" t="s">
        <v>282</v>
      </c>
      <c r="B46" s="81">
        <f>All_metal_alloy_composition!S31</f>
        <v>0.91698166036679285</v>
      </c>
      <c r="C46" s="81">
        <f>All_metal_alloy_composition!T31</f>
        <v>6.9998600027999458E-2</v>
      </c>
      <c r="D46" s="81">
        <f>All_metal_alloy_composition!U31</f>
        <v>1.9999600007999845E-3</v>
      </c>
      <c r="E46" s="81">
        <f>All_metal_alloy_composition!V31</f>
        <v>1.9999600007999845E-3</v>
      </c>
      <c r="F46" s="81">
        <f>All_metal_alloy_composition!W31</f>
        <v>2.9999400011999759E-4</v>
      </c>
      <c r="G46" s="81">
        <f>All_metal_alloy_composition!X31</f>
        <v>5.4998900021999567E-3</v>
      </c>
      <c r="H46" s="81">
        <f>All_metal_alloy_composition!Y31</f>
        <v>4.9999000019999612E-4</v>
      </c>
      <c r="I46" s="81">
        <f>All_metal_alloy_composition!Z31</f>
        <v>4.9999000019999612E-4</v>
      </c>
      <c r="J46" s="81">
        <f>All_metal_alloy_composition!AA31</f>
        <v>9.9998000039999225E-4</v>
      </c>
      <c r="K46" s="81">
        <f>All_metal_alloy_composition!AB31</f>
        <v>1.1999760004799903E-3</v>
      </c>
      <c r="L46" s="81">
        <f>All_metal_alloy_composition!AC31</f>
        <v>9.999800003999922E-6</v>
      </c>
      <c r="M46" s="81">
        <f>All_metal_alloy_composition!AD31</f>
        <v>9.999800003999922E-6</v>
      </c>
    </row>
    <row r="47" spans="1:13" x14ac:dyDescent="0.2">
      <c r="A47" s="148" t="s">
        <v>283</v>
      </c>
      <c r="B47" s="81">
        <f>All_metal_alloy_composition!S32</f>
        <v>0.86248275034499322</v>
      </c>
      <c r="C47" s="81">
        <f>All_metal_alloy_composition!T32</f>
        <v>9.4998100037999259E-2</v>
      </c>
      <c r="D47" s="81">
        <f>All_metal_alloy_composition!U32</f>
        <v>1.2999740005199897E-2</v>
      </c>
      <c r="E47" s="81">
        <f>All_metal_alloy_composition!V32</f>
        <v>5.9998800023999526E-3</v>
      </c>
      <c r="F47" s="81">
        <f>All_metal_alloy_composition!W32</f>
        <v>3.4999300013999726E-3</v>
      </c>
      <c r="G47" s="81">
        <f>All_metal_alloy_composition!X32</f>
        <v>4.9999000019999608E-3</v>
      </c>
      <c r="H47" s="81">
        <f>All_metal_alloy_composition!Y32</f>
        <v>2.4999500009999804E-3</v>
      </c>
      <c r="I47" s="81">
        <f>All_metal_alloy_composition!Z32</f>
        <v>4.9999000019999608E-3</v>
      </c>
      <c r="J47" s="81">
        <f>All_metal_alloy_composition!AA32</f>
        <v>4.9999000019999608E-3</v>
      </c>
      <c r="K47" s="81">
        <f>All_metal_alloy_composition!AB32</f>
        <v>2.4999500009999804E-3</v>
      </c>
      <c r="L47" s="81">
        <f>All_metal_alloy_composition!AC32</f>
        <v>9.999800003999922E-6</v>
      </c>
      <c r="M47" s="81">
        <f>All_metal_alloy_composition!AD32</f>
        <v>9.999800003999922E-6</v>
      </c>
    </row>
    <row r="48" spans="1:13" x14ac:dyDescent="0.2">
      <c r="A48" s="148" t="s">
        <v>284</v>
      </c>
      <c r="B48" s="81">
        <f>All_metal_alloy_composition!S33</f>
        <v>0.83598328033439318</v>
      </c>
      <c r="C48" s="81">
        <f>All_metal_alloy_composition!T33</f>
        <v>8.4998300033999316E-2</v>
      </c>
      <c r="D48" s="81">
        <f>All_metal_alloy_composition!U33</f>
        <v>1.2999740005199894E-2</v>
      </c>
      <c r="E48" s="81">
        <f>All_metal_alloy_composition!V33</f>
        <v>3.4999300013999722E-2</v>
      </c>
      <c r="F48" s="81">
        <f>All_metal_alloy_composition!W33</f>
        <v>4.9999000019999599E-3</v>
      </c>
      <c r="G48" s="81">
        <f>All_metal_alloy_composition!X33</f>
        <v>9.9998000039999203E-4</v>
      </c>
      <c r="H48" s="81">
        <f>All_metal_alloy_composition!Y33</f>
        <v>4.9999000019999599E-3</v>
      </c>
      <c r="I48" s="81">
        <f>All_metal_alloy_composition!Z33</f>
        <v>4.9999000019999599E-3</v>
      </c>
      <c r="J48" s="81">
        <f>All_metal_alloy_composition!AA33</f>
        <v>9.9998000039999198E-3</v>
      </c>
      <c r="K48" s="81">
        <f>All_metal_alloy_composition!AB33</f>
        <v>4.9999000019999599E-3</v>
      </c>
      <c r="L48" s="81">
        <f>All_metal_alloy_composition!AC33</f>
        <v>9.9998000039999203E-6</v>
      </c>
      <c r="M48" s="81">
        <f>All_metal_alloy_composition!AD33</f>
        <v>9.9998000039999203E-6</v>
      </c>
    </row>
    <row r="49" spans="1:13" x14ac:dyDescent="0.2">
      <c r="A49" s="148" t="s">
        <v>285</v>
      </c>
      <c r="B49" s="81">
        <f>All_metal_alloy_composition!S34</f>
        <v>0.74348513029739405</v>
      </c>
      <c r="C49" s="81">
        <f>All_metal_alloy_composition!T34</f>
        <v>0.16999660006799863</v>
      </c>
      <c r="D49" s="81">
        <f>All_metal_alloy_composition!U34</f>
        <v>1.2999740005199894E-2</v>
      </c>
      <c r="E49" s="81">
        <f>All_metal_alloy_composition!V34</f>
        <v>4.4999100017999637E-2</v>
      </c>
      <c r="F49" s="81">
        <f>All_metal_alloy_composition!W34</f>
        <v>4.9999000019999599E-3</v>
      </c>
      <c r="G49" s="81">
        <f>All_metal_alloy_composition!X34</f>
        <v>5.499890002199955E-3</v>
      </c>
      <c r="H49" s="81">
        <f>All_metal_alloy_composition!Y34</f>
        <v>9.9998000039999203E-4</v>
      </c>
      <c r="I49" s="81">
        <f>All_metal_alloy_composition!Z34</f>
        <v>9.9998000039999203E-4</v>
      </c>
      <c r="J49" s="81">
        <f>All_metal_alloy_composition!AA34</f>
        <v>1.4999700005999879E-2</v>
      </c>
      <c r="K49" s="81">
        <f>All_metal_alloy_composition!AB34</f>
        <v>9.9998000039999203E-4</v>
      </c>
      <c r="L49" s="81">
        <f>All_metal_alloy_composition!AC34</f>
        <v>9.9998000039999203E-6</v>
      </c>
      <c r="M49" s="81">
        <f>All_metal_alloy_composition!AD34</f>
        <v>9.9998000039999203E-6</v>
      </c>
    </row>
    <row r="50" spans="1:13" s="22" customFormat="1" x14ac:dyDescent="0.2">
      <c r="A50" s="147" t="s">
        <v>286</v>
      </c>
      <c r="B50" s="156">
        <f>All_metal_alloy_composition!S35</f>
        <v>0.87848243035139328</v>
      </c>
      <c r="C50" s="156">
        <f>All_metal_alloy_composition!T35</f>
        <v>0.10499790004199919</v>
      </c>
      <c r="D50" s="156">
        <f>All_metal_alloy_composition!U35</f>
        <v>1.4999700005999886E-3</v>
      </c>
      <c r="E50" s="156">
        <f>All_metal_alloy_composition!V35</f>
        <v>2.999940001199977E-4</v>
      </c>
      <c r="F50" s="156">
        <f>All_metal_alloy_composition!W35</f>
        <v>6.4998700025999502E-3</v>
      </c>
      <c r="G50" s="156">
        <f>All_metal_alloy_composition!X35</f>
        <v>2.9999400011999772E-3</v>
      </c>
      <c r="H50" s="156">
        <f>All_metal_alloy_composition!Y35</f>
        <v>1.4999700005999886E-3</v>
      </c>
      <c r="I50" s="156">
        <f>All_metal_alloy_composition!Z35</f>
        <v>1.4999700005999886E-3</v>
      </c>
      <c r="J50" s="156">
        <f>All_metal_alloy_composition!AA35</f>
        <v>6.9998600027999466E-4</v>
      </c>
      <c r="K50" s="156">
        <f>All_metal_alloy_composition!AB35</f>
        <v>1.4999700005999886E-3</v>
      </c>
      <c r="L50" s="156">
        <f>All_metal_alloy_composition!AC35</f>
        <v>9.9998000039999237E-6</v>
      </c>
      <c r="M50" s="156">
        <f>All_metal_alloy_composition!AD35</f>
        <v>9.9998000039999237E-6</v>
      </c>
    </row>
    <row r="51" spans="1:13" x14ac:dyDescent="0.2">
      <c r="A51" s="142" t="s">
        <v>287</v>
      </c>
      <c r="B51" s="81">
        <f>All_metal_alloy_composition!S27</f>
        <v>0.83048339033219343</v>
      </c>
      <c r="C51" s="81">
        <f>All_metal_alloy_composition!T27</f>
        <v>9.9998000039999216E-2</v>
      </c>
      <c r="D51" s="81">
        <f>All_metal_alloy_composition!U27</f>
        <v>1.149977000459991E-2</v>
      </c>
      <c r="E51" s="81">
        <f>All_metal_alloy_composition!V27</f>
        <v>3.2499350012999743E-2</v>
      </c>
      <c r="F51" s="81">
        <f>All_metal_alloy_composition!W27</f>
        <v>6.4998700025999485E-3</v>
      </c>
      <c r="G51" s="81">
        <f>All_metal_alloy_composition!X27</f>
        <v>3.6999260014799712E-3</v>
      </c>
      <c r="H51" s="81">
        <f>All_metal_alloy_composition!Y27</f>
        <v>2.9999400011999759E-4</v>
      </c>
      <c r="I51" s="81">
        <f>All_metal_alloy_composition!Z27</f>
        <v>1.2499750004999902E-2</v>
      </c>
      <c r="J51" s="81">
        <f>All_metal_alloy_composition!AA27</f>
        <v>4.9999000019999612E-4</v>
      </c>
      <c r="K51" s="81">
        <f>All_metal_alloy_composition!AB27</f>
        <v>1.9999600007999845E-3</v>
      </c>
      <c r="L51" s="81">
        <f>All_metal_alloy_composition!AC27</f>
        <v>9.999800003999922E-6</v>
      </c>
      <c r="M51" s="81">
        <f>All_metal_alloy_composition!AD27</f>
        <v>9.999800003999922E-6</v>
      </c>
    </row>
    <row r="52" spans="1:13" x14ac:dyDescent="0.2">
      <c r="A52" s="142" t="s">
        <v>288</v>
      </c>
      <c r="B52" s="81">
        <f>All_metal_alloy_composition!S28</f>
        <v>0.86798264034719319</v>
      </c>
      <c r="C52" s="81">
        <f>All_metal_alloy_composition!T28</f>
        <v>5.9998800023999523E-2</v>
      </c>
      <c r="D52" s="81">
        <f>All_metal_alloy_composition!U28</f>
        <v>9.9998000039999216E-3</v>
      </c>
      <c r="E52" s="81">
        <f>All_metal_alloy_composition!V28</f>
        <v>3.4999300013999729E-2</v>
      </c>
      <c r="F52" s="81">
        <f>All_metal_alloy_composition!W28</f>
        <v>4.9999000019999608E-3</v>
      </c>
      <c r="G52" s="81">
        <f>All_metal_alloy_composition!X28</f>
        <v>9.9998000039999225E-4</v>
      </c>
      <c r="H52" s="81">
        <f>All_metal_alloy_composition!Y28</f>
        <v>4.9999000019999608E-3</v>
      </c>
      <c r="I52" s="81">
        <f>All_metal_alloy_composition!Z28</f>
        <v>3.4999300013999726E-3</v>
      </c>
      <c r="J52" s="81">
        <f>All_metal_alloy_composition!AA28</f>
        <v>9.9998000039999216E-3</v>
      </c>
      <c r="K52" s="81">
        <f>All_metal_alloy_composition!AB28</f>
        <v>2.4999500009999804E-3</v>
      </c>
      <c r="L52" s="81">
        <f>All_metal_alloy_composition!AC28</f>
        <v>9.999800003999922E-6</v>
      </c>
      <c r="M52" s="81">
        <f>All_metal_alloy_composition!AD28</f>
        <v>9.999800003999922E-6</v>
      </c>
    </row>
    <row r="53" spans="1:13" x14ac:dyDescent="0.2">
      <c r="A53" s="142" t="s">
        <v>289</v>
      </c>
      <c r="B53" s="81">
        <f>All_metal_alloy_composition!S29</f>
        <v>0.80798384032319348</v>
      </c>
      <c r="C53" s="81">
        <f>All_metal_alloy_composition!T29</f>
        <v>0.10499790004199915</v>
      </c>
      <c r="D53" s="81">
        <f>All_metal_alloy_composition!U29</f>
        <v>1.2999740005199894E-2</v>
      </c>
      <c r="E53" s="81">
        <f>All_metal_alloy_composition!V29</f>
        <v>2.49995000099998E-2</v>
      </c>
      <c r="F53" s="81">
        <f>All_metal_alloy_composition!W29</f>
        <v>4.9999000019999599E-3</v>
      </c>
      <c r="G53" s="81">
        <f>All_metal_alloy_composition!X29</f>
        <v>9.9998000039999203E-4</v>
      </c>
      <c r="H53" s="81">
        <f>All_metal_alloy_composition!Y29</f>
        <v>4.9999000019999599E-3</v>
      </c>
      <c r="I53" s="81">
        <f>All_metal_alloy_composition!Z29</f>
        <v>2.9999400011999759E-3</v>
      </c>
      <c r="J53" s="81">
        <f>All_metal_alloy_composition!AA29</f>
        <v>2.9999400011999758E-2</v>
      </c>
      <c r="K53" s="81">
        <f>All_metal_alloy_composition!AB29</f>
        <v>4.9999000019999599E-3</v>
      </c>
      <c r="L53" s="81">
        <f>All_metal_alloy_composition!AC29</f>
        <v>9.9998000039999203E-6</v>
      </c>
      <c r="M53" s="81">
        <f>All_metal_alloy_composition!AD29</f>
        <v>9.9998000039999203E-6</v>
      </c>
    </row>
    <row r="54" spans="1:13" x14ac:dyDescent="0.2">
      <c r="A54" s="142" t="s">
        <v>290</v>
      </c>
      <c r="B54" s="81">
        <f>All_metal_alloy_composition!S30</f>
        <v>0.91748165036699281</v>
      </c>
      <c r="C54" s="81">
        <f>All_metal_alloy_composition!T30</f>
        <v>6.9998600027999458E-2</v>
      </c>
      <c r="D54" s="81">
        <f>All_metal_alloy_composition!U30</f>
        <v>1.9999600007999845E-3</v>
      </c>
      <c r="E54" s="81">
        <f>All_metal_alloy_composition!V30</f>
        <v>1.9999600007999845E-3</v>
      </c>
      <c r="F54" s="81">
        <f>All_metal_alloy_composition!W30</f>
        <v>9.9998000039999225E-4</v>
      </c>
      <c r="G54" s="81">
        <f>All_metal_alloy_composition!X30</f>
        <v>3.4999300013999726E-3</v>
      </c>
      <c r="H54" s="81">
        <f>All_metal_alloy_composition!Y30</f>
        <v>4.9999000019999612E-4</v>
      </c>
      <c r="I54" s="81">
        <f>All_metal_alloy_composition!Z30</f>
        <v>4.9999000019999612E-4</v>
      </c>
      <c r="J54" s="81">
        <f>All_metal_alloy_composition!AA30</f>
        <v>9.9998000039999225E-4</v>
      </c>
      <c r="K54" s="81">
        <f>All_metal_alloy_composition!AB30</f>
        <v>1.9999600007999845E-3</v>
      </c>
      <c r="L54" s="81">
        <f>All_metal_alloy_composition!AC30</f>
        <v>9.999800003999922E-6</v>
      </c>
      <c r="M54" s="81">
        <f>All_metal_alloy_composition!AD30</f>
        <v>9.999800003999922E-6</v>
      </c>
    </row>
    <row r="55" spans="1:13" x14ac:dyDescent="0.2">
      <c r="A55" s="142" t="s">
        <v>291</v>
      </c>
      <c r="B55" s="81">
        <f>All_metal_alloy_composition!S31</f>
        <v>0.91698166036679285</v>
      </c>
      <c r="C55" s="81">
        <f>All_metal_alloy_composition!T31</f>
        <v>6.9998600027999458E-2</v>
      </c>
      <c r="D55" s="81">
        <f>All_metal_alloy_composition!U31</f>
        <v>1.9999600007999845E-3</v>
      </c>
      <c r="E55" s="81">
        <f>All_metal_alloy_composition!V31</f>
        <v>1.9999600007999845E-3</v>
      </c>
      <c r="F55" s="81">
        <f>All_metal_alloy_composition!W31</f>
        <v>2.9999400011999759E-4</v>
      </c>
      <c r="G55" s="81">
        <f>All_metal_alloy_composition!X31</f>
        <v>5.4998900021999567E-3</v>
      </c>
      <c r="H55" s="81">
        <f>All_metal_alloy_composition!Y31</f>
        <v>4.9999000019999612E-4</v>
      </c>
      <c r="I55" s="81">
        <f>All_metal_alloy_composition!Z31</f>
        <v>4.9999000019999612E-4</v>
      </c>
      <c r="J55" s="81">
        <f>All_metal_alloy_composition!AA31</f>
        <v>9.9998000039999225E-4</v>
      </c>
      <c r="K55" s="81">
        <f>All_metal_alloy_composition!AB31</f>
        <v>1.1999760004799903E-3</v>
      </c>
      <c r="L55" s="81">
        <f>All_metal_alloy_composition!AC31</f>
        <v>9.999800003999922E-6</v>
      </c>
      <c r="M55" s="81">
        <f>All_metal_alloy_composition!AD31</f>
        <v>9.999800003999922E-6</v>
      </c>
    </row>
    <row r="56" spans="1:13" x14ac:dyDescent="0.2">
      <c r="A56" s="142" t="s">
        <v>292</v>
      </c>
      <c r="B56" s="81">
        <f>All_metal_alloy_composition!S32</f>
        <v>0.86248275034499322</v>
      </c>
      <c r="C56" s="81">
        <f>All_metal_alloy_composition!T32</f>
        <v>9.4998100037999259E-2</v>
      </c>
      <c r="D56" s="81">
        <f>All_metal_alloy_composition!U32</f>
        <v>1.2999740005199897E-2</v>
      </c>
      <c r="E56" s="81">
        <f>All_metal_alloy_composition!V32</f>
        <v>5.9998800023999526E-3</v>
      </c>
      <c r="F56" s="81">
        <f>All_metal_alloy_composition!W32</f>
        <v>3.4999300013999726E-3</v>
      </c>
      <c r="G56" s="81">
        <f>All_metal_alloy_composition!X32</f>
        <v>4.9999000019999608E-3</v>
      </c>
      <c r="H56" s="81">
        <f>All_metal_alloy_composition!Y32</f>
        <v>2.4999500009999804E-3</v>
      </c>
      <c r="I56" s="81">
        <f>All_metal_alloy_composition!Z32</f>
        <v>4.9999000019999608E-3</v>
      </c>
      <c r="J56" s="81">
        <f>All_metal_alloy_composition!AA32</f>
        <v>4.9999000019999608E-3</v>
      </c>
      <c r="K56" s="81">
        <f>All_metal_alloy_composition!AB32</f>
        <v>2.4999500009999804E-3</v>
      </c>
      <c r="L56" s="81">
        <f>All_metal_alloy_composition!AC32</f>
        <v>9.999800003999922E-6</v>
      </c>
      <c r="M56" s="81">
        <f>All_metal_alloy_composition!AD32</f>
        <v>9.999800003999922E-6</v>
      </c>
    </row>
    <row r="57" spans="1:13" x14ac:dyDescent="0.2">
      <c r="A57" s="142" t="s">
        <v>293</v>
      </c>
      <c r="B57" s="81">
        <f>All_metal_alloy_composition!S33</f>
        <v>0.83598328033439318</v>
      </c>
      <c r="C57" s="81">
        <f>All_metal_alloy_composition!T33</f>
        <v>8.4998300033999316E-2</v>
      </c>
      <c r="D57" s="81">
        <f>All_metal_alloy_composition!U33</f>
        <v>1.2999740005199894E-2</v>
      </c>
      <c r="E57" s="81">
        <f>All_metal_alloy_composition!V33</f>
        <v>3.4999300013999722E-2</v>
      </c>
      <c r="F57" s="81">
        <f>All_metal_alloy_composition!W33</f>
        <v>4.9999000019999599E-3</v>
      </c>
      <c r="G57" s="81">
        <f>All_metal_alloy_composition!X33</f>
        <v>9.9998000039999203E-4</v>
      </c>
      <c r="H57" s="81">
        <f>All_metal_alloy_composition!Y33</f>
        <v>4.9999000019999599E-3</v>
      </c>
      <c r="I57" s="81">
        <f>All_metal_alloy_composition!Z33</f>
        <v>4.9999000019999599E-3</v>
      </c>
      <c r="J57" s="81">
        <f>All_metal_alloy_composition!AA33</f>
        <v>9.9998000039999198E-3</v>
      </c>
      <c r="K57" s="81">
        <f>All_metal_alloy_composition!AB33</f>
        <v>4.9999000019999599E-3</v>
      </c>
      <c r="L57" s="81">
        <f>All_metal_alloy_composition!AC33</f>
        <v>9.9998000039999203E-6</v>
      </c>
      <c r="M57" s="81">
        <f>All_metal_alloy_composition!AD33</f>
        <v>9.9998000039999203E-6</v>
      </c>
    </row>
    <row r="58" spans="1:13" x14ac:dyDescent="0.2">
      <c r="A58" s="142" t="s">
        <v>294</v>
      </c>
      <c r="B58" s="81">
        <f>All_metal_alloy_composition!S34</f>
        <v>0.74348513029739405</v>
      </c>
      <c r="C58" s="81">
        <f>All_metal_alloy_composition!T34</f>
        <v>0.16999660006799863</v>
      </c>
      <c r="D58" s="81">
        <f>All_metal_alloy_composition!U34</f>
        <v>1.2999740005199894E-2</v>
      </c>
      <c r="E58" s="81">
        <f>All_metal_alloy_composition!V34</f>
        <v>4.4999100017999637E-2</v>
      </c>
      <c r="F58" s="81">
        <f>All_metal_alloy_composition!W34</f>
        <v>4.9999000019999599E-3</v>
      </c>
      <c r="G58" s="81">
        <f>All_metal_alloy_composition!X34</f>
        <v>5.499890002199955E-3</v>
      </c>
      <c r="H58" s="81">
        <f>All_metal_alloy_composition!Y34</f>
        <v>9.9998000039999203E-4</v>
      </c>
      <c r="I58" s="81">
        <f>All_metal_alloy_composition!Z34</f>
        <v>9.9998000039999203E-4</v>
      </c>
      <c r="J58" s="81">
        <f>All_metal_alloy_composition!AA34</f>
        <v>1.4999700005999879E-2</v>
      </c>
      <c r="K58" s="81">
        <f>All_metal_alloy_composition!AB34</f>
        <v>9.9998000039999203E-4</v>
      </c>
      <c r="L58" s="81">
        <f>All_metal_alloy_composition!AC34</f>
        <v>9.9998000039999203E-6</v>
      </c>
      <c r="M58" s="81">
        <f>All_metal_alloy_composition!AD34</f>
        <v>9.9998000039999203E-6</v>
      </c>
    </row>
    <row r="59" spans="1:13" s="22" customFormat="1" x14ac:dyDescent="0.2">
      <c r="A59" s="144" t="s">
        <v>295</v>
      </c>
      <c r="B59" s="156">
        <f>All_metal_alloy_composition!S35</f>
        <v>0.87848243035139328</v>
      </c>
      <c r="C59" s="156">
        <f>All_metal_alloy_composition!T35</f>
        <v>0.10499790004199919</v>
      </c>
      <c r="D59" s="156">
        <f>All_metal_alloy_composition!U35</f>
        <v>1.4999700005999886E-3</v>
      </c>
      <c r="E59" s="156">
        <f>All_metal_alloy_composition!V35</f>
        <v>2.999940001199977E-4</v>
      </c>
      <c r="F59" s="156">
        <f>All_metal_alloy_composition!W35</f>
        <v>6.4998700025999502E-3</v>
      </c>
      <c r="G59" s="156">
        <f>All_metal_alloy_composition!X35</f>
        <v>2.9999400011999772E-3</v>
      </c>
      <c r="H59" s="156">
        <f>All_metal_alloy_composition!Y35</f>
        <v>1.4999700005999886E-3</v>
      </c>
      <c r="I59" s="156">
        <f>All_metal_alloy_composition!Z35</f>
        <v>1.4999700005999886E-3</v>
      </c>
      <c r="J59" s="156">
        <f>All_metal_alloy_composition!AA35</f>
        <v>6.9998600027999466E-4</v>
      </c>
      <c r="K59" s="156">
        <f>All_metal_alloy_composition!AB35</f>
        <v>1.4999700005999886E-3</v>
      </c>
      <c r="L59" s="156">
        <f>All_metal_alloy_composition!AC35</f>
        <v>9.9998000039999237E-6</v>
      </c>
      <c r="M59" s="156">
        <f>All_metal_alloy_composition!AD35</f>
        <v>9.9998000039999237E-6</v>
      </c>
    </row>
    <row r="60" spans="1:13" x14ac:dyDescent="0.2">
      <c r="A60" s="142" t="s">
        <v>206</v>
      </c>
      <c r="B60" s="157">
        <f>All_metal_alloy_composition!S36</f>
        <v>8.9992800575953907E-2</v>
      </c>
      <c r="C60" s="157">
        <f>All_metal_alloy_composition!T36</f>
        <v>9.9992000639948798E-6</v>
      </c>
      <c r="D60" s="157">
        <f>All_metal_alloy_composition!U36</f>
        <v>9.9992000639948798E-6</v>
      </c>
      <c r="E60" s="157">
        <f>All_metal_alloy_composition!V36</f>
        <v>9.9992000639948798E-6</v>
      </c>
      <c r="F60" s="157">
        <f>All_metal_alloy_composition!W36</f>
        <v>1.2998960083193344E-3</v>
      </c>
      <c r="G60" s="157">
        <f>All_metal_alloy_composition!X36</f>
        <v>0.9016278697704182</v>
      </c>
      <c r="H60" s="157">
        <f>All_metal_alloy_composition!Y36</f>
        <v>9.9992000639948798E-6</v>
      </c>
      <c r="I60" s="157">
        <f>All_metal_alloy_composition!Z36</f>
        <v>9.9992000639948798E-6</v>
      </c>
      <c r="J60" s="157">
        <f>All_metal_alloy_composition!AA36</f>
        <v>6.9994400447964157E-3</v>
      </c>
      <c r="K60" s="157">
        <f>All_metal_alloy_composition!AB36</f>
        <v>9.9992000639948798E-6</v>
      </c>
      <c r="L60" s="157">
        <f>All_metal_alloy_composition!AC36</f>
        <v>9.9992000639948798E-6</v>
      </c>
      <c r="M60" s="157">
        <f>All_metal_alloy_composition!AD36</f>
        <v>9.9992000639948798E-6</v>
      </c>
    </row>
    <row r="61" spans="1:13" ht="17" thickBot="1" x14ac:dyDescent="0.25">
      <c r="A61" s="149" t="s">
        <v>208</v>
      </c>
      <c r="B61" s="157">
        <f>All_metal_alloy_composition!S37</f>
        <v>8.9992800575953907E-2</v>
      </c>
      <c r="C61" s="157">
        <f>All_metal_alloy_composition!T37</f>
        <v>9.9992000639948798E-6</v>
      </c>
      <c r="D61" s="157">
        <f>All_metal_alloy_composition!U37</f>
        <v>9.9992000639948798E-6</v>
      </c>
      <c r="E61" s="157">
        <f>All_metal_alloy_composition!V37</f>
        <v>9.9992000639948798E-6</v>
      </c>
      <c r="F61" s="157">
        <f>All_metal_alloy_composition!W37</f>
        <v>1.2998960083193344E-3</v>
      </c>
      <c r="G61" s="157">
        <f>All_metal_alloy_composition!X37</f>
        <v>0.9016278697704182</v>
      </c>
      <c r="H61" s="157">
        <f>All_metal_alloy_composition!Y37</f>
        <v>9.9992000639948798E-6</v>
      </c>
      <c r="I61" s="157">
        <f>All_metal_alloy_composition!Z37</f>
        <v>9.9992000639948798E-6</v>
      </c>
      <c r="J61" s="157">
        <f>All_metal_alloy_composition!AA37</f>
        <v>6.9994400447964157E-3</v>
      </c>
      <c r="K61" s="157">
        <f>All_metal_alloy_composition!AB37</f>
        <v>9.9992000639948798E-6</v>
      </c>
      <c r="L61" s="157">
        <f>All_metal_alloy_composition!AC37</f>
        <v>9.9992000639948798E-6</v>
      </c>
      <c r="M61" s="157">
        <f>All_metal_alloy_composition!AD37</f>
        <v>9.9992000639948798E-6</v>
      </c>
    </row>
    <row r="62" spans="1:13" ht="17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62"/>
  <sheetViews>
    <sheetView zoomScale="70" zoomScaleNormal="70" zoomScalePageLayoutView="70" workbookViewId="0">
      <selection activeCell="C6" sqref="C6"/>
    </sheetView>
  </sheetViews>
  <sheetFormatPr baseColWidth="10" defaultRowHeight="16" x14ac:dyDescent="0.2"/>
  <cols>
    <col min="1" max="1" width="27" bestFit="1" customWidth="1"/>
  </cols>
  <sheetData>
    <row r="1" spans="1:14" x14ac:dyDescent="0.2">
      <c r="B1" s="103" t="s">
        <v>189</v>
      </c>
      <c r="C1" s="103" t="s">
        <v>190</v>
      </c>
      <c r="D1" s="103" t="s">
        <v>191</v>
      </c>
      <c r="E1" s="103" t="s">
        <v>192</v>
      </c>
      <c r="F1" s="103" t="s">
        <v>193</v>
      </c>
      <c r="G1" s="103" t="s">
        <v>2</v>
      </c>
      <c r="H1" s="103" t="s">
        <v>194</v>
      </c>
      <c r="I1" s="103" t="s">
        <v>195</v>
      </c>
      <c r="J1" s="103" t="s">
        <v>196</v>
      </c>
      <c r="K1" s="103" t="s">
        <v>197</v>
      </c>
      <c r="L1" s="103" t="s">
        <v>198</v>
      </c>
      <c r="M1" s="104" t="s">
        <v>199</v>
      </c>
      <c r="N1" s="160"/>
    </row>
    <row r="2" spans="1:14" x14ac:dyDescent="0.2">
      <c r="A2" s="142" t="s">
        <v>105</v>
      </c>
      <c r="B2" s="161">
        <f>IF(Alloy_spec_ori!B2=0,0.00001,Alloy_spec_ori!B2)</f>
        <v>1.0039152695512504E-5</v>
      </c>
      <c r="C2" s="161">
        <f>IF(Alloy_spec_ori!C2=0,0.00001,Alloy_spec_ori!C2)</f>
        <v>1.0039152695512504E-5</v>
      </c>
      <c r="D2" s="161">
        <f>IF(Alloy_spec_ori!D2=0,0.00001,Alloy_spec_ori!D2)</f>
        <v>0.99688786266439156</v>
      </c>
      <c r="E2" s="161">
        <f>IF(Alloy_spec_ori!E2=0,0.00001,Alloy_spec_ori!E2)</f>
        <v>1.0039152695512504E-5</v>
      </c>
      <c r="F2" s="161">
        <f>IF(Alloy_spec_ori!F2=0,0.00001,Alloy_spec_ori!F2)</f>
        <v>3.0117458086537509E-3</v>
      </c>
      <c r="G2" s="161">
        <f>IF(Alloy_spec_ori!G2=0,0.00001,Alloy_spec_ori!G2)</f>
        <v>1.0039152695512504E-5</v>
      </c>
      <c r="H2" s="161">
        <f>IF(Alloy_spec_ori!H2=0,0.00001,Alloy_spec_ori!H2)</f>
        <v>1.0039152695512504E-5</v>
      </c>
      <c r="I2" s="161">
        <f>IF(Alloy_spec_ori!I2=0,0.00001,Alloy_spec_ori!I2)</f>
        <v>1.0039152695512504E-5</v>
      </c>
      <c r="J2" s="161">
        <f>IF(Alloy_spec_ori!J2=0,0.00001,Alloy_spec_ori!J2)</f>
        <v>1.0039152695512504E-5</v>
      </c>
      <c r="K2" s="161">
        <f>IF(Alloy_spec_ori!K2=0,0.00001,Alloy_spec_ori!K2)</f>
        <v>1.0039152695512504E-5</v>
      </c>
      <c r="L2" s="161">
        <f>IF(Alloy_spec_ori!L2=0,0.00001,Alloy_spec_ori!L2)</f>
        <v>1.0039152695512504E-5</v>
      </c>
      <c r="M2" s="161">
        <f>IF(Alloy_spec_ori!M2=0,0.00001,Alloy_spec_ori!M2)</f>
        <v>1.0039152695512504E-5</v>
      </c>
      <c r="N2" s="158"/>
    </row>
    <row r="3" spans="1:14" x14ac:dyDescent="0.2">
      <c r="A3" s="142" t="s">
        <v>106</v>
      </c>
      <c r="B3" s="161">
        <f>IF(Alloy_spec_ori!B3=0,0.00001,Alloy_spec_ori!B3)</f>
        <v>1.0039152695512504E-5</v>
      </c>
      <c r="C3" s="161">
        <f>IF(Alloy_spec_ori!C3=0,0.00001,Alloy_spec_ori!C3)</f>
        <v>1.0039152695512504E-5</v>
      </c>
      <c r="D3" s="161">
        <f>IF(Alloy_spec_ori!D3=0,0.00001,Alloy_spec_ori!D3)</f>
        <v>0.99688786266439156</v>
      </c>
      <c r="E3" s="161">
        <f>IF(Alloy_spec_ori!E3=0,0.00001,Alloy_spec_ori!E3)</f>
        <v>1.0039152695512504E-5</v>
      </c>
      <c r="F3" s="161">
        <f>IF(Alloy_spec_ori!F3=0,0.00001,Alloy_spec_ori!F3)</f>
        <v>3.0117458086537509E-3</v>
      </c>
      <c r="G3" s="161">
        <f>IF(Alloy_spec_ori!G3=0,0.00001,Alloy_spec_ori!G3)</f>
        <v>1.0039152695512504E-5</v>
      </c>
      <c r="H3" s="161">
        <f>IF(Alloy_spec_ori!H3=0,0.00001,Alloy_spec_ori!H3)</f>
        <v>1.0039152695512504E-5</v>
      </c>
      <c r="I3" s="161">
        <f>IF(Alloy_spec_ori!I3=0,0.00001,Alloy_spec_ori!I3)</f>
        <v>1.0039152695512504E-5</v>
      </c>
      <c r="J3" s="161">
        <f>IF(Alloy_spec_ori!J3=0,0.00001,Alloy_spec_ori!J3)</f>
        <v>1.0039152695512504E-5</v>
      </c>
      <c r="K3" s="161">
        <f>IF(Alloy_spec_ori!K3=0,0.00001,Alloy_spec_ori!K3)</f>
        <v>1.0039152695512504E-5</v>
      </c>
      <c r="L3" s="161">
        <f>IF(Alloy_spec_ori!L3=0,0.00001,Alloy_spec_ori!L3)</f>
        <v>1.0039152695512504E-5</v>
      </c>
      <c r="M3" s="161">
        <f>IF(Alloy_spec_ori!M3=0,0.00001,Alloy_spec_ori!M3)</f>
        <v>1.0039152695512504E-5</v>
      </c>
      <c r="N3" s="158"/>
    </row>
    <row r="4" spans="1:14" x14ac:dyDescent="0.2">
      <c r="A4" s="142" t="s">
        <v>107</v>
      </c>
      <c r="B4" s="161">
        <f>IF(Alloy_spec_ori!B4=0,0.00001,Alloy_spec_ori!B4)</f>
        <v>1.0039152695512504E-5</v>
      </c>
      <c r="C4" s="161">
        <f>IF(Alloy_spec_ori!C4=0,0.00001,Alloy_spec_ori!C4)</f>
        <v>1.0039152695512504E-5</v>
      </c>
      <c r="D4" s="161">
        <f>IF(Alloy_spec_ori!D4=0,0.00001,Alloy_spec_ori!D4)</f>
        <v>0.99688786266439156</v>
      </c>
      <c r="E4" s="161">
        <f>IF(Alloy_spec_ori!E4=0,0.00001,Alloy_spec_ori!E4)</f>
        <v>1.0039152695512504E-5</v>
      </c>
      <c r="F4" s="161">
        <f>IF(Alloy_spec_ori!F4=0,0.00001,Alloy_spec_ori!F4)</f>
        <v>3.0117458086537509E-3</v>
      </c>
      <c r="G4" s="161">
        <f>IF(Alloy_spec_ori!G4=0,0.00001,Alloy_spec_ori!G4)</f>
        <v>1.0039152695512504E-5</v>
      </c>
      <c r="H4" s="161">
        <f>IF(Alloy_spec_ori!H4=0,0.00001,Alloy_spec_ori!H4)</f>
        <v>1.0039152695512504E-5</v>
      </c>
      <c r="I4" s="161">
        <f>IF(Alloy_spec_ori!I4=0,0.00001,Alloy_spec_ori!I4)</f>
        <v>1.0039152695512504E-5</v>
      </c>
      <c r="J4" s="161">
        <f>IF(Alloy_spec_ori!J4=0,0.00001,Alloy_spec_ori!J4)</f>
        <v>1.0039152695512504E-5</v>
      </c>
      <c r="K4" s="161">
        <f>IF(Alloy_spec_ori!K4=0,0.00001,Alloy_spec_ori!K4)</f>
        <v>1.0039152695512504E-5</v>
      </c>
      <c r="L4" s="161">
        <f>IF(Alloy_spec_ori!L4=0,0.00001,Alloy_spec_ori!L4)</f>
        <v>1.0039152695512504E-5</v>
      </c>
      <c r="M4" s="161">
        <f>IF(Alloy_spec_ori!M4=0,0.00001,Alloy_spec_ori!M4)</f>
        <v>1.0039152695512504E-5</v>
      </c>
      <c r="N4" s="158"/>
    </row>
    <row r="5" spans="1:14" x14ac:dyDescent="0.2">
      <c r="A5" s="142" t="s">
        <v>91</v>
      </c>
      <c r="B5" s="161">
        <f>IF(Alloy_spec_ori!B5=0,0.00001,Alloy_spec_ori!B5)</f>
        <v>1.000930865705106E-5</v>
      </c>
      <c r="C5" s="161">
        <f>IF(Alloy_spec_ori!C5=0,0.00001,Alloy_spec_ori!C5)</f>
        <v>1.000930865705106E-5</v>
      </c>
      <c r="D5" s="161">
        <f>IF(Alloy_spec_ori!D5=0,0.00001,Alloy_spec_ori!D5)</f>
        <v>0.73067953196472735</v>
      </c>
      <c r="E5" s="161">
        <f>IF(Alloy_spec_ori!E5=0,0.00001,Alloy_spec_ori!E5)</f>
        <v>1.000930865705106E-5</v>
      </c>
      <c r="F5" s="161">
        <f>IF(Alloy_spec_ori!F5=0,0.00001,Alloy_spec_ori!F5)</f>
        <v>6.0055851942306358E-3</v>
      </c>
      <c r="G5" s="161">
        <f>IF(Alloy_spec_ori!G5=0,0.00001,Alloy_spec_ori!G5)</f>
        <v>1.000930865705106E-5</v>
      </c>
      <c r="H5" s="161">
        <f>IF(Alloy_spec_ori!H5=0,0.00001,Alloy_spec_ori!H5)</f>
        <v>0.15614521504999651</v>
      </c>
      <c r="I5" s="161">
        <f>IF(Alloy_spec_ori!I5=0,0.00001,Alloy_spec_ori!I5)</f>
        <v>0.10509774089903612</v>
      </c>
      <c r="J5" s="161">
        <f>IF(Alloy_spec_ori!J5=0,0.00001,Alloy_spec_ori!J5)</f>
        <v>1.000930865705106E-5</v>
      </c>
      <c r="K5" s="161">
        <f>IF(Alloy_spec_ori!K5=0,0.00001,Alloy_spec_ori!K5)</f>
        <v>1.000930865705106E-5</v>
      </c>
      <c r="L5" s="161">
        <f>IF(Alloy_spec_ori!L5=0,0.00001,Alloy_spec_ori!L5)</f>
        <v>2.0018617314102121E-3</v>
      </c>
      <c r="M5" s="161">
        <f>IF(Alloy_spec_ori!M5=0,0.00001,Alloy_spec_ori!M5)</f>
        <v>1.000930865705106E-5</v>
      </c>
      <c r="N5" s="158"/>
    </row>
    <row r="6" spans="1:14" x14ac:dyDescent="0.2">
      <c r="A6" s="142" t="s">
        <v>204</v>
      </c>
      <c r="B6" s="161">
        <f>IF(Alloy_spec_ori!B6=0,0.00001,Alloy_spec_ori!B6)</f>
        <v>1.0000000000000006E-5</v>
      </c>
      <c r="C6" s="161">
        <f>IF(Alloy_spec_ori!C6=0,0.00001,Alloy_spec_ori!C6)</f>
        <v>1.8000000000000006E-2</v>
      </c>
      <c r="D6" s="161">
        <f>IF(Alloy_spec_ori!D6=0,0.00001,Alloy_spec_ori!D6)</f>
        <v>0.94292000000000042</v>
      </c>
      <c r="E6" s="161">
        <f>IF(Alloy_spec_ori!E6=0,0.00001,Alloy_spec_ori!E6)</f>
        <v>1.0000000000000006E-5</v>
      </c>
      <c r="F6" s="161">
        <f>IF(Alloy_spec_ori!F6=0,0.00001,Alloy_spec_ori!F6)</f>
        <v>5.0000000000000027E-3</v>
      </c>
      <c r="G6" s="161">
        <f>IF(Alloy_spec_ori!G6=0,0.00001,Alloy_spec_ori!G6)</f>
        <v>1.0000000000000006E-5</v>
      </c>
      <c r="H6" s="161">
        <f>IF(Alloy_spec_ori!H6=0,0.00001,Alloy_spec_ori!H6)</f>
        <v>1.0000000000000006E-5</v>
      </c>
      <c r="I6" s="161">
        <f>IF(Alloy_spec_ori!I6=0,0.00001,Alloy_spec_ori!I6)</f>
        <v>1.0000000000000006E-5</v>
      </c>
      <c r="J6" s="161">
        <f>IF(Alloy_spec_ori!J6=0,0.00001,Alloy_spec_ori!J6)</f>
        <v>1.0000000000000006E-5</v>
      </c>
      <c r="K6" s="161">
        <f>IF(Alloy_spec_ori!K6=0,0.00001,Alloy_spec_ori!K6)</f>
        <v>1.0000000000000006E-5</v>
      </c>
      <c r="L6" s="161">
        <f>IF(Alloy_spec_ori!L6=0,0.00001,Alloy_spec_ori!L6)</f>
        <v>1.0000000000000006E-5</v>
      </c>
      <c r="M6" s="161">
        <f>IF(Alloy_spec_ori!M6=0,0.00001,Alloy_spec_ori!M6)</f>
        <v>3.4000000000000016E-2</v>
      </c>
      <c r="N6" s="158"/>
    </row>
    <row r="7" spans="1:14" x14ac:dyDescent="0.2">
      <c r="A7" s="144" t="s">
        <v>104</v>
      </c>
      <c r="B7" s="161">
        <f>IF(Alloy_spec_ori!B7=0,0.00001,Alloy_spec_ori!B7)</f>
        <v>1.0000000000000006E-5</v>
      </c>
      <c r="C7" s="161">
        <f>IF(Alloy_spec_ori!C7=0,0.00001,Alloy_spec_ori!C7)</f>
        <v>0.12200000000000005</v>
      </c>
      <c r="D7" s="161">
        <f>IF(Alloy_spec_ori!D7=0,0.00001,Alloy_spec_ori!D7)</f>
        <v>0.87742000000000053</v>
      </c>
      <c r="E7" s="161">
        <f>IF(Alloy_spec_ori!E7=0,0.00001,Alloy_spec_ori!E7)</f>
        <v>1.0000000000000006E-5</v>
      </c>
      <c r="F7" s="161">
        <f>IF(Alloy_spec_ori!F7=0,0.00001,Alloy_spec_ori!F7)</f>
        <v>3.0000000000000008E-4</v>
      </c>
      <c r="G7" s="161">
        <f>IF(Alloy_spec_ori!G7=0,0.00001,Alloy_spec_ori!G7)</f>
        <v>1.0000000000000006E-5</v>
      </c>
      <c r="H7" s="161">
        <f>IF(Alloy_spec_ori!H7=0,0.00001,Alloy_spec_ori!H7)</f>
        <v>1.0000000000000006E-5</v>
      </c>
      <c r="I7" s="161">
        <f>IF(Alloy_spec_ori!I7=0,0.00001,Alloy_spec_ori!I7)</f>
        <v>1.0000000000000006E-5</v>
      </c>
      <c r="J7" s="161">
        <f>IF(Alloy_spec_ori!J7=0,0.00001,Alloy_spec_ori!J7)</f>
        <v>1.0000000000000006E-5</v>
      </c>
      <c r="K7" s="161">
        <f>IF(Alloy_spec_ori!K7=0,0.00001,Alloy_spec_ori!K7)</f>
        <v>1.0000000000000006E-5</v>
      </c>
      <c r="L7" s="161">
        <f>IF(Alloy_spec_ori!L7=0,0.00001,Alloy_spec_ori!L7)</f>
        <v>1.0000000000000006E-5</v>
      </c>
      <c r="M7" s="161">
        <f>IF(Alloy_spec_ori!M7=0,0.00001,Alloy_spec_ori!M7)</f>
        <v>2.0000000000000009E-4</v>
      </c>
      <c r="N7" s="158"/>
    </row>
    <row r="8" spans="1:14" x14ac:dyDescent="0.2">
      <c r="A8" s="145" t="s">
        <v>244</v>
      </c>
      <c r="B8" s="161">
        <f>IF(Alloy_spec_ori!B8=0,0.00001,Alloy_spec_ori!B8)</f>
        <v>0.99697485716794476</v>
      </c>
      <c r="C8" s="161">
        <f>IF(Alloy_spec_ori!C8=0,0.00001,Alloy_spec_ori!C8)</f>
        <v>4.9998739075624108E-4</v>
      </c>
      <c r="D8" s="161">
        <f>IF(Alloy_spec_ori!D8=0,0.00001,Alloy_spec_ori!D8)</f>
        <v>4.9998739075624108E-4</v>
      </c>
      <c r="E8" s="161">
        <f>IF(Alloy_spec_ori!E8=0,0.00001,Alloy_spec_ori!E8)</f>
        <v>3.9998991260499289E-4</v>
      </c>
      <c r="F8" s="161">
        <f>IF(Alloy_spec_ori!F8=0,0.00001,Alloy_spec_ori!F8)</f>
        <v>2.9879724547185726E-4</v>
      </c>
      <c r="G8" s="161">
        <f>IF(Alloy_spec_ori!G8=0,0.00001,Alloy_spec_ori!G8)</f>
        <v>2.9879724547185726E-4</v>
      </c>
      <c r="H8" s="161">
        <f>IF(Alloy_spec_ori!H8=0,0.00001,Alloy_spec_ori!H8)</f>
        <v>9.9997478151248235E-6</v>
      </c>
      <c r="I8" s="161">
        <f>IF(Alloy_spec_ori!I8=0,0.00001,Alloy_spec_ori!I8)</f>
        <v>2.9879724547185726E-4</v>
      </c>
      <c r="J8" s="161">
        <f>IF(Alloy_spec_ori!J8=0,0.00001,Alloy_spec_ori!J8)</f>
        <v>3.9998991260499289E-4</v>
      </c>
      <c r="K8" s="161">
        <f>IF(Alloy_spec_ori!K8=0,0.00001,Alloy_spec_ori!K8)</f>
        <v>2.9879724547185726E-4</v>
      </c>
      <c r="L8" s="161">
        <f>IF(Alloy_spec_ori!L8=0,0.00001,Alloy_spec_ori!L8)</f>
        <v>9.9997478151248235E-6</v>
      </c>
      <c r="M8" s="161">
        <f>IF(Alloy_spec_ori!M8=0,0.00001,Alloy_spec_ori!M8)</f>
        <v>9.9997478151248235E-6</v>
      </c>
      <c r="N8" s="158"/>
    </row>
    <row r="9" spans="1:14" x14ac:dyDescent="0.2">
      <c r="A9" s="145" t="s">
        <v>245</v>
      </c>
      <c r="B9" s="161">
        <f>IF(Alloy_spec_ori!B9=0,0.00001,Alloy_spec_ori!B9)</f>
        <v>0.97078058438831238</v>
      </c>
      <c r="C9" s="161">
        <f>IF(Alloy_spec_ori!C9=0,0.00001,Alloy_spec_ori!C9)</f>
        <v>5.9998800023999535E-3</v>
      </c>
      <c r="D9" s="161">
        <f>IF(Alloy_spec_ori!D9=0,0.00001,Alloy_spec_ori!D9)</f>
        <v>6.9998600027999453E-3</v>
      </c>
      <c r="E9" s="161">
        <f>IF(Alloy_spec_ori!E9=0,0.00001,Alloy_spec_ori!E9)</f>
        <v>1.1999760004799903E-3</v>
      </c>
      <c r="F9" s="161">
        <f>IF(Alloy_spec_ori!F9=0,0.00001,Alloy_spec_ori!F9)</f>
        <v>1.1999760004799907E-2</v>
      </c>
      <c r="G9" s="161">
        <f>IF(Alloy_spec_ori!G9=0,0.00001,Alloy_spec_ori!G9)</f>
        <v>4.9999000019999612E-4</v>
      </c>
      <c r="H9" s="161">
        <f>IF(Alloy_spec_ori!H9=0,0.00001,Alloy_spec_ori!H9)</f>
        <v>4.9999000019999612E-4</v>
      </c>
      <c r="I9" s="161">
        <f>IF(Alloy_spec_ori!I9=0,0.00001,Alloy_spec_ori!I9)</f>
        <v>4.9999000019999612E-4</v>
      </c>
      <c r="J9" s="161">
        <f>IF(Alloy_spec_ori!J9=0,0.00001,Alloy_spec_ori!J9)</f>
        <v>9.9998000039999225E-4</v>
      </c>
      <c r="K9" s="161">
        <f>IF(Alloy_spec_ori!K9=0,0.00001,Alloy_spec_ori!K9)</f>
        <v>4.9999000019999612E-4</v>
      </c>
      <c r="L9" s="161">
        <f>IF(Alloy_spec_ori!L9=0,0.00001,Alloy_spec_ori!L9)</f>
        <v>9.9998000039999203E-6</v>
      </c>
      <c r="M9" s="161">
        <f>IF(Alloy_spec_ori!M9=0,0.00001,Alloy_spec_ori!M9)</f>
        <v>9.9998000039999203E-6</v>
      </c>
      <c r="N9" s="158"/>
    </row>
    <row r="10" spans="1:14" x14ac:dyDescent="0.2">
      <c r="A10" s="145" t="s">
        <v>246</v>
      </c>
      <c r="B10" s="161">
        <f>IF(Alloy_spec_ori!B10=0,0.00001,Alloy_spec_ori!B10)</f>
        <v>0.96748065038699216</v>
      </c>
      <c r="C10" s="161">
        <f>IF(Alloy_spec_ori!C10=0,0.00001,Alloy_spec_ori!C10)</f>
        <v>4.9999000019999599E-3</v>
      </c>
      <c r="D10" s="161">
        <f>IF(Alloy_spec_ori!D10=0,0.00001,Alloy_spec_ori!D10)</f>
        <v>6.9998600027999435E-3</v>
      </c>
      <c r="E10" s="161">
        <f>IF(Alloy_spec_ori!E10=0,0.00001,Alloy_spec_ori!E10)</f>
        <v>9.9998000039999203E-4</v>
      </c>
      <c r="F10" s="161">
        <f>IF(Alloy_spec_ori!F10=0,0.00001,Alloy_spec_ori!F10)</f>
        <v>1.1999760004799903E-2</v>
      </c>
      <c r="G10" s="161">
        <f>IF(Alloy_spec_ori!G10=0,0.00001,Alloy_spec_ori!G10)</f>
        <v>2.9999400011999759E-3</v>
      </c>
      <c r="H10" s="161">
        <f>IF(Alloy_spec_ori!H10=0,0.00001,Alloy_spec_ori!H10)</f>
        <v>9.9998000039999203E-4</v>
      </c>
      <c r="I10" s="161">
        <f>IF(Alloy_spec_ori!I10=0,0.00001,Alloy_spec_ori!I10)</f>
        <v>4.9999000019999601E-4</v>
      </c>
      <c r="J10" s="161">
        <f>IF(Alloy_spec_ori!J10=0,0.00001,Alloy_spec_ori!J10)</f>
        <v>1.9999600007999841E-3</v>
      </c>
      <c r="K10" s="161">
        <f>IF(Alloy_spec_ori!K10=0,0.00001,Alloy_spec_ori!K10)</f>
        <v>9.9998000039999203E-4</v>
      </c>
      <c r="L10" s="161">
        <f>IF(Alloy_spec_ori!L10=0,0.00001,Alloy_spec_ori!L10)</f>
        <v>9.9998000039999203E-6</v>
      </c>
      <c r="M10" s="161">
        <f>IF(Alloy_spec_ori!M10=0,0.00001,Alloy_spec_ori!M10)</f>
        <v>9.9998000039999203E-6</v>
      </c>
      <c r="N10" s="158"/>
    </row>
    <row r="11" spans="1:14" x14ac:dyDescent="0.2">
      <c r="A11" s="145" t="s">
        <v>247</v>
      </c>
      <c r="B11" s="161">
        <f>IF(Alloy_spec_ori!B11=0,0.00001,Alloy_spec_ori!B11)</f>
        <v>0.93198136037279267</v>
      </c>
      <c r="C11" s="161">
        <f>IF(Alloy_spec_ori!C11=0,0.00001,Alloy_spec_ori!C11)</f>
        <v>5.1998960020799588E-2</v>
      </c>
      <c r="D11" s="161">
        <f>IF(Alloy_spec_ori!D11=0,0.00001,Alloy_spec_ori!D11)</f>
        <v>7.999840003199938E-3</v>
      </c>
      <c r="E11" s="161">
        <f>IF(Alloy_spec_ori!E11=0,0.00001,Alloy_spec_ori!E11)</f>
        <v>2.9999400011999763E-3</v>
      </c>
      <c r="F11" s="161">
        <f>IF(Alloy_spec_ori!F11=0,0.00001,Alloy_spec_ori!F11)</f>
        <v>4.9999000019999612E-4</v>
      </c>
      <c r="G11" s="161">
        <f>IF(Alloy_spec_ori!G11=0,0.00001,Alloy_spec_ori!G11)</f>
        <v>4.9999000019999612E-4</v>
      </c>
      <c r="H11" s="161">
        <f>IF(Alloy_spec_ori!H11=0,0.00001,Alloy_spec_ori!H11)</f>
        <v>4.9999000019999612E-4</v>
      </c>
      <c r="I11" s="161">
        <f>IF(Alloy_spec_ori!I11=0,0.00001,Alloy_spec_ori!I11)</f>
        <v>4.9999000019999612E-4</v>
      </c>
      <c r="J11" s="161">
        <f>IF(Alloy_spec_ori!J11=0,0.00001,Alloy_spec_ori!J11)</f>
        <v>9.9998000039999225E-4</v>
      </c>
      <c r="K11" s="161">
        <f>IF(Alloy_spec_ori!K11=0,0.00001,Alloy_spec_ori!K11)</f>
        <v>1.9999600007999845E-3</v>
      </c>
      <c r="L11" s="161">
        <f>IF(Alloy_spec_ori!L11=0,0.00001,Alloy_spec_ori!L11)</f>
        <v>9.999800003999922E-6</v>
      </c>
      <c r="M11" s="161">
        <f>IF(Alloy_spec_ori!M11=0,0.00001,Alloy_spec_ori!M11)</f>
        <v>9.999800003999922E-6</v>
      </c>
      <c r="N11" s="158"/>
    </row>
    <row r="12" spans="1:14" x14ac:dyDescent="0.2">
      <c r="A12" s="145" t="s">
        <v>248</v>
      </c>
      <c r="B12" s="161">
        <f>IF(Alloy_spec_ori!B12=0,0.00001,Alloy_spec_ori!B12)</f>
        <v>0.97748045039099229</v>
      </c>
      <c r="C12" s="161">
        <f>IF(Alloy_spec_ori!C12=0,0.00001,Alloy_spec_ori!C12)</f>
        <v>2.9999400011999767E-3</v>
      </c>
      <c r="D12" s="161">
        <f>IF(Alloy_spec_ori!D12=0,0.00001,Alloy_spec_ori!D12)</f>
        <v>4.499910001799964E-3</v>
      </c>
      <c r="E12" s="161">
        <f>IF(Alloy_spec_ori!E12=0,0.00001,Alloy_spec_ori!E12)</f>
        <v>4.9999000019999612E-4</v>
      </c>
      <c r="F12" s="161">
        <f>IF(Alloy_spec_ori!F12=0,0.00001,Alloy_spec_ori!F12)</f>
        <v>1.4999700005999884E-3</v>
      </c>
      <c r="G12" s="161">
        <f>IF(Alloy_spec_ori!G12=0,0.00001,Alloy_spec_ori!G12)</f>
        <v>8.999820003599928E-3</v>
      </c>
      <c r="H12" s="161">
        <f>IF(Alloy_spec_ori!H12=0,0.00001,Alloy_spec_ori!H12)</f>
        <v>9.9998000039999225E-4</v>
      </c>
      <c r="I12" s="161">
        <f>IF(Alloy_spec_ori!I12=0,0.00001,Alloy_spec_ori!I12)</f>
        <v>4.9999000019999612E-4</v>
      </c>
      <c r="J12" s="161">
        <f>IF(Alloy_spec_ori!J12=0,0.00001,Alloy_spec_ori!J12)</f>
        <v>1.9999600007999845E-3</v>
      </c>
      <c r="K12" s="161">
        <f>IF(Alloy_spec_ori!K12=0,0.00001,Alloy_spec_ori!K12)</f>
        <v>4.9999000019999612E-4</v>
      </c>
      <c r="L12" s="161">
        <f>IF(Alloy_spec_ori!L12=0,0.00001,Alloy_spec_ori!L12)</f>
        <v>9.9998000039999203E-6</v>
      </c>
      <c r="M12" s="161">
        <f>IF(Alloy_spec_ori!M12=0,0.00001,Alloy_spec_ori!M12)</f>
        <v>9.9998000039999203E-6</v>
      </c>
      <c r="N12" s="158"/>
    </row>
    <row r="13" spans="1:14" x14ac:dyDescent="0.2">
      <c r="A13" s="145" t="s">
        <v>249</v>
      </c>
      <c r="B13" s="161">
        <f>IF(Alloy_spec_ori!B13=0,0.00001,Alloy_spec_ori!B13)</f>
        <v>0.93948121037579257</v>
      </c>
      <c r="C13" s="161">
        <f>IF(Alloy_spec_ori!C13=0,0.00001,Alloy_spec_ori!C13)</f>
        <v>1.9999600007999845E-3</v>
      </c>
      <c r="D13" s="161">
        <f>IF(Alloy_spec_ori!D13=0,0.00001,Alloy_spec_ori!D13)</f>
        <v>3.4999300013999726E-3</v>
      </c>
      <c r="E13" s="161">
        <f>IF(Alloy_spec_ori!E13=0,0.00001,Alloy_spec_ori!E13)</f>
        <v>1.4999700005999884E-3</v>
      </c>
      <c r="F13" s="161">
        <f>IF(Alloy_spec_ori!F13=0,0.00001,Alloy_spec_ori!F13)</f>
        <v>3.4999300013999726E-3</v>
      </c>
      <c r="G13" s="161">
        <f>IF(Alloy_spec_ori!G13=0,0.00001,Alloy_spec_ori!G13)</f>
        <v>4.4999100017999644E-2</v>
      </c>
      <c r="H13" s="161">
        <f>IF(Alloy_spec_ori!H13=0,0.00001,Alloy_spec_ori!H13)</f>
        <v>9.9998000039999225E-4</v>
      </c>
      <c r="I13" s="161">
        <f>IF(Alloy_spec_ori!I13=0,0.00001,Alloy_spec_ori!I13)</f>
        <v>4.9999000019999612E-4</v>
      </c>
      <c r="J13" s="161">
        <f>IF(Alloy_spec_ori!J13=0,0.00001,Alloy_spec_ori!J13)</f>
        <v>2.4999500009999804E-3</v>
      </c>
      <c r="K13" s="161">
        <f>IF(Alloy_spec_ori!K13=0,0.00001,Alloy_spec_ori!K13)</f>
        <v>9.9998000039999225E-4</v>
      </c>
      <c r="L13" s="161">
        <f>IF(Alloy_spec_ori!L13=0,0.00001,Alloy_spec_ori!L13)</f>
        <v>9.9998000039999203E-6</v>
      </c>
      <c r="M13" s="161">
        <f>IF(Alloy_spec_ori!M13=0,0.00001,Alloy_spec_ori!M13)</f>
        <v>9.9998000039999203E-6</v>
      </c>
      <c r="N13" s="158"/>
    </row>
    <row r="14" spans="1:14" x14ac:dyDescent="0.2">
      <c r="A14" s="145" t="s">
        <v>250</v>
      </c>
      <c r="B14" s="161">
        <f>IF(Alloy_spec_ori!B14=0,0.00001,Alloy_spec_ori!B14)</f>
        <v>0.95248095038099256</v>
      </c>
      <c r="C14" s="161">
        <f>IF(Alloy_spec_ori!C14=0,0.00001,Alloy_spec_ori!C14)</f>
        <v>3.999920001599969E-3</v>
      </c>
      <c r="D14" s="161">
        <f>IF(Alloy_spec_ori!D14=0,0.00001,Alloy_spec_ori!D14)</f>
        <v>3.999920001599969E-3</v>
      </c>
      <c r="E14" s="161">
        <f>IF(Alloy_spec_ori!E14=0,0.00001,Alloy_spec_ori!E14)</f>
        <v>9.9998000039999225E-4</v>
      </c>
      <c r="F14" s="161">
        <f>IF(Alloy_spec_ori!F14=0,0.00001,Alloy_spec_ori!F14)</f>
        <v>1.9999600007999845E-3</v>
      </c>
      <c r="G14" s="161">
        <f>IF(Alloy_spec_ori!G14=0,0.00001,Alloy_spec_ori!G14)</f>
        <v>3.0999380012399755E-2</v>
      </c>
      <c r="H14" s="161">
        <f>IF(Alloy_spec_ori!H14=0,0.00001,Alloy_spec_ori!H14)</f>
        <v>1.4999700005999882E-3</v>
      </c>
      <c r="I14" s="161">
        <f>IF(Alloy_spec_ori!I14=0,0.00001,Alloy_spec_ori!I14)</f>
        <v>4.9999000019999612E-4</v>
      </c>
      <c r="J14" s="161">
        <f>IF(Alloy_spec_ori!J14=0,0.00001,Alloy_spec_ori!J14)</f>
        <v>1.9999600007999845E-3</v>
      </c>
      <c r="K14" s="161">
        <f>IF(Alloy_spec_ori!K14=0,0.00001,Alloy_spec_ori!K14)</f>
        <v>1.4999700005999882E-3</v>
      </c>
      <c r="L14" s="161">
        <f>IF(Alloy_spec_ori!L14=0,0.00001,Alloy_spec_ori!L14)</f>
        <v>9.999800003999922E-6</v>
      </c>
      <c r="M14" s="161">
        <f>IF(Alloy_spec_ori!M14=0,0.00001,Alloy_spec_ori!M14)</f>
        <v>9.999800003999922E-6</v>
      </c>
      <c r="N14" s="158"/>
    </row>
    <row r="15" spans="1:14" x14ac:dyDescent="0.2">
      <c r="A15" s="145" t="s">
        <v>251</v>
      </c>
      <c r="B15" s="161">
        <f>IF(Alloy_spec_ori!B15=0,0.00001,Alloy_spec_ori!B15)</f>
        <v>0.97148057038859237</v>
      </c>
      <c r="C15" s="161">
        <f>IF(Alloy_spec_ori!C15=0,0.00001,Alloy_spec_ori!C15)</f>
        <v>6.9998600027999453E-3</v>
      </c>
      <c r="D15" s="161">
        <f>IF(Alloy_spec_ori!D15=0,0.00001,Alloy_spec_ori!D15)</f>
        <v>3.4999300013999726E-3</v>
      </c>
      <c r="E15" s="161">
        <f>IF(Alloy_spec_ori!E15=0,0.00001,Alloy_spec_ori!E15)</f>
        <v>2.9999400011999763E-3</v>
      </c>
      <c r="F15" s="161">
        <f>IF(Alloy_spec_ori!F15=0,0.00001,Alloy_spec_ori!F15)</f>
        <v>2.9999400011999763E-3</v>
      </c>
      <c r="G15" s="161">
        <f>IF(Alloy_spec_ori!G15=0,0.00001,Alloy_spec_ori!G15)</f>
        <v>5.4998900021999567E-3</v>
      </c>
      <c r="H15" s="161">
        <f>IF(Alloy_spec_ori!H15=0,0.00001,Alloy_spec_ori!H15)</f>
        <v>2.9999400011999763E-3</v>
      </c>
      <c r="I15" s="161">
        <f>IF(Alloy_spec_ori!I15=0,0.00001,Alloy_spec_ori!I15)</f>
        <v>4.9999000019999612E-4</v>
      </c>
      <c r="J15" s="161">
        <f>IF(Alloy_spec_ori!J15=0,0.00001,Alloy_spec_ori!J15)</f>
        <v>1.9999600007999845E-3</v>
      </c>
      <c r="K15" s="161">
        <f>IF(Alloy_spec_ori!K15=0,0.00001,Alloy_spec_ori!K15)</f>
        <v>9.9998000039999225E-4</v>
      </c>
      <c r="L15" s="161">
        <f>IF(Alloy_spec_ori!L15=0,0.00001,Alloy_spec_ori!L15)</f>
        <v>9.999800003999922E-6</v>
      </c>
      <c r="M15" s="161">
        <f>IF(Alloy_spec_ori!M15=0,0.00001,Alloy_spec_ori!M15)</f>
        <v>9.999800003999922E-6</v>
      </c>
      <c r="N15" s="158"/>
    </row>
    <row r="16" spans="1:14" x14ac:dyDescent="0.2">
      <c r="A16" s="145" t="s">
        <v>252</v>
      </c>
      <c r="B16" s="161">
        <f>IF(Alloy_spec_ori!B16=0,0.00001,Alloy_spec_ori!B16)</f>
        <v>0.9777315578132213</v>
      </c>
      <c r="C16" s="161">
        <f>IF(Alloy_spec_ori!C16=0,0.00001,Alloy_spec_ori!C16)</f>
        <v>4.4996850175490844E-3</v>
      </c>
      <c r="D16" s="161">
        <f>IF(Alloy_spec_ori!D16=0,0.00001,Alloy_spec_ori!D16)</f>
        <v>3.499755013649289E-3</v>
      </c>
      <c r="E16" s="161">
        <f>IF(Alloy_spec_ori!E16=0,0.00001,Alloy_spec_ori!E16)</f>
        <v>2.4998250097494918E-3</v>
      </c>
      <c r="F16" s="161">
        <f>IF(Alloy_spec_ori!F16=0,0.00001,Alloy_spec_ori!F16)</f>
        <v>1.2499125048747459E-3</v>
      </c>
      <c r="G16" s="161">
        <f>IF(Alloy_spec_ori!G16=0,0.00001,Alloy_spec_ori!G16)</f>
        <v>5.9995800233987812E-3</v>
      </c>
      <c r="H16" s="161">
        <f>IF(Alloy_spec_ori!H16=0,0.00001,Alloy_spec_ori!H16)</f>
        <v>1.9998600077995939E-3</v>
      </c>
      <c r="I16" s="161">
        <f>IF(Alloy_spec_ori!I16=0,0.00001,Alloy_spec_ori!I16)</f>
        <v>4.9996500194989847E-4</v>
      </c>
      <c r="J16" s="161">
        <f>IF(Alloy_spec_ori!J16=0,0.00001,Alloy_spec_ori!J16)</f>
        <v>9.9993000389979694E-4</v>
      </c>
      <c r="K16" s="161">
        <f>IF(Alloy_spec_ori!K16=0,0.00001,Alloy_spec_ori!K16)</f>
        <v>9.9993000389979694E-4</v>
      </c>
      <c r="L16" s="161">
        <f>IF(Alloy_spec_ori!L16=0,0.00001,Alloy_spec_ori!L16)</f>
        <v>9.9998000039999153E-6</v>
      </c>
      <c r="M16" s="161">
        <f>IF(Alloy_spec_ori!M16=0,0.00001,Alloy_spec_ori!M16)</f>
        <v>9.9998000039999153E-6</v>
      </c>
      <c r="N16" s="158"/>
    </row>
    <row r="17" spans="1:14" x14ac:dyDescent="0.2">
      <c r="A17" s="145" t="s">
        <v>253</v>
      </c>
      <c r="B17" s="161">
        <f>IF(Alloy_spec_ori!B17=0,0.00001,Alloy_spec_ori!B17)</f>
        <v>0.96923215278007324</v>
      </c>
      <c r="C17" s="161">
        <f>IF(Alloy_spec_ori!C17=0,0.00001,Alloy_spec_ori!C17)</f>
        <v>1.2499125048747464E-2</v>
      </c>
      <c r="D17" s="161">
        <f>IF(Alloy_spec_ori!D17=0,0.00001,Alloy_spec_ori!D17)</f>
        <v>4.9996500194989853E-3</v>
      </c>
      <c r="E17" s="161">
        <f>IF(Alloy_spec_ori!E17=0,0.00001,Alloy_spec_ori!E17)</f>
        <v>1.9998600077995943E-3</v>
      </c>
      <c r="F17" s="161">
        <f>IF(Alloy_spec_ori!F17=0,0.00001,Alloy_spec_ori!F17)</f>
        <v>1.9998600077995943E-3</v>
      </c>
      <c r="G17" s="161">
        <f>IF(Alloy_spec_ori!G17=0,0.00001,Alloy_spec_ori!G17)</f>
        <v>4.2497025165741378E-3</v>
      </c>
      <c r="H17" s="161">
        <f>IF(Alloy_spec_ori!H17=0,0.00001,Alloy_spec_ori!H17)</f>
        <v>9.9993000389979715E-4</v>
      </c>
      <c r="I17" s="161">
        <f>IF(Alloy_spec_ori!I17=0,0.00001,Alloy_spec_ori!I17)</f>
        <v>4.9996500194989858E-4</v>
      </c>
      <c r="J17" s="161">
        <f>IF(Alloy_spec_ori!J17=0,0.00001,Alloy_spec_ori!J17)</f>
        <v>1.9998600077995943E-3</v>
      </c>
      <c r="K17" s="161">
        <f>IF(Alloy_spec_ori!K17=0,0.00001,Alloy_spec_ori!K17)</f>
        <v>1.4998950058496955E-3</v>
      </c>
      <c r="L17" s="161">
        <f>IF(Alloy_spec_ori!L17=0,0.00001,Alloy_spec_ori!L17)</f>
        <v>9.9998000039999203E-6</v>
      </c>
      <c r="M17" s="161">
        <f>IF(Alloy_spec_ori!M17=0,0.00001,Alloy_spec_ori!M17)</f>
        <v>9.9998000039999203E-6</v>
      </c>
      <c r="N17" s="158"/>
    </row>
    <row r="18" spans="1:14" x14ac:dyDescent="0.2">
      <c r="A18" s="145" t="s">
        <v>254</v>
      </c>
      <c r="B18" s="161">
        <f>IF(Alloy_spec_ori!B18=0,0.00001,Alloy_spec_ori!B18)</f>
        <v>0.98318033639327218</v>
      </c>
      <c r="C18" s="161">
        <f>IF(Alloy_spec_ori!C18=0,0.00001,Alloy_spec_ori!C18)</f>
        <v>4.499910001799964E-3</v>
      </c>
      <c r="D18" s="161">
        <f>IF(Alloy_spec_ori!D18=0,0.00001,Alloy_spec_ori!D18)</f>
        <v>1.9999600007999845E-3</v>
      </c>
      <c r="E18" s="161">
        <f>IF(Alloy_spec_ori!E18=0,0.00001,Alloy_spec_ori!E18)</f>
        <v>9.9998000039999225E-4</v>
      </c>
      <c r="F18" s="161">
        <f>IF(Alloy_spec_ori!F18=0,0.00001,Alloy_spec_ori!F18)</f>
        <v>9.9998000039999225E-4</v>
      </c>
      <c r="G18" s="161">
        <f>IF(Alloy_spec_ori!G18=0,0.00001,Alloy_spec_ori!G18)</f>
        <v>4.7999040019199614E-3</v>
      </c>
      <c r="H18" s="161">
        <f>IF(Alloy_spec_ori!H18=0,0.00001,Alloy_spec_ori!H18)</f>
        <v>4.9999000019999612E-4</v>
      </c>
      <c r="I18" s="161">
        <f>IF(Alloy_spec_ori!I18=0,0.00001,Alloy_spec_ori!I18)</f>
        <v>4.9999000019999612E-4</v>
      </c>
      <c r="J18" s="161">
        <f>IF(Alloy_spec_ori!J18=0,0.00001,Alloy_spec_ori!J18)</f>
        <v>1.4999700005999884E-3</v>
      </c>
      <c r="K18" s="161">
        <f>IF(Alloy_spec_ori!K18=0,0.00001,Alloy_spec_ori!K18)</f>
        <v>9.9998000039999225E-4</v>
      </c>
      <c r="L18" s="161">
        <f>IF(Alloy_spec_ori!L18=0,0.00001,Alloy_spec_ori!L18)</f>
        <v>9.9998000039999203E-6</v>
      </c>
      <c r="M18" s="161">
        <f>IF(Alloy_spec_ori!M18=0,0.00001,Alloy_spec_ori!M18)</f>
        <v>9.9998000039999203E-6</v>
      </c>
      <c r="N18" s="158"/>
    </row>
    <row r="19" spans="1:14" x14ac:dyDescent="0.2">
      <c r="A19" s="146" t="s">
        <v>255</v>
      </c>
      <c r="B19" s="161">
        <f>IF(Alloy_spec_ori!B19=0,0.00001,Alloy_spec_ori!B19)</f>
        <v>0.96618067638647231</v>
      </c>
      <c r="C19" s="161">
        <f>IF(Alloy_spec_ori!C19=0,0.00001,Alloy_spec_ori!C19)</f>
        <v>5.9998800023999535E-3</v>
      </c>
      <c r="D19" s="161">
        <f>IF(Alloy_spec_ori!D19=0,0.00001,Alloy_spec_ori!D19)</f>
        <v>6.9998600027999453E-3</v>
      </c>
      <c r="E19" s="161">
        <f>IF(Alloy_spec_ori!E19=0,0.00001,Alloy_spec_ori!E19)</f>
        <v>2.7999440011199778E-3</v>
      </c>
      <c r="F19" s="161">
        <f>IF(Alloy_spec_ori!F19=0,0.00001,Alloy_spec_ori!F19)</f>
        <v>1.4999700005999884E-3</v>
      </c>
      <c r="G19" s="161">
        <f>IF(Alloy_spec_ori!G19=0,0.00001,Alloy_spec_ori!G19)</f>
        <v>9.9998000039999216E-3</v>
      </c>
      <c r="H19" s="161">
        <f>IF(Alloy_spec_ori!H19=0,0.00001,Alloy_spec_ori!H19)</f>
        <v>1.9999600007999845E-3</v>
      </c>
      <c r="I19" s="161">
        <f>IF(Alloy_spec_ori!I19=0,0.00001,Alloy_spec_ori!I19)</f>
        <v>4.9999000019999612E-4</v>
      </c>
      <c r="J19" s="161">
        <f>IF(Alloy_spec_ori!J19=0,0.00001,Alloy_spec_ori!J19)</f>
        <v>2.4999500009999804E-3</v>
      </c>
      <c r="K19" s="161">
        <f>IF(Alloy_spec_ori!K19=0,0.00001,Alloy_spec_ori!K19)</f>
        <v>1.4999700005999884E-3</v>
      </c>
      <c r="L19" s="161">
        <f>IF(Alloy_spec_ori!L19=0,0.00001,Alloy_spec_ori!L19)</f>
        <v>9.9998000039999203E-6</v>
      </c>
      <c r="M19" s="161">
        <f>IF(Alloy_spec_ori!M19=0,0.00001,Alloy_spec_ori!M19)</f>
        <v>9.9998000039999203E-6</v>
      </c>
      <c r="N19" s="158"/>
    </row>
    <row r="20" spans="1:14" x14ac:dyDescent="0.2">
      <c r="A20" s="145" t="s">
        <v>256</v>
      </c>
      <c r="B20" s="161">
        <f>IF(Alloy_spec_ori!B20=0,0.00001,Alloy_spec_ori!B20)</f>
        <v>0.9799804003919923</v>
      </c>
      <c r="C20" s="161">
        <f>IF(Alloy_spec_ori!C20=0,0.00001,Alloy_spec_ori!C20)</f>
        <v>3.999920001599969E-3</v>
      </c>
      <c r="D20" s="161">
        <f>IF(Alloy_spec_ori!D20=0,0.00001,Alloy_spec_ori!D20)</f>
        <v>3.4999300013999726E-3</v>
      </c>
      <c r="E20" s="161">
        <f>IF(Alloy_spec_ori!E20=0,0.00001,Alloy_spec_ori!E20)</f>
        <v>9.9998000039999225E-4</v>
      </c>
      <c r="F20" s="161">
        <f>IF(Alloy_spec_ori!F20=0,0.00001,Alloy_spec_ori!F20)</f>
        <v>9.9998000039999225E-4</v>
      </c>
      <c r="G20" s="161">
        <f>IF(Alloy_spec_ori!G20=0,0.00001,Alloy_spec_ori!G20)</f>
        <v>6.9998600027999453E-3</v>
      </c>
      <c r="H20" s="161">
        <f>IF(Alloy_spec_ori!H20=0,0.00001,Alloy_spec_ori!H20)</f>
        <v>9.9998000039999225E-4</v>
      </c>
      <c r="I20" s="161">
        <f>IF(Alloy_spec_ori!I20=0,0.00001,Alloy_spec_ori!I20)</f>
        <v>4.9999000019999612E-4</v>
      </c>
      <c r="J20" s="161">
        <f>IF(Alloy_spec_ori!J20=0,0.00001,Alloy_spec_ori!J20)</f>
        <v>9.9998000039999225E-4</v>
      </c>
      <c r="K20" s="161">
        <f>IF(Alloy_spec_ori!K20=0,0.00001,Alloy_spec_ori!K20)</f>
        <v>9.9998000039999225E-4</v>
      </c>
      <c r="L20" s="161">
        <f>IF(Alloy_spec_ori!L20=0,0.00001,Alloy_spec_ori!L20)</f>
        <v>9.999800003999922E-6</v>
      </c>
      <c r="M20" s="161">
        <f>IF(Alloy_spec_ori!M20=0,0.00001,Alloy_spec_ori!M20)</f>
        <v>9.999800003999922E-6</v>
      </c>
      <c r="N20" s="158"/>
    </row>
    <row r="21" spans="1:14" x14ac:dyDescent="0.2">
      <c r="A21" s="145" t="s">
        <v>257</v>
      </c>
      <c r="B21" s="161">
        <f>IF(Alloy_spec_ori!B21=0,0.00001,Alloy_spec_ori!B21)</f>
        <v>0.96198076038479241</v>
      </c>
      <c r="C21" s="161">
        <f>IF(Alloy_spec_ori!C21=0,0.00001,Alloy_spec_ori!C21)</f>
        <v>9.9998000039999216E-3</v>
      </c>
      <c r="D21" s="161">
        <f>IF(Alloy_spec_ori!D21=0,0.00001,Alloy_spec_ori!D21)</f>
        <v>4.9999000019999608E-3</v>
      </c>
      <c r="E21" s="161">
        <f>IF(Alloy_spec_ori!E21=0,0.00001,Alloy_spec_ori!E21)</f>
        <v>9.9998000039999225E-4</v>
      </c>
      <c r="F21" s="161">
        <f>IF(Alloy_spec_ori!F21=0,0.00001,Alloy_spec_ori!F21)</f>
        <v>6.9998600027999453E-3</v>
      </c>
      <c r="G21" s="161">
        <f>IF(Alloy_spec_ori!G21=0,0.00001,Alloy_spec_ori!G21)</f>
        <v>8.999820003599928E-3</v>
      </c>
      <c r="H21" s="161">
        <f>IF(Alloy_spec_ori!H21=0,0.00001,Alloy_spec_ori!H21)</f>
        <v>2.4999500009999804E-3</v>
      </c>
      <c r="I21" s="161">
        <f>IF(Alloy_spec_ori!I21=0,0.00001,Alloy_spec_ori!I21)</f>
        <v>4.9999000019999612E-4</v>
      </c>
      <c r="J21" s="161">
        <f>IF(Alloy_spec_ori!J21=0,0.00001,Alloy_spec_ori!J21)</f>
        <v>1.9999600007999845E-3</v>
      </c>
      <c r="K21" s="161">
        <f>IF(Alloy_spec_ori!K21=0,0.00001,Alloy_spec_ori!K21)</f>
        <v>9.9998000039999225E-4</v>
      </c>
      <c r="L21" s="161">
        <f>IF(Alloy_spec_ori!L21=0,0.00001,Alloy_spec_ori!L21)</f>
        <v>9.999800003999922E-6</v>
      </c>
      <c r="M21" s="161">
        <f>IF(Alloy_spec_ori!M21=0,0.00001,Alloy_spec_ori!M21)</f>
        <v>9.999800003999922E-6</v>
      </c>
      <c r="N21" s="158"/>
    </row>
    <row r="22" spans="1:14" x14ac:dyDescent="0.2">
      <c r="A22" s="145" t="s">
        <v>258</v>
      </c>
      <c r="B22" s="161">
        <f>IF(Alloy_spec_ori!B22=0,0.00001,Alloy_spec_ori!B22)</f>
        <v>0.96618067638647231</v>
      </c>
      <c r="C22" s="161">
        <f>IF(Alloy_spec_ori!C22=0,0.00001,Alloy_spec_ori!C22)</f>
        <v>8.499830003399933E-3</v>
      </c>
      <c r="D22" s="161">
        <f>IF(Alloy_spec_ori!D22=0,0.00001,Alloy_spec_ori!D22)</f>
        <v>3.999920001599969E-3</v>
      </c>
      <c r="E22" s="161">
        <f>IF(Alloy_spec_ori!E22=0,0.00001,Alloy_spec_ori!E22)</f>
        <v>6.9998600027999453E-3</v>
      </c>
      <c r="F22" s="161">
        <f>IF(Alloy_spec_ori!F22=0,0.00001,Alloy_spec_ori!F22)</f>
        <v>2.7999440011199778E-3</v>
      </c>
      <c r="G22" s="161">
        <f>IF(Alloy_spec_ori!G22=0,0.00001,Alloy_spec_ori!G22)</f>
        <v>7.4998500029999412E-3</v>
      </c>
      <c r="H22" s="161">
        <f>IF(Alloy_spec_ori!H22=0,0.00001,Alloy_spec_ori!H22)</f>
        <v>9.9998000039999225E-4</v>
      </c>
      <c r="I22" s="161">
        <f>IF(Alloy_spec_ori!I22=0,0.00001,Alloy_spec_ori!I22)</f>
        <v>4.9999000019999612E-4</v>
      </c>
      <c r="J22" s="161">
        <f>IF(Alloy_spec_ori!J22=0,0.00001,Alloy_spec_ori!J22)</f>
        <v>1.4999700005999884E-3</v>
      </c>
      <c r="K22" s="161">
        <f>IF(Alloy_spec_ori!K22=0,0.00001,Alloy_spec_ori!K22)</f>
        <v>9.9998000039999225E-4</v>
      </c>
      <c r="L22" s="161">
        <f>IF(Alloy_spec_ori!L22=0,0.00001,Alloy_spec_ori!L22)</f>
        <v>9.9998000039999203E-6</v>
      </c>
      <c r="M22" s="161">
        <f>IF(Alloy_spec_ori!M22=0,0.00001,Alloy_spec_ori!M22)</f>
        <v>9.9998000039999203E-6</v>
      </c>
      <c r="N22" s="158"/>
    </row>
    <row r="23" spans="1:14" x14ac:dyDescent="0.2">
      <c r="A23" s="142" t="s">
        <v>259</v>
      </c>
      <c r="B23" s="161">
        <f>IF(Alloy_spec_ori!B23=0,0.00001,Alloy_spec_ori!B23)</f>
        <v>0.96568411597471471</v>
      </c>
      <c r="C23" s="161">
        <f>IF(Alloy_spec_ori!C23=0,0.00001,Alloy_spec_ori!C23)</f>
        <v>8.9989201115887665E-3</v>
      </c>
      <c r="D23" s="161">
        <f>IF(Alloy_spec_ori!D23=0,0.00001,Alloy_spec_ori!D23)</f>
        <v>3.2996040409158816E-3</v>
      </c>
      <c r="E23" s="161">
        <f>IF(Alloy_spec_ori!E23=0,0.00001,Alloy_spec_ori!E23)</f>
        <v>2.4997000309968801E-3</v>
      </c>
      <c r="F23" s="161">
        <f>IF(Alloy_spec_ori!F23=0,0.00001,Alloy_spec_ori!F23)</f>
        <v>3.9995200495950081E-3</v>
      </c>
      <c r="G23" s="161">
        <f>IF(Alloy_spec_ori!G23=0,0.00001,Alloy_spec_ori!G23)</f>
        <v>7.9990400991900162E-3</v>
      </c>
      <c r="H23" s="161">
        <f>IF(Alloy_spec_ori!H23=0,0.00001,Alloy_spec_ori!H23)</f>
        <v>1.499820018598128E-3</v>
      </c>
      <c r="I23" s="161">
        <f>IF(Alloy_spec_ori!I23=0,0.00001,Alloy_spec_ori!I23)</f>
        <v>4.9994000619937601E-4</v>
      </c>
      <c r="J23" s="161">
        <f>IF(Alloy_spec_ori!J23=0,0.00001,Alloy_spec_ori!J23)</f>
        <v>2.9996400371962561E-3</v>
      </c>
      <c r="K23" s="161">
        <f>IF(Alloy_spec_ori!K23=0,0.00001,Alloy_spec_ori!K23)</f>
        <v>2.4997000309968801E-3</v>
      </c>
      <c r="L23" s="161">
        <f>IF(Alloy_spec_ori!L23=0,0.00001,Alloy_spec_ori!L23)</f>
        <v>9.999800003999917E-6</v>
      </c>
      <c r="M23" s="161">
        <f>IF(Alloy_spec_ori!M23=0,0.00001,Alloy_spec_ori!M23)</f>
        <v>9.999800003999917E-6</v>
      </c>
      <c r="N23" s="158"/>
    </row>
    <row r="24" spans="1:14" x14ac:dyDescent="0.2">
      <c r="A24" s="147" t="s">
        <v>260</v>
      </c>
      <c r="B24" s="161">
        <f>IF(Alloy_spec_ori!B24=0,0.00001,Alloy_spec_ori!B24)</f>
        <v>0.92738145237095249</v>
      </c>
      <c r="C24" s="161">
        <f>IF(Alloy_spec_ori!C24=0,0.00001,Alloy_spec_ori!C24)</f>
        <v>3.4999300013999718E-3</v>
      </c>
      <c r="D24" s="161">
        <f>IF(Alloy_spec_ori!D24=0,0.00001,Alloy_spec_ori!D24)</f>
        <v>3.9999200015999681E-3</v>
      </c>
      <c r="E24" s="161">
        <f>IF(Alloy_spec_ori!E24=0,0.00001,Alloy_spec_ori!E24)</f>
        <v>1.9999600007999841E-3</v>
      </c>
      <c r="F24" s="161">
        <f>IF(Alloy_spec_ori!F24=0,0.00001,Alloy_spec_ori!F24)</f>
        <v>2.7499450010999775E-3</v>
      </c>
      <c r="G24" s="161">
        <f>IF(Alloy_spec_ori!G24=0,0.00001,Alloy_spec_ori!G24)</f>
        <v>1.1999760004799903E-2</v>
      </c>
      <c r="H24" s="161">
        <f>IF(Alloy_spec_ori!H24=0,0.00001,Alloy_spec_ori!H24)</f>
        <v>2.2499550008999816E-3</v>
      </c>
      <c r="I24" s="161">
        <f>IF(Alloy_spec_ori!I24=0,0.00001,Alloy_spec_ori!I24)</f>
        <v>4.9999000019999601E-4</v>
      </c>
      <c r="J24" s="161">
        <f>IF(Alloy_spec_ori!J24=0,0.00001,Alloy_spec_ori!J24)</f>
        <v>4.4999100017999637E-2</v>
      </c>
      <c r="K24" s="161">
        <f>IF(Alloy_spec_ori!K24=0,0.00001,Alloy_spec_ori!K24)</f>
        <v>5.9998800023999507E-4</v>
      </c>
      <c r="L24" s="161">
        <f>IF(Alloy_spec_ori!L24=0,0.00001,Alloy_spec_ori!L24)</f>
        <v>9.9998000039999203E-6</v>
      </c>
      <c r="M24" s="161">
        <f>IF(Alloy_spec_ori!M24=0,0.00001,Alloy_spec_ori!M24)</f>
        <v>9.9998000039999203E-6</v>
      </c>
      <c r="N24" s="158"/>
    </row>
    <row r="25" spans="1:14" x14ac:dyDescent="0.2">
      <c r="A25" s="142" t="s">
        <v>261</v>
      </c>
      <c r="B25" s="161">
        <f>IF(Alloy_spec_ori!B25=0,0.00001,Alloy_spec_ori!B25)</f>
        <v>0.99697485716794476</v>
      </c>
      <c r="C25" s="161">
        <f>IF(Alloy_spec_ori!C25=0,0.00001,Alloy_spec_ori!C25)</f>
        <v>4.9998739075624108E-4</v>
      </c>
      <c r="D25" s="161">
        <f>IF(Alloy_spec_ori!D25=0,0.00001,Alloy_spec_ori!D25)</f>
        <v>4.9998739075624108E-4</v>
      </c>
      <c r="E25" s="161">
        <f>IF(Alloy_spec_ori!E25=0,0.00001,Alloy_spec_ori!E25)</f>
        <v>3.9998991260499289E-4</v>
      </c>
      <c r="F25" s="161">
        <f>IF(Alloy_spec_ori!F25=0,0.00001,Alloy_spec_ori!F25)</f>
        <v>2.9879724547185726E-4</v>
      </c>
      <c r="G25" s="161">
        <f>IF(Alloy_spec_ori!G25=0,0.00001,Alloy_spec_ori!G25)</f>
        <v>2.9879724547185726E-4</v>
      </c>
      <c r="H25" s="161">
        <f>IF(Alloy_spec_ori!H25=0,0.00001,Alloy_spec_ori!H25)</f>
        <v>9.9997478151248235E-6</v>
      </c>
      <c r="I25" s="161">
        <f>IF(Alloy_spec_ori!I25=0,0.00001,Alloy_spec_ori!I25)</f>
        <v>2.9879724547185726E-4</v>
      </c>
      <c r="J25" s="161">
        <f>IF(Alloy_spec_ori!J25=0,0.00001,Alloy_spec_ori!J25)</f>
        <v>3.9998991260499289E-4</v>
      </c>
      <c r="K25" s="161">
        <f>IF(Alloy_spec_ori!K25=0,0.00001,Alloy_spec_ori!K25)</f>
        <v>2.9879724547185726E-4</v>
      </c>
      <c r="L25" s="161">
        <f>IF(Alloy_spec_ori!L25=0,0.00001,Alloy_spec_ori!L25)</f>
        <v>9.9997478151248235E-6</v>
      </c>
      <c r="M25" s="161">
        <f>IF(Alloy_spec_ori!M25=0,0.00001,Alloy_spec_ori!M25)</f>
        <v>9.9997478151248235E-6</v>
      </c>
      <c r="N25" s="158"/>
    </row>
    <row r="26" spans="1:14" x14ac:dyDescent="0.2">
      <c r="A26" s="142" t="s">
        <v>262</v>
      </c>
      <c r="B26" s="161">
        <f>IF(Alloy_spec_ori!B26=0,0.00001,Alloy_spec_ori!B26)</f>
        <v>0.97078058438831238</v>
      </c>
      <c r="C26" s="161">
        <f>IF(Alloy_spec_ori!C26=0,0.00001,Alloy_spec_ori!C26)</f>
        <v>5.9998800023999535E-3</v>
      </c>
      <c r="D26" s="161">
        <f>IF(Alloy_spec_ori!D26=0,0.00001,Alloy_spec_ori!D26)</f>
        <v>6.9998600027999453E-3</v>
      </c>
      <c r="E26" s="161">
        <f>IF(Alloy_spec_ori!E26=0,0.00001,Alloy_spec_ori!E26)</f>
        <v>1.1999760004799903E-3</v>
      </c>
      <c r="F26" s="161">
        <f>IF(Alloy_spec_ori!F26=0,0.00001,Alloy_spec_ori!F26)</f>
        <v>1.1999760004799907E-2</v>
      </c>
      <c r="G26" s="161">
        <f>IF(Alloy_spec_ori!G26=0,0.00001,Alloy_spec_ori!G26)</f>
        <v>4.9999000019999612E-4</v>
      </c>
      <c r="H26" s="161">
        <f>IF(Alloy_spec_ori!H26=0,0.00001,Alloy_spec_ori!H26)</f>
        <v>4.9999000019999612E-4</v>
      </c>
      <c r="I26" s="161">
        <f>IF(Alloy_spec_ori!I26=0,0.00001,Alloy_spec_ori!I26)</f>
        <v>4.9999000019999612E-4</v>
      </c>
      <c r="J26" s="161">
        <f>IF(Alloy_spec_ori!J26=0,0.00001,Alloy_spec_ori!J26)</f>
        <v>9.9998000039999225E-4</v>
      </c>
      <c r="K26" s="161">
        <f>IF(Alloy_spec_ori!K26=0,0.00001,Alloy_spec_ori!K26)</f>
        <v>4.9999000019999612E-4</v>
      </c>
      <c r="L26" s="161">
        <f>IF(Alloy_spec_ori!L26=0,0.00001,Alloy_spec_ori!L26)</f>
        <v>9.9998000039999203E-6</v>
      </c>
      <c r="M26" s="161">
        <f>IF(Alloy_spec_ori!M26=0,0.00001,Alloy_spec_ori!M26)</f>
        <v>9.9998000039999203E-6</v>
      </c>
      <c r="N26" s="158"/>
    </row>
    <row r="27" spans="1:14" x14ac:dyDescent="0.2">
      <c r="A27" s="142" t="s">
        <v>263</v>
      </c>
      <c r="B27" s="161">
        <f>IF(Alloy_spec_ori!B27=0,0.00001,Alloy_spec_ori!B27)</f>
        <v>0.96748065038699216</v>
      </c>
      <c r="C27" s="161">
        <f>IF(Alloy_spec_ori!C27=0,0.00001,Alloy_spec_ori!C27)</f>
        <v>4.9999000019999599E-3</v>
      </c>
      <c r="D27" s="161">
        <f>IF(Alloy_spec_ori!D27=0,0.00001,Alloy_spec_ori!D27)</f>
        <v>6.9998600027999435E-3</v>
      </c>
      <c r="E27" s="161">
        <f>IF(Alloy_spec_ori!E27=0,0.00001,Alloy_spec_ori!E27)</f>
        <v>9.9998000039999203E-4</v>
      </c>
      <c r="F27" s="161">
        <f>IF(Alloy_spec_ori!F27=0,0.00001,Alloy_spec_ori!F27)</f>
        <v>1.1999760004799903E-2</v>
      </c>
      <c r="G27" s="161">
        <f>IF(Alloy_spec_ori!G27=0,0.00001,Alloy_spec_ori!G27)</f>
        <v>2.9999400011999759E-3</v>
      </c>
      <c r="H27" s="161">
        <f>IF(Alloy_spec_ori!H27=0,0.00001,Alloy_spec_ori!H27)</f>
        <v>9.9998000039999203E-4</v>
      </c>
      <c r="I27" s="161">
        <f>IF(Alloy_spec_ori!I27=0,0.00001,Alloy_spec_ori!I27)</f>
        <v>4.9999000019999601E-4</v>
      </c>
      <c r="J27" s="161">
        <f>IF(Alloy_spec_ori!J27=0,0.00001,Alloy_spec_ori!J27)</f>
        <v>1.9999600007999841E-3</v>
      </c>
      <c r="K27" s="161">
        <f>IF(Alloy_spec_ori!K27=0,0.00001,Alloy_spec_ori!K27)</f>
        <v>9.9998000039999203E-4</v>
      </c>
      <c r="L27" s="161">
        <f>IF(Alloy_spec_ori!L27=0,0.00001,Alloy_spec_ori!L27)</f>
        <v>9.9998000039999203E-6</v>
      </c>
      <c r="M27" s="161">
        <f>IF(Alloy_spec_ori!M27=0,0.00001,Alloy_spec_ori!M27)</f>
        <v>9.9998000039999203E-6</v>
      </c>
      <c r="N27" s="158"/>
    </row>
    <row r="28" spans="1:14" x14ac:dyDescent="0.2">
      <c r="A28" s="142" t="s">
        <v>264</v>
      </c>
      <c r="B28" s="161">
        <f>IF(Alloy_spec_ori!B28=0,0.00001,Alloy_spec_ori!B28)</f>
        <v>0.93198136037279267</v>
      </c>
      <c r="C28" s="161">
        <f>IF(Alloy_spec_ori!C28=0,0.00001,Alloy_spec_ori!C28)</f>
        <v>5.1998960020799588E-2</v>
      </c>
      <c r="D28" s="161">
        <f>IF(Alloy_spec_ori!D28=0,0.00001,Alloy_spec_ori!D28)</f>
        <v>7.999840003199938E-3</v>
      </c>
      <c r="E28" s="161">
        <f>IF(Alloy_spec_ori!E28=0,0.00001,Alloy_spec_ori!E28)</f>
        <v>2.9999400011999763E-3</v>
      </c>
      <c r="F28" s="161">
        <f>IF(Alloy_spec_ori!F28=0,0.00001,Alloy_spec_ori!F28)</f>
        <v>4.9999000019999612E-4</v>
      </c>
      <c r="G28" s="161">
        <f>IF(Alloy_spec_ori!G28=0,0.00001,Alloy_spec_ori!G28)</f>
        <v>4.9999000019999612E-4</v>
      </c>
      <c r="H28" s="161">
        <f>IF(Alloy_spec_ori!H28=0,0.00001,Alloy_spec_ori!H28)</f>
        <v>4.9999000019999612E-4</v>
      </c>
      <c r="I28" s="161">
        <f>IF(Alloy_spec_ori!I28=0,0.00001,Alloy_spec_ori!I28)</f>
        <v>4.9999000019999612E-4</v>
      </c>
      <c r="J28" s="161">
        <f>IF(Alloy_spec_ori!J28=0,0.00001,Alloy_spec_ori!J28)</f>
        <v>9.9998000039999225E-4</v>
      </c>
      <c r="K28" s="161">
        <f>IF(Alloy_spec_ori!K28=0,0.00001,Alloy_spec_ori!K28)</f>
        <v>1.9999600007999845E-3</v>
      </c>
      <c r="L28" s="161">
        <f>IF(Alloy_spec_ori!L28=0,0.00001,Alloy_spec_ori!L28)</f>
        <v>9.999800003999922E-6</v>
      </c>
      <c r="M28" s="161">
        <f>IF(Alloy_spec_ori!M28=0,0.00001,Alloy_spec_ori!M28)</f>
        <v>9.999800003999922E-6</v>
      </c>
      <c r="N28" s="158"/>
    </row>
    <row r="29" spans="1:14" x14ac:dyDescent="0.2">
      <c r="A29" s="142" t="s">
        <v>265</v>
      </c>
      <c r="B29" s="161">
        <f>IF(Alloy_spec_ori!B29=0,0.00001,Alloy_spec_ori!B29)</f>
        <v>0.97748045039099229</v>
      </c>
      <c r="C29" s="161">
        <f>IF(Alloy_spec_ori!C29=0,0.00001,Alloy_spec_ori!C29)</f>
        <v>2.9999400011999767E-3</v>
      </c>
      <c r="D29" s="161">
        <f>IF(Alloy_spec_ori!D29=0,0.00001,Alloy_spec_ori!D29)</f>
        <v>4.499910001799964E-3</v>
      </c>
      <c r="E29" s="161">
        <f>IF(Alloy_spec_ori!E29=0,0.00001,Alloy_spec_ori!E29)</f>
        <v>4.9999000019999612E-4</v>
      </c>
      <c r="F29" s="161">
        <f>IF(Alloy_spec_ori!F29=0,0.00001,Alloy_spec_ori!F29)</f>
        <v>1.4999700005999884E-3</v>
      </c>
      <c r="G29" s="161">
        <f>IF(Alloy_spec_ori!G29=0,0.00001,Alloy_spec_ori!G29)</f>
        <v>8.999820003599928E-3</v>
      </c>
      <c r="H29" s="161">
        <f>IF(Alloy_spec_ori!H29=0,0.00001,Alloy_spec_ori!H29)</f>
        <v>9.9998000039999225E-4</v>
      </c>
      <c r="I29" s="161">
        <f>IF(Alloy_spec_ori!I29=0,0.00001,Alloy_spec_ori!I29)</f>
        <v>4.9999000019999612E-4</v>
      </c>
      <c r="J29" s="161">
        <f>IF(Alloy_spec_ori!J29=0,0.00001,Alloy_spec_ori!J29)</f>
        <v>1.9999600007999845E-3</v>
      </c>
      <c r="K29" s="161">
        <f>IF(Alloy_spec_ori!K29=0,0.00001,Alloy_spec_ori!K29)</f>
        <v>4.9999000019999612E-4</v>
      </c>
      <c r="L29" s="161">
        <f>IF(Alloy_spec_ori!L29=0,0.00001,Alloy_spec_ori!L29)</f>
        <v>9.9998000039999203E-6</v>
      </c>
      <c r="M29" s="161">
        <f>IF(Alloy_spec_ori!M29=0,0.00001,Alloy_spec_ori!M29)</f>
        <v>9.9998000039999203E-6</v>
      </c>
      <c r="N29" s="158"/>
    </row>
    <row r="30" spans="1:14" x14ac:dyDescent="0.2">
      <c r="A30" s="142" t="s">
        <v>266</v>
      </c>
      <c r="B30" s="161">
        <f>IF(Alloy_spec_ori!B30=0,0.00001,Alloy_spec_ori!B30)</f>
        <v>0.93948121037579257</v>
      </c>
      <c r="C30" s="161">
        <f>IF(Alloy_spec_ori!C30=0,0.00001,Alloy_spec_ori!C30)</f>
        <v>1.9999600007999845E-3</v>
      </c>
      <c r="D30" s="161">
        <f>IF(Alloy_spec_ori!D30=0,0.00001,Alloy_spec_ori!D30)</f>
        <v>3.4999300013999726E-3</v>
      </c>
      <c r="E30" s="161">
        <f>IF(Alloy_spec_ori!E30=0,0.00001,Alloy_spec_ori!E30)</f>
        <v>1.4999700005999884E-3</v>
      </c>
      <c r="F30" s="161">
        <f>IF(Alloy_spec_ori!F30=0,0.00001,Alloy_spec_ori!F30)</f>
        <v>3.4999300013999726E-3</v>
      </c>
      <c r="G30" s="161">
        <f>IF(Alloy_spec_ori!G30=0,0.00001,Alloy_spec_ori!G30)</f>
        <v>4.4999100017999644E-2</v>
      </c>
      <c r="H30" s="161">
        <f>IF(Alloy_spec_ori!H30=0,0.00001,Alloy_spec_ori!H30)</f>
        <v>9.9998000039999225E-4</v>
      </c>
      <c r="I30" s="161">
        <f>IF(Alloy_spec_ori!I30=0,0.00001,Alloy_spec_ori!I30)</f>
        <v>4.9999000019999612E-4</v>
      </c>
      <c r="J30" s="161">
        <f>IF(Alloy_spec_ori!J30=0,0.00001,Alloy_spec_ori!J30)</f>
        <v>2.4999500009999804E-3</v>
      </c>
      <c r="K30" s="161">
        <f>IF(Alloy_spec_ori!K30=0,0.00001,Alloy_spec_ori!K30)</f>
        <v>9.9998000039999225E-4</v>
      </c>
      <c r="L30" s="161">
        <f>IF(Alloy_spec_ori!L30=0,0.00001,Alloy_spec_ori!L30)</f>
        <v>9.9998000039999203E-6</v>
      </c>
      <c r="M30" s="161">
        <f>IF(Alloy_spec_ori!M30=0,0.00001,Alloy_spec_ori!M30)</f>
        <v>9.9998000039999203E-6</v>
      </c>
      <c r="N30" s="158"/>
    </row>
    <row r="31" spans="1:14" x14ac:dyDescent="0.2">
      <c r="A31" s="142" t="s">
        <v>267</v>
      </c>
      <c r="B31" s="161">
        <f>IF(Alloy_spec_ori!B31=0,0.00001,Alloy_spec_ori!B31)</f>
        <v>0.95248095038099256</v>
      </c>
      <c r="C31" s="161">
        <f>IF(Alloy_spec_ori!C31=0,0.00001,Alloy_spec_ori!C31)</f>
        <v>3.999920001599969E-3</v>
      </c>
      <c r="D31" s="161">
        <f>IF(Alloy_spec_ori!D31=0,0.00001,Alloy_spec_ori!D31)</f>
        <v>3.999920001599969E-3</v>
      </c>
      <c r="E31" s="161">
        <f>IF(Alloy_spec_ori!E31=0,0.00001,Alloy_spec_ori!E31)</f>
        <v>9.9998000039999225E-4</v>
      </c>
      <c r="F31" s="161">
        <f>IF(Alloy_spec_ori!F31=0,0.00001,Alloy_spec_ori!F31)</f>
        <v>1.9999600007999845E-3</v>
      </c>
      <c r="G31" s="161">
        <f>IF(Alloy_spec_ori!G31=0,0.00001,Alloy_spec_ori!G31)</f>
        <v>3.0999380012399755E-2</v>
      </c>
      <c r="H31" s="161">
        <f>IF(Alloy_spec_ori!H31=0,0.00001,Alloy_spec_ori!H31)</f>
        <v>1.4999700005999882E-3</v>
      </c>
      <c r="I31" s="161">
        <f>IF(Alloy_spec_ori!I31=0,0.00001,Alloy_spec_ori!I31)</f>
        <v>4.9999000019999612E-4</v>
      </c>
      <c r="J31" s="161">
        <f>IF(Alloy_spec_ori!J31=0,0.00001,Alloy_spec_ori!J31)</f>
        <v>1.9999600007999845E-3</v>
      </c>
      <c r="K31" s="161">
        <f>IF(Alloy_spec_ori!K31=0,0.00001,Alloy_spec_ori!K31)</f>
        <v>1.4999700005999882E-3</v>
      </c>
      <c r="L31" s="161">
        <f>IF(Alloy_spec_ori!L31=0,0.00001,Alloy_spec_ori!L31)</f>
        <v>9.999800003999922E-6</v>
      </c>
      <c r="M31" s="161">
        <f>IF(Alloy_spec_ori!M31=0,0.00001,Alloy_spec_ori!M31)</f>
        <v>9.999800003999922E-6</v>
      </c>
      <c r="N31" s="158"/>
    </row>
    <row r="32" spans="1:14" x14ac:dyDescent="0.2">
      <c r="A32" s="142" t="s">
        <v>268</v>
      </c>
      <c r="B32" s="161">
        <f>IF(Alloy_spec_ori!B32=0,0.00001,Alloy_spec_ori!B32)</f>
        <v>0.97148057038859237</v>
      </c>
      <c r="C32" s="161">
        <f>IF(Alloy_spec_ori!C32=0,0.00001,Alloy_spec_ori!C32)</f>
        <v>6.9998600027999453E-3</v>
      </c>
      <c r="D32" s="161">
        <f>IF(Alloy_spec_ori!D32=0,0.00001,Alloy_spec_ori!D32)</f>
        <v>3.4999300013999726E-3</v>
      </c>
      <c r="E32" s="161">
        <f>IF(Alloy_spec_ori!E32=0,0.00001,Alloy_spec_ori!E32)</f>
        <v>2.9999400011999763E-3</v>
      </c>
      <c r="F32" s="161">
        <f>IF(Alloy_spec_ori!F32=0,0.00001,Alloy_spec_ori!F32)</f>
        <v>2.9999400011999763E-3</v>
      </c>
      <c r="G32" s="161">
        <f>IF(Alloy_spec_ori!G32=0,0.00001,Alloy_spec_ori!G32)</f>
        <v>5.4998900021999567E-3</v>
      </c>
      <c r="H32" s="161">
        <f>IF(Alloy_spec_ori!H32=0,0.00001,Alloy_spec_ori!H32)</f>
        <v>2.9999400011999763E-3</v>
      </c>
      <c r="I32" s="161">
        <f>IF(Alloy_spec_ori!I32=0,0.00001,Alloy_spec_ori!I32)</f>
        <v>4.9999000019999612E-4</v>
      </c>
      <c r="J32" s="161">
        <f>IF(Alloy_spec_ori!J32=0,0.00001,Alloy_spec_ori!J32)</f>
        <v>1.9999600007999845E-3</v>
      </c>
      <c r="K32" s="161">
        <f>IF(Alloy_spec_ori!K32=0,0.00001,Alloy_spec_ori!K32)</f>
        <v>9.9998000039999225E-4</v>
      </c>
      <c r="L32" s="161">
        <f>IF(Alloy_spec_ori!L32=0,0.00001,Alloy_spec_ori!L32)</f>
        <v>9.999800003999922E-6</v>
      </c>
      <c r="M32" s="161">
        <f>IF(Alloy_spec_ori!M32=0,0.00001,Alloy_spec_ori!M32)</f>
        <v>9.999800003999922E-6</v>
      </c>
      <c r="N32" s="158"/>
    </row>
    <row r="33" spans="1:14" x14ac:dyDescent="0.2">
      <c r="A33" s="142" t="s">
        <v>269</v>
      </c>
      <c r="B33" s="161">
        <f>IF(Alloy_spec_ori!B33=0,0.00001,Alloy_spec_ori!B33)</f>
        <v>0.9777315578132213</v>
      </c>
      <c r="C33" s="161">
        <f>IF(Alloy_spec_ori!C33=0,0.00001,Alloy_spec_ori!C33)</f>
        <v>4.4996850175490844E-3</v>
      </c>
      <c r="D33" s="161">
        <f>IF(Alloy_spec_ori!D33=0,0.00001,Alloy_spec_ori!D33)</f>
        <v>3.499755013649289E-3</v>
      </c>
      <c r="E33" s="161">
        <f>IF(Alloy_spec_ori!E33=0,0.00001,Alloy_spec_ori!E33)</f>
        <v>2.4998250097494918E-3</v>
      </c>
      <c r="F33" s="161">
        <f>IF(Alloy_spec_ori!F33=0,0.00001,Alloy_spec_ori!F33)</f>
        <v>1.2499125048747459E-3</v>
      </c>
      <c r="G33" s="161">
        <f>IF(Alloy_spec_ori!G33=0,0.00001,Alloy_spec_ori!G33)</f>
        <v>5.9995800233987812E-3</v>
      </c>
      <c r="H33" s="161">
        <f>IF(Alloy_spec_ori!H33=0,0.00001,Alloy_spec_ori!H33)</f>
        <v>1.9998600077995939E-3</v>
      </c>
      <c r="I33" s="161">
        <f>IF(Alloy_spec_ori!I33=0,0.00001,Alloy_spec_ori!I33)</f>
        <v>4.9996500194989847E-4</v>
      </c>
      <c r="J33" s="161">
        <f>IF(Alloy_spec_ori!J33=0,0.00001,Alloy_spec_ori!J33)</f>
        <v>9.9993000389979694E-4</v>
      </c>
      <c r="K33" s="161">
        <f>IF(Alloy_spec_ori!K33=0,0.00001,Alloy_spec_ori!K33)</f>
        <v>9.9993000389979694E-4</v>
      </c>
      <c r="L33" s="161">
        <f>IF(Alloy_spec_ori!L33=0,0.00001,Alloy_spec_ori!L33)</f>
        <v>9.9998000039999153E-6</v>
      </c>
      <c r="M33" s="161">
        <f>IF(Alloy_spec_ori!M33=0,0.00001,Alloy_spec_ori!M33)</f>
        <v>9.9998000039999153E-6</v>
      </c>
      <c r="N33" s="158"/>
    </row>
    <row r="34" spans="1:14" x14ac:dyDescent="0.2">
      <c r="A34" s="142" t="s">
        <v>270</v>
      </c>
      <c r="B34" s="161">
        <f>IF(Alloy_spec_ori!B34=0,0.00001,Alloy_spec_ori!B34)</f>
        <v>0.96923215278007324</v>
      </c>
      <c r="C34" s="161">
        <f>IF(Alloy_spec_ori!C34=0,0.00001,Alloy_spec_ori!C34)</f>
        <v>1.2499125048747464E-2</v>
      </c>
      <c r="D34" s="161">
        <f>IF(Alloy_spec_ori!D34=0,0.00001,Alloy_spec_ori!D34)</f>
        <v>4.9996500194989853E-3</v>
      </c>
      <c r="E34" s="161">
        <f>IF(Alloy_spec_ori!E34=0,0.00001,Alloy_spec_ori!E34)</f>
        <v>1.9998600077995943E-3</v>
      </c>
      <c r="F34" s="161">
        <f>IF(Alloy_spec_ori!F34=0,0.00001,Alloy_spec_ori!F34)</f>
        <v>1.9998600077995943E-3</v>
      </c>
      <c r="G34" s="161">
        <f>IF(Alloy_spec_ori!G34=0,0.00001,Alloy_spec_ori!G34)</f>
        <v>4.2497025165741378E-3</v>
      </c>
      <c r="H34" s="161">
        <f>IF(Alloy_spec_ori!H34=0,0.00001,Alloy_spec_ori!H34)</f>
        <v>9.9993000389979715E-4</v>
      </c>
      <c r="I34" s="161">
        <f>IF(Alloy_spec_ori!I34=0,0.00001,Alloy_spec_ori!I34)</f>
        <v>4.9996500194989858E-4</v>
      </c>
      <c r="J34" s="161">
        <f>IF(Alloy_spec_ori!J34=0,0.00001,Alloy_spec_ori!J34)</f>
        <v>1.9998600077995943E-3</v>
      </c>
      <c r="K34" s="161">
        <f>IF(Alloy_spec_ori!K34=0,0.00001,Alloy_spec_ori!K34)</f>
        <v>1.4998950058496955E-3</v>
      </c>
      <c r="L34" s="161">
        <f>IF(Alloy_spec_ori!L34=0,0.00001,Alloy_spec_ori!L34)</f>
        <v>9.9998000039999203E-6</v>
      </c>
      <c r="M34" s="161">
        <f>IF(Alloy_spec_ori!M34=0,0.00001,Alloy_spec_ori!M34)</f>
        <v>9.9998000039999203E-6</v>
      </c>
      <c r="N34" s="158"/>
    </row>
    <row r="35" spans="1:14" x14ac:dyDescent="0.2">
      <c r="A35" s="142" t="s">
        <v>271</v>
      </c>
      <c r="B35" s="161">
        <f>IF(Alloy_spec_ori!B35=0,0.00001,Alloy_spec_ori!B35)</f>
        <v>0.98318033639327218</v>
      </c>
      <c r="C35" s="161">
        <f>IF(Alloy_spec_ori!C35=0,0.00001,Alloy_spec_ori!C35)</f>
        <v>4.499910001799964E-3</v>
      </c>
      <c r="D35" s="161">
        <f>IF(Alloy_spec_ori!D35=0,0.00001,Alloy_spec_ori!D35)</f>
        <v>1.9999600007999845E-3</v>
      </c>
      <c r="E35" s="161">
        <f>IF(Alloy_spec_ori!E35=0,0.00001,Alloy_spec_ori!E35)</f>
        <v>9.9998000039999225E-4</v>
      </c>
      <c r="F35" s="161">
        <f>IF(Alloy_spec_ori!F35=0,0.00001,Alloy_spec_ori!F35)</f>
        <v>9.9998000039999225E-4</v>
      </c>
      <c r="G35" s="161">
        <f>IF(Alloy_spec_ori!G35=0,0.00001,Alloy_spec_ori!G35)</f>
        <v>4.7999040019199614E-3</v>
      </c>
      <c r="H35" s="161">
        <f>IF(Alloy_spec_ori!H35=0,0.00001,Alloy_spec_ori!H35)</f>
        <v>4.9999000019999612E-4</v>
      </c>
      <c r="I35" s="161">
        <f>IF(Alloy_spec_ori!I35=0,0.00001,Alloy_spec_ori!I35)</f>
        <v>4.9999000019999612E-4</v>
      </c>
      <c r="J35" s="161">
        <f>IF(Alloy_spec_ori!J35=0,0.00001,Alloy_spec_ori!J35)</f>
        <v>1.4999700005999884E-3</v>
      </c>
      <c r="K35" s="161">
        <f>IF(Alloy_spec_ori!K35=0,0.00001,Alloy_spec_ori!K35)</f>
        <v>9.9998000039999225E-4</v>
      </c>
      <c r="L35" s="161">
        <f>IF(Alloy_spec_ori!L35=0,0.00001,Alloy_spec_ori!L35)</f>
        <v>9.9998000039999203E-6</v>
      </c>
      <c r="M35" s="161">
        <f>IF(Alloy_spec_ori!M35=0,0.00001,Alloy_spec_ori!M35)</f>
        <v>9.9998000039999203E-6</v>
      </c>
      <c r="N35" s="158"/>
    </row>
    <row r="36" spans="1:14" x14ac:dyDescent="0.2">
      <c r="A36" s="142" t="s">
        <v>272</v>
      </c>
      <c r="B36" s="161">
        <f>IF(Alloy_spec_ori!B36=0,0.00001,Alloy_spec_ori!B36)</f>
        <v>0.96618067638647231</v>
      </c>
      <c r="C36" s="161">
        <f>IF(Alloy_spec_ori!C36=0,0.00001,Alloy_spec_ori!C36)</f>
        <v>5.9998800023999535E-3</v>
      </c>
      <c r="D36" s="161">
        <f>IF(Alloy_spec_ori!D36=0,0.00001,Alloy_spec_ori!D36)</f>
        <v>6.9998600027999453E-3</v>
      </c>
      <c r="E36" s="161">
        <f>IF(Alloy_spec_ori!E36=0,0.00001,Alloy_spec_ori!E36)</f>
        <v>2.7999440011199778E-3</v>
      </c>
      <c r="F36" s="161">
        <f>IF(Alloy_spec_ori!F36=0,0.00001,Alloy_spec_ori!F36)</f>
        <v>1.4999700005999884E-3</v>
      </c>
      <c r="G36" s="161">
        <f>IF(Alloy_spec_ori!G36=0,0.00001,Alloy_spec_ori!G36)</f>
        <v>9.9998000039999216E-3</v>
      </c>
      <c r="H36" s="161">
        <f>IF(Alloy_spec_ori!H36=0,0.00001,Alloy_spec_ori!H36)</f>
        <v>1.9999600007999845E-3</v>
      </c>
      <c r="I36" s="161">
        <f>IF(Alloy_spec_ori!I36=0,0.00001,Alloy_spec_ori!I36)</f>
        <v>4.9999000019999612E-4</v>
      </c>
      <c r="J36" s="161">
        <f>IF(Alloy_spec_ori!J36=0,0.00001,Alloy_spec_ori!J36)</f>
        <v>2.4999500009999804E-3</v>
      </c>
      <c r="K36" s="161">
        <f>IF(Alloy_spec_ori!K36=0,0.00001,Alloy_spec_ori!K36)</f>
        <v>1.4999700005999884E-3</v>
      </c>
      <c r="L36" s="161">
        <f>IF(Alloy_spec_ori!L36=0,0.00001,Alloy_spec_ori!L36)</f>
        <v>9.9998000039999203E-6</v>
      </c>
      <c r="M36" s="161">
        <f>IF(Alloy_spec_ori!M36=0,0.00001,Alloy_spec_ori!M36)</f>
        <v>9.9998000039999203E-6</v>
      </c>
      <c r="N36" s="158"/>
    </row>
    <row r="37" spans="1:14" x14ac:dyDescent="0.2">
      <c r="A37" s="142" t="s">
        <v>273</v>
      </c>
      <c r="B37" s="161">
        <f>IF(Alloy_spec_ori!B37=0,0.00001,Alloy_spec_ori!B37)</f>
        <v>0.9799804003919923</v>
      </c>
      <c r="C37" s="161">
        <f>IF(Alloy_spec_ori!C37=0,0.00001,Alloy_spec_ori!C37)</f>
        <v>3.999920001599969E-3</v>
      </c>
      <c r="D37" s="161">
        <f>IF(Alloy_spec_ori!D37=0,0.00001,Alloy_spec_ori!D37)</f>
        <v>3.4999300013999726E-3</v>
      </c>
      <c r="E37" s="161">
        <f>IF(Alloy_spec_ori!E37=0,0.00001,Alloy_spec_ori!E37)</f>
        <v>9.9998000039999225E-4</v>
      </c>
      <c r="F37" s="161">
        <f>IF(Alloy_spec_ori!F37=0,0.00001,Alloy_spec_ori!F37)</f>
        <v>9.9998000039999225E-4</v>
      </c>
      <c r="G37" s="161">
        <f>IF(Alloy_spec_ori!G37=0,0.00001,Alloy_spec_ori!G37)</f>
        <v>6.9998600027999453E-3</v>
      </c>
      <c r="H37" s="161">
        <f>IF(Alloy_spec_ori!H37=0,0.00001,Alloy_spec_ori!H37)</f>
        <v>9.9998000039999225E-4</v>
      </c>
      <c r="I37" s="161">
        <f>IF(Alloy_spec_ori!I37=0,0.00001,Alloy_spec_ori!I37)</f>
        <v>4.9999000019999612E-4</v>
      </c>
      <c r="J37" s="161">
        <f>IF(Alloy_spec_ori!J37=0,0.00001,Alloy_spec_ori!J37)</f>
        <v>9.9998000039999225E-4</v>
      </c>
      <c r="K37" s="161">
        <f>IF(Alloy_spec_ori!K37=0,0.00001,Alloy_spec_ori!K37)</f>
        <v>9.9998000039999225E-4</v>
      </c>
      <c r="L37" s="161">
        <f>IF(Alloy_spec_ori!L37=0,0.00001,Alloy_spec_ori!L37)</f>
        <v>9.999800003999922E-6</v>
      </c>
      <c r="M37" s="161">
        <f>IF(Alloy_spec_ori!M37=0,0.00001,Alloy_spec_ori!M37)</f>
        <v>9.999800003999922E-6</v>
      </c>
      <c r="N37" s="158"/>
    </row>
    <row r="38" spans="1:14" x14ac:dyDescent="0.2">
      <c r="A38" s="142" t="s">
        <v>274</v>
      </c>
      <c r="B38" s="161">
        <f>IF(Alloy_spec_ori!B38=0,0.00001,Alloy_spec_ori!B38)</f>
        <v>0.96198076038479241</v>
      </c>
      <c r="C38" s="161">
        <f>IF(Alloy_spec_ori!C38=0,0.00001,Alloy_spec_ori!C38)</f>
        <v>9.9998000039999216E-3</v>
      </c>
      <c r="D38" s="161">
        <f>IF(Alloy_spec_ori!D38=0,0.00001,Alloy_spec_ori!D38)</f>
        <v>4.9999000019999608E-3</v>
      </c>
      <c r="E38" s="161">
        <f>IF(Alloy_spec_ori!E38=0,0.00001,Alloy_spec_ori!E38)</f>
        <v>9.9998000039999225E-4</v>
      </c>
      <c r="F38" s="161">
        <f>IF(Alloy_spec_ori!F38=0,0.00001,Alloy_spec_ori!F38)</f>
        <v>6.9998600027999453E-3</v>
      </c>
      <c r="G38" s="161">
        <f>IF(Alloy_spec_ori!G38=0,0.00001,Alloy_spec_ori!G38)</f>
        <v>8.999820003599928E-3</v>
      </c>
      <c r="H38" s="161">
        <f>IF(Alloy_spec_ori!H38=0,0.00001,Alloy_spec_ori!H38)</f>
        <v>2.4999500009999804E-3</v>
      </c>
      <c r="I38" s="161">
        <f>IF(Alloy_spec_ori!I38=0,0.00001,Alloy_spec_ori!I38)</f>
        <v>4.9999000019999612E-4</v>
      </c>
      <c r="J38" s="161">
        <f>IF(Alloy_spec_ori!J38=0,0.00001,Alloy_spec_ori!J38)</f>
        <v>1.9999600007999845E-3</v>
      </c>
      <c r="K38" s="161">
        <f>IF(Alloy_spec_ori!K38=0,0.00001,Alloy_spec_ori!K38)</f>
        <v>9.9998000039999225E-4</v>
      </c>
      <c r="L38" s="161">
        <f>IF(Alloy_spec_ori!L38=0,0.00001,Alloy_spec_ori!L38)</f>
        <v>9.999800003999922E-6</v>
      </c>
      <c r="M38" s="161">
        <f>IF(Alloy_spec_ori!M38=0,0.00001,Alloy_spec_ori!M38)</f>
        <v>9.999800003999922E-6</v>
      </c>
      <c r="N38" s="158"/>
    </row>
    <row r="39" spans="1:14" x14ac:dyDescent="0.2">
      <c r="A39" s="142" t="s">
        <v>275</v>
      </c>
      <c r="B39" s="161">
        <f>IF(Alloy_spec_ori!B39=0,0.00001,Alloy_spec_ori!B39)</f>
        <v>0.96618067638647231</v>
      </c>
      <c r="C39" s="161">
        <f>IF(Alloy_spec_ori!C39=0,0.00001,Alloy_spec_ori!C39)</f>
        <v>8.499830003399933E-3</v>
      </c>
      <c r="D39" s="161">
        <f>IF(Alloy_spec_ori!D39=0,0.00001,Alloy_spec_ori!D39)</f>
        <v>3.999920001599969E-3</v>
      </c>
      <c r="E39" s="161">
        <f>IF(Alloy_spec_ori!E39=0,0.00001,Alloy_spec_ori!E39)</f>
        <v>6.9998600027999453E-3</v>
      </c>
      <c r="F39" s="161">
        <f>IF(Alloy_spec_ori!F39=0,0.00001,Alloy_spec_ori!F39)</f>
        <v>2.7999440011199778E-3</v>
      </c>
      <c r="G39" s="161">
        <f>IF(Alloy_spec_ori!G39=0,0.00001,Alloy_spec_ori!G39)</f>
        <v>7.4998500029999412E-3</v>
      </c>
      <c r="H39" s="161">
        <f>IF(Alloy_spec_ori!H39=0,0.00001,Alloy_spec_ori!H39)</f>
        <v>9.9998000039999225E-4</v>
      </c>
      <c r="I39" s="161">
        <f>IF(Alloy_spec_ori!I39=0,0.00001,Alloy_spec_ori!I39)</f>
        <v>4.9999000019999612E-4</v>
      </c>
      <c r="J39" s="161">
        <f>IF(Alloy_spec_ori!J39=0,0.00001,Alloy_spec_ori!J39)</f>
        <v>1.4999700005999884E-3</v>
      </c>
      <c r="K39" s="161">
        <f>IF(Alloy_spec_ori!K39=0,0.00001,Alloy_spec_ori!K39)</f>
        <v>9.9998000039999225E-4</v>
      </c>
      <c r="L39" s="161">
        <f>IF(Alloy_spec_ori!L39=0,0.00001,Alloy_spec_ori!L39)</f>
        <v>9.9998000039999203E-6</v>
      </c>
      <c r="M39" s="161">
        <f>IF(Alloy_spec_ori!M39=0,0.00001,Alloy_spec_ori!M39)</f>
        <v>9.9998000039999203E-6</v>
      </c>
      <c r="N39" s="158"/>
    </row>
    <row r="40" spans="1:14" x14ac:dyDescent="0.2">
      <c r="A40" s="142" t="s">
        <v>276</v>
      </c>
      <c r="B40" s="161">
        <f>IF(Alloy_spec_ori!B40=0,0.00001,Alloy_spec_ori!B40)</f>
        <v>0.96568411597471471</v>
      </c>
      <c r="C40" s="161">
        <f>IF(Alloy_spec_ori!C40=0,0.00001,Alloy_spec_ori!C40)</f>
        <v>8.9989201115887665E-3</v>
      </c>
      <c r="D40" s="161">
        <f>IF(Alloy_spec_ori!D40=0,0.00001,Alloy_spec_ori!D40)</f>
        <v>3.2996040409158816E-3</v>
      </c>
      <c r="E40" s="161">
        <f>IF(Alloy_spec_ori!E40=0,0.00001,Alloy_spec_ori!E40)</f>
        <v>2.4997000309968801E-3</v>
      </c>
      <c r="F40" s="161">
        <f>IF(Alloy_spec_ori!F40=0,0.00001,Alloy_spec_ori!F40)</f>
        <v>3.9995200495950081E-3</v>
      </c>
      <c r="G40" s="161">
        <f>IF(Alloy_spec_ori!G40=0,0.00001,Alloy_spec_ori!G40)</f>
        <v>7.9990400991900162E-3</v>
      </c>
      <c r="H40" s="161">
        <f>IF(Alloy_spec_ori!H40=0,0.00001,Alloy_spec_ori!H40)</f>
        <v>1.499820018598128E-3</v>
      </c>
      <c r="I40" s="161">
        <f>IF(Alloy_spec_ori!I40=0,0.00001,Alloy_spec_ori!I40)</f>
        <v>4.9994000619937601E-4</v>
      </c>
      <c r="J40" s="161">
        <f>IF(Alloy_spec_ori!J40=0,0.00001,Alloy_spec_ori!J40)</f>
        <v>2.9996400371962561E-3</v>
      </c>
      <c r="K40" s="161">
        <f>IF(Alloy_spec_ori!K40=0,0.00001,Alloy_spec_ori!K40)</f>
        <v>2.4997000309968801E-3</v>
      </c>
      <c r="L40" s="161">
        <f>IF(Alloy_spec_ori!L40=0,0.00001,Alloy_spec_ori!L40)</f>
        <v>9.999800003999917E-6</v>
      </c>
      <c r="M40" s="161">
        <f>IF(Alloy_spec_ori!M40=0,0.00001,Alloy_spec_ori!M40)</f>
        <v>9.999800003999917E-6</v>
      </c>
      <c r="N40" s="158"/>
    </row>
    <row r="41" spans="1:14" x14ac:dyDescent="0.2">
      <c r="A41" s="144" t="s">
        <v>277</v>
      </c>
      <c r="B41" s="161">
        <f>IF(Alloy_spec_ori!B41=0,0.00001,Alloy_spec_ori!B41)</f>
        <v>0.92738145237095249</v>
      </c>
      <c r="C41" s="161">
        <f>IF(Alloy_spec_ori!C41=0,0.00001,Alloy_spec_ori!C41)</f>
        <v>3.4999300013999718E-3</v>
      </c>
      <c r="D41" s="161">
        <f>IF(Alloy_spec_ori!D41=0,0.00001,Alloy_spec_ori!D41)</f>
        <v>3.9999200015999681E-3</v>
      </c>
      <c r="E41" s="161">
        <f>IF(Alloy_spec_ori!E41=0,0.00001,Alloy_spec_ori!E41)</f>
        <v>1.9999600007999841E-3</v>
      </c>
      <c r="F41" s="161">
        <f>IF(Alloy_spec_ori!F41=0,0.00001,Alloy_spec_ori!F41)</f>
        <v>2.7499450010999775E-3</v>
      </c>
      <c r="G41" s="161">
        <f>IF(Alloy_spec_ori!G41=0,0.00001,Alloy_spec_ori!G41)</f>
        <v>1.1999760004799903E-2</v>
      </c>
      <c r="H41" s="161">
        <f>IF(Alloy_spec_ori!H41=0,0.00001,Alloy_spec_ori!H41)</f>
        <v>2.2499550008999816E-3</v>
      </c>
      <c r="I41" s="161">
        <f>IF(Alloy_spec_ori!I41=0,0.00001,Alloy_spec_ori!I41)</f>
        <v>4.9999000019999601E-4</v>
      </c>
      <c r="J41" s="161">
        <f>IF(Alloy_spec_ori!J41=0,0.00001,Alloy_spec_ori!J41)</f>
        <v>4.4999100017999637E-2</v>
      </c>
      <c r="K41" s="161">
        <f>IF(Alloy_spec_ori!K41=0,0.00001,Alloy_spec_ori!K41)</f>
        <v>5.9998800023999507E-4</v>
      </c>
      <c r="L41" s="161">
        <f>IF(Alloy_spec_ori!L41=0,0.00001,Alloy_spec_ori!L41)</f>
        <v>9.9998000039999203E-6</v>
      </c>
      <c r="M41" s="161">
        <f>IF(Alloy_spec_ori!M41=0,0.00001,Alloy_spec_ori!M41)</f>
        <v>9.9998000039999203E-6</v>
      </c>
      <c r="N41" s="158"/>
    </row>
    <row r="42" spans="1:14" x14ac:dyDescent="0.2">
      <c r="A42" s="148" t="s">
        <v>278</v>
      </c>
      <c r="B42" s="161">
        <f>IF(Alloy_spec_ori!B42=0,0.00001,Alloy_spec_ori!B42)</f>
        <v>0.83048339033219343</v>
      </c>
      <c r="C42" s="161">
        <f>IF(Alloy_spec_ori!C42=0,0.00001,Alloy_spec_ori!C42)</f>
        <v>9.9998000039999216E-2</v>
      </c>
      <c r="D42" s="161">
        <f>IF(Alloy_spec_ori!D42=0,0.00001,Alloy_spec_ori!D42)</f>
        <v>1.149977000459991E-2</v>
      </c>
      <c r="E42" s="161">
        <f>IF(Alloy_spec_ori!E42=0,0.00001,Alloy_spec_ori!E42)</f>
        <v>3.2499350012999743E-2</v>
      </c>
      <c r="F42" s="161">
        <f>IF(Alloy_spec_ori!F42=0,0.00001,Alloy_spec_ori!F42)</f>
        <v>6.4998700025999485E-3</v>
      </c>
      <c r="G42" s="161">
        <f>IF(Alloy_spec_ori!G42=0,0.00001,Alloy_spec_ori!G42)</f>
        <v>3.6999260014799712E-3</v>
      </c>
      <c r="H42" s="161">
        <f>IF(Alloy_spec_ori!H42=0,0.00001,Alloy_spec_ori!H42)</f>
        <v>2.9999400011999759E-4</v>
      </c>
      <c r="I42" s="161">
        <f>IF(Alloy_spec_ori!I42=0,0.00001,Alloy_spec_ori!I42)</f>
        <v>1.2499750004999902E-2</v>
      </c>
      <c r="J42" s="161">
        <f>IF(Alloy_spec_ori!J42=0,0.00001,Alloy_spec_ori!J42)</f>
        <v>4.9999000019999612E-4</v>
      </c>
      <c r="K42" s="161">
        <f>IF(Alloy_spec_ori!K42=0,0.00001,Alloy_spec_ori!K42)</f>
        <v>1.9999600007999845E-3</v>
      </c>
      <c r="L42" s="161">
        <f>IF(Alloy_spec_ori!L42=0,0.00001,Alloy_spec_ori!L42)</f>
        <v>9.999800003999922E-6</v>
      </c>
      <c r="M42" s="161">
        <f>IF(Alloy_spec_ori!M42=0,0.00001,Alloy_spec_ori!M42)</f>
        <v>9.999800003999922E-6</v>
      </c>
      <c r="N42" s="158"/>
    </row>
    <row r="43" spans="1:14" x14ac:dyDescent="0.2">
      <c r="A43" s="148" t="s">
        <v>279</v>
      </c>
      <c r="B43" s="161">
        <f>IF(Alloy_spec_ori!B43=0,0.00001,Alloy_spec_ori!B43)</f>
        <v>0.86798264034719319</v>
      </c>
      <c r="C43" s="161">
        <f>IF(Alloy_spec_ori!C43=0,0.00001,Alloy_spec_ori!C43)</f>
        <v>5.9998800023999523E-2</v>
      </c>
      <c r="D43" s="161">
        <f>IF(Alloy_spec_ori!D43=0,0.00001,Alloy_spec_ori!D43)</f>
        <v>9.9998000039999216E-3</v>
      </c>
      <c r="E43" s="161">
        <f>IF(Alloy_spec_ori!E43=0,0.00001,Alloy_spec_ori!E43)</f>
        <v>3.4999300013999729E-2</v>
      </c>
      <c r="F43" s="161">
        <f>IF(Alloy_spec_ori!F43=0,0.00001,Alloy_spec_ori!F43)</f>
        <v>4.9999000019999608E-3</v>
      </c>
      <c r="G43" s="161">
        <f>IF(Alloy_spec_ori!G43=0,0.00001,Alloy_spec_ori!G43)</f>
        <v>9.9998000039999225E-4</v>
      </c>
      <c r="H43" s="161">
        <f>IF(Alloy_spec_ori!H43=0,0.00001,Alloy_spec_ori!H43)</f>
        <v>4.9999000019999608E-3</v>
      </c>
      <c r="I43" s="161">
        <f>IF(Alloy_spec_ori!I43=0,0.00001,Alloy_spec_ori!I43)</f>
        <v>3.4999300013999726E-3</v>
      </c>
      <c r="J43" s="161">
        <f>IF(Alloy_spec_ori!J43=0,0.00001,Alloy_spec_ori!J43)</f>
        <v>9.9998000039999216E-3</v>
      </c>
      <c r="K43" s="161">
        <f>IF(Alloy_spec_ori!K43=0,0.00001,Alloy_spec_ori!K43)</f>
        <v>2.4999500009999804E-3</v>
      </c>
      <c r="L43" s="161">
        <f>IF(Alloy_spec_ori!L43=0,0.00001,Alloy_spec_ori!L43)</f>
        <v>9.999800003999922E-6</v>
      </c>
      <c r="M43" s="161">
        <f>IF(Alloy_spec_ori!M43=0,0.00001,Alloy_spec_ori!M43)</f>
        <v>9.999800003999922E-6</v>
      </c>
      <c r="N43" s="158"/>
    </row>
    <row r="44" spans="1:14" x14ac:dyDescent="0.2">
      <c r="A44" s="148" t="s">
        <v>280</v>
      </c>
      <c r="B44" s="161">
        <f>IF(Alloy_spec_ori!B44=0,0.00001,Alloy_spec_ori!B44)</f>
        <v>0.80798384032319348</v>
      </c>
      <c r="C44" s="161">
        <f>IF(Alloy_spec_ori!C44=0,0.00001,Alloy_spec_ori!C44)</f>
        <v>0.10499790004199915</v>
      </c>
      <c r="D44" s="161">
        <f>IF(Alloy_spec_ori!D44=0,0.00001,Alloy_spec_ori!D44)</f>
        <v>1.2999740005199894E-2</v>
      </c>
      <c r="E44" s="161">
        <f>IF(Alloy_spec_ori!E44=0,0.00001,Alloy_spec_ori!E44)</f>
        <v>2.49995000099998E-2</v>
      </c>
      <c r="F44" s="161">
        <f>IF(Alloy_spec_ori!F44=0,0.00001,Alloy_spec_ori!F44)</f>
        <v>4.9999000019999599E-3</v>
      </c>
      <c r="G44" s="161">
        <f>IF(Alloy_spec_ori!G44=0,0.00001,Alloy_spec_ori!G44)</f>
        <v>9.9998000039999203E-4</v>
      </c>
      <c r="H44" s="161">
        <f>IF(Alloy_spec_ori!H44=0,0.00001,Alloy_spec_ori!H44)</f>
        <v>4.9999000019999599E-3</v>
      </c>
      <c r="I44" s="161">
        <f>IF(Alloy_spec_ori!I44=0,0.00001,Alloy_spec_ori!I44)</f>
        <v>2.9999400011999759E-3</v>
      </c>
      <c r="J44" s="161">
        <f>IF(Alloy_spec_ori!J44=0,0.00001,Alloy_spec_ori!J44)</f>
        <v>2.9999400011999758E-2</v>
      </c>
      <c r="K44" s="161">
        <f>IF(Alloy_spec_ori!K44=0,0.00001,Alloy_spec_ori!K44)</f>
        <v>4.9999000019999599E-3</v>
      </c>
      <c r="L44" s="161">
        <f>IF(Alloy_spec_ori!L44=0,0.00001,Alloy_spec_ori!L44)</f>
        <v>9.9998000039999203E-6</v>
      </c>
      <c r="M44" s="161">
        <f>IF(Alloy_spec_ori!M44=0,0.00001,Alloy_spec_ori!M44)</f>
        <v>9.9998000039999203E-6</v>
      </c>
      <c r="N44" s="158"/>
    </row>
    <row r="45" spans="1:14" x14ac:dyDescent="0.2">
      <c r="A45" s="148" t="s">
        <v>281</v>
      </c>
      <c r="B45" s="161">
        <f>IF(Alloy_spec_ori!B45=0,0.00001,Alloy_spec_ori!B45)</f>
        <v>0.91748165036699281</v>
      </c>
      <c r="C45" s="161">
        <f>IF(Alloy_spec_ori!C45=0,0.00001,Alloy_spec_ori!C45)</f>
        <v>6.9998600027999458E-2</v>
      </c>
      <c r="D45" s="161">
        <f>IF(Alloy_spec_ori!D45=0,0.00001,Alloy_spec_ori!D45)</f>
        <v>1.9999600007999845E-3</v>
      </c>
      <c r="E45" s="161">
        <f>IF(Alloy_spec_ori!E45=0,0.00001,Alloy_spec_ori!E45)</f>
        <v>1.9999600007999845E-3</v>
      </c>
      <c r="F45" s="161">
        <f>IF(Alloy_spec_ori!F45=0,0.00001,Alloy_spec_ori!F45)</f>
        <v>9.9998000039999225E-4</v>
      </c>
      <c r="G45" s="161">
        <f>IF(Alloy_spec_ori!G45=0,0.00001,Alloy_spec_ori!G45)</f>
        <v>3.4999300013999726E-3</v>
      </c>
      <c r="H45" s="161">
        <f>IF(Alloy_spec_ori!H45=0,0.00001,Alloy_spec_ori!H45)</f>
        <v>4.9999000019999612E-4</v>
      </c>
      <c r="I45" s="161">
        <f>IF(Alloy_spec_ori!I45=0,0.00001,Alloy_spec_ori!I45)</f>
        <v>4.9999000019999612E-4</v>
      </c>
      <c r="J45" s="161">
        <f>IF(Alloy_spec_ori!J45=0,0.00001,Alloy_spec_ori!J45)</f>
        <v>9.9998000039999225E-4</v>
      </c>
      <c r="K45" s="161">
        <f>IF(Alloy_spec_ori!K45=0,0.00001,Alloy_spec_ori!K45)</f>
        <v>1.9999600007999845E-3</v>
      </c>
      <c r="L45" s="161">
        <f>IF(Alloy_spec_ori!L45=0,0.00001,Alloy_spec_ori!L45)</f>
        <v>9.999800003999922E-6</v>
      </c>
      <c r="M45" s="161">
        <f>IF(Alloy_spec_ori!M45=0,0.00001,Alloy_spec_ori!M45)</f>
        <v>9.999800003999922E-6</v>
      </c>
      <c r="N45" s="158"/>
    </row>
    <row r="46" spans="1:14" x14ac:dyDescent="0.2">
      <c r="A46" s="148" t="s">
        <v>282</v>
      </c>
      <c r="B46" s="161">
        <f>IF(Alloy_spec_ori!B46=0,0.00001,Alloy_spec_ori!B46)</f>
        <v>0.91698166036679285</v>
      </c>
      <c r="C46" s="161">
        <f>IF(Alloy_spec_ori!C46=0,0.00001,Alloy_spec_ori!C46)</f>
        <v>6.9998600027999458E-2</v>
      </c>
      <c r="D46" s="161">
        <f>IF(Alloy_spec_ori!D46=0,0.00001,Alloy_spec_ori!D46)</f>
        <v>1.9999600007999845E-3</v>
      </c>
      <c r="E46" s="161">
        <f>IF(Alloy_spec_ori!E46=0,0.00001,Alloy_spec_ori!E46)</f>
        <v>1.9999600007999845E-3</v>
      </c>
      <c r="F46" s="161">
        <f>IF(Alloy_spec_ori!F46=0,0.00001,Alloy_spec_ori!F46)</f>
        <v>2.9999400011999759E-4</v>
      </c>
      <c r="G46" s="161">
        <f>IF(Alloy_spec_ori!G46=0,0.00001,Alloy_spec_ori!G46)</f>
        <v>5.4998900021999567E-3</v>
      </c>
      <c r="H46" s="161">
        <f>IF(Alloy_spec_ori!H46=0,0.00001,Alloy_spec_ori!H46)</f>
        <v>4.9999000019999612E-4</v>
      </c>
      <c r="I46" s="161">
        <f>IF(Alloy_spec_ori!I46=0,0.00001,Alloy_spec_ori!I46)</f>
        <v>4.9999000019999612E-4</v>
      </c>
      <c r="J46" s="161">
        <f>IF(Alloy_spec_ori!J46=0,0.00001,Alloy_spec_ori!J46)</f>
        <v>9.9998000039999225E-4</v>
      </c>
      <c r="K46" s="161">
        <f>IF(Alloy_spec_ori!K46=0,0.00001,Alloy_spec_ori!K46)</f>
        <v>1.1999760004799903E-3</v>
      </c>
      <c r="L46" s="161">
        <f>IF(Alloy_spec_ori!L46=0,0.00001,Alloy_spec_ori!L46)</f>
        <v>9.999800003999922E-6</v>
      </c>
      <c r="M46" s="161">
        <f>IF(Alloy_spec_ori!M46=0,0.00001,Alloy_spec_ori!M46)</f>
        <v>9.999800003999922E-6</v>
      </c>
      <c r="N46" s="158"/>
    </row>
    <row r="47" spans="1:14" x14ac:dyDescent="0.2">
      <c r="A47" s="148" t="s">
        <v>283</v>
      </c>
      <c r="B47" s="161">
        <f>IF(Alloy_spec_ori!B47=0,0.00001,Alloy_spec_ori!B47)</f>
        <v>0.86248275034499322</v>
      </c>
      <c r="C47" s="161">
        <f>IF(Alloy_spec_ori!C47=0,0.00001,Alloy_spec_ori!C47)</f>
        <v>9.4998100037999259E-2</v>
      </c>
      <c r="D47" s="161">
        <f>IF(Alloy_spec_ori!D47=0,0.00001,Alloy_spec_ori!D47)</f>
        <v>1.2999740005199897E-2</v>
      </c>
      <c r="E47" s="161">
        <f>IF(Alloy_spec_ori!E47=0,0.00001,Alloy_spec_ori!E47)</f>
        <v>5.9998800023999526E-3</v>
      </c>
      <c r="F47" s="161">
        <f>IF(Alloy_spec_ori!F47=0,0.00001,Alloy_spec_ori!F47)</f>
        <v>3.4999300013999726E-3</v>
      </c>
      <c r="G47" s="161">
        <f>IF(Alloy_spec_ori!G47=0,0.00001,Alloy_spec_ori!G47)</f>
        <v>4.9999000019999608E-3</v>
      </c>
      <c r="H47" s="161">
        <f>IF(Alloy_spec_ori!H47=0,0.00001,Alloy_spec_ori!H47)</f>
        <v>2.4999500009999804E-3</v>
      </c>
      <c r="I47" s="161">
        <f>IF(Alloy_spec_ori!I47=0,0.00001,Alloy_spec_ori!I47)</f>
        <v>4.9999000019999608E-3</v>
      </c>
      <c r="J47" s="161">
        <f>IF(Alloy_spec_ori!J47=0,0.00001,Alloy_spec_ori!J47)</f>
        <v>4.9999000019999608E-3</v>
      </c>
      <c r="K47" s="161">
        <f>IF(Alloy_spec_ori!K47=0,0.00001,Alloy_spec_ori!K47)</f>
        <v>2.4999500009999804E-3</v>
      </c>
      <c r="L47" s="161">
        <f>IF(Alloy_spec_ori!L47=0,0.00001,Alloy_spec_ori!L47)</f>
        <v>9.999800003999922E-6</v>
      </c>
      <c r="M47" s="161">
        <f>IF(Alloy_spec_ori!M47=0,0.00001,Alloy_spec_ori!M47)</f>
        <v>9.999800003999922E-6</v>
      </c>
      <c r="N47" s="158"/>
    </row>
    <row r="48" spans="1:14" x14ac:dyDescent="0.2">
      <c r="A48" s="148" t="s">
        <v>284</v>
      </c>
      <c r="B48" s="161">
        <f>IF(Alloy_spec_ori!B48=0,0.00001,Alloy_spec_ori!B48)</f>
        <v>0.83598328033439318</v>
      </c>
      <c r="C48" s="161">
        <f>IF(Alloy_spec_ori!C48=0,0.00001,Alloy_spec_ori!C48)</f>
        <v>8.4998300033999316E-2</v>
      </c>
      <c r="D48" s="161">
        <f>IF(Alloy_spec_ori!D48=0,0.00001,Alloy_spec_ori!D48)</f>
        <v>1.2999740005199894E-2</v>
      </c>
      <c r="E48" s="161">
        <f>IF(Alloy_spec_ori!E48=0,0.00001,Alloy_spec_ori!E48)</f>
        <v>3.4999300013999722E-2</v>
      </c>
      <c r="F48" s="161">
        <f>IF(Alloy_spec_ori!F48=0,0.00001,Alloy_spec_ori!F48)</f>
        <v>4.9999000019999599E-3</v>
      </c>
      <c r="G48" s="161">
        <f>IF(Alloy_spec_ori!G48=0,0.00001,Alloy_spec_ori!G48)</f>
        <v>9.9998000039999203E-4</v>
      </c>
      <c r="H48" s="161">
        <f>IF(Alloy_spec_ori!H48=0,0.00001,Alloy_spec_ori!H48)</f>
        <v>4.9999000019999599E-3</v>
      </c>
      <c r="I48" s="161">
        <f>IF(Alloy_spec_ori!I48=0,0.00001,Alloy_spec_ori!I48)</f>
        <v>4.9999000019999599E-3</v>
      </c>
      <c r="J48" s="161">
        <f>IF(Alloy_spec_ori!J48=0,0.00001,Alloy_spec_ori!J48)</f>
        <v>9.9998000039999198E-3</v>
      </c>
      <c r="K48" s="161">
        <f>IF(Alloy_spec_ori!K48=0,0.00001,Alloy_spec_ori!K48)</f>
        <v>4.9999000019999599E-3</v>
      </c>
      <c r="L48" s="161">
        <f>IF(Alloy_spec_ori!L48=0,0.00001,Alloy_spec_ori!L48)</f>
        <v>9.9998000039999203E-6</v>
      </c>
      <c r="M48" s="161">
        <f>IF(Alloy_spec_ori!M48=0,0.00001,Alloy_spec_ori!M48)</f>
        <v>9.9998000039999203E-6</v>
      </c>
      <c r="N48" s="158"/>
    </row>
    <row r="49" spans="1:14" x14ac:dyDescent="0.2">
      <c r="A49" s="148" t="s">
        <v>285</v>
      </c>
      <c r="B49" s="161">
        <f>IF(Alloy_spec_ori!B49=0,0.00001,Alloy_spec_ori!B49)</f>
        <v>0.74348513029739405</v>
      </c>
      <c r="C49" s="161">
        <f>IF(Alloy_spec_ori!C49=0,0.00001,Alloy_spec_ori!C49)</f>
        <v>0.16999660006799863</v>
      </c>
      <c r="D49" s="161">
        <f>IF(Alloy_spec_ori!D49=0,0.00001,Alloy_spec_ori!D49)</f>
        <v>1.2999740005199894E-2</v>
      </c>
      <c r="E49" s="161">
        <f>IF(Alloy_spec_ori!E49=0,0.00001,Alloy_spec_ori!E49)</f>
        <v>4.4999100017999637E-2</v>
      </c>
      <c r="F49" s="161">
        <f>IF(Alloy_spec_ori!F49=0,0.00001,Alloy_spec_ori!F49)</f>
        <v>4.9999000019999599E-3</v>
      </c>
      <c r="G49" s="161">
        <f>IF(Alloy_spec_ori!G49=0,0.00001,Alloy_spec_ori!G49)</f>
        <v>5.499890002199955E-3</v>
      </c>
      <c r="H49" s="161">
        <f>IF(Alloy_spec_ori!H49=0,0.00001,Alloy_spec_ori!H49)</f>
        <v>9.9998000039999203E-4</v>
      </c>
      <c r="I49" s="161">
        <f>IF(Alloy_spec_ori!I49=0,0.00001,Alloy_spec_ori!I49)</f>
        <v>9.9998000039999203E-4</v>
      </c>
      <c r="J49" s="161">
        <f>IF(Alloy_spec_ori!J49=0,0.00001,Alloy_spec_ori!J49)</f>
        <v>1.4999700005999879E-2</v>
      </c>
      <c r="K49" s="161">
        <f>IF(Alloy_spec_ori!K49=0,0.00001,Alloy_spec_ori!K49)</f>
        <v>9.9998000039999203E-4</v>
      </c>
      <c r="L49" s="161">
        <f>IF(Alloy_spec_ori!L49=0,0.00001,Alloy_spec_ori!L49)</f>
        <v>9.9998000039999203E-6</v>
      </c>
      <c r="M49" s="161">
        <f>IF(Alloy_spec_ori!M49=0,0.00001,Alloy_spec_ori!M49)</f>
        <v>9.9998000039999203E-6</v>
      </c>
      <c r="N49" s="158"/>
    </row>
    <row r="50" spans="1:14" x14ac:dyDescent="0.2">
      <c r="A50" s="147" t="s">
        <v>286</v>
      </c>
      <c r="B50" s="161">
        <f>IF(Alloy_spec_ori!B50=0,0.00001,Alloy_spec_ori!B50)</f>
        <v>0.87848243035139328</v>
      </c>
      <c r="C50" s="161">
        <f>IF(Alloy_spec_ori!C50=0,0.00001,Alloy_spec_ori!C50)</f>
        <v>0.10499790004199919</v>
      </c>
      <c r="D50" s="161">
        <f>IF(Alloy_spec_ori!D50=0,0.00001,Alloy_spec_ori!D50)</f>
        <v>1.4999700005999886E-3</v>
      </c>
      <c r="E50" s="161">
        <f>IF(Alloy_spec_ori!E50=0,0.00001,Alloy_spec_ori!E50)</f>
        <v>2.999940001199977E-4</v>
      </c>
      <c r="F50" s="161">
        <f>IF(Alloy_spec_ori!F50=0,0.00001,Alloy_spec_ori!F50)</f>
        <v>6.4998700025999502E-3</v>
      </c>
      <c r="G50" s="161">
        <f>IF(Alloy_spec_ori!G50=0,0.00001,Alloy_spec_ori!G50)</f>
        <v>2.9999400011999772E-3</v>
      </c>
      <c r="H50" s="161">
        <f>IF(Alloy_spec_ori!H50=0,0.00001,Alloy_spec_ori!H50)</f>
        <v>1.4999700005999886E-3</v>
      </c>
      <c r="I50" s="161">
        <f>IF(Alloy_spec_ori!I50=0,0.00001,Alloy_spec_ori!I50)</f>
        <v>1.4999700005999886E-3</v>
      </c>
      <c r="J50" s="161">
        <f>IF(Alloy_spec_ori!J50=0,0.00001,Alloy_spec_ori!J50)</f>
        <v>6.9998600027999466E-4</v>
      </c>
      <c r="K50" s="161">
        <f>IF(Alloy_spec_ori!K50=0,0.00001,Alloy_spec_ori!K50)</f>
        <v>1.4999700005999886E-3</v>
      </c>
      <c r="L50" s="161">
        <f>IF(Alloy_spec_ori!L50=0,0.00001,Alloy_spec_ori!L50)</f>
        <v>9.9998000039999237E-6</v>
      </c>
      <c r="M50" s="161">
        <f>IF(Alloy_spec_ori!M50=0,0.00001,Alloy_spec_ori!M50)</f>
        <v>9.9998000039999237E-6</v>
      </c>
      <c r="N50" s="158"/>
    </row>
    <row r="51" spans="1:14" x14ac:dyDescent="0.2">
      <c r="A51" s="142" t="s">
        <v>287</v>
      </c>
      <c r="B51" s="161">
        <f>IF(Alloy_spec_ori!B51=0,0.00001,Alloy_spec_ori!B51)</f>
        <v>0.83048339033219343</v>
      </c>
      <c r="C51" s="161">
        <f>IF(Alloy_spec_ori!C51=0,0.00001,Alloy_spec_ori!C51)</f>
        <v>9.9998000039999216E-2</v>
      </c>
      <c r="D51" s="161">
        <f>IF(Alloy_spec_ori!D51=0,0.00001,Alloy_spec_ori!D51)</f>
        <v>1.149977000459991E-2</v>
      </c>
      <c r="E51" s="161">
        <f>IF(Alloy_spec_ori!E51=0,0.00001,Alloy_spec_ori!E51)</f>
        <v>3.2499350012999743E-2</v>
      </c>
      <c r="F51" s="161">
        <f>IF(Alloy_spec_ori!F51=0,0.00001,Alloy_spec_ori!F51)</f>
        <v>6.4998700025999485E-3</v>
      </c>
      <c r="G51" s="161">
        <f>IF(Alloy_spec_ori!G51=0,0.00001,Alloy_spec_ori!G51)</f>
        <v>3.6999260014799712E-3</v>
      </c>
      <c r="H51" s="161">
        <f>IF(Alloy_spec_ori!H51=0,0.00001,Alloy_spec_ori!H51)</f>
        <v>2.9999400011999759E-4</v>
      </c>
      <c r="I51" s="161">
        <f>IF(Alloy_spec_ori!I51=0,0.00001,Alloy_spec_ori!I51)</f>
        <v>1.2499750004999902E-2</v>
      </c>
      <c r="J51" s="161">
        <f>IF(Alloy_spec_ori!J51=0,0.00001,Alloy_spec_ori!J51)</f>
        <v>4.9999000019999612E-4</v>
      </c>
      <c r="K51" s="161">
        <f>IF(Alloy_spec_ori!K51=0,0.00001,Alloy_spec_ori!K51)</f>
        <v>1.9999600007999845E-3</v>
      </c>
      <c r="L51" s="161">
        <f>IF(Alloy_spec_ori!L51=0,0.00001,Alloy_spec_ori!L51)</f>
        <v>9.999800003999922E-6</v>
      </c>
      <c r="M51" s="161">
        <f>IF(Alloy_spec_ori!M51=0,0.00001,Alloy_spec_ori!M51)</f>
        <v>9.999800003999922E-6</v>
      </c>
      <c r="N51" s="158"/>
    </row>
    <row r="52" spans="1:14" x14ac:dyDescent="0.2">
      <c r="A52" s="142" t="s">
        <v>288</v>
      </c>
      <c r="B52" s="161">
        <f>IF(Alloy_spec_ori!B52=0,0.00001,Alloy_spec_ori!B52)</f>
        <v>0.86798264034719319</v>
      </c>
      <c r="C52" s="161">
        <f>IF(Alloy_spec_ori!C52=0,0.00001,Alloy_spec_ori!C52)</f>
        <v>5.9998800023999523E-2</v>
      </c>
      <c r="D52" s="161">
        <f>IF(Alloy_spec_ori!D52=0,0.00001,Alloy_spec_ori!D52)</f>
        <v>9.9998000039999216E-3</v>
      </c>
      <c r="E52" s="161">
        <f>IF(Alloy_spec_ori!E52=0,0.00001,Alloy_spec_ori!E52)</f>
        <v>3.4999300013999729E-2</v>
      </c>
      <c r="F52" s="161">
        <f>IF(Alloy_spec_ori!F52=0,0.00001,Alloy_spec_ori!F52)</f>
        <v>4.9999000019999608E-3</v>
      </c>
      <c r="G52" s="161">
        <f>IF(Alloy_spec_ori!G52=0,0.00001,Alloy_spec_ori!G52)</f>
        <v>9.9998000039999225E-4</v>
      </c>
      <c r="H52" s="161">
        <f>IF(Alloy_spec_ori!H52=0,0.00001,Alloy_spec_ori!H52)</f>
        <v>4.9999000019999608E-3</v>
      </c>
      <c r="I52" s="161">
        <f>IF(Alloy_spec_ori!I52=0,0.00001,Alloy_spec_ori!I52)</f>
        <v>3.4999300013999726E-3</v>
      </c>
      <c r="J52" s="161">
        <f>IF(Alloy_spec_ori!J52=0,0.00001,Alloy_spec_ori!J52)</f>
        <v>9.9998000039999216E-3</v>
      </c>
      <c r="K52" s="161">
        <f>IF(Alloy_spec_ori!K52=0,0.00001,Alloy_spec_ori!K52)</f>
        <v>2.4999500009999804E-3</v>
      </c>
      <c r="L52" s="161">
        <f>IF(Alloy_spec_ori!L52=0,0.00001,Alloy_spec_ori!L52)</f>
        <v>9.999800003999922E-6</v>
      </c>
      <c r="M52" s="161">
        <f>IF(Alloy_spec_ori!M52=0,0.00001,Alloy_spec_ori!M52)</f>
        <v>9.999800003999922E-6</v>
      </c>
      <c r="N52" s="158"/>
    </row>
    <row r="53" spans="1:14" x14ac:dyDescent="0.2">
      <c r="A53" s="142" t="s">
        <v>289</v>
      </c>
      <c r="B53" s="161">
        <f>IF(Alloy_spec_ori!B53=0,0.00001,Alloy_spec_ori!B53)</f>
        <v>0.80798384032319348</v>
      </c>
      <c r="C53" s="161">
        <f>IF(Alloy_spec_ori!C53=0,0.00001,Alloy_spec_ori!C53)</f>
        <v>0.10499790004199915</v>
      </c>
      <c r="D53" s="161">
        <f>IF(Alloy_spec_ori!D53=0,0.00001,Alloy_spec_ori!D53)</f>
        <v>1.2999740005199894E-2</v>
      </c>
      <c r="E53" s="161">
        <f>IF(Alloy_spec_ori!E53=0,0.00001,Alloy_spec_ori!E53)</f>
        <v>2.49995000099998E-2</v>
      </c>
      <c r="F53" s="161">
        <f>IF(Alloy_spec_ori!F53=0,0.00001,Alloy_spec_ori!F53)</f>
        <v>4.9999000019999599E-3</v>
      </c>
      <c r="G53" s="161">
        <f>IF(Alloy_spec_ori!G53=0,0.00001,Alloy_spec_ori!G53)</f>
        <v>9.9998000039999203E-4</v>
      </c>
      <c r="H53" s="161">
        <f>IF(Alloy_spec_ori!H53=0,0.00001,Alloy_spec_ori!H53)</f>
        <v>4.9999000019999599E-3</v>
      </c>
      <c r="I53" s="161">
        <f>IF(Alloy_spec_ori!I53=0,0.00001,Alloy_spec_ori!I53)</f>
        <v>2.9999400011999759E-3</v>
      </c>
      <c r="J53" s="161">
        <f>IF(Alloy_spec_ori!J53=0,0.00001,Alloy_spec_ori!J53)</f>
        <v>2.9999400011999758E-2</v>
      </c>
      <c r="K53" s="161">
        <f>IF(Alloy_spec_ori!K53=0,0.00001,Alloy_spec_ori!K53)</f>
        <v>4.9999000019999599E-3</v>
      </c>
      <c r="L53" s="161">
        <f>IF(Alloy_spec_ori!L53=0,0.00001,Alloy_spec_ori!L53)</f>
        <v>9.9998000039999203E-6</v>
      </c>
      <c r="M53" s="161">
        <f>IF(Alloy_spec_ori!M53=0,0.00001,Alloy_spec_ori!M53)</f>
        <v>9.9998000039999203E-6</v>
      </c>
      <c r="N53" s="158"/>
    </row>
    <row r="54" spans="1:14" x14ac:dyDescent="0.2">
      <c r="A54" s="142" t="s">
        <v>290</v>
      </c>
      <c r="B54" s="161">
        <f>IF(Alloy_spec_ori!B54=0,0.00001,Alloy_spec_ori!B54)</f>
        <v>0.91748165036699281</v>
      </c>
      <c r="C54" s="161">
        <f>IF(Alloy_spec_ori!C54=0,0.00001,Alloy_spec_ori!C54)</f>
        <v>6.9998600027999458E-2</v>
      </c>
      <c r="D54" s="161">
        <f>IF(Alloy_spec_ori!D54=0,0.00001,Alloy_spec_ori!D54)</f>
        <v>1.9999600007999845E-3</v>
      </c>
      <c r="E54" s="161">
        <f>IF(Alloy_spec_ori!E54=0,0.00001,Alloy_spec_ori!E54)</f>
        <v>1.9999600007999845E-3</v>
      </c>
      <c r="F54" s="161">
        <f>IF(Alloy_spec_ori!F54=0,0.00001,Alloy_spec_ori!F54)</f>
        <v>9.9998000039999225E-4</v>
      </c>
      <c r="G54" s="161">
        <f>IF(Alloy_spec_ori!G54=0,0.00001,Alloy_spec_ori!G54)</f>
        <v>3.4999300013999726E-3</v>
      </c>
      <c r="H54" s="161">
        <f>IF(Alloy_spec_ori!H54=0,0.00001,Alloy_spec_ori!H54)</f>
        <v>4.9999000019999612E-4</v>
      </c>
      <c r="I54" s="161">
        <f>IF(Alloy_spec_ori!I54=0,0.00001,Alloy_spec_ori!I54)</f>
        <v>4.9999000019999612E-4</v>
      </c>
      <c r="J54" s="161">
        <f>IF(Alloy_spec_ori!J54=0,0.00001,Alloy_spec_ori!J54)</f>
        <v>9.9998000039999225E-4</v>
      </c>
      <c r="K54" s="161">
        <f>IF(Alloy_spec_ori!K54=0,0.00001,Alloy_spec_ori!K54)</f>
        <v>1.9999600007999845E-3</v>
      </c>
      <c r="L54" s="161">
        <f>IF(Alloy_spec_ori!L54=0,0.00001,Alloy_spec_ori!L54)</f>
        <v>9.999800003999922E-6</v>
      </c>
      <c r="M54" s="161">
        <f>IF(Alloy_spec_ori!M54=0,0.00001,Alloy_spec_ori!M54)</f>
        <v>9.999800003999922E-6</v>
      </c>
      <c r="N54" s="158"/>
    </row>
    <row r="55" spans="1:14" x14ac:dyDescent="0.2">
      <c r="A55" s="142" t="s">
        <v>291</v>
      </c>
      <c r="B55" s="161">
        <f>IF(Alloy_spec_ori!B55=0,0.00001,Alloy_spec_ori!B55)</f>
        <v>0.91698166036679285</v>
      </c>
      <c r="C55" s="161">
        <f>IF(Alloy_spec_ori!C55=0,0.00001,Alloy_spec_ori!C55)</f>
        <v>6.9998600027999458E-2</v>
      </c>
      <c r="D55" s="161">
        <f>IF(Alloy_spec_ori!D55=0,0.00001,Alloy_spec_ori!D55)</f>
        <v>1.9999600007999845E-3</v>
      </c>
      <c r="E55" s="161">
        <f>IF(Alloy_spec_ori!E55=0,0.00001,Alloy_spec_ori!E55)</f>
        <v>1.9999600007999845E-3</v>
      </c>
      <c r="F55" s="161">
        <f>IF(Alloy_spec_ori!F55=0,0.00001,Alloy_spec_ori!F55)</f>
        <v>2.9999400011999759E-4</v>
      </c>
      <c r="G55" s="161">
        <f>IF(Alloy_spec_ori!G55=0,0.00001,Alloy_spec_ori!G55)</f>
        <v>5.4998900021999567E-3</v>
      </c>
      <c r="H55" s="161">
        <f>IF(Alloy_spec_ori!H55=0,0.00001,Alloy_spec_ori!H55)</f>
        <v>4.9999000019999612E-4</v>
      </c>
      <c r="I55" s="161">
        <f>IF(Alloy_spec_ori!I55=0,0.00001,Alloy_spec_ori!I55)</f>
        <v>4.9999000019999612E-4</v>
      </c>
      <c r="J55" s="161">
        <f>IF(Alloy_spec_ori!J55=0,0.00001,Alloy_spec_ori!J55)</f>
        <v>9.9998000039999225E-4</v>
      </c>
      <c r="K55" s="161">
        <f>IF(Alloy_spec_ori!K55=0,0.00001,Alloy_spec_ori!K55)</f>
        <v>1.1999760004799903E-3</v>
      </c>
      <c r="L55" s="161">
        <f>IF(Alloy_spec_ori!L55=0,0.00001,Alloy_spec_ori!L55)</f>
        <v>9.999800003999922E-6</v>
      </c>
      <c r="M55" s="161">
        <f>IF(Alloy_spec_ori!M55=0,0.00001,Alloy_spec_ori!M55)</f>
        <v>9.999800003999922E-6</v>
      </c>
      <c r="N55" s="158"/>
    </row>
    <row r="56" spans="1:14" x14ac:dyDescent="0.2">
      <c r="A56" s="142" t="s">
        <v>292</v>
      </c>
      <c r="B56" s="161">
        <f>IF(Alloy_spec_ori!B56=0,0.00001,Alloy_spec_ori!B56)</f>
        <v>0.86248275034499322</v>
      </c>
      <c r="C56" s="161">
        <f>IF(Alloy_spec_ori!C56=0,0.00001,Alloy_spec_ori!C56)</f>
        <v>9.4998100037999259E-2</v>
      </c>
      <c r="D56" s="161">
        <f>IF(Alloy_spec_ori!D56=0,0.00001,Alloy_spec_ori!D56)</f>
        <v>1.2999740005199897E-2</v>
      </c>
      <c r="E56" s="161">
        <f>IF(Alloy_spec_ori!E56=0,0.00001,Alloy_spec_ori!E56)</f>
        <v>5.9998800023999526E-3</v>
      </c>
      <c r="F56" s="161">
        <f>IF(Alloy_spec_ori!F56=0,0.00001,Alloy_spec_ori!F56)</f>
        <v>3.4999300013999726E-3</v>
      </c>
      <c r="G56" s="161">
        <f>IF(Alloy_spec_ori!G56=0,0.00001,Alloy_spec_ori!G56)</f>
        <v>4.9999000019999608E-3</v>
      </c>
      <c r="H56" s="161">
        <f>IF(Alloy_spec_ori!H56=0,0.00001,Alloy_spec_ori!H56)</f>
        <v>2.4999500009999804E-3</v>
      </c>
      <c r="I56" s="161">
        <f>IF(Alloy_spec_ori!I56=0,0.00001,Alloy_spec_ori!I56)</f>
        <v>4.9999000019999608E-3</v>
      </c>
      <c r="J56" s="161">
        <f>IF(Alloy_spec_ori!J56=0,0.00001,Alloy_spec_ori!J56)</f>
        <v>4.9999000019999608E-3</v>
      </c>
      <c r="K56" s="161">
        <f>IF(Alloy_spec_ori!K56=0,0.00001,Alloy_spec_ori!K56)</f>
        <v>2.4999500009999804E-3</v>
      </c>
      <c r="L56" s="161">
        <f>IF(Alloy_spec_ori!L56=0,0.00001,Alloy_spec_ori!L56)</f>
        <v>9.999800003999922E-6</v>
      </c>
      <c r="M56" s="161">
        <f>IF(Alloy_spec_ori!M56=0,0.00001,Alloy_spec_ori!M56)</f>
        <v>9.999800003999922E-6</v>
      </c>
      <c r="N56" s="158"/>
    </row>
    <row r="57" spans="1:14" x14ac:dyDescent="0.2">
      <c r="A57" s="142" t="s">
        <v>293</v>
      </c>
      <c r="B57" s="161">
        <f>IF(Alloy_spec_ori!B57=0,0.00001,Alloy_spec_ori!B57)</f>
        <v>0.83598328033439318</v>
      </c>
      <c r="C57" s="161">
        <f>IF(Alloy_spec_ori!C57=0,0.00001,Alloy_spec_ori!C57)</f>
        <v>8.4998300033999316E-2</v>
      </c>
      <c r="D57" s="161">
        <f>IF(Alloy_spec_ori!D57=0,0.00001,Alloy_spec_ori!D57)</f>
        <v>1.2999740005199894E-2</v>
      </c>
      <c r="E57" s="161">
        <f>IF(Alloy_spec_ori!E57=0,0.00001,Alloy_spec_ori!E57)</f>
        <v>3.4999300013999722E-2</v>
      </c>
      <c r="F57" s="161">
        <f>IF(Alloy_spec_ori!F57=0,0.00001,Alloy_spec_ori!F57)</f>
        <v>4.9999000019999599E-3</v>
      </c>
      <c r="G57" s="161">
        <f>IF(Alloy_spec_ori!G57=0,0.00001,Alloy_spec_ori!G57)</f>
        <v>9.9998000039999203E-4</v>
      </c>
      <c r="H57" s="161">
        <f>IF(Alloy_spec_ori!H57=0,0.00001,Alloy_spec_ori!H57)</f>
        <v>4.9999000019999599E-3</v>
      </c>
      <c r="I57" s="161">
        <f>IF(Alloy_spec_ori!I57=0,0.00001,Alloy_spec_ori!I57)</f>
        <v>4.9999000019999599E-3</v>
      </c>
      <c r="J57" s="161">
        <f>IF(Alloy_spec_ori!J57=0,0.00001,Alloy_spec_ori!J57)</f>
        <v>9.9998000039999198E-3</v>
      </c>
      <c r="K57" s="161">
        <f>IF(Alloy_spec_ori!K57=0,0.00001,Alloy_spec_ori!K57)</f>
        <v>4.9999000019999599E-3</v>
      </c>
      <c r="L57" s="161">
        <f>IF(Alloy_spec_ori!L57=0,0.00001,Alloy_spec_ori!L57)</f>
        <v>9.9998000039999203E-6</v>
      </c>
      <c r="M57" s="161">
        <f>IF(Alloy_spec_ori!M57=0,0.00001,Alloy_spec_ori!M57)</f>
        <v>9.9998000039999203E-6</v>
      </c>
      <c r="N57" s="158"/>
    </row>
    <row r="58" spans="1:14" x14ac:dyDescent="0.2">
      <c r="A58" s="142" t="s">
        <v>294</v>
      </c>
      <c r="B58" s="161">
        <f>IF(Alloy_spec_ori!B58=0,0.00001,Alloy_spec_ori!B58)</f>
        <v>0.74348513029739405</v>
      </c>
      <c r="C58" s="161">
        <f>IF(Alloy_spec_ori!C58=0,0.00001,Alloy_spec_ori!C58)</f>
        <v>0.16999660006799863</v>
      </c>
      <c r="D58" s="161">
        <f>IF(Alloy_spec_ori!D58=0,0.00001,Alloy_spec_ori!D58)</f>
        <v>1.2999740005199894E-2</v>
      </c>
      <c r="E58" s="161">
        <f>IF(Alloy_spec_ori!E58=0,0.00001,Alloy_spec_ori!E58)</f>
        <v>4.4999100017999637E-2</v>
      </c>
      <c r="F58" s="161">
        <f>IF(Alloy_spec_ori!F58=0,0.00001,Alloy_spec_ori!F58)</f>
        <v>4.9999000019999599E-3</v>
      </c>
      <c r="G58" s="161">
        <f>IF(Alloy_spec_ori!G58=0,0.00001,Alloy_spec_ori!G58)</f>
        <v>5.499890002199955E-3</v>
      </c>
      <c r="H58" s="161">
        <f>IF(Alloy_spec_ori!H58=0,0.00001,Alloy_spec_ori!H58)</f>
        <v>9.9998000039999203E-4</v>
      </c>
      <c r="I58" s="161">
        <f>IF(Alloy_spec_ori!I58=0,0.00001,Alloy_spec_ori!I58)</f>
        <v>9.9998000039999203E-4</v>
      </c>
      <c r="J58" s="161">
        <f>IF(Alloy_spec_ori!J58=0,0.00001,Alloy_spec_ori!J58)</f>
        <v>1.4999700005999879E-2</v>
      </c>
      <c r="K58" s="161">
        <f>IF(Alloy_spec_ori!K58=0,0.00001,Alloy_spec_ori!K58)</f>
        <v>9.9998000039999203E-4</v>
      </c>
      <c r="L58" s="161">
        <f>IF(Alloy_spec_ori!L58=0,0.00001,Alloy_spec_ori!L58)</f>
        <v>9.9998000039999203E-6</v>
      </c>
      <c r="M58" s="161">
        <f>IF(Alloy_spec_ori!M58=0,0.00001,Alloy_spec_ori!M58)</f>
        <v>9.9998000039999203E-6</v>
      </c>
      <c r="N58" s="158"/>
    </row>
    <row r="59" spans="1:14" x14ac:dyDescent="0.2">
      <c r="A59" s="144" t="s">
        <v>295</v>
      </c>
      <c r="B59" s="161">
        <f>IF(Alloy_spec_ori!B59=0,0.00001,Alloy_spec_ori!B59)</f>
        <v>0.87848243035139328</v>
      </c>
      <c r="C59" s="161">
        <f>IF(Alloy_spec_ori!C59=0,0.00001,Alloy_spec_ori!C59)</f>
        <v>0.10499790004199919</v>
      </c>
      <c r="D59" s="161">
        <f>IF(Alloy_spec_ori!D59=0,0.00001,Alloy_spec_ori!D59)</f>
        <v>1.4999700005999886E-3</v>
      </c>
      <c r="E59" s="161">
        <f>IF(Alloy_spec_ori!E59=0,0.00001,Alloy_spec_ori!E59)</f>
        <v>2.999940001199977E-4</v>
      </c>
      <c r="F59" s="161">
        <f>IF(Alloy_spec_ori!F59=0,0.00001,Alloy_spec_ori!F59)</f>
        <v>6.4998700025999502E-3</v>
      </c>
      <c r="G59" s="161">
        <f>IF(Alloy_spec_ori!G59=0,0.00001,Alloy_spec_ori!G59)</f>
        <v>2.9999400011999772E-3</v>
      </c>
      <c r="H59" s="161">
        <f>IF(Alloy_spec_ori!H59=0,0.00001,Alloy_spec_ori!H59)</f>
        <v>1.4999700005999886E-3</v>
      </c>
      <c r="I59" s="161">
        <f>IF(Alloy_spec_ori!I59=0,0.00001,Alloy_spec_ori!I59)</f>
        <v>1.4999700005999886E-3</v>
      </c>
      <c r="J59" s="161">
        <f>IF(Alloy_spec_ori!J59=0,0.00001,Alloy_spec_ori!J59)</f>
        <v>6.9998600027999466E-4</v>
      </c>
      <c r="K59" s="161">
        <f>IF(Alloy_spec_ori!K59=0,0.00001,Alloy_spec_ori!K59)</f>
        <v>1.4999700005999886E-3</v>
      </c>
      <c r="L59" s="161">
        <f>IF(Alloy_spec_ori!L59=0,0.00001,Alloy_spec_ori!L59)</f>
        <v>9.9998000039999237E-6</v>
      </c>
      <c r="M59" s="161">
        <f>IF(Alloy_spec_ori!M59=0,0.00001,Alloy_spec_ori!M59)</f>
        <v>9.9998000039999237E-6</v>
      </c>
      <c r="N59" s="158"/>
    </row>
    <row r="60" spans="1:14" x14ac:dyDescent="0.2">
      <c r="A60" s="142" t="s">
        <v>206</v>
      </c>
      <c r="B60" s="161">
        <f>IF(Alloy_spec_ori!B60=0,0.00001,Alloy_spec_ori!B60)</f>
        <v>8.9992800575953907E-2</v>
      </c>
      <c r="C60" s="161">
        <f>IF(Alloy_spec_ori!C60=0,0.00001,Alloy_spec_ori!C60)</f>
        <v>9.9992000639948798E-6</v>
      </c>
      <c r="D60" s="161">
        <f>IF(Alloy_spec_ori!D60=0,0.00001,Alloy_spec_ori!D60)</f>
        <v>9.9992000639948798E-6</v>
      </c>
      <c r="E60" s="161">
        <f>IF(Alloy_spec_ori!E60=0,0.00001,Alloy_spec_ori!E60)</f>
        <v>9.9992000639948798E-6</v>
      </c>
      <c r="F60" s="161">
        <f>IF(Alloy_spec_ori!F60=0,0.00001,Alloy_spec_ori!F60)</f>
        <v>1.2998960083193344E-3</v>
      </c>
      <c r="G60" s="161">
        <f>IF(Alloy_spec_ori!G60=0,0.00001,Alloy_spec_ori!G60)</f>
        <v>0.9016278697704182</v>
      </c>
      <c r="H60" s="161">
        <f>IF(Alloy_spec_ori!H60=0,0.00001,Alloy_spec_ori!H60)</f>
        <v>9.9992000639948798E-6</v>
      </c>
      <c r="I60" s="161">
        <f>IF(Alloy_spec_ori!I60=0,0.00001,Alloy_spec_ori!I60)</f>
        <v>9.9992000639948798E-6</v>
      </c>
      <c r="J60" s="161">
        <f>IF(Alloy_spec_ori!J60=0,0.00001,Alloy_spec_ori!J60)</f>
        <v>6.9994400447964157E-3</v>
      </c>
      <c r="K60" s="161">
        <f>IF(Alloy_spec_ori!K60=0,0.00001,Alloy_spec_ori!K60)</f>
        <v>9.9992000639948798E-6</v>
      </c>
      <c r="L60" s="161">
        <f>IF(Alloy_spec_ori!L60=0,0.00001,Alloy_spec_ori!L60)</f>
        <v>9.9992000639948798E-6</v>
      </c>
      <c r="M60" s="161">
        <f>IF(Alloy_spec_ori!M60=0,0.00001,Alloy_spec_ori!M60)</f>
        <v>9.9992000639948798E-6</v>
      </c>
      <c r="N60" s="158"/>
    </row>
    <row r="61" spans="1:14" ht="17" thickBot="1" x14ac:dyDescent="0.25">
      <c r="A61" s="149" t="s">
        <v>208</v>
      </c>
      <c r="B61" s="161">
        <f>IF(Alloy_spec_ori!B61=0,0.00001,Alloy_spec_ori!B61)</f>
        <v>8.9992800575953907E-2</v>
      </c>
      <c r="C61" s="161">
        <f>IF(Alloy_spec_ori!C61=0,0.00001,Alloy_spec_ori!C61)</f>
        <v>9.9992000639948798E-6</v>
      </c>
      <c r="D61" s="161">
        <f>IF(Alloy_spec_ori!D61=0,0.00001,Alloy_spec_ori!D61)</f>
        <v>9.9992000639948798E-6</v>
      </c>
      <c r="E61" s="161">
        <f>IF(Alloy_spec_ori!E61=0,0.00001,Alloy_spec_ori!E61)</f>
        <v>9.9992000639948798E-6</v>
      </c>
      <c r="F61" s="161">
        <f>IF(Alloy_spec_ori!F61=0,0.00001,Alloy_spec_ori!F61)</f>
        <v>1.2998960083193344E-3</v>
      </c>
      <c r="G61" s="161">
        <f>IF(Alloy_spec_ori!G61=0,0.00001,Alloy_spec_ori!G61)</f>
        <v>0.9016278697704182</v>
      </c>
      <c r="H61" s="161">
        <f>IF(Alloy_spec_ori!H61=0,0.00001,Alloy_spec_ori!H61)</f>
        <v>9.9992000639948798E-6</v>
      </c>
      <c r="I61" s="161">
        <f>IF(Alloy_spec_ori!I61=0,0.00001,Alloy_spec_ori!I61)</f>
        <v>9.9992000639948798E-6</v>
      </c>
      <c r="J61" s="161">
        <f>IF(Alloy_spec_ori!J61=0,0.00001,Alloy_spec_ori!J61)</f>
        <v>6.9994400447964157E-3</v>
      </c>
      <c r="K61" s="161">
        <f>IF(Alloy_spec_ori!K61=0,0.00001,Alloy_spec_ori!K61)</f>
        <v>9.9992000639948798E-6</v>
      </c>
      <c r="L61" s="161">
        <f>IF(Alloy_spec_ori!L61=0,0.00001,Alloy_spec_ori!L61)</f>
        <v>9.9992000639948798E-6</v>
      </c>
      <c r="M61" s="161">
        <f>IF(Alloy_spec_ori!M61=0,0.00001,Alloy_spec_ori!M61)</f>
        <v>9.9992000639948798E-6</v>
      </c>
      <c r="N61" s="158"/>
    </row>
    <row r="62" spans="1:14" ht="17" thickTop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2"/>
  <sheetViews>
    <sheetView zoomScale="80" zoomScaleNormal="80" zoomScalePageLayoutView="80" workbookViewId="0">
      <selection activeCell="C22" sqref="C22"/>
    </sheetView>
  </sheetViews>
  <sheetFormatPr baseColWidth="10" defaultRowHeight="16" x14ac:dyDescent="0.2"/>
  <cols>
    <col min="1" max="1" width="41" bestFit="1" customWidth="1"/>
    <col min="5" max="5" width="26.83203125" bestFit="1" customWidth="1"/>
    <col min="9" max="9" width="12.6640625" bestFit="1" customWidth="1"/>
    <col min="12" max="12" width="12" bestFit="1" customWidth="1"/>
    <col min="18" max="18" width="16.83203125" bestFit="1" customWidth="1"/>
  </cols>
  <sheetData>
    <row r="1" spans="1:18" x14ac:dyDescent="0.2">
      <c r="A1" s="1" t="s">
        <v>110</v>
      </c>
      <c r="B1" s="50" t="s">
        <v>98</v>
      </c>
      <c r="C1" s="51" t="s">
        <v>99</v>
      </c>
      <c r="D1" s="52" t="s">
        <v>100</v>
      </c>
      <c r="E1" s="1" t="s">
        <v>124</v>
      </c>
      <c r="F1" s="50" t="s">
        <v>98</v>
      </c>
      <c r="G1" s="51" t="s">
        <v>99</v>
      </c>
      <c r="H1" s="52" t="s">
        <v>101</v>
      </c>
      <c r="I1" s="1" t="s">
        <v>111</v>
      </c>
      <c r="J1" s="50" t="s">
        <v>102</v>
      </c>
      <c r="K1" s="52" t="s">
        <v>103</v>
      </c>
      <c r="L1" s="1" t="s">
        <v>128</v>
      </c>
      <c r="M1" s="50" t="s">
        <v>108</v>
      </c>
      <c r="N1" s="52" t="s">
        <v>109</v>
      </c>
      <c r="P1" s="1" t="s">
        <v>121</v>
      </c>
      <c r="Q1" s="1" t="s">
        <v>113</v>
      </c>
      <c r="R1" s="1" t="s">
        <v>114</v>
      </c>
    </row>
    <row r="2" spans="1:18" x14ac:dyDescent="0.2">
      <c r="B2" s="23">
        <v>0.21099999999999999</v>
      </c>
      <c r="C2" s="22">
        <v>0.191</v>
      </c>
      <c r="D2" s="62">
        <v>0.59800000000000009</v>
      </c>
      <c r="F2" s="23">
        <v>0</v>
      </c>
      <c r="G2" s="22">
        <v>0.13</v>
      </c>
      <c r="H2" s="62">
        <v>0.87</v>
      </c>
      <c r="J2" s="23">
        <v>0.85</v>
      </c>
      <c r="K2" s="62">
        <v>0.15000000000000002</v>
      </c>
      <c r="M2" s="23">
        <v>1</v>
      </c>
      <c r="N2" s="62">
        <v>0</v>
      </c>
      <c r="P2" s="50" t="s">
        <v>115</v>
      </c>
      <c r="Q2" s="51">
        <v>0.73599999999999999</v>
      </c>
      <c r="R2" s="52">
        <v>0.26400000000000001</v>
      </c>
    </row>
    <row r="3" spans="1:18" x14ac:dyDescent="0.2">
      <c r="P3" s="53" t="s">
        <v>116</v>
      </c>
      <c r="Q3" s="54">
        <v>0.89</v>
      </c>
      <c r="R3" s="55">
        <v>0.10999999999999999</v>
      </c>
    </row>
    <row r="4" spans="1:18" x14ac:dyDescent="0.2">
      <c r="P4" s="53" t="s">
        <v>117</v>
      </c>
      <c r="Q4" s="54">
        <v>0.15</v>
      </c>
      <c r="R4" s="55">
        <v>0.85</v>
      </c>
    </row>
    <row r="5" spans="1:18" x14ac:dyDescent="0.2">
      <c r="A5" s="1" t="s">
        <v>129</v>
      </c>
      <c r="B5" s="38" t="s">
        <v>121</v>
      </c>
      <c r="P5" s="53" t="s">
        <v>119</v>
      </c>
      <c r="Q5" s="54" t="s">
        <v>127</v>
      </c>
      <c r="R5" s="55" t="s">
        <v>127</v>
      </c>
    </row>
    <row r="6" spans="1:18" x14ac:dyDescent="0.2">
      <c r="A6" s="50" t="str">
        <f>Archetype_body_GREET2!A5</f>
        <v>Steel hot rolled stamped</v>
      </c>
      <c r="B6" s="63">
        <f>B2*Q2</f>
        <v>0.15529599999999999</v>
      </c>
      <c r="P6" s="23" t="s">
        <v>118</v>
      </c>
      <c r="Q6" s="22">
        <v>0.47899999999999998</v>
      </c>
      <c r="R6" s="62">
        <v>0.52100000000000002</v>
      </c>
    </row>
    <row r="7" spans="1:18" x14ac:dyDescent="0.2">
      <c r="A7" s="53" t="str">
        <f>Archetype_body_GREET2!A6</f>
        <v>Steel cold rolled stamped</v>
      </c>
      <c r="B7" s="64">
        <f>C2*Q2</f>
        <v>0.14057600000000001</v>
      </c>
    </row>
    <row r="8" spans="1:18" x14ac:dyDescent="0.2">
      <c r="A8" s="53" t="str">
        <f>Archetype_body_GREET2!A7</f>
        <v>Steel galvanized stamped</v>
      </c>
      <c r="B8" s="64">
        <f>D2*Q2</f>
        <v>0.44012800000000007</v>
      </c>
      <c r="D8" s="65"/>
    </row>
    <row r="9" spans="1:18" x14ac:dyDescent="0.2">
      <c r="A9" s="53" t="str">
        <f>Archetype_body_GREET2!A9</f>
        <v>Steel unspecified component (from secondary)</v>
      </c>
      <c r="B9" s="64">
        <f>R2</f>
        <v>0.26400000000000001</v>
      </c>
    </row>
    <row r="10" spans="1:18" x14ac:dyDescent="0.2">
      <c r="A10" s="53" t="str">
        <f>Archetype_body_GREET2!A10</f>
        <v>Iron cast</v>
      </c>
      <c r="B10" s="64">
        <f>J2</f>
        <v>0.85</v>
      </c>
    </row>
    <row r="11" spans="1:18" x14ac:dyDescent="0.2">
      <c r="A11" s="53" t="str">
        <f>Archetype_body_GREET2!A11</f>
        <v>Iron forged</v>
      </c>
      <c r="B11" s="64">
        <f>K2</f>
        <v>0.15000000000000002</v>
      </c>
    </row>
    <row r="12" spans="1:18" x14ac:dyDescent="0.2">
      <c r="A12" s="53" t="str">
        <f>Archetype_body_GREET2!A12</f>
        <v>Aluminum hot rolled wrought</v>
      </c>
      <c r="B12" s="64">
        <f>F2*Q3</f>
        <v>0</v>
      </c>
    </row>
    <row r="13" spans="1:18" x14ac:dyDescent="0.2">
      <c r="A13" s="53" t="str">
        <f>Archetype_body_GREET2!A13</f>
        <v>Aluminum cold rolled wrought</v>
      </c>
      <c r="B13" s="64">
        <f>G2*Q3</f>
        <v>0.11570000000000001</v>
      </c>
    </row>
    <row r="14" spans="1:18" x14ac:dyDescent="0.2">
      <c r="A14" s="53" t="str">
        <f>Archetype_body_GREET2!A14</f>
        <v>Aluminum extruded</v>
      </c>
      <c r="B14" s="64">
        <f>H2*Q3</f>
        <v>0.77429999999999999</v>
      </c>
    </row>
    <row r="15" spans="1:18" x14ac:dyDescent="0.2">
      <c r="A15" s="53" t="str">
        <f>Archetype_body_GREET2!A15</f>
        <v>Aluminum hot rolled wrought (from secondary)</v>
      </c>
      <c r="B15" s="64">
        <f>F2*R3</f>
        <v>0</v>
      </c>
    </row>
    <row r="16" spans="1:18" x14ac:dyDescent="0.2">
      <c r="A16" s="53" t="str">
        <f>Archetype_body_GREET2!A16</f>
        <v>Aluminum cold rolled wrought (from secondary)</v>
      </c>
      <c r="B16" s="64">
        <f>G2*R3</f>
        <v>1.4299999999999998E-2</v>
      </c>
    </row>
    <row r="17" spans="1:2" x14ac:dyDescent="0.2">
      <c r="A17" s="53" t="str">
        <f>Archetype_body_GREET2!A17</f>
        <v>Aluminum extruded (from secondary)</v>
      </c>
      <c r="B17" s="64">
        <f>H2*R3</f>
        <v>9.5699999999999993E-2</v>
      </c>
    </row>
    <row r="18" spans="1:2" x14ac:dyDescent="0.2">
      <c r="A18" s="53" t="str">
        <f>Archetype_body_GREET2!A18</f>
        <v>Aluminum cast</v>
      </c>
      <c r="B18" s="64">
        <f>Q4</f>
        <v>0.15</v>
      </c>
    </row>
    <row r="19" spans="1:2" x14ac:dyDescent="0.2">
      <c r="A19" s="53" t="str">
        <f>Archetype_body_GREET2!A19</f>
        <v>Aluminum cast (from secondary)</v>
      </c>
      <c r="B19" s="64">
        <f>R4</f>
        <v>0.85</v>
      </c>
    </row>
    <row r="20" spans="1:2" x14ac:dyDescent="0.2">
      <c r="A20" s="53" t="str">
        <f>Archetype_body_GREET2!A22</f>
        <v>Magnesium cast (Electrolytic)</v>
      </c>
      <c r="B20" s="64">
        <f>M2*Q6</f>
        <v>0.47899999999999998</v>
      </c>
    </row>
    <row r="21" spans="1:2" x14ac:dyDescent="0.2">
      <c r="A21" s="53" t="str">
        <f>Archetype_body_GREET2!A23</f>
        <v>Magnesium cast (Pigdeon)</v>
      </c>
      <c r="B21" s="64">
        <f>N2*Q6</f>
        <v>0</v>
      </c>
    </row>
    <row r="22" spans="1:2" x14ac:dyDescent="0.2">
      <c r="A22" s="23" t="str">
        <f>Archetype_body_GREET2!A24</f>
        <v>Magnesium cast (from secondary)</v>
      </c>
      <c r="B22" s="43">
        <f>R6</f>
        <v>0.52100000000000002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3"/>
  <sheetViews>
    <sheetView zoomScale="80" zoomScaleNormal="80" zoomScalePageLayoutView="80" workbookViewId="0">
      <selection activeCell="H22" sqref="H22"/>
    </sheetView>
  </sheetViews>
  <sheetFormatPr baseColWidth="10" defaultRowHeight="16" x14ac:dyDescent="0.2"/>
  <cols>
    <col min="1" max="1" width="52.5" bestFit="1" customWidth="1"/>
    <col min="2" max="2" width="26.5" bestFit="1" customWidth="1"/>
    <col min="3" max="3" width="25.1640625" bestFit="1" customWidth="1"/>
    <col min="4" max="4" width="24" bestFit="1" customWidth="1"/>
    <col min="5" max="5" width="22.6640625" bestFit="1" customWidth="1"/>
    <col min="7" max="7" width="23.33203125" customWidth="1"/>
    <col min="8" max="8" width="26.5" bestFit="1" customWidth="1"/>
    <col min="9" max="9" width="25.1640625" bestFit="1" customWidth="1"/>
    <col min="10" max="10" width="24" bestFit="1" customWidth="1"/>
    <col min="11" max="11" width="22.6640625" bestFit="1" customWidth="1"/>
  </cols>
  <sheetData>
    <row r="1" spans="1:11" s="29" customFormat="1" x14ac:dyDescent="0.2">
      <c r="A1" s="6" t="s">
        <v>50</v>
      </c>
      <c r="B1" s="1" t="s">
        <v>94</v>
      </c>
      <c r="C1" s="1" t="s">
        <v>95</v>
      </c>
      <c r="D1" s="1" t="s">
        <v>96</v>
      </c>
      <c r="E1" s="1" t="s">
        <v>97</v>
      </c>
      <c r="G1" s="6" t="s">
        <v>50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">
      <c r="A2" s="11" t="s">
        <v>47</v>
      </c>
      <c r="B2">
        <v>15</v>
      </c>
      <c r="C2">
        <v>12</v>
      </c>
      <c r="D2">
        <v>27</v>
      </c>
      <c r="E2">
        <v>22</v>
      </c>
      <c r="G2" s="11" t="s">
        <v>47</v>
      </c>
      <c r="H2">
        <v>15</v>
      </c>
      <c r="I2">
        <v>12</v>
      </c>
      <c r="J2">
        <v>27</v>
      </c>
      <c r="K2">
        <v>22</v>
      </c>
    </row>
    <row r="3" spans="1:11" x14ac:dyDescent="0.2">
      <c r="A3" t="s">
        <v>49</v>
      </c>
      <c r="B3">
        <v>318</v>
      </c>
      <c r="C3">
        <v>248.2</v>
      </c>
      <c r="D3">
        <v>445</v>
      </c>
      <c r="E3">
        <v>358.6</v>
      </c>
      <c r="G3" t="s">
        <v>49</v>
      </c>
      <c r="H3" s="35">
        <v>400.31897087240003</v>
      </c>
      <c r="I3" s="35">
        <v>312.42203808476665</v>
      </c>
      <c r="J3" s="35">
        <v>487.40204576470592</v>
      </c>
      <c r="K3" s="35">
        <v>392.69780472771436</v>
      </c>
    </row>
    <row r="4" spans="1:11" x14ac:dyDescent="0.2">
      <c r="A4" s="15" t="s">
        <v>75</v>
      </c>
      <c r="B4" s="16"/>
      <c r="C4" s="16"/>
      <c r="D4" s="16"/>
      <c r="E4" s="16"/>
      <c r="G4" s="15" t="s">
        <v>130</v>
      </c>
      <c r="H4" s="16"/>
      <c r="I4" s="16"/>
      <c r="J4" s="16"/>
      <c r="K4" s="16"/>
    </row>
    <row r="5" spans="1:11" s="14" customFormat="1" x14ac:dyDescent="0.2">
      <c r="A5" s="13" t="s">
        <v>51</v>
      </c>
      <c r="B5" s="17">
        <f t="shared" ref="B5:B24" si="0">B$3*B54</f>
        <v>85.86</v>
      </c>
      <c r="C5" s="17">
        <f t="shared" ref="C5:C24" si="1">C$3*B54</f>
        <v>67.013999999999996</v>
      </c>
      <c r="D5" s="17">
        <f t="shared" ref="D5:D24" si="2">D$3*E54</f>
        <v>149.38020751565875</v>
      </c>
      <c r="E5" s="17">
        <f t="shared" ref="E5:E24" si="3">E$3*E54</f>
        <v>120.37694924744996</v>
      </c>
      <c r="G5" s="13" t="s">
        <v>51</v>
      </c>
      <c r="H5" s="17">
        <f>H$3*D54</f>
        <v>68.054225048308012</v>
      </c>
      <c r="I5" s="17">
        <f>I$3*D54</f>
        <v>53.111746474410332</v>
      </c>
      <c r="J5" s="17">
        <f>J$3*G54</f>
        <v>118.75657220782139</v>
      </c>
      <c r="K5" s="17">
        <f>K$3*G54</f>
        <v>95.681677186708171</v>
      </c>
    </row>
    <row r="6" spans="1:11" x14ac:dyDescent="0.2">
      <c r="A6" s="18" t="s">
        <v>52</v>
      </c>
      <c r="B6" s="19">
        <f t="shared" si="0"/>
        <v>0</v>
      </c>
      <c r="C6" s="19">
        <f t="shared" si="1"/>
        <v>0</v>
      </c>
      <c r="D6" s="19">
        <f t="shared" si="2"/>
        <v>0</v>
      </c>
      <c r="E6" s="19">
        <f t="shared" si="3"/>
        <v>0</v>
      </c>
      <c r="G6" s="18" t="s">
        <v>52</v>
      </c>
      <c r="H6" s="33">
        <f t="shared" ref="H6:H24" si="4">H$3*D55</f>
        <v>0</v>
      </c>
      <c r="I6" s="33">
        <f t="shared" ref="I6:I24" si="5">I$3*D55</f>
        <v>0</v>
      </c>
      <c r="J6" s="33">
        <f t="shared" ref="J6:J24" si="6">J$3*G55</f>
        <v>0</v>
      </c>
      <c r="K6" s="33">
        <f t="shared" ref="K6:K24" si="7">K$3*G55</f>
        <v>0</v>
      </c>
    </row>
    <row r="7" spans="1:11" x14ac:dyDescent="0.2">
      <c r="A7" s="18" t="s">
        <v>53</v>
      </c>
      <c r="B7" s="19">
        <f t="shared" si="0"/>
        <v>0</v>
      </c>
      <c r="C7" s="19">
        <f t="shared" si="1"/>
        <v>0</v>
      </c>
      <c r="D7" s="19">
        <f t="shared" si="2"/>
        <v>0</v>
      </c>
      <c r="E7" s="19">
        <f t="shared" si="3"/>
        <v>0</v>
      </c>
      <c r="G7" s="18" t="s">
        <v>53</v>
      </c>
      <c r="H7" s="33">
        <f t="shared" si="4"/>
        <v>0</v>
      </c>
      <c r="I7" s="33">
        <f t="shared" si="5"/>
        <v>0</v>
      </c>
      <c r="J7" s="33">
        <f t="shared" si="6"/>
        <v>0</v>
      </c>
      <c r="K7" s="33">
        <f t="shared" si="7"/>
        <v>0</v>
      </c>
    </row>
    <row r="8" spans="1:11" x14ac:dyDescent="0.2">
      <c r="A8" s="18" t="s">
        <v>54</v>
      </c>
      <c r="B8" s="19">
        <f t="shared" si="0"/>
        <v>0</v>
      </c>
      <c r="C8" s="19">
        <f t="shared" si="1"/>
        <v>0</v>
      </c>
      <c r="D8" s="19">
        <f t="shared" si="2"/>
        <v>0</v>
      </c>
      <c r="E8" s="19">
        <f t="shared" si="3"/>
        <v>0</v>
      </c>
      <c r="G8" s="18" t="s">
        <v>54</v>
      </c>
      <c r="H8" s="33">
        <f t="shared" si="4"/>
        <v>0</v>
      </c>
      <c r="I8" s="33">
        <f t="shared" si="5"/>
        <v>0</v>
      </c>
      <c r="J8" s="33">
        <f t="shared" si="6"/>
        <v>0</v>
      </c>
      <c r="K8" s="33">
        <f t="shared" si="7"/>
        <v>0</v>
      </c>
    </row>
    <row r="9" spans="1:11" x14ac:dyDescent="0.2">
      <c r="A9" s="18" t="s">
        <v>55</v>
      </c>
      <c r="B9" s="19">
        <f t="shared" si="0"/>
        <v>38.159999999999997</v>
      </c>
      <c r="C9" s="19">
        <f t="shared" si="1"/>
        <v>29.783999999999999</v>
      </c>
      <c r="D9" s="19">
        <f t="shared" si="2"/>
        <v>65.437740336111389</v>
      </c>
      <c r="E9" s="19">
        <f t="shared" si="3"/>
        <v>52.73252513377426</v>
      </c>
      <c r="G9" s="18" t="s">
        <v>55</v>
      </c>
      <c r="H9" s="33">
        <f t="shared" si="4"/>
        <v>44.035086795964006</v>
      </c>
      <c r="I9" s="33">
        <f t="shared" si="5"/>
        <v>34.366424189324334</v>
      </c>
      <c r="J9" s="33">
        <f t="shared" si="6"/>
        <v>73.927470646116916</v>
      </c>
      <c r="K9" s="33">
        <f t="shared" si="7"/>
        <v>59.563056175224773</v>
      </c>
    </row>
    <row r="10" spans="1:11" x14ac:dyDescent="0.2">
      <c r="A10" s="12" t="s">
        <v>56</v>
      </c>
      <c r="B10" s="19">
        <f t="shared" si="0"/>
        <v>0</v>
      </c>
      <c r="C10" s="19">
        <f t="shared" si="1"/>
        <v>0</v>
      </c>
      <c r="D10" s="19">
        <f t="shared" si="2"/>
        <v>0</v>
      </c>
      <c r="E10" s="19">
        <f t="shared" si="3"/>
        <v>0</v>
      </c>
      <c r="G10" s="12" t="s">
        <v>56</v>
      </c>
      <c r="H10" s="33">
        <f t="shared" si="4"/>
        <v>0</v>
      </c>
      <c r="I10" s="33">
        <f t="shared" si="5"/>
        <v>0</v>
      </c>
      <c r="J10" s="33">
        <f t="shared" si="6"/>
        <v>0</v>
      </c>
      <c r="K10" s="33">
        <f t="shared" si="7"/>
        <v>0</v>
      </c>
    </row>
    <row r="11" spans="1:11" x14ac:dyDescent="0.2">
      <c r="A11" s="18" t="s">
        <v>57</v>
      </c>
      <c r="B11" s="19">
        <f t="shared" si="0"/>
        <v>6.6780000000000008</v>
      </c>
      <c r="C11" s="19">
        <f t="shared" si="1"/>
        <v>5.2122000000000002</v>
      </c>
      <c r="D11" s="19">
        <f t="shared" si="2"/>
        <v>11.306207818496407</v>
      </c>
      <c r="E11" s="19">
        <f t="shared" si="3"/>
        <v>9.1110249971074424</v>
      </c>
      <c r="G11" s="18" t="s">
        <v>57</v>
      </c>
      <c r="H11" s="33">
        <f t="shared" si="4"/>
        <v>5.6044655922136002</v>
      </c>
      <c r="I11" s="33">
        <f t="shared" si="5"/>
        <v>4.3739085331867331</v>
      </c>
      <c r="J11" s="33">
        <f t="shared" si="6"/>
        <v>10.14126899244857</v>
      </c>
      <c r="K11" s="33">
        <f t="shared" si="7"/>
        <v>8.1707783237543659</v>
      </c>
    </row>
    <row r="12" spans="1:11" x14ac:dyDescent="0.2">
      <c r="A12" s="18" t="s">
        <v>58</v>
      </c>
      <c r="B12" s="19">
        <f t="shared" si="0"/>
        <v>47.699999999999996</v>
      </c>
      <c r="C12" s="19">
        <f t="shared" si="1"/>
        <v>37.229999999999997</v>
      </c>
      <c r="D12" s="19">
        <f t="shared" si="2"/>
        <v>48.490487496624922</v>
      </c>
      <c r="E12" s="19">
        <f t="shared" si="3"/>
        <v>39.07570520514539</v>
      </c>
      <c r="G12" s="18" t="s">
        <v>58</v>
      </c>
      <c r="H12" s="33">
        <f t="shared" si="4"/>
        <v>76.060604465756001</v>
      </c>
      <c r="I12" s="33">
        <f t="shared" si="5"/>
        <v>59.360187236105666</v>
      </c>
      <c r="J12" s="33">
        <f t="shared" si="6"/>
        <v>60.258764322752562</v>
      </c>
      <c r="K12" s="33">
        <f t="shared" si="7"/>
        <v>48.550236238797467</v>
      </c>
    </row>
    <row r="13" spans="1:11" s="14" customFormat="1" x14ac:dyDescent="0.2">
      <c r="A13" s="13" t="s">
        <v>59</v>
      </c>
      <c r="B13" s="17">
        <f t="shared" si="0"/>
        <v>69.959999999999994</v>
      </c>
      <c r="C13" s="17">
        <f t="shared" si="1"/>
        <v>54.603999999999999</v>
      </c>
      <c r="D13" s="17">
        <f t="shared" si="2"/>
        <v>83.387140390951117</v>
      </c>
      <c r="E13" s="17">
        <f t="shared" si="3"/>
        <v>67.196918076842863</v>
      </c>
      <c r="G13" s="13" t="s">
        <v>59</v>
      </c>
      <c r="H13" s="17">
        <f t="shared" si="4"/>
        <v>108.08612213554801</v>
      </c>
      <c r="I13" s="17">
        <f t="shared" si="5"/>
        <v>84.353950282886998</v>
      </c>
      <c r="J13" s="17">
        <f t="shared" si="6"/>
        <v>99.179732894005028</v>
      </c>
      <c r="K13" s="17">
        <f t="shared" si="7"/>
        <v>79.908699028643184</v>
      </c>
    </row>
    <row r="14" spans="1:11" x14ac:dyDescent="0.2">
      <c r="A14" s="18" t="s">
        <v>60</v>
      </c>
      <c r="B14" s="19">
        <f t="shared" si="0"/>
        <v>0</v>
      </c>
      <c r="C14" s="19">
        <f t="shared" si="1"/>
        <v>0</v>
      </c>
      <c r="D14" s="19">
        <f t="shared" si="2"/>
        <v>0</v>
      </c>
      <c r="E14" s="19">
        <f t="shared" si="3"/>
        <v>0</v>
      </c>
      <c r="G14" s="18" t="s">
        <v>60</v>
      </c>
      <c r="H14" s="33">
        <f t="shared" si="4"/>
        <v>0</v>
      </c>
      <c r="I14" s="33">
        <f t="shared" si="5"/>
        <v>0</v>
      </c>
      <c r="J14" s="33">
        <f t="shared" si="6"/>
        <v>0</v>
      </c>
      <c r="K14" s="33">
        <f t="shared" si="7"/>
        <v>0</v>
      </c>
    </row>
    <row r="15" spans="1:11" ht="18" x14ac:dyDescent="0.25">
      <c r="A15" s="18" t="s">
        <v>70</v>
      </c>
      <c r="B15" s="19">
        <f t="shared" si="0"/>
        <v>5.4060000000000006</v>
      </c>
      <c r="C15" s="19">
        <f t="shared" si="1"/>
        <v>4.2194000000000003</v>
      </c>
      <c r="D15" s="19">
        <f t="shared" si="2"/>
        <v>8.2616446878026082</v>
      </c>
      <c r="E15" s="19">
        <f t="shared" si="3"/>
        <v>6.6575860338112705</v>
      </c>
      <c r="G15" s="18" t="s">
        <v>70</v>
      </c>
      <c r="H15" s="33">
        <f t="shared" si="4"/>
        <v>8.8070173591928018</v>
      </c>
      <c r="I15" s="33">
        <f t="shared" si="5"/>
        <v>6.8732848378648672</v>
      </c>
      <c r="J15" s="33">
        <f t="shared" si="6"/>
        <v>13.067922817343632</v>
      </c>
      <c r="K15" s="33">
        <f t="shared" si="7"/>
        <v>10.528771159896628</v>
      </c>
    </row>
    <row r="16" spans="1:11" x14ac:dyDescent="0.2">
      <c r="A16" s="18" t="s">
        <v>61</v>
      </c>
      <c r="B16" s="19">
        <f t="shared" si="0"/>
        <v>15.264000000000001</v>
      </c>
      <c r="C16" s="19">
        <f t="shared" si="1"/>
        <v>11.913599999999999</v>
      </c>
      <c r="D16" s="19">
        <f t="shared" si="2"/>
        <v>23.88969593594307</v>
      </c>
      <c r="E16" s="19">
        <f t="shared" si="3"/>
        <v>19.251336994672329</v>
      </c>
      <c r="G16" s="18" t="s">
        <v>61</v>
      </c>
      <c r="H16" s="33">
        <f t="shared" si="4"/>
        <v>25.220095164961201</v>
      </c>
      <c r="I16" s="33">
        <f t="shared" si="5"/>
        <v>19.6825883993403</v>
      </c>
      <c r="J16" s="33">
        <f t="shared" si="6"/>
        <v>37.78771835609632</v>
      </c>
      <c r="K16" s="33">
        <f t="shared" si="7"/>
        <v>30.445407796404293</v>
      </c>
    </row>
    <row r="17" spans="1:11" x14ac:dyDescent="0.2">
      <c r="A17" s="18" t="s">
        <v>62</v>
      </c>
      <c r="B17" s="19">
        <f t="shared" si="0"/>
        <v>15.264000000000001</v>
      </c>
      <c r="C17" s="19">
        <f t="shared" si="1"/>
        <v>11.913599999999999</v>
      </c>
      <c r="D17" s="19">
        <f t="shared" si="2"/>
        <v>23.889695935939244</v>
      </c>
      <c r="E17" s="19">
        <f t="shared" si="3"/>
        <v>19.251336994669245</v>
      </c>
      <c r="G17" s="18" t="s">
        <v>62</v>
      </c>
      <c r="H17" s="33">
        <f t="shared" si="4"/>
        <v>25.220095164961201</v>
      </c>
      <c r="I17" s="33">
        <f t="shared" si="5"/>
        <v>19.6825883993403</v>
      </c>
      <c r="J17" s="33">
        <f t="shared" si="6"/>
        <v>37.787718356102268</v>
      </c>
      <c r="K17" s="33">
        <f t="shared" si="7"/>
        <v>30.445407796409086</v>
      </c>
    </row>
    <row r="18" spans="1:11" x14ac:dyDescent="0.2">
      <c r="A18" s="18" t="s">
        <v>63</v>
      </c>
      <c r="B18" s="19">
        <f t="shared" si="0"/>
        <v>6.9960000000000004</v>
      </c>
      <c r="C18" s="19">
        <f t="shared" si="1"/>
        <v>5.4603999999999999</v>
      </c>
      <c r="D18" s="19">
        <f t="shared" si="2"/>
        <v>7.419334563401728</v>
      </c>
      <c r="E18" s="19">
        <f t="shared" si="3"/>
        <v>5.9788165717659769</v>
      </c>
      <c r="G18" s="18" t="s">
        <v>63</v>
      </c>
      <c r="H18" s="33">
        <f t="shared" si="4"/>
        <v>11.6092501552996</v>
      </c>
      <c r="I18" s="33">
        <f t="shared" si="5"/>
        <v>9.0602391044582316</v>
      </c>
      <c r="J18" s="33">
        <f t="shared" si="6"/>
        <v>9.330479662050541</v>
      </c>
      <c r="K18" s="33">
        <f t="shared" si="7"/>
        <v>7.5175287264031372</v>
      </c>
    </row>
    <row r="19" spans="1:11" x14ac:dyDescent="0.2">
      <c r="A19" s="18" t="s">
        <v>64</v>
      </c>
      <c r="B19" s="19">
        <f t="shared" si="0"/>
        <v>1.2083999999999999</v>
      </c>
      <c r="C19" s="19">
        <f t="shared" si="1"/>
        <v>0.94316</v>
      </c>
      <c r="D19" s="19">
        <f t="shared" si="2"/>
        <v>1.2869813919362549</v>
      </c>
      <c r="E19" s="19">
        <f t="shared" si="3"/>
        <v>1.0371045553895304</v>
      </c>
      <c r="G19" s="18" t="s">
        <v>64</v>
      </c>
      <c r="H19" s="33">
        <f t="shared" si="4"/>
        <v>2.0816586485364801</v>
      </c>
      <c r="I19" s="33">
        <f t="shared" si="5"/>
        <v>1.6245945980407865</v>
      </c>
      <c r="J19" s="33">
        <f t="shared" si="6"/>
        <v>1.6295487648437958</v>
      </c>
      <c r="K19" s="33">
        <f t="shared" si="7"/>
        <v>1.312920674444275</v>
      </c>
    </row>
    <row r="20" spans="1:11" x14ac:dyDescent="0.2">
      <c r="A20" s="18" t="s">
        <v>65</v>
      </c>
      <c r="B20" s="19">
        <f t="shared" si="0"/>
        <v>5.4060000000000006</v>
      </c>
      <c r="C20" s="19">
        <f t="shared" si="1"/>
        <v>4.2194000000000003</v>
      </c>
      <c r="D20" s="19">
        <f t="shared" si="2"/>
        <v>5.2999543231727753</v>
      </c>
      <c r="E20" s="19">
        <f t="shared" si="3"/>
        <v>4.2709294837972074</v>
      </c>
      <c r="G20" s="18" t="s">
        <v>65</v>
      </c>
      <c r="H20" s="33">
        <f t="shared" si="4"/>
        <v>7.205741475703201</v>
      </c>
      <c r="I20" s="33">
        <f t="shared" si="5"/>
        <v>5.6235966855258006</v>
      </c>
      <c r="J20" s="33">
        <f t="shared" si="6"/>
        <v>6.5619974062169906</v>
      </c>
      <c r="K20" s="33">
        <f t="shared" si="7"/>
        <v>5.286974066773535</v>
      </c>
    </row>
    <row r="21" spans="1:11" x14ac:dyDescent="0.2">
      <c r="A21" s="13" t="s">
        <v>66</v>
      </c>
      <c r="B21" s="17">
        <f t="shared" si="0"/>
        <v>6.36</v>
      </c>
      <c r="C21" s="17">
        <f t="shared" si="1"/>
        <v>4.9639999999999995</v>
      </c>
      <c r="D21" s="17">
        <f t="shared" si="2"/>
        <v>6.3546483217840661</v>
      </c>
      <c r="E21" s="17">
        <f t="shared" si="3"/>
        <v>5.1208469397567784</v>
      </c>
      <c r="G21" s="13" t="s">
        <v>66</v>
      </c>
      <c r="H21" s="17">
        <f t="shared" si="4"/>
        <v>8.4066983883204003</v>
      </c>
      <c r="I21" s="17">
        <f t="shared" si="5"/>
        <v>6.5608627997801001</v>
      </c>
      <c r="J21" s="17">
        <f t="shared" si="6"/>
        <v>7.5337662476393481</v>
      </c>
      <c r="K21" s="17">
        <f t="shared" si="7"/>
        <v>6.0699241878191437</v>
      </c>
    </row>
    <row r="22" spans="1:11" x14ac:dyDescent="0.2">
      <c r="A22" s="18" t="s">
        <v>67</v>
      </c>
      <c r="B22" s="19">
        <f t="shared" si="0"/>
        <v>1.0812000000000002</v>
      </c>
      <c r="C22" s="19">
        <f t="shared" si="1"/>
        <v>0.84388000000000007</v>
      </c>
      <c r="D22" s="19">
        <f t="shared" si="2"/>
        <v>1.4772390359518255</v>
      </c>
      <c r="E22" s="19">
        <f t="shared" si="3"/>
        <v>1.1904222882973587</v>
      </c>
      <c r="G22" s="18" t="s">
        <v>67</v>
      </c>
      <c r="H22" s="33">
        <f t="shared" si="4"/>
        <v>1.6813396776640801</v>
      </c>
      <c r="I22" s="33">
        <f t="shared" si="5"/>
        <v>1.3121725599560199</v>
      </c>
      <c r="J22" s="33">
        <f t="shared" si="6"/>
        <v>1.6821865547144514</v>
      </c>
      <c r="K22" s="33">
        <f t="shared" si="7"/>
        <v>1.3553307232069838</v>
      </c>
    </row>
    <row r="23" spans="1:11" x14ac:dyDescent="0.2">
      <c r="A23" s="18" t="s">
        <v>68</v>
      </c>
      <c r="B23" s="19">
        <f t="shared" si="0"/>
        <v>4.1340000000000003</v>
      </c>
      <c r="C23" s="19">
        <f t="shared" si="1"/>
        <v>3.2266000000000004</v>
      </c>
      <c r="D23" s="19">
        <f t="shared" si="2"/>
        <v>4.2194600383765009</v>
      </c>
      <c r="E23" s="19">
        <f t="shared" si="3"/>
        <v>3.4002210556445243</v>
      </c>
      <c r="G23" s="18" t="s">
        <v>68</v>
      </c>
      <c r="H23" s="33">
        <f t="shared" si="4"/>
        <v>4.8038276504688007</v>
      </c>
      <c r="I23" s="33">
        <f t="shared" si="5"/>
        <v>3.7490644570171998</v>
      </c>
      <c r="J23" s="33">
        <f t="shared" si="6"/>
        <v>4.8065047236312575</v>
      </c>
      <c r="K23" s="33">
        <f t="shared" si="7"/>
        <v>3.8725809006853855</v>
      </c>
    </row>
    <row r="24" spans="1:11" x14ac:dyDescent="0.2">
      <c r="A24" s="20" t="s">
        <v>69</v>
      </c>
      <c r="B24" s="21">
        <f t="shared" si="0"/>
        <v>8.5223999999999442</v>
      </c>
      <c r="C24" s="21">
        <f t="shared" si="1"/>
        <v>6.6517599999999559</v>
      </c>
      <c r="D24" s="21">
        <f t="shared" si="2"/>
        <v>4.8995622078493382</v>
      </c>
      <c r="E24" s="21">
        <f t="shared" si="3"/>
        <v>3.9482764218758941</v>
      </c>
      <c r="G24" s="20" t="s">
        <v>69</v>
      </c>
      <c r="H24" s="34">
        <f t="shared" si="4"/>
        <v>3.442743149502661</v>
      </c>
      <c r="I24" s="34">
        <f t="shared" si="5"/>
        <v>2.6868295275290093</v>
      </c>
      <c r="J24" s="34">
        <f t="shared" si="6"/>
        <v>4.9503938129228535</v>
      </c>
      <c r="K24" s="34">
        <f t="shared" si="7"/>
        <v>3.9885117425439311</v>
      </c>
    </row>
    <row r="27" spans="1:11" x14ac:dyDescent="0.2">
      <c r="A27" s="6" t="s">
        <v>50</v>
      </c>
      <c r="B27" s="1" t="s">
        <v>94</v>
      </c>
      <c r="C27" s="1" t="s">
        <v>95</v>
      </c>
      <c r="D27" s="1" t="s">
        <v>96</v>
      </c>
      <c r="E27" s="1" t="s">
        <v>97</v>
      </c>
    </row>
    <row r="28" spans="1:11" x14ac:dyDescent="0.2">
      <c r="A28" s="11" t="s">
        <v>47</v>
      </c>
      <c r="B28">
        <v>15</v>
      </c>
      <c r="C28">
        <v>12</v>
      </c>
      <c r="D28">
        <v>27</v>
      </c>
      <c r="E28">
        <v>22</v>
      </c>
    </row>
    <row r="29" spans="1:11" x14ac:dyDescent="0.2">
      <c r="A29" t="s">
        <v>49</v>
      </c>
      <c r="B29" s="35">
        <v>404.06026966560006</v>
      </c>
      <c r="C29" s="35">
        <v>315.34187021639997</v>
      </c>
      <c r="D29" s="35">
        <v>360.25368600000002</v>
      </c>
      <c r="E29" s="35">
        <v>290.2548991465714</v>
      </c>
    </row>
    <row r="30" spans="1:11" x14ac:dyDescent="0.2">
      <c r="A30" s="15" t="s">
        <v>76</v>
      </c>
      <c r="B30" s="16"/>
      <c r="C30" s="16"/>
      <c r="D30" s="16"/>
      <c r="E30" s="16"/>
    </row>
    <row r="31" spans="1:11" x14ac:dyDescent="0.2">
      <c r="A31" s="13" t="s">
        <v>51</v>
      </c>
      <c r="B31" s="17">
        <f>B$29*C54</f>
        <v>60.609040449840009</v>
      </c>
      <c r="C31" s="17">
        <f>C$29*C54</f>
        <v>47.301280532459991</v>
      </c>
      <c r="D31" s="17">
        <f>D$29*F54</f>
        <v>101.74496330786666</v>
      </c>
      <c r="E31" s="17">
        <f>E$29*F54</f>
        <v>81.975494523035749</v>
      </c>
    </row>
    <row r="32" spans="1:11" x14ac:dyDescent="0.2">
      <c r="A32" s="18" t="s">
        <v>52</v>
      </c>
      <c r="B32" s="33">
        <f t="shared" ref="B32:B50" si="8">B$29*C55</f>
        <v>0</v>
      </c>
      <c r="C32" s="33">
        <f t="shared" ref="C32:C50" si="9">C$29*C55</f>
        <v>0</v>
      </c>
      <c r="D32" s="33">
        <f t="shared" ref="D32:D50" si="10">D$29*F55</f>
        <v>0</v>
      </c>
      <c r="E32" s="33">
        <f t="shared" ref="E32:E50" si="11">E$29*F55</f>
        <v>0</v>
      </c>
    </row>
    <row r="33" spans="1:5" x14ac:dyDescent="0.2">
      <c r="A33" s="18" t="s">
        <v>53</v>
      </c>
      <c r="B33" s="33">
        <f t="shared" si="8"/>
        <v>0</v>
      </c>
      <c r="C33" s="33">
        <f t="shared" si="9"/>
        <v>0</v>
      </c>
      <c r="D33" s="33">
        <f t="shared" si="10"/>
        <v>0</v>
      </c>
      <c r="E33" s="33">
        <f t="shared" si="11"/>
        <v>0</v>
      </c>
    </row>
    <row r="34" spans="1:5" x14ac:dyDescent="0.2">
      <c r="A34" s="18" t="s">
        <v>54</v>
      </c>
      <c r="B34" s="33">
        <f t="shared" si="8"/>
        <v>0</v>
      </c>
      <c r="C34" s="33">
        <f t="shared" si="9"/>
        <v>0</v>
      </c>
      <c r="D34" s="33">
        <f t="shared" si="10"/>
        <v>0</v>
      </c>
      <c r="E34" s="33">
        <f t="shared" si="11"/>
        <v>0</v>
      </c>
    </row>
    <row r="35" spans="1:5" x14ac:dyDescent="0.2">
      <c r="A35" s="18" t="s">
        <v>55</v>
      </c>
      <c r="B35" s="33">
        <f t="shared" si="8"/>
        <v>39.1938461575632</v>
      </c>
      <c r="C35" s="33">
        <f t="shared" si="9"/>
        <v>30.588161410990793</v>
      </c>
      <c r="D35" s="33">
        <f t="shared" si="10"/>
        <v>65.88806814157239</v>
      </c>
      <c r="E35" s="33">
        <f t="shared" si="11"/>
        <v>53.085742954464919</v>
      </c>
    </row>
    <row r="36" spans="1:5" x14ac:dyDescent="0.2">
      <c r="A36" s="12" t="s">
        <v>56</v>
      </c>
      <c r="B36" s="33">
        <f t="shared" si="8"/>
        <v>0</v>
      </c>
      <c r="C36" s="33">
        <f t="shared" si="9"/>
        <v>0</v>
      </c>
      <c r="D36" s="33">
        <f t="shared" si="10"/>
        <v>0</v>
      </c>
      <c r="E36" s="33">
        <f t="shared" si="11"/>
        <v>0</v>
      </c>
    </row>
    <row r="37" spans="1:5" x14ac:dyDescent="0.2">
      <c r="A37" s="18" t="s">
        <v>57</v>
      </c>
      <c r="B37" s="33">
        <f t="shared" si="8"/>
        <v>5.2527835056528014</v>
      </c>
      <c r="C37" s="33">
        <f t="shared" si="9"/>
        <v>4.0994443128132003</v>
      </c>
      <c r="D37" s="33">
        <f t="shared" si="10"/>
        <v>8.8227911285483067</v>
      </c>
      <c r="E37" s="33">
        <f t="shared" si="11"/>
        <v>7.1084861827286172</v>
      </c>
    </row>
    <row r="38" spans="1:5" x14ac:dyDescent="0.2">
      <c r="A38" s="18" t="s">
        <v>58</v>
      </c>
      <c r="B38" s="33">
        <f t="shared" si="8"/>
        <v>101.01506741640002</v>
      </c>
      <c r="C38" s="33">
        <f t="shared" si="9"/>
        <v>78.835467554099992</v>
      </c>
      <c r="D38" s="33">
        <f t="shared" si="10"/>
        <v>41.093640266267869</v>
      </c>
      <c r="E38" s="33">
        <f t="shared" si="11"/>
        <v>33.108975354248187</v>
      </c>
    </row>
    <row r="39" spans="1:5" x14ac:dyDescent="0.2">
      <c r="A39" s="13" t="s">
        <v>59</v>
      </c>
      <c r="B39" s="17">
        <f t="shared" si="8"/>
        <v>105.05567011305602</v>
      </c>
      <c r="C39" s="17">
        <f t="shared" si="9"/>
        <v>81.988886256263996</v>
      </c>
      <c r="D39" s="17">
        <f t="shared" si="10"/>
        <v>70.993353898556137</v>
      </c>
      <c r="E39" s="17">
        <f t="shared" si="11"/>
        <v>57.19905049327452</v>
      </c>
    </row>
    <row r="40" spans="1:5" x14ac:dyDescent="0.2">
      <c r="A40" s="18" t="s">
        <v>60</v>
      </c>
      <c r="B40" s="33">
        <f t="shared" si="8"/>
        <v>0</v>
      </c>
      <c r="C40" s="33">
        <f t="shared" si="9"/>
        <v>0</v>
      </c>
      <c r="D40" s="33">
        <f t="shared" si="10"/>
        <v>0</v>
      </c>
      <c r="E40" s="33">
        <f t="shared" si="11"/>
        <v>0</v>
      </c>
    </row>
    <row r="41" spans="1:5" ht="18" x14ac:dyDescent="0.25">
      <c r="A41" s="18" t="s">
        <v>70</v>
      </c>
      <c r="B41" s="33">
        <f t="shared" si="8"/>
        <v>6.4649643146496008</v>
      </c>
      <c r="C41" s="33">
        <f t="shared" si="9"/>
        <v>5.0454699234623996</v>
      </c>
      <c r="D41" s="33">
        <f t="shared" si="10"/>
        <v>6.6877933685772684</v>
      </c>
      <c r="E41" s="33">
        <f t="shared" si="11"/>
        <v>5.3883273513806715</v>
      </c>
    </row>
    <row r="42" spans="1:5" x14ac:dyDescent="0.2">
      <c r="A42" s="18" t="s">
        <v>61</v>
      </c>
      <c r="B42" s="33">
        <f t="shared" si="8"/>
        <v>18.990832674283205</v>
      </c>
      <c r="C42" s="33">
        <f t="shared" si="9"/>
        <v>14.821067900170798</v>
      </c>
      <c r="D42" s="33">
        <f t="shared" si="10"/>
        <v>19.338685709149217</v>
      </c>
      <c r="E42" s="33">
        <f t="shared" si="11"/>
        <v>15.58109878752593</v>
      </c>
    </row>
    <row r="43" spans="1:5" x14ac:dyDescent="0.2">
      <c r="A43" s="18" t="s">
        <v>62</v>
      </c>
      <c r="B43" s="33">
        <f t="shared" si="8"/>
        <v>18.990832674283205</v>
      </c>
      <c r="C43" s="33">
        <f t="shared" si="9"/>
        <v>14.821067900170798</v>
      </c>
      <c r="D43" s="33">
        <f t="shared" si="10"/>
        <v>19.338685709183906</v>
      </c>
      <c r="E43" s="33">
        <f t="shared" si="11"/>
        <v>15.581098787553881</v>
      </c>
    </row>
    <row r="44" spans="1:5" x14ac:dyDescent="0.2">
      <c r="A44" s="18" t="s">
        <v>63</v>
      </c>
      <c r="B44" s="33">
        <f t="shared" si="8"/>
        <v>14.950229977627204</v>
      </c>
      <c r="C44" s="33">
        <f t="shared" si="9"/>
        <v>11.667649198006801</v>
      </c>
      <c r="D44" s="33">
        <f t="shared" si="10"/>
        <v>6.1344476684097726</v>
      </c>
      <c r="E44" s="33">
        <f t="shared" si="11"/>
        <v>4.9424990180786068</v>
      </c>
    </row>
    <row r="45" spans="1:5" x14ac:dyDescent="0.2">
      <c r="A45" s="18" t="s">
        <v>64</v>
      </c>
      <c r="B45" s="33">
        <f t="shared" si="8"/>
        <v>3.0304520224920002</v>
      </c>
      <c r="C45" s="33">
        <f t="shared" si="9"/>
        <v>2.3650640266229996</v>
      </c>
      <c r="D45" s="33">
        <f t="shared" si="10"/>
        <v>1.0743561694482187</v>
      </c>
      <c r="E45" s="33">
        <f t="shared" si="11"/>
        <v>0.86560430532469135</v>
      </c>
    </row>
    <row r="46" spans="1:5" x14ac:dyDescent="0.2">
      <c r="A46" s="18" t="s">
        <v>65</v>
      </c>
      <c r="B46" s="33">
        <f t="shared" si="8"/>
        <v>6.4649643146496008</v>
      </c>
      <c r="C46" s="33">
        <f t="shared" si="9"/>
        <v>5.0454699234623996</v>
      </c>
      <c r="D46" s="33">
        <f t="shared" si="10"/>
        <v>4.2863869777828771</v>
      </c>
      <c r="E46" s="33">
        <f t="shared" si="11"/>
        <v>3.4535241922258808</v>
      </c>
    </row>
    <row r="47" spans="1:5" x14ac:dyDescent="0.2">
      <c r="A47" s="13" t="s">
        <v>66</v>
      </c>
      <c r="B47" s="37">
        <f t="shared" si="8"/>
        <v>8.0812053933120005</v>
      </c>
      <c r="C47" s="37">
        <f t="shared" si="9"/>
        <v>6.3068374043279993</v>
      </c>
      <c r="D47" s="37">
        <f t="shared" si="10"/>
        <v>5.1542304230534217</v>
      </c>
      <c r="E47" s="37">
        <f t="shared" si="11"/>
        <v>4.1527420530585797</v>
      </c>
    </row>
    <row r="48" spans="1:5" x14ac:dyDescent="0.2">
      <c r="A48" s="18" t="s">
        <v>67</v>
      </c>
      <c r="B48" s="33">
        <f t="shared" si="8"/>
        <v>1.2121808089968003</v>
      </c>
      <c r="C48" s="33">
        <f t="shared" si="9"/>
        <v>0.94602561064919988</v>
      </c>
      <c r="D48" s="33">
        <f t="shared" si="10"/>
        <v>1.2915539055026239</v>
      </c>
      <c r="E48" s="33">
        <f t="shared" si="11"/>
        <v>1.0405996195248493</v>
      </c>
    </row>
    <row r="49" spans="1:8" x14ac:dyDescent="0.2">
      <c r="A49" s="18" t="s">
        <v>68</v>
      </c>
      <c r="B49" s="33">
        <f t="shared" si="8"/>
        <v>4.4446629663216015</v>
      </c>
      <c r="C49" s="33">
        <f t="shared" si="9"/>
        <v>3.4687605723804</v>
      </c>
      <c r="D49" s="33">
        <f t="shared" si="10"/>
        <v>3.700411166725722</v>
      </c>
      <c r="E49" s="33">
        <f t="shared" si="11"/>
        <v>2.9814059140503035</v>
      </c>
    </row>
    <row r="50" spans="1:8" x14ac:dyDescent="0.2">
      <c r="A50" s="20" t="s">
        <v>69</v>
      </c>
      <c r="B50" s="34">
        <f t="shared" si="8"/>
        <v>10.303536876472743</v>
      </c>
      <c r="C50" s="34">
        <f t="shared" si="9"/>
        <v>8.0412176905181543</v>
      </c>
      <c r="D50" s="34">
        <f t="shared" si="10"/>
        <v>4.7043181593556689</v>
      </c>
      <c r="E50" s="34">
        <f t="shared" si="11"/>
        <v>3.7902496100960477</v>
      </c>
    </row>
    <row r="52" spans="1:8" ht="17" x14ac:dyDescent="0.2">
      <c r="A52" s="32" t="s">
        <v>74</v>
      </c>
      <c r="B52" s="30" t="s">
        <v>71</v>
      </c>
      <c r="C52" s="30"/>
      <c r="D52" s="30"/>
      <c r="E52" s="31" t="s">
        <v>72</v>
      </c>
      <c r="F52" s="30"/>
      <c r="G52" s="30"/>
      <c r="H52" s="30"/>
    </row>
    <row r="53" spans="1:8" x14ac:dyDescent="0.2">
      <c r="B53" s="22" t="s">
        <v>23</v>
      </c>
      <c r="C53" s="22" t="s">
        <v>22</v>
      </c>
      <c r="D53" s="22" t="s">
        <v>25</v>
      </c>
      <c r="E53" s="23" t="s">
        <v>23</v>
      </c>
      <c r="F53" s="22" t="s">
        <v>22</v>
      </c>
      <c r="G53" s="22" t="s">
        <v>25</v>
      </c>
      <c r="H53" s="22" t="s">
        <v>73</v>
      </c>
    </row>
    <row r="54" spans="1:8" x14ac:dyDescent="0.2">
      <c r="B54" s="24">
        <v>0.27</v>
      </c>
      <c r="C54" s="24">
        <v>0.15</v>
      </c>
      <c r="D54" s="24">
        <v>0.17</v>
      </c>
      <c r="E54" s="25">
        <v>0.33568585958574998</v>
      </c>
      <c r="F54" s="24">
        <v>0.28242587726879398</v>
      </c>
      <c r="G54" s="24">
        <v>0.24365218250469001</v>
      </c>
      <c r="H54" s="24">
        <v>0.28515869007964101</v>
      </c>
    </row>
    <row r="55" spans="1:8" x14ac:dyDescent="0.2">
      <c r="B55" s="24">
        <v>0</v>
      </c>
      <c r="C55" s="24">
        <v>0</v>
      </c>
      <c r="D55" s="24">
        <v>0</v>
      </c>
      <c r="E55" s="25">
        <v>0</v>
      </c>
      <c r="F55" s="24">
        <v>0</v>
      </c>
      <c r="G55" s="24">
        <v>0</v>
      </c>
      <c r="H55" s="24">
        <v>0</v>
      </c>
    </row>
    <row r="56" spans="1:8" x14ac:dyDescent="0.2">
      <c r="A56" s="14"/>
      <c r="B56" s="24">
        <v>0</v>
      </c>
      <c r="C56" s="24">
        <v>0</v>
      </c>
      <c r="D56" s="24">
        <v>0</v>
      </c>
      <c r="E56" s="25">
        <v>0</v>
      </c>
      <c r="F56" s="24">
        <v>0</v>
      </c>
      <c r="G56" s="24">
        <v>0</v>
      </c>
      <c r="H56" s="24">
        <v>0</v>
      </c>
    </row>
    <row r="57" spans="1:8" x14ac:dyDescent="0.2">
      <c r="B57" s="24">
        <v>0</v>
      </c>
      <c r="C57" s="24">
        <v>0</v>
      </c>
      <c r="D57" s="24">
        <v>0</v>
      </c>
      <c r="E57" s="25">
        <v>0</v>
      </c>
      <c r="F57" s="24">
        <v>0</v>
      </c>
      <c r="G57" s="24">
        <v>0</v>
      </c>
      <c r="H57" s="24">
        <v>0</v>
      </c>
    </row>
    <row r="58" spans="1:8" x14ac:dyDescent="0.2">
      <c r="B58" s="24">
        <v>0.12</v>
      </c>
      <c r="C58" s="24">
        <v>9.6999999999999989E-2</v>
      </c>
      <c r="D58" s="24">
        <v>0.11</v>
      </c>
      <c r="E58" s="25">
        <v>0.147051101878902</v>
      </c>
      <c r="F58" s="24">
        <v>0.18289352948236701</v>
      </c>
      <c r="G58" s="24">
        <v>0.15167657027399001</v>
      </c>
      <c r="H58" s="24">
        <v>0.18477495530364901</v>
      </c>
    </row>
    <row r="59" spans="1:8" x14ac:dyDescent="0.2">
      <c r="B59" s="24">
        <v>0</v>
      </c>
      <c r="C59" s="24">
        <v>0</v>
      </c>
      <c r="D59" s="24">
        <v>0</v>
      </c>
      <c r="E59" s="25">
        <v>0</v>
      </c>
      <c r="F59" s="24">
        <v>0</v>
      </c>
      <c r="G59" s="24">
        <v>0</v>
      </c>
      <c r="H59" s="24">
        <v>0</v>
      </c>
    </row>
    <row r="60" spans="1:8" x14ac:dyDescent="0.2">
      <c r="B60" s="24">
        <v>2.1000000000000001E-2</v>
      </c>
      <c r="C60" s="24">
        <v>1.3000000000000001E-2</v>
      </c>
      <c r="D60" s="24">
        <v>1.3999999999999999E-2</v>
      </c>
      <c r="E60" s="25">
        <v>2.5407208580890801E-2</v>
      </c>
      <c r="F60" s="24">
        <v>2.44904950911406E-2</v>
      </c>
      <c r="G60" s="24">
        <v>2.0806783805220799E-2</v>
      </c>
      <c r="H60" s="24">
        <v>2.4733380579961699E-2</v>
      </c>
    </row>
    <row r="61" spans="1:8" x14ac:dyDescent="0.2">
      <c r="B61" s="24">
        <v>0.15</v>
      </c>
      <c r="C61" s="24">
        <v>0.25</v>
      </c>
      <c r="D61" s="24">
        <v>0.19</v>
      </c>
      <c r="E61" s="25">
        <v>0.108967387632865</v>
      </c>
      <c r="F61" s="24">
        <v>0.11406861848533</v>
      </c>
      <c r="G61" s="24">
        <v>0.123632563396836</v>
      </c>
      <c r="H61" s="24">
        <v>0.108908327693752</v>
      </c>
    </row>
    <row r="62" spans="1:8" x14ac:dyDescent="0.2">
      <c r="B62" s="24">
        <v>0.22</v>
      </c>
      <c r="C62" s="24">
        <v>0.26</v>
      </c>
      <c r="D62" s="24">
        <v>0.27</v>
      </c>
      <c r="E62" s="25">
        <v>0.18738683233921599</v>
      </c>
      <c r="F62" s="24">
        <v>0.197064892484004</v>
      </c>
      <c r="G62" s="24">
        <v>0.20348649283652001</v>
      </c>
      <c r="H62" s="24">
        <v>0.197411202342127</v>
      </c>
    </row>
    <row r="63" spans="1:8" x14ac:dyDescent="0.2">
      <c r="B63" s="24">
        <v>0</v>
      </c>
      <c r="C63" s="24">
        <v>0</v>
      </c>
      <c r="D63" s="24">
        <v>0</v>
      </c>
      <c r="E63" s="25">
        <v>0</v>
      </c>
      <c r="F63" s="24">
        <v>0</v>
      </c>
      <c r="G63" s="24">
        <v>0</v>
      </c>
      <c r="H63" s="24">
        <v>0</v>
      </c>
    </row>
    <row r="64" spans="1:8" x14ac:dyDescent="0.2">
      <c r="A64" s="14"/>
      <c r="B64" s="24">
        <v>1.7000000000000001E-2</v>
      </c>
      <c r="C64" s="24">
        <v>1.6E-2</v>
      </c>
      <c r="D64" s="24">
        <v>2.2000000000000002E-2</v>
      </c>
      <c r="E64" s="25">
        <v>1.8565493680455299E-2</v>
      </c>
      <c r="F64" s="24">
        <v>1.8564121974250301E-2</v>
      </c>
      <c r="G64" s="24">
        <v>2.68113827812126E-2</v>
      </c>
      <c r="H64" s="24">
        <v>5.3539096976994098E-2</v>
      </c>
    </row>
    <row r="65" spans="2:8" x14ac:dyDescent="0.2">
      <c r="B65" s="24">
        <v>4.8000000000000001E-2</v>
      </c>
      <c r="C65" s="24">
        <v>4.7E-2</v>
      </c>
      <c r="D65" s="24">
        <v>6.3E-2</v>
      </c>
      <c r="E65" s="25">
        <v>5.3684709968411397E-2</v>
      </c>
      <c r="F65" s="24">
        <v>5.3680743489045703E-2</v>
      </c>
      <c r="G65" s="24">
        <v>7.7528846430690607E-2</v>
      </c>
      <c r="H65" s="24">
        <v>5.35390969770555E-2</v>
      </c>
    </row>
    <row r="66" spans="2:8" x14ac:dyDescent="0.2">
      <c r="B66" s="24">
        <v>4.8000000000000001E-2</v>
      </c>
      <c r="C66" s="24">
        <v>4.7E-2</v>
      </c>
      <c r="D66" s="24">
        <v>6.3E-2</v>
      </c>
      <c r="E66" s="25">
        <v>5.36847099684028E-2</v>
      </c>
      <c r="F66" s="24">
        <v>5.3680743489142001E-2</v>
      </c>
      <c r="G66" s="24">
        <v>7.7528846430702805E-2</v>
      </c>
      <c r="H66" s="24">
        <v>1.6256876387866999E-2</v>
      </c>
    </row>
    <row r="67" spans="2:8" x14ac:dyDescent="0.2">
      <c r="B67" s="24">
        <v>2.2000000000000002E-2</v>
      </c>
      <c r="C67" s="24">
        <v>3.7000000000000005E-2</v>
      </c>
      <c r="D67" s="24">
        <v>2.8999999999999998E-2</v>
      </c>
      <c r="E67" s="25">
        <v>1.6672661940228602E-2</v>
      </c>
      <c r="F67" s="24">
        <v>1.7028132970747099E-2</v>
      </c>
      <c r="G67" s="24">
        <v>1.9143291956051502E-2</v>
      </c>
      <c r="H67" s="24">
        <v>2.7891357766843899E-3</v>
      </c>
    </row>
    <row r="68" spans="2:8" x14ac:dyDescent="0.2">
      <c r="B68" s="24">
        <v>3.8E-3</v>
      </c>
      <c r="C68" s="24">
        <v>7.4999999999999997E-3</v>
      </c>
      <c r="D68" s="24">
        <v>5.1999999999999998E-3</v>
      </c>
      <c r="E68" s="25">
        <v>2.8920930155870899E-3</v>
      </c>
      <c r="F68" s="24">
        <v>2.98222117135595E-3</v>
      </c>
      <c r="G68" s="24">
        <v>3.3433359153984001E-3</v>
      </c>
      <c r="H68" s="24">
        <v>1.19007776553633E-2</v>
      </c>
    </row>
    <row r="69" spans="2:8" x14ac:dyDescent="0.2">
      <c r="B69" s="24">
        <v>1.7000000000000001E-2</v>
      </c>
      <c r="C69" s="24">
        <v>1.6E-2</v>
      </c>
      <c r="D69" s="24">
        <v>1.8000000000000002E-2</v>
      </c>
      <c r="E69" s="25">
        <v>1.1910009714995E-2</v>
      </c>
      <c r="F69" s="24">
        <v>1.1898245998190501E-2</v>
      </c>
      <c r="G69" s="24">
        <v>1.3463212687016101E-2</v>
      </c>
      <c r="H69" s="24">
        <v>1.43258170372448E-2</v>
      </c>
    </row>
    <row r="70" spans="2:8" x14ac:dyDescent="0.2">
      <c r="B70" s="24">
        <v>0.02</v>
      </c>
      <c r="C70" s="24">
        <v>0.02</v>
      </c>
      <c r="D70" s="24">
        <v>2.1000000000000001E-2</v>
      </c>
      <c r="E70" s="25">
        <v>1.42801085882788E-2</v>
      </c>
      <c r="F70" s="24">
        <v>1.43072246679342E-2</v>
      </c>
      <c r="G70" s="24">
        <v>1.54569852816668E-2</v>
      </c>
      <c r="H70" s="24">
        <v>3.6878488802721599E-3</v>
      </c>
    </row>
    <row r="71" spans="2:8" x14ac:dyDescent="0.2">
      <c r="B71" s="24">
        <v>3.4000000000000002E-3</v>
      </c>
      <c r="C71" s="24">
        <v>3.0000000000000001E-3</v>
      </c>
      <c r="D71" s="24">
        <v>4.1999999999999997E-3</v>
      </c>
      <c r="E71" s="25">
        <v>3.31963828303781E-3</v>
      </c>
      <c r="F71" s="24">
        <v>3.5851233608269698E-3</v>
      </c>
      <c r="G71" s="24">
        <v>3.4513325689374099E-3</v>
      </c>
      <c r="H71" s="24">
        <v>1.0576453966222201E-2</v>
      </c>
    </row>
    <row r="72" spans="2:8" x14ac:dyDescent="0.2">
      <c r="B72" s="24">
        <v>1.3000000000000001E-2</v>
      </c>
      <c r="C72" s="24">
        <v>1.1000000000000001E-2</v>
      </c>
      <c r="D72" s="24">
        <v>1.2E-2</v>
      </c>
      <c r="E72" s="25">
        <v>9.4819326705089906E-3</v>
      </c>
      <c r="F72" s="24">
        <v>1.02716816247252E-2</v>
      </c>
      <c r="G72" s="24">
        <v>9.8614783532353194E-3</v>
      </c>
      <c r="H72" s="24">
        <v>1.0999999999999999E-2</v>
      </c>
    </row>
    <row r="73" spans="2:8" x14ac:dyDescent="0.2">
      <c r="B73" s="26">
        <f t="shared" ref="B73:H73" si="12">1-SUM(B54:B72)</f>
        <v>2.6799999999999824E-2</v>
      </c>
      <c r="C73" s="26">
        <f t="shared" si="12"/>
        <v>2.5499999999999856E-2</v>
      </c>
      <c r="D73" s="26">
        <f t="shared" si="12"/>
        <v>8.600000000000052E-3</v>
      </c>
      <c r="E73" s="27">
        <f t="shared" si="12"/>
        <v>1.1010252152470423E-2</v>
      </c>
      <c r="F73" s="28">
        <f t="shared" si="12"/>
        <v>1.3058348442146595E-2</v>
      </c>
      <c r="G73" s="26">
        <f t="shared" si="12"/>
        <v>1.0156694777831654E-2</v>
      </c>
      <c r="H73" s="28">
        <f t="shared" si="12"/>
        <v>2.1398340343165789E-2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t="s">
        <v>48</v>
      </c>
      <c r="B1">
        <v>0.45400000000000001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zoomScale="80" zoomScaleNormal="80" zoomScalePageLayoutView="80" workbookViewId="0">
      <selection activeCell="D15" sqref="D15"/>
    </sheetView>
  </sheetViews>
  <sheetFormatPr baseColWidth="10" defaultRowHeight="16" x14ac:dyDescent="0.2"/>
  <sheetData>
    <row r="1" spans="1:2" x14ac:dyDescent="0.2">
      <c r="A1" s="1" t="s">
        <v>78</v>
      </c>
      <c r="B1" s="1" t="s">
        <v>90</v>
      </c>
    </row>
    <row r="2" spans="1:2" x14ac:dyDescent="0.2">
      <c r="A2" t="s">
        <v>82</v>
      </c>
    </row>
    <row r="3" spans="1:2" x14ac:dyDescent="0.2">
      <c r="A3" t="s">
        <v>83</v>
      </c>
    </row>
    <row r="4" spans="1:2" x14ac:dyDescent="0.2">
      <c r="A4" t="s">
        <v>84</v>
      </c>
    </row>
    <row r="5" spans="1:2" x14ac:dyDescent="0.2">
      <c r="A5" t="s">
        <v>85</v>
      </c>
    </row>
    <row r="6" spans="1:2" x14ac:dyDescent="0.2">
      <c r="A6" t="s">
        <v>86</v>
      </c>
    </row>
    <row r="7" spans="1:2" x14ac:dyDescent="0.2">
      <c r="A7" t="s">
        <v>87</v>
      </c>
    </row>
    <row r="8" spans="1:2" x14ac:dyDescent="0.2">
      <c r="A8" t="s">
        <v>88</v>
      </c>
    </row>
    <row r="9" spans="1:2" x14ac:dyDescent="0.2">
      <c r="A9" s="14" t="s">
        <v>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6"/>
  <sheetViews>
    <sheetView tabSelected="1" workbookViewId="0">
      <selection activeCell="E18" sqref="E18:E26"/>
    </sheetView>
  </sheetViews>
  <sheetFormatPr baseColWidth="10" defaultRowHeight="16" x14ac:dyDescent="0.2"/>
  <cols>
    <col min="3" max="3" width="17.5" bestFit="1" customWidth="1"/>
    <col min="4" max="4" width="16.83203125" bestFit="1" customWidth="1"/>
    <col min="5" max="5" width="24.6640625" bestFit="1" customWidth="1"/>
    <col min="6" max="6" width="24.1640625" bestFit="1" customWidth="1"/>
  </cols>
  <sheetData>
    <row r="1" spans="1:6" x14ac:dyDescent="0.2">
      <c r="A1" t="s">
        <v>240</v>
      </c>
      <c r="B1" s="66" t="s">
        <v>131</v>
      </c>
      <c r="C1" t="s">
        <v>239</v>
      </c>
      <c r="D1" t="s">
        <v>242</v>
      </c>
      <c r="E1" t="str">
        <f t="shared" ref="E1:E26" si="0">CONCATENATE(A1,B1,C1)</f>
        <v>Al 1070A cold rolled wrought</v>
      </c>
      <c r="F1" t="str">
        <f t="shared" ref="F1:F26" si="1">CONCATENATE(A1,B1,D1)</f>
        <v>Al 1070A hot rolled wrought</v>
      </c>
    </row>
    <row r="2" spans="1:6" x14ac:dyDescent="0.2">
      <c r="A2" t="s">
        <v>240</v>
      </c>
      <c r="B2" s="66">
        <v>3003</v>
      </c>
      <c r="C2" t="s">
        <v>239</v>
      </c>
      <c r="D2" t="s">
        <v>242</v>
      </c>
      <c r="E2" t="str">
        <f t="shared" si="0"/>
        <v>Al 3003 cold rolled wrought</v>
      </c>
      <c r="F2" t="str">
        <f t="shared" si="1"/>
        <v>Al 3003 hot rolled wrought</v>
      </c>
    </row>
    <row r="3" spans="1:6" x14ac:dyDescent="0.2">
      <c r="A3" t="s">
        <v>240</v>
      </c>
      <c r="B3" s="66">
        <v>3103</v>
      </c>
      <c r="C3" t="s">
        <v>239</v>
      </c>
      <c r="D3" t="s">
        <v>242</v>
      </c>
      <c r="E3" t="str">
        <f t="shared" si="0"/>
        <v>Al 3103 cold rolled wrought</v>
      </c>
      <c r="F3" t="str">
        <f t="shared" si="1"/>
        <v>Al 3103 hot rolled wrought</v>
      </c>
    </row>
    <row r="4" spans="1:6" x14ac:dyDescent="0.2">
      <c r="A4" t="s">
        <v>240</v>
      </c>
      <c r="B4" s="66">
        <v>4043</v>
      </c>
      <c r="C4" t="s">
        <v>239</v>
      </c>
      <c r="D4" t="s">
        <v>242</v>
      </c>
      <c r="E4" t="str">
        <f t="shared" si="0"/>
        <v>Al 4043 cold rolled wrought</v>
      </c>
      <c r="F4" t="str">
        <f t="shared" si="1"/>
        <v>Al 4043 hot rolled wrought</v>
      </c>
    </row>
    <row r="5" spans="1:6" x14ac:dyDescent="0.2">
      <c r="A5" t="s">
        <v>240</v>
      </c>
      <c r="B5" s="66" t="s">
        <v>132</v>
      </c>
      <c r="C5" t="s">
        <v>239</v>
      </c>
      <c r="D5" t="s">
        <v>242</v>
      </c>
      <c r="E5" t="str">
        <f t="shared" si="0"/>
        <v>Al 5005A cold rolled wrought</v>
      </c>
      <c r="F5" t="str">
        <f t="shared" si="1"/>
        <v>Al 5005A hot rolled wrought</v>
      </c>
    </row>
    <row r="6" spans="1:6" x14ac:dyDescent="0.2">
      <c r="A6" t="s">
        <v>240</v>
      </c>
      <c r="B6" s="66">
        <v>5182</v>
      </c>
      <c r="C6" t="s">
        <v>239</v>
      </c>
      <c r="D6" t="s">
        <v>242</v>
      </c>
      <c r="E6" t="str">
        <f t="shared" si="0"/>
        <v>Al 5182 cold rolled wrought</v>
      </c>
      <c r="F6" t="str">
        <f t="shared" si="1"/>
        <v>Al 5182 hot rolled wrought</v>
      </c>
    </row>
    <row r="7" spans="1:6" x14ac:dyDescent="0.2">
      <c r="A7" t="s">
        <v>240</v>
      </c>
      <c r="B7" s="66">
        <v>5754</v>
      </c>
      <c r="C7" t="s">
        <v>239</v>
      </c>
      <c r="D7" t="s">
        <v>242</v>
      </c>
      <c r="E7" t="str">
        <f t="shared" si="0"/>
        <v>Al 5754 cold rolled wrought</v>
      </c>
      <c r="F7" t="str">
        <f t="shared" si="1"/>
        <v>Al 5754 hot rolled wrought</v>
      </c>
    </row>
    <row r="8" spans="1:6" x14ac:dyDescent="0.2">
      <c r="A8" t="s">
        <v>240</v>
      </c>
      <c r="B8" s="66">
        <v>6008</v>
      </c>
      <c r="C8" t="s">
        <v>239</v>
      </c>
      <c r="D8" t="s">
        <v>242</v>
      </c>
      <c r="E8" t="str">
        <f t="shared" si="0"/>
        <v>Al 6008 cold rolled wrought</v>
      </c>
      <c r="F8" t="str">
        <f t="shared" si="1"/>
        <v>Al 6008 hot rolled wrought</v>
      </c>
    </row>
    <row r="9" spans="1:6" x14ac:dyDescent="0.2">
      <c r="A9" t="s">
        <v>240</v>
      </c>
      <c r="B9" s="66">
        <v>6014</v>
      </c>
      <c r="C9" t="s">
        <v>239</v>
      </c>
      <c r="D9" t="s">
        <v>242</v>
      </c>
      <c r="E9" t="str">
        <f t="shared" si="0"/>
        <v>Al 6014 cold rolled wrought</v>
      </c>
      <c r="F9" t="str">
        <f t="shared" si="1"/>
        <v>Al 6014 hot rolled wrought</v>
      </c>
    </row>
    <row r="10" spans="1:6" x14ac:dyDescent="0.2">
      <c r="A10" t="s">
        <v>240</v>
      </c>
      <c r="B10" s="66">
        <v>6016</v>
      </c>
      <c r="C10" t="s">
        <v>239</v>
      </c>
      <c r="D10" t="s">
        <v>242</v>
      </c>
      <c r="E10" t="str">
        <f t="shared" si="0"/>
        <v>Al 6016 cold rolled wrought</v>
      </c>
      <c r="F10" t="str">
        <f t="shared" si="1"/>
        <v>Al 6016 hot rolled wrought</v>
      </c>
    </row>
    <row r="11" spans="1:6" x14ac:dyDescent="0.2">
      <c r="A11" t="s">
        <v>240</v>
      </c>
      <c r="B11" s="66">
        <v>6060</v>
      </c>
      <c r="C11" t="s">
        <v>239</v>
      </c>
      <c r="D11" t="s">
        <v>242</v>
      </c>
      <c r="E11" t="str">
        <f t="shared" si="0"/>
        <v>Al 6060 cold rolled wrought</v>
      </c>
      <c r="F11" t="str">
        <f t="shared" si="1"/>
        <v>Al 6060 hot rolled wrought</v>
      </c>
    </row>
    <row r="12" spans="1:6" x14ac:dyDescent="0.2">
      <c r="A12" t="s">
        <v>240</v>
      </c>
      <c r="B12" s="67">
        <v>6061</v>
      </c>
      <c r="C12" t="s">
        <v>239</v>
      </c>
      <c r="D12" t="s">
        <v>242</v>
      </c>
      <c r="E12" t="str">
        <f t="shared" si="0"/>
        <v>Al 6061 cold rolled wrought</v>
      </c>
      <c r="F12" t="str">
        <f t="shared" si="1"/>
        <v>Al 6061 hot rolled wrought</v>
      </c>
    </row>
    <row r="13" spans="1:6" x14ac:dyDescent="0.2">
      <c r="A13" t="s">
        <v>240</v>
      </c>
      <c r="B13" s="66">
        <v>6063</v>
      </c>
      <c r="C13" t="s">
        <v>239</v>
      </c>
      <c r="D13" t="s">
        <v>242</v>
      </c>
      <c r="E13" t="str">
        <f t="shared" si="0"/>
        <v>Al 6063 cold rolled wrought</v>
      </c>
      <c r="F13" t="str">
        <f t="shared" si="1"/>
        <v>Al 6063 hot rolled wrought</v>
      </c>
    </row>
    <row r="14" spans="1:6" x14ac:dyDescent="0.2">
      <c r="A14" t="s">
        <v>240</v>
      </c>
      <c r="B14" s="66">
        <v>6082</v>
      </c>
      <c r="C14" t="s">
        <v>239</v>
      </c>
      <c r="D14" t="s">
        <v>242</v>
      </c>
      <c r="E14" t="str">
        <f t="shared" si="0"/>
        <v>Al 6082 cold rolled wrought</v>
      </c>
      <c r="F14" t="str">
        <f t="shared" si="1"/>
        <v>Al 6082 hot rolled wrought</v>
      </c>
    </row>
    <row r="15" spans="1:6" x14ac:dyDescent="0.2">
      <c r="A15" t="s">
        <v>240</v>
      </c>
      <c r="B15" s="66">
        <v>6111</v>
      </c>
      <c r="C15" t="s">
        <v>239</v>
      </c>
      <c r="D15" t="s">
        <v>242</v>
      </c>
      <c r="E15" t="str">
        <f t="shared" si="0"/>
        <v>Al 6111 cold rolled wrought</v>
      </c>
      <c r="F15" t="str">
        <f t="shared" si="1"/>
        <v>Al 6111 hot rolled wrought</v>
      </c>
    </row>
    <row r="16" spans="1:6" x14ac:dyDescent="0.2">
      <c r="A16" t="s">
        <v>240</v>
      </c>
      <c r="B16" s="68" t="s">
        <v>133</v>
      </c>
      <c r="C16" t="s">
        <v>239</v>
      </c>
      <c r="D16" t="s">
        <v>242</v>
      </c>
      <c r="E16" t="str">
        <f t="shared" si="0"/>
        <v>Al 6181A cold rolled wrought</v>
      </c>
      <c r="F16" t="str">
        <f t="shared" si="1"/>
        <v>Al 6181A hot rolled wrought</v>
      </c>
    </row>
    <row r="17" spans="1:6" x14ac:dyDescent="0.2">
      <c r="A17" t="s">
        <v>240</v>
      </c>
      <c r="B17" s="70">
        <v>7020</v>
      </c>
      <c r="C17" t="s">
        <v>239</v>
      </c>
      <c r="D17" t="s">
        <v>242</v>
      </c>
      <c r="E17" t="str">
        <f t="shared" si="0"/>
        <v>Al 7020 cold rolled wrought</v>
      </c>
      <c r="F17" t="str">
        <f t="shared" si="1"/>
        <v>Al 7020 hot rolled wrought</v>
      </c>
    </row>
    <row r="18" spans="1:6" x14ac:dyDescent="0.2">
      <c r="A18" t="s">
        <v>240</v>
      </c>
      <c r="B18" s="69">
        <v>301</v>
      </c>
      <c r="C18" t="s">
        <v>241</v>
      </c>
      <c r="D18" t="s">
        <v>243</v>
      </c>
      <c r="E18" t="str">
        <f t="shared" si="0"/>
        <v>Al 301 cast</v>
      </c>
      <c r="F18" t="str">
        <f t="shared" si="1"/>
        <v>Al 301 extruded</v>
      </c>
    </row>
    <row r="19" spans="1:6" x14ac:dyDescent="0.2">
      <c r="A19" t="s">
        <v>240</v>
      </c>
      <c r="B19" s="69">
        <v>319</v>
      </c>
      <c r="C19" t="s">
        <v>241</v>
      </c>
      <c r="D19" t="s">
        <v>243</v>
      </c>
      <c r="E19" t="str">
        <f t="shared" si="0"/>
        <v>Al 319 cast</v>
      </c>
      <c r="F19" t="str">
        <f t="shared" si="1"/>
        <v>Al 319 extruded</v>
      </c>
    </row>
    <row r="20" spans="1:6" x14ac:dyDescent="0.2">
      <c r="A20" t="s">
        <v>240</v>
      </c>
      <c r="B20" s="69">
        <v>383</v>
      </c>
      <c r="C20" t="s">
        <v>241</v>
      </c>
      <c r="D20" t="s">
        <v>243</v>
      </c>
      <c r="E20" t="str">
        <f t="shared" si="0"/>
        <v>Al 383 cast</v>
      </c>
      <c r="F20" t="str">
        <f t="shared" si="1"/>
        <v>Al 383 extruded</v>
      </c>
    </row>
    <row r="21" spans="1:6" x14ac:dyDescent="0.2">
      <c r="A21" t="s">
        <v>240</v>
      </c>
      <c r="B21" s="69" t="s">
        <v>134</v>
      </c>
      <c r="C21" t="s">
        <v>241</v>
      </c>
      <c r="D21" t="s">
        <v>243</v>
      </c>
      <c r="E21" t="str">
        <f t="shared" si="0"/>
        <v>Al A356.0 cast</v>
      </c>
      <c r="F21" t="str">
        <f t="shared" si="1"/>
        <v>Al A356.0 extruded</v>
      </c>
    </row>
    <row r="22" spans="1:6" x14ac:dyDescent="0.2">
      <c r="A22" t="s">
        <v>240</v>
      </c>
      <c r="B22" s="69" t="s">
        <v>135</v>
      </c>
      <c r="C22" t="s">
        <v>241</v>
      </c>
      <c r="D22" t="s">
        <v>243</v>
      </c>
      <c r="E22" t="str">
        <f t="shared" si="0"/>
        <v>Al A357.0 cast</v>
      </c>
      <c r="F22" t="str">
        <f t="shared" si="1"/>
        <v>Al A357.0 extruded</v>
      </c>
    </row>
    <row r="23" spans="1:6" x14ac:dyDescent="0.2">
      <c r="A23" t="s">
        <v>240</v>
      </c>
      <c r="B23" s="69" t="s">
        <v>136</v>
      </c>
      <c r="C23" t="s">
        <v>241</v>
      </c>
      <c r="D23" t="s">
        <v>243</v>
      </c>
      <c r="E23" t="str">
        <f t="shared" si="0"/>
        <v>Al A360.0 cast</v>
      </c>
      <c r="F23" t="str">
        <f t="shared" si="1"/>
        <v>Al A360.0 extruded</v>
      </c>
    </row>
    <row r="24" spans="1:6" x14ac:dyDescent="0.2">
      <c r="A24" t="s">
        <v>240</v>
      </c>
      <c r="B24" s="69" t="s">
        <v>137</v>
      </c>
      <c r="C24" t="s">
        <v>241</v>
      </c>
      <c r="D24" t="s">
        <v>243</v>
      </c>
      <c r="E24" t="str">
        <f t="shared" si="0"/>
        <v>Al B380.0 cast</v>
      </c>
      <c r="F24" t="str">
        <f t="shared" si="1"/>
        <v>Al B380.0 extruded</v>
      </c>
    </row>
    <row r="25" spans="1:6" x14ac:dyDescent="0.2">
      <c r="A25" t="s">
        <v>240</v>
      </c>
      <c r="B25" s="69" t="s">
        <v>138</v>
      </c>
      <c r="C25" t="s">
        <v>241</v>
      </c>
      <c r="D25" t="s">
        <v>243</v>
      </c>
      <c r="E25" t="str">
        <f t="shared" si="0"/>
        <v>Al B390.0 cast</v>
      </c>
      <c r="F25" t="str">
        <f t="shared" si="1"/>
        <v>Al B390.0 extruded</v>
      </c>
    </row>
    <row r="26" spans="1:6" x14ac:dyDescent="0.2">
      <c r="A26" t="s">
        <v>240</v>
      </c>
      <c r="B26" s="70" t="s">
        <v>139</v>
      </c>
      <c r="C26" t="s">
        <v>241</v>
      </c>
      <c r="D26" t="s">
        <v>243</v>
      </c>
      <c r="E26" t="str">
        <f t="shared" si="0"/>
        <v>Al Silafont36 cast</v>
      </c>
      <c r="F26" t="str">
        <f t="shared" si="1"/>
        <v>Al Silafont36 extruded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zoomScale="80" zoomScaleNormal="80" zoomScalePageLayoutView="80" workbookViewId="0">
      <selection activeCell="F9" sqref="F9:F11"/>
    </sheetView>
  </sheetViews>
  <sheetFormatPr baseColWidth="10" defaultRowHeight="16" x14ac:dyDescent="0.2"/>
  <cols>
    <col min="1" max="1" width="17.5" bestFit="1" customWidth="1"/>
    <col min="6" max="6" width="12" bestFit="1" customWidth="1"/>
    <col min="7" max="7" width="15.1640625" style="5" bestFit="1" customWidth="1"/>
    <col min="8" max="8" width="13.1640625" style="5" bestFit="1" customWidth="1"/>
    <col min="9" max="9" width="15.1640625" bestFit="1" customWidth="1"/>
    <col min="10" max="10" width="16.5" bestFit="1" customWidth="1"/>
  </cols>
  <sheetData>
    <row r="1" spans="1:9" s="1" customFormat="1" x14ac:dyDescent="0.2">
      <c r="A1" s="1" t="s">
        <v>15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4" t="s">
        <v>13</v>
      </c>
      <c r="H1" s="4" t="s">
        <v>14</v>
      </c>
    </row>
    <row r="2" spans="1:9" x14ac:dyDescent="0.2">
      <c r="A2" t="s">
        <v>3</v>
      </c>
      <c r="B2">
        <v>681</v>
      </c>
      <c r="C2">
        <v>274</v>
      </c>
      <c r="D2">
        <v>480</v>
      </c>
      <c r="E2">
        <v>573</v>
      </c>
      <c r="F2">
        <v>681</v>
      </c>
      <c r="G2" s="5">
        <v>106</v>
      </c>
      <c r="H2" s="5">
        <v>118</v>
      </c>
    </row>
    <row r="3" spans="1:9" x14ac:dyDescent="0.2">
      <c r="A3" t="s">
        <v>1</v>
      </c>
      <c r="B3">
        <v>195</v>
      </c>
      <c r="C3">
        <v>50</v>
      </c>
      <c r="D3">
        <v>195</v>
      </c>
      <c r="E3">
        <v>165</v>
      </c>
      <c r="F3">
        <v>195</v>
      </c>
      <c r="G3" s="5">
        <v>71</v>
      </c>
      <c r="H3" s="5">
        <v>79</v>
      </c>
    </row>
    <row r="4" spans="1:9" x14ac:dyDescent="0.2">
      <c r="A4" t="s">
        <v>4</v>
      </c>
      <c r="B4">
        <v>56</v>
      </c>
      <c r="C4">
        <v>41</v>
      </c>
      <c r="D4">
        <v>56</v>
      </c>
      <c r="E4">
        <v>47</v>
      </c>
      <c r="F4">
        <v>56</v>
      </c>
      <c r="G4" s="5">
        <v>312</v>
      </c>
      <c r="H4" s="5">
        <v>349</v>
      </c>
    </row>
    <row r="5" spans="1:9" x14ac:dyDescent="0.2">
      <c r="A5" t="s">
        <v>5</v>
      </c>
      <c r="B5">
        <v>187</v>
      </c>
      <c r="C5">
        <v>187</v>
      </c>
      <c r="D5">
        <v>132</v>
      </c>
      <c r="E5">
        <v>157</v>
      </c>
      <c r="F5">
        <v>187</v>
      </c>
      <c r="G5" s="5">
        <v>68</v>
      </c>
      <c r="H5" s="5">
        <v>76</v>
      </c>
    </row>
    <row r="6" spans="1:9" x14ac:dyDescent="0.2">
      <c r="A6" t="s">
        <v>6</v>
      </c>
      <c r="B6">
        <v>114</v>
      </c>
      <c r="C6">
        <v>160</v>
      </c>
      <c r="D6">
        <v>54</v>
      </c>
      <c r="E6">
        <v>105</v>
      </c>
      <c r="F6">
        <v>114</v>
      </c>
      <c r="G6" s="5">
        <v>221</v>
      </c>
      <c r="H6" s="5">
        <v>247</v>
      </c>
    </row>
    <row r="7" spans="1:9" x14ac:dyDescent="0.2">
      <c r="A7" t="s">
        <v>7</v>
      </c>
      <c r="B7">
        <v>33</v>
      </c>
      <c r="C7">
        <v>298</v>
      </c>
      <c r="D7">
        <v>15</v>
      </c>
      <c r="E7">
        <v>30</v>
      </c>
      <c r="F7">
        <v>33</v>
      </c>
      <c r="G7" s="5">
        <v>80</v>
      </c>
      <c r="H7" s="5">
        <v>90</v>
      </c>
    </row>
    <row r="8" spans="1:9" x14ac:dyDescent="0.2">
      <c r="A8" t="s">
        <v>2</v>
      </c>
      <c r="B8">
        <v>5</v>
      </c>
      <c r="C8">
        <v>5</v>
      </c>
      <c r="D8">
        <v>180</v>
      </c>
      <c r="E8">
        <v>5</v>
      </c>
      <c r="F8">
        <v>5</v>
      </c>
      <c r="G8" s="5">
        <v>16</v>
      </c>
      <c r="H8" s="5">
        <v>18</v>
      </c>
    </row>
    <row r="9" spans="1:9" x14ac:dyDescent="0.2">
      <c r="A9" t="s">
        <v>23</v>
      </c>
      <c r="B9">
        <v>0</v>
      </c>
      <c r="C9">
        <v>0</v>
      </c>
      <c r="D9">
        <v>0</v>
      </c>
      <c r="E9">
        <f>Archetype_battery!F2</f>
        <v>0</v>
      </c>
      <c r="F9">
        <f>Archetype_battery!F5</f>
        <v>0</v>
      </c>
      <c r="I9" t="s">
        <v>17</v>
      </c>
    </row>
    <row r="10" spans="1:9" x14ac:dyDescent="0.2">
      <c r="A10" t="s">
        <v>22</v>
      </c>
      <c r="B10">
        <v>0</v>
      </c>
      <c r="C10">
        <v>0</v>
      </c>
      <c r="D10">
        <v>0</v>
      </c>
      <c r="E10">
        <f>Archetype_battery!F3</f>
        <v>0</v>
      </c>
      <c r="F10">
        <f>Archetype_battery!F6</f>
        <v>0</v>
      </c>
      <c r="I10" t="s">
        <v>18</v>
      </c>
    </row>
    <row r="11" spans="1:9" x14ac:dyDescent="0.2">
      <c r="A11" t="s">
        <v>25</v>
      </c>
      <c r="B11">
        <v>0</v>
      </c>
      <c r="C11">
        <v>0</v>
      </c>
      <c r="D11">
        <v>0</v>
      </c>
      <c r="E11">
        <f>Archetype_battery!F4</f>
        <v>0</v>
      </c>
      <c r="F11">
        <f>Archetype_battery!F7</f>
        <v>0</v>
      </c>
      <c r="I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zoomScale="80" zoomScaleNormal="80" zoomScalePageLayoutView="80" workbookViewId="0">
      <selection activeCell="K29" sqref="K29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17.6640625" bestFit="1" customWidth="1"/>
    <col min="5" max="5" width="17.33203125" bestFit="1" customWidth="1"/>
  </cols>
  <sheetData>
    <row r="1" spans="1:7" x14ac:dyDescent="0.2">
      <c r="B1" s="1" t="s">
        <v>16</v>
      </c>
      <c r="C1" s="1"/>
      <c r="D1" s="1" t="s">
        <v>20</v>
      </c>
      <c r="E1" s="1" t="s">
        <v>21</v>
      </c>
      <c r="F1" s="1" t="s">
        <v>24</v>
      </c>
      <c r="G1" s="2" t="s">
        <v>26</v>
      </c>
    </row>
    <row r="2" spans="1:7" x14ac:dyDescent="0.2">
      <c r="A2" t="s">
        <v>11</v>
      </c>
      <c r="B2" t="s">
        <v>23</v>
      </c>
    </row>
    <row r="3" spans="1:7" x14ac:dyDescent="0.2">
      <c r="A3" t="s">
        <v>11</v>
      </c>
      <c r="B3" t="s">
        <v>22</v>
      </c>
    </row>
    <row r="4" spans="1:7" x14ac:dyDescent="0.2">
      <c r="A4" t="s">
        <v>11</v>
      </c>
      <c r="B4" t="s">
        <v>25</v>
      </c>
    </row>
    <row r="5" spans="1:7" x14ac:dyDescent="0.2">
      <c r="A5" t="s">
        <v>12</v>
      </c>
      <c r="B5" t="s">
        <v>23</v>
      </c>
    </row>
    <row r="6" spans="1:7" x14ac:dyDescent="0.2">
      <c r="A6" t="s">
        <v>12</v>
      </c>
      <c r="B6" t="s">
        <v>22</v>
      </c>
    </row>
    <row r="7" spans="1:7" x14ac:dyDescent="0.2">
      <c r="A7" t="s">
        <v>12</v>
      </c>
      <c r="B7" t="s">
        <v>25</v>
      </c>
    </row>
    <row r="11" spans="1:7" s="5" customFormat="1" x14ac:dyDescent="0.2"/>
    <row r="12" spans="1:7" s="5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5"/>
  <sheetViews>
    <sheetView zoomScale="80" zoomScaleNormal="80" zoomScalePageLayoutView="80" workbookViewId="0">
      <selection activeCell="B5" sqref="B5"/>
    </sheetView>
  </sheetViews>
  <sheetFormatPr baseColWidth="10" defaultRowHeight="16" x14ac:dyDescent="0.2"/>
  <cols>
    <col min="1" max="1" width="52.5" customWidth="1"/>
    <col min="2" max="2" width="25" bestFit="1" customWidth="1"/>
    <col min="3" max="3" width="23.6640625" bestFit="1" customWidth="1"/>
    <col min="4" max="4" width="25.83203125" bestFit="1" customWidth="1"/>
    <col min="5" max="5" width="24.5" bestFit="1" customWidth="1"/>
    <col min="6" max="6" width="23.5" bestFit="1" customWidth="1"/>
    <col min="7" max="7" width="22" bestFit="1" customWidth="1"/>
    <col min="12" max="12" width="26.83203125" bestFit="1" customWidth="1"/>
  </cols>
  <sheetData>
    <row r="1" spans="1:25" s="1" customFormat="1" ht="32" x14ac:dyDescent="0.2">
      <c r="A1" s="7" t="s">
        <v>27</v>
      </c>
      <c r="B1" s="6" t="s">
        <v>77</v>
      </c>
      <c r="H1" s="1" t="s">
        <v>110</v>
      </c>
      <c r="I1" s="39" t="s">
        <v>98</v>
      </c>
      <c r="J1" s="40" t="s">
        <v>99</v>
      </c>
      <c r="K1" s="41" t="s">
        <v>100</v>
      </c>
      <c r="L1" s="1" t="s">
        <v>124</v>
      </c>
      <c r="M1" s="44" t="s">
        <v>98</v>
      </c>
      <c r="N1" s="48" t="s">
        <v>99</v>
      </c>
      <c r="O1" s="45" t="s">
        <v>101</v>
      </c>
      <c r="P1" s="1" t="s">
        <v>111</v>
      </c>
      <c r="Q1" s="44" t="s">
        <v>102</v>
      </c>
      <c r="R1" s="45" t="s">
        <v>103</v>
      </c>
      <c r="S1" s="1" t="s">
        <v>112</v>
      </c>
      <c r="T1" s="44" t="s">
        <v>108</v>
      </c>
      <c r="U1" s="45" t="s">
        <v>109</v>
      </c>
      <c r="W1" s="3" t="s">
        <v>121</v>
      </c>
      <c r="X1" s="1" t="s">
        <v>113</v>
      </c>
      <c r="Y1" s="1" t="s">
        <v>114</v>
      </c>
    </row>
    <row r="2" spans="1:25" s="1" customFormat="1" x14ac:dyDescent="0.2"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I2" s="42">
        <v>0.21099999999999999</v>
      </c>
      <c r="J2" s="22">
        <v>0.191</v>
      </c>
      <c r="K2" s="43">
        <v>0.59800000000000009</v>
      </c>
      <c r="M2" s="46">
        <v>0</v>
      </c>
      <c r="N2" s="49">
        <v>0.13</v>
      </c>
      <c r="O2" s="47">
        <v>0.87</v>
      </c>
      <c r="Q2" s="46">
        <v>0.85</v>
      </c>
      <c r="R2" s="47">
        <v>0.15000000000000002</v>
      </c>
      <c r="S2" s="3"/>
      <c r="T2" s="46">
        <v>1</v>
      </c>
      <c r="U2" s="47">
        <v>0</v>
      </c>
      <c r="W2" s="50" t="s">
        <v>115</v>
      </c>
      <c r="X2" s="51">
        <f>1-Y2</f>
        <v>0.73599999999999999</v>
      </c>
      <c r="Y2" s="52">
        <v>0.26400000000000001</v>
      </c>
    </row>
    <row r="3" spans="1:25" x14ac:dyDescent="0.2">
      <c r="A3" s="1" t="s">
        <v>28</v>
      </c>
      <c r="B3" s="36">
        <v>3053.9316231000003</v>
      </c>
      <c r="C3" s="36">
        <v>2575.5290831000002</v>
      </c>
      <c r="D3" s="36">
        <v>3422.91969565</v>
      </c>
      <c r="E3" s="36">
        <v>2768.1475556499995</v>
      </c>
      <c r="F3" s="36">
        <v>2830.1735771311996</v>
      </c>
      <c r="G3" s="36">
        <v>2294.4509171311997</v>
      </c>
      <c r="W3" s="53" t="s">
        <v>116</v>
      </c>
      <c r="X3" s="54">
        <f>1-Y3</f>
        <v>0.89</v>
      </c>
      <c r="Y3" s="55">
        <v>0.10999999999999999</v>
      </c>
    </row>
    <row r="4" spans="1:25" x14ac:dyDescent="0.2">
      <c r="A4" s="1" t="s">
        <v>29</v>
      </c>
      <c r="B4" s="8"/>
      <c r="C4" s="8"/>
      <c r="D4" s="8"/>
      <c r="E4" s="8"/>
      <c r="F4" s="8"/>
      <c r="G4" s="8"/>
      <c r="W4" s="56" t="s">
        <v>117</v>
      </c>
      <c r="X4" s="57">
        <f>1-Y4</f>
        <v>0.15000000000000002</v>
      </c>
      <c r="Y4" s="58">
        <v>0.85</v>
      </c>
    </row>
    <row r="5" spans="1:25" s="9" customFormat="1" x14ac:dyDescent="0.2">
      <c r="A5" s="9" t="s">
        <v>105</v>
      </c>
      <c r="B5" s="10">
        <f>2002.36553014031*X2*I2</f>
        <v>310.95935736866954</v>
      </c>
      <c r="C5" s="10">
        <f>870.728645336937*X2*I2</f>
        <v>135.22067570624498</v>
      </c>
      <c r="D5" s="10">
        <f>2281.24866152374*X2*I2</f>
        <v>354.26879213999069</v>
      </c>
      <c r="E5" s="10">
        <f>1021.69727572668*X2*I2</f>
        <v>158.66550013125047</v>
      </c>
      <c r="F5" s="10">
        <f>1933.5429905896*X2*I2</f>
        <v>300.27149226660254</v>
      </c>
      <c r="G5" s="10">
        <f>576.865685493582*X2*I2</f>
        <v>89.584933494411302</v>
      </c>
      <c r="W5" s="56" t="s">
        <v>119</v>
      </c>
      <c r="X5" s="57" t="s">
        <v>127</v>
      </c>
      <c r="Y5" s="58" t="s">
        <v>127</v>
      </c>
    </row>
    <row r="6" spans="1:25" s="9" customFormat="1" x14ac:dyDescent="0.2">
      <c r="A6" s="9" t="s">
        <v>106</v>
      </c>
      <c r="B6" s="10">
        <f>2002.36553014031*X2*J2</f>
        <v>281.48453676500424</v>
      </c>
      <c r="C6" s="10">
        <f>870.728645336937*X2*J2</f>
        <v>122.40355004688526</v>
      </c>
      <c r="D6" s="10">
        <f>2281.24866152374*X2*J2</f>
        <v>320.68881184236125</v>
      </c>
      <c r="E6" s="10">
        <f>1021.69727572668*X2*J2</f>
        <v>143.62611623255376</v>
      </c>
      <c r="F6" s="10">
        <f>1933.5429905896*X2*J2</f>
        <v>271.80973944512363</v>
      </c>
      <c r="G6" s="10">
        <f>576.865685493582*X2*J2</f>
        <v>81.093470603945775</v>
      </c>
      <c r="W6" s="59" t="s">
        <v>118</v>
      </c>
      <c r="X6" s="60">
        <f>1-Y6</f>
        <v>0.47899999999999998</v>
      </c>
      <c r="Y6" s="61">
        <v>0.52100000000000002</v>
      </c>
    </row>
    <row r="7" spans="1:25" s="9" customFormat="1" x14ac:dyDescent="0.2">
      <c r="A7" s="9" t="s">
        <v>107</v>
      </c>
      <c r="B7" s="10">
        <f>2002.36553014031*X2*K2</f>
        <v>881.29713604959443</v>
      </c>
      <c r="C7" s="10">
        <f>870.728645336937*X2*K2</f>
        <v>383.23205721485544</v>
      </c>
      <c r="D7" s="10">
        <f>2281.24866152374*X2*K2</f>
        <v>1004.0414108991207</v>
      </c>
      <c r="E7" s="10">
        <f>1021.69727572668*X2*K2</f>
        <v>449.67757857103226</v>
      </c>
      <c r="F7" s="10">
        <f>1933.5429905896*X2*K2</f>
        <v>851.00640936221964</v>
      </c>
      <c r="G7" s="10">
        <f>576.865685493582*X2*K2</f>
        <v>253.89474042491926</v>
      </c>
    </row>
    <row r="8" spans="1:25" s="9" customFormat="1" x14ac:dyDescent="0.2">
      <c r="A8" s="9" t="s">
        <v>91</v>
      </c>
      <c r="B8" s="10">
        <v>0</v>
      </c>
      <c r="C8" s="10">
        <v>26.532858227563175</v>
      </c>
      <c r="D8" s="10">
        <v>0</v>
      </c>
      <c r="E8" s="10">
        <v>22.070149377200956</v>
      </c>
      <c r="F8" s="10">
        <v>0</v>
      </c>
      <c r="G8" s="10">
        <v>0</v>
      </c>
    </row>
    <row r="9" spans="1:25" s="9" customFormat="1" x14ac:dyDescent="0.2">
      <c r="A9" s="9" t="s">
        <v>120</v>
      </c>
      <c r="B9" s="10">
        <f>2002.36553014031*Y2</f>
        <v>528.62449995704185</v>
      </c>
      <c r="C9" s="10">
        <f>870.728645336937*Y2</f>
        <v>229.87236236895137</v>
      </c>
      <c r="D9" s="10">
        <f>2281.24866152374*Y2</f>
        <v>602.24964664226741</v>
      </c>
      <c r="E9" s="10">
        <f>1021.69727572668*Y2</f>
        <v>269.72808079184352</v>
      </c>
      <c r="F9" s="10">
        <f>1933.5429905896*Y2</f>
        <v>510.45534951565446</v>
      </c>
      <c r="G9" s="10">
        <f>576.865685493582*Y2</f>
        <v>152.29254097030565</v>
      </c>
    </row>
    <row r="10" spans="1:25" s="9" customFormat="1" x14ac:dyDescent="0.2">
      <c r="A10" s="9" t="s">
        <v>204</v>
      </c>
      <c r="B10" s="10">
        <f>314.250021258502*Q2</f>
        <v>267.11251806972666</v>
      </c>
      <c r="C10" s="10">
        <f>90.5986004545212*Q2</f>
        <v>77.008810386343015</v>
      </c>
      <c r="D10" s="10">
        <f>245.152121054381*Q2</f>
        <v>208.37930289622386</v>
      </c>
      <c r="E10" s="10">
        <f>95.4390263278243*Q2</f>
        <v>81.123172378650651</v>
      </c>
      <c r="F10" s="10">
        <f>56.4364913015733*Q2</f>
        <v>47.971017606337305</v>
      </c>
      <c r="G10" s="10">
        <f>65.859919125334*Q2</f>
        <v>55.9809312565339</v>
      </c>
    </row>
    <row r="11" spans="1:25" s="9" customFormat="1" x14ac:dyDescent="0.2">
      <c r="A11" s="9" t="s">
        <v>104</v>
      </c>
      <c r="B11" s="10">
        <f>314.250021258502*R2</f>
        <v>47.137503188775305</v>
      </c>
      <c r="C11" s="10">
        <f>90.5986004545212*R2</f>
        <v>13.589790068178182</v>
      </c>
      <c r="D11" s="10">
        <f>245.152121054381*R2</f>
        <v>36.772818158157158</v>
      </c>
      <c r="E11" s="10">
        <f>95.4390263278243*R2</f>
        <v>14.315853949173647</v>
      </c>
      <c r="F11" s="10">
        <f>56.4364913015733*R2</f>
        <v>8.4654736952359961</v>
      </c>
      <c r="G11" s="10">
        <f>65.859919125334*R2</f>
        <v>9.8789878688001025</v>
      </c>
    </row>
    <row r="12" spans="1:25" s="9" customFormat="1" x14ac:dyDescent="0.2">
      <c r="A12" s="9" t="s">
        <v>125</v>
      </c>
      <c r="B12" s="10">
        <f>57.9942497613439*X3*M2</f>
        <v>0</v>
      </c>
      <c r="C12" s="10">
        <f>173.47877748734*X3*M2</f>
        <v>0</v>
      </c>
      <c r="D12" s="10">
        <f>41.5451397632037*X3*M2</f>
        <v>0</v>
      </c>
      <c r="E12" s="10">
        <f>133.33946515962*X3*M2</f>
        <v>0</v>
      </c>
      <c r="F12" s="10">
        <f>41.8413881005381*X3*M2</f>
        <v>0</v>
      </c>
      <c r="G12" s="10">
        <f>158.30341195381*X3*M2</f>
        <v>0</v>
      </c>
    </row>
    <row r="13" spans="1:25" s="9" customFormat="1" x14ac:dyDescent="0.2">
      <c r="A13" s="9" t="s">
        <v>126</v>
      </c>
      <c r="B13" s="10">
        <f>57.9942497613439*X3*N2</f>
        <v>6.7099346973874896</v>
      </c>
      <c r="C13" s="10">
        <f>173.47877748734*X3*N2</f>
        <v>20.071494555285241</v>
      </c>
      <c r="D13" s="10">
        <f>41.5451397632037*X3*N2</f>
        <v>4.8067726706026681</v>
      </c>
      <c r="E13" s="10">
        <f>133.33946515962*X3*N2</f>
        <v>15.427376118968036</v>
      </c>
      <c r="F13" s="10">
        <f>41.8413881005381*X3*N2</f>
        <v>4.8410486032322586</v>
      </c>
      <c r="G13" s="10">
        <f>158.30341195381*X3*N2</f>
        <v>18.31570476305582</v>
      </c>
    </row>
    <row r="14" spans="1:25" s="9" customFormat="1" x14ac:dyDescent="0.2">
      <c r="A14" s="9" t="s">
        <v>229</v>
      </c>
      <c r="B14" s="10">
        <f>57.9942497613439*X3*O2</f>
        <v>44.904947590208586</v>
      </c>
      <c r="C14" s="10">
        <f>173.47877748734*X3*O2</f>
        <v>134.32461740844738</v>
      </c>
      <c r="D14" s="10">
        <f>41.5451397632037*X3*O2</f>
        <v>32.168401718648624</v>
      </c>
      <c r="E14" s="10">
        <f>133.33946515962*X3*O2</f>
        <v>103.24474787309377</v>
      </c>
      <c r="F14" s="10">
        <f>41.8413881005381*X3*O2</f>
        <v>32.39778680624665</v>
      </c>
      <c r="G14" s="10">
        <f>158.30341195381*X3*O2</f>
        <v>122.57433187583509</v>
      </c>
    </row>
    <row r="15" spans="1:25" s="9" customFormat="1" x14ac:dyDescent="0.2">
      <c r="A15" s="9" t="s">
        <v>122</v>
      </c>
      <c r="B15" s="10">
        <f>57.9942497613439*Y3*M2</f>
        <v>0</v>
      </c>
      <c r="C15" s="10">
        <f>173.47877748734*Y3*M2</f>
        <v>0</v>
      </c>
      <c r="D15" s="10">
        <f>41.5451397632037*Y3*M2</f>
        <v>0</v>
      </c>
      <c r="E15" s="10">
        <f>133.33946515962*Y3*M2</f>
        <v>0</v>
      </c>
      <c r="F15" s="10">
        <f>41.8413881005381*Y3*M2</f>
        <v>0</v>
      </c>
      <c r="G15" s="10">
        <f>158.30341195381*Y3*M2</f>
        <v>0</v>
      </c>
    </row>
    <row r="16" spans="1:25" s="9" customFormat="1" x14ac:dyDescent="0.2">
      <c r="A16" s="9" t="s">
        <v>123</v>
      </c>
      <c r="B16" s="10">
        <f>57.9942497613439*Y3*N2</f>
        <v>0.82931777158721776</v>
      </c>
      <c r="C16" s="10">
        <f>173.47877748734*Y3*N2</f>
        <v>2.4807465180689618</v>
      </c>
      <c r="D16" s="10">
        <f>41.5451397632037*Y3*N2</f>
        <v>0.59409549861381283</v>
      </c>
      <c r="E16" s="10">
        <f>133.33946515962*Y3*N2</f>
        <v>1.9067543517825658</v>
      </c>
      <c r="F16" s="10">
        <f>41.8413881005381*Y3*N2</f>
        <v>0.59833184983769483</v>
      </c>
      <c r="G16" s="10">
        <f>158.30341195381*Y3*N2</f>
        <v>2.2637387909394833</v>
      </c>
    </row>
    <row r="17" spans="1:7" s="9" customFormat="1" x14ac:dyDescent="0.2">
      <c r="A17" s="9" t="s">
        <v>230</v>
      </c>
      <c r="B17" s="10">
        <f>57.9942497613439*Y3*O2</f>
        <v>5.550049702160611</v>
      </c>
      <c r="C17" s="10">
        <f>173.47877748734*Y3*O2</f>
        <v>16.601919005538438</v>
      </c>
      <c r="D17" s="10">
        <f>41.5451397632037*Y3*O2</f>
        <v>3.9758698753385939</v>
      </c>
      <c r="E17" s="10">
        <f>133.33946515962*Y3*O2</f>
        <v>12.760586815775634</v>
      </c>
      <c r="F17" s="10">
        <f>41.8413881005381*Y3*O2</f>
        <v>4.0042208412214961</v>
      </c>
      <c r="G17" s="10">
        <f>158.30341195381*Y3*O2</f>
        <v>15.149636523979618</v>
      </c>
    </row>
    <row r="18" spans="1:7" s="9" customFormat="1" x14ac:dyDescent="0.2">
      <c r="A18" s="9" t="s">
        <v>205</v>
      </c>
      <c r="B18" s="10">
        <f>136.300976097098*X4</f>
        <v>20.4451464145647</v>
      </c>
      <c r="C18" s="10">
        <f>362.466107389333*X4</f>
        <v>54.369916108399956</v>
      </c>
      <c r="D18" s="10">
        <f>229.689136360041*X4</f>
        <v>34.453370454006155</v>
      </c>
      <c r="E18" s="10">
        <f>418.920562816097*X4</f>
        <v>62.83808442241456</v>
      </c>
      <c r="F18" s="10">
        <f>159.862606675717*X4</f>
        <v>23.979391001357552</v>
      </c>
      <c r="G18" s="10">
        <f>364.34885453217*X4</f>
        <v>54.652328179825503</v>
      </c>
    </row>
    <row r="19" spans="1:7" s="9" customFormat="1" x14ac:dyDescent="0.2">
      <c r="A19" s="9" t="s">
        <v>227</v>
      </c>
      <c r="B19" s="10">
        <f>136.300976097098*Y4</f>
        <v>115.85582968253328</v>
      </c>
      <c r="C19" s="10">
        <f>362.466107389333*Y4</f>
        <v>308.09619128093306</v>
      </c>
      <c r="D19" s="10">
        <f>229.689136360041*Y4</f>
        <v>195.23576590603486</v>
      </c>
      <c r="E19" s="10">
        <f>418.920562816097*Y4</f>
        <v>356.08247839368244</v>
      </c>
      <c r="F19" s="10">
        <f>159.862606675717*Y4</f>
        <v>135.88321567435943</v>
      </c>
      <c r="G19" s="10">
        <f>364.34885453217*Y4</f>
        <v>309.69652635234445</v>
      </c>
    </row>
    <row r="20" spans="1:7" x14ac:dyDescent="0.2">
      <c r="A20" t="s">
        <v>30</v>
      </c>
      <c r="B20" s="8">
        <v>57.411235669854676</v>
      </c>
      <c r="C20" s="8">
        <v>79.590642497518502</v>
      </c>
      <c r="D20" s="8">
        <v>155.45326673149938</v>
      </c>
      <c r="E20" s="8">
        <v>140.99617037251051</v>
      </c>
      <c r="F20" s="8">
        <v>164.00762466344014</v>
      </c>
      <c r="G20" s="8">
        <v>166.92361618305625</v>
      </c>
    </row>
    <row r="21" spans="1:7" x14ac:dyDescent="0.2">
      <c r="A21" t="s">
        <v>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s="9" customFormat="1" x14ac:dyDescent="0.2">
      <c r="A22" s="9" t="s">
        <v>206</v>
      </c>
      <c r="B22" s="10">
        <f>0.563684507906762*X6*T2</f>
        <v>0.27000487928733896</v>
      </c>
      <c r="C22" s="10">
        <f>9.78598277981832*X6*T2</f>
        <v>4.6874857515329751</v>
      </c>
      <c r="D22" s="10">
        <f>0.522918812726381*X6*T2</f>
        <v>0.25047811129593645</v>
      </c>
      <c r="E22" s="10">
        <f>8.92531295895716*X6*T2</f>
        <v>4.2752249073404798</v>
      </c>
      <c r="F22" s="10">
        <f>0.537683375339533*X6*T2</f>
        <v>0.25755033678763634</v>
      </c>
      <c r="G22" s="10">
        <f>8.87455833659294*X6*T2</f>
        <v>4.2509134432280185</v>
      </c>
    </row>
    <row r="23" spans="1:7" s="9" customFormat="1" x14ac:dyDescent="0.2">
      <c r="A23" s="9" t="s">
        <v>208</v>
      </c>
      <c r="B23" s="10">
        <f>0.563684507906762*X7*U2</f>
        <v>0</v>
      </c>
      <c r="C23" s="10">
        <f>9.78598277981832*X7*U2</f>
        <v>0</v>
      </c>
      <c r="D23" s="10">
        <f>0.522918812726381*X7*U2</f>
        <v>0</v>
      </c>
      <c r="E23" s="10">
        <f>8.92531295895716*X7*U2</f>
        <v>0</v>
      </c>
      <c r="F23" s="10">
        <f>0.537683375339533*X7*U2</f>
        <v>0</v>
      </c>
      <c r="G23" s="10">
        <f>8.87455833659294*X7*U2</f>
        <v>0</v>
      </c>
    </row>
    <row r="24" spans="1:7" s="9" customFormat="1" x14ac:dyDescent="0.2">
      <c r="A24" s="9" t="s">
        <v>228</v>
      </c>
      <c r="B24" s="10">
        <f>0.563684507906762*Y6</f>
        <v>0.29367962861942298</v>
      </c>
      <c r="C24" s="10">
        <f>9.78598277981832*Y6</f>
        <v>5.0984970282853457</v>
      </c>
      <c r="D24" s="10">
        <f>0.522918812726381*Y6</f>
        <v>0.27244070143044452</v>
      </c>
      <c r="E24" s="10">
        <f>8.92531295895716*Y6</f>
        <v>4.6500880516166809</v>
      </c>
      <c r="F24" s="10">
        <f>0.537683375339533*Y6</f>
        <v>0.2801330385518967</v>
      </c>
      <c r="G24" s="10">
        <f>8.87455833659294*Y6</f>
        <v>4.6236448933649221</v>
      </c>
    </row>
    <row r="25" spans="1:7" x14ac:dyDescent="0.2">
      <c r="A25" t="s">
        <v>32</v>
      </c>
      <c r="B25" s="8">
        <v>91.598732534848821</v>
      </c>
      <c r="C25" s="8">
        <v>83.724519338445575</v>
      </c>
      <c r="D25" s="8">
        <v>84.974307068036921</v>
      </c>
      <c r="E25" s="8">
        <v>72.39420511154141</v>
      </c>
      <c r="F25" s="8">
        <v>87.373548492674175</v>
      </c>
      <c r="G25" s="8">
        <v>70.996466692743553</v>
      </c>
    </row>
    <row r="26" spans="1:7" x14ac:dyDescent="0.2">
      <c r="A26" t="s">
        <v>33</v>
      </c>
      <c r="B26" s="8">
        <v>346.38590785192702</v>
      </c>
      <c r="C26" s="8">
        <v>364.7234903970247</v>
      </c>
      <c r="D26" s="8">
        <v>335.60267869741955</v>
      </c>
      <c r="E26" s="8">
        <v>340.79145325177296</v>
      </c>
      <c r="F26" s="8">
        <v>338.11108200260446</v>
      </c>
      <c r="G26" s="8">
        <v>353.04895385652327</v>
      </c>
    </row>
    <row r="27" spans="1:7" x14ac:dyDescent="0.2">
      <c r="A27" t="s">
        <v>34</v>
      </c>
      <c r="B27" s="8">
        <v>226.87718104790926</v>
      </c>
      <c r="C27" s="8">
        <v>234.90802360559468</v>
      </c>
      <c r="D27" s="8">
        <v>223.56082318223889</v>
      </c>
      <c r="E27" s="8">
        <v>227.56047212043978</v>
      </c>
      <c r="F27" s="8">
        <v>208.96779831742191</v>
      </c>
      <c r="G27" s="8">
        <v>219.38714135210392</v>
      </c>
    </row>
    <row r="28" spans="1:7" x14ac:dyDescent="0.2">
      <c r="A28" t="s">
        <v>35</v>
      </c>
      <c r="B28" s="8">
        <v>0</v>
      </c>
      <c r="C28" s="8">
        <v>414.27327101230873</v>
      </c>
      <c r="D28" s="8">
        <v>0</v>
      </c>
      <c r="E28" s="8">
        <v>408.58099323226105</v>
      </c>
      <c r="F28" s="8">
        <v>0</v>
      </c>
      <c r="G28" s="8">
        <v>420.06242793206599</v>
      </c>
    </row>
    <row r="29" spans="1:7" x14ac:dyDescent="0.2">
      <c r="A29" t="s">
        <v>36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2">
      <c r="A30" t="s">
        <v>37</v>
      </c>
      <c r="B30" s="8">
        <v>0</v>
      </c>
      <c r="C30" s="8">
        <v>46.20499175081401</v>
      </c>
      <c r="D30" s="8">
        <v>0</v>
      </c>
      <c r="E30" s="8">
        <v>56.691661939711992</v>
      </c>
      <c r="F30" s="8">
        <v>0</v>
      </c>
      <c r="G30" s="8">
        <v>59.417100950029557</v>
      </c>
    </row>
    <row r="31" spans="1:7" x14ac:dyDescent="0.2">
      <c r="A31" t="s">
        <v>38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2">
      <c r="A32" t="s">
        <v>39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">
      <c r="A33" t="s">
        <v>40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">
      <c r="A34" t="s">
        <v>41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">
      <c r="A35" t="s">
        <v>42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2">
      <c r="A36" t="s">
        <v>43</v>
      </c>
      <c r="B36" s="8">
        <v>1.5087962516712199E-2</v>
      </c>
      <c r="C36" s="8">
        <v>2.211071518963598E-2</v>
      </c>
      <c r="D36" s="8">
        <v>1.634587173363317E-2</v>
      </c>
      <c r="E36" s="8">
        <v>1.4713432918133972E-2</v>
      </c>
      <c r="F36" s="8">
        <v>0</v>
      </c>
      <c r="G36" s="8">
        <v>0</v>
      </c>
    </row>
    <row r="37" spans="1:7" x14ac:dyDescent="0.2">
      <c r="A37" t="s">
        <v>44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 x14ac:dyDescent="0.2">
      <c r="A38" t="s">
        <v>45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2">
      <c r="A39" t="s">
        <v>46</v>
      </c>
      <c r="B39" s="8">
        <v>60.169016267778147</v>
      </c>
      <c r="C39" s="8">
        <v>58.491062107592413</v>
      </c>
      <c r="D39" s="8">
        <v>65.154296584979974</v>
      </c>
      <c r="E39" s="8">
        <v>60.726093822460172</v>
      </c>
      <c r="F39" s="8">
        <v>79.492363612292777</v>
      </c>
      <c r="G39" s="8">
        <v>70.36278072318882</v>
      </c>
    </row>
    <row r="45" spans="1:7" x14ac:dyDescent="0.2">
      <c r="D4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5"/>
  <sheetViews>
    <sheetView zoomScale="80" zoomScaleNormal="80" zoomScalePageLayoutView="80" workbookViewId="0">
      <selection activeCell="A13" sqref="A13"/>
    </sheetView>
  </sheetViews>
  <sheetFormatPr baseColWidth="10" defaultRowHeight="16" x14ac:dyDescent="0.2"/>
  <cols>
    <col min="1" max="1" width="52.5" customWidth="1"/>
    <col min="2" max="2" width="25" bestFit="1" customWidth="1"/>
    <col min="3" max="3" width="23.6640625" bestFit="1" customWidth="1"/>
    <col min="4" max="4" width="25.83203125" bestFit="1" customWidth="1"/>
    <col min="5" max="5" width="24.5" bestFit="1" customWidth="1"/>
    <col min="6" max="6" width="23.5" bestFit="1" customWidth="1"/>
    <col min="7" max="7" width="22" bestFit="1" customWidth="1"/>
    <col min="12" max="12" width="26.83203125" bestFit="1" customWidth="1"/>
  </cols>
  <sheetData>
    <row r="1" spans="1:25" s="1" customFormat="1" ht="32" x14ac:dyDescent="0.2">
      <c r="A1" s="7" t="s">
        <v>27</v>
      </c>
      <c r="B1" s="6" t="s">
        <v>77</v>
      </c>
      <c r="H1" s="1" t="s">
        <v>110</v>
      </c>
      <c r="I1" s="39" t="s">
        <v>98</v>
      </c>
      <c r="J1" s="40" t="s">
        <v>99</v>
      </c>
      <c r="K1" s="41" t="s">
        <v>100</v>
      </c>
      <c r="L1" s="1" t="s">
        <v>124</v>
      </c>
      <c r="M1" s="44" t="s">
        <v>98</v>
      </c>
      <c r="N1" s="48" t="s">
        <v>99</v>
      </c>
      <c r="O1" s="45" t="s">
        <v>101</v>
      </c>
      <c r="P1" s="1" t="s">
        <v>111</v>
      </c>
      <c r="Q1" s="44" t="s">
        <v>102</v>
      </c>
      <c r="R1" s="45" t="s">
        <v>103</v>
      </c>
      <c r="S1" s="1" t="s">
        <v>112</v>
      </c>
      <c r="T1" s="44" t="s">
        <v>108</v>
      </c>
      <c r="U1" s="45" t="s">
        <v>109</v>
      </c>
      <c r="W1" s="3" t="s">
        <v>121</v>
      </c>
      <c r="X1" s="1" t="s">
        <v>113</v>
      </c>
      <c r="Y1" s="1" t="s">
        <v>114</v>
      </c>
    </row>
    <row r="2" spans="1:25" s="1" customFormat="1" x14ac:dyDescent="0.2"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I2" s="42">
        <v>0.21099999999999999</v>
      </c>
      <c r="J2" s="22">
        <v>0.191</v>
      </c>
      <c r="K2" s="43">
        <v>0.59800000000000009</v>
      </c>
      <c r="M2" s="46">
        <v>0</v>
      </c>
      <c r="N2" s="49">
        <v>0.13</v>
      </c>
      <c r="O2" s="47">
        <v>0.87</v>
      </c>
      <c r="Q2" s="46">
        <v>0.85</v>
      </c>
      <c r="R2" s="47">
        <v>0.15000000000000002</v>
      </c>
      <c r="S2" s="3"/>
      <c r="T2" s="46">
        <v>1</v>
      </c>
      <c r="U2" s="47">
        <v>0</v>
      </c>
      <c r="W2" s="50" t="s">
        <v>115</v>
      </c>
      <c r="X2" s="51">
        <f>1-Y2</f>
        <v>1</v>
      </c>
      <c r="Y2" s="52">
        <v>0</v>
      </c>
    </row>
    <row r="3" spans="1:25" x14ac:dyDescent="0.2">
      <c r="A3" s="1" t="s">
        <v>28</v>
      </c>
      <c r="B3" s="36">
        <v>3053.9316231000003</v>
      </c>
      <c r="C3" s="36">
        <v>2575.5290831000002</v>
      </c>
      <c r="D3" s="36">
        <v>3422.91969565</v>
      </c>
      <c r="E3" s="36">
        <v>2768.1475556499995</v>
      </c>
      <c r="F3" s="36">
        <v>2830.1735771311996</v>
      </c>
      <c r="G3" s="36">
        <v>2294.4509171311997</v>
      </c>
      <c r="W3" s="53" t="s">
        <v>116</v>
      </c>
      <c r="X3" s="54">
        <f>1-Y3</f>
        <v>1</v>
      </c>
      <c r="Y3" s="55">
        <v>0</v>
      </c>
    </row>
    <row r="4" spans="1:25" x14ac:dyDescent="0.2">
      <c r="A4" s="1" t="s">
        <v>29</v>
      </c>
      <c r="B4" s="8"/>
      <c r="C4" s="8"/>
      <c r="D4" s="8"/>
      <c r="E4" s="8"/>
      <c r="F4" s="8"/>
      <c r="G4" s="8"/>
      <c r="W4" s="56" t="s">
        <v>117</v>
      </c>
      <c r="X4" s="57">
        <f>1-Y4</f>
        <v>1</v>
      </c>
      <c r="Y4" s="58">
        <v>0</v>
      </c>
    </row>
    <row r="5" spans="1:25" s="9" customFormat="1" x14ac:dyDescent="0.2">
      <c r="A5" s="9" t="s">
        <v>105</v>
      </c>
      <c r="B5" s="10">
        <f>2002.36553014031*X2*I2</f>
        <v>422.49912685960538</v>
      </c>
      <c r="C5" s="10">
        <f>870.728645336937*X2*I2</f>
        <v>183.7237441660937</v>
      </c>
      <c r="D5" s="10">
        <f>2281.24866152374*X2*I2</f>
        <v>481.34346758150912</v>
      </c>
      <c r="E5" s="10">
        <f>1021.69727572668*X2*I2</f>
        <v>215.57812517832949</v>
      </c>
      <c r="F5" s="10">
        <f>1933.5429905896*X2*I2</f>
        <v>407.97757101440561</v>
      </c>
      <c r="G5" s="10">
        <f>576.865685493582*X2*I2</f>
        <v>121.71865963914578</v>
      </c>
      <c r="W5" s="56" t="s">
        <v>119</v>
      </c>
      <c r="X5" s="57" t="s">
        <v>127</v>
      </c>
      <c r="Y5" s="58" t="s">
        <v>127</v>
      </c>
    </row>
    <row r="6" spans="1:25" s="9" customFormat="1" x14ac:dyDescent="0.2">
      <c r="A6" s="9" t="s">
        <v>106</v>
      </c>
      <c r="B6" s="10">
        <f>2002.36553014031*X2*J2</f>
        <v>382.45181625679925</v>
      </c>
      <c r="C6" s="10">
        <f>870.728645336937*X2*J2</f>
        <v>166.30917125935497</v>
      </c>
      <c r="D6" s="10">
        <f>2281.24866152374*X2*J2</f>
        <v>435.71849435103434</v>
      </c>
      <c r="E6" s="10">
        <f>1021.69727572668*X2*J2</f>
        <v>195.14417966379588</v>
      </c>
      <c r="F6" s="10">
        <f>1933.5429905896*X2*J2</f>
        <v>369.3067112026136</v>
      </c>
      <c r="G6" s="10">
        <f>576.865685493582*X2*J2</f>
        <v>110.18134592927416</v>
      </c>
      <c r="W6" s="59" t="s">
        <v>118</v>
      </c>
      <c r="X6" s="60">
        <f>1-Y6</f>
        <v>1</v>
      </c>
      <c r="Y6" s="61">
        <v>0</v>
      </c>
    </row>
    <row r="7" spans="1:25" s="9" customFormat="1" x14ac:dyDescent="0.2">
      <c r="A7" s="9" t="s">
        <v>107</v>
      </c>
      <c r="B7" s="10">
        <f>2002.36553014031*X2*K2</f>
        <v>1197.4145870239056</v>
      </c>
      <c r="C7" s="10">
        <f>870.728645336937*X2*K2</f>
        <v>520.69572991148846</v>
      </c>
      <c r="D7" s="10">
        <f>2281.24866152374*X2*K2</f>
        <v>1364.1866995911967</v>
      </c>
      <c r="E7" s="10">
        <f>1021.69727572668*X2*K2</f>
        <v>610.97497088455475</v>
      </c>
      <c r="F7" s="10">
        <f>1933.5429905896*X2*K2</f>
        <v>1156.2587083725809</v>
      </c>
      <c r="G7" s="10">
        <f>576.865685493582*X2*K2</f>
        <v>344.96567992516208</v>
      </c>
    </row>
    <row r="8" spans="1:25" s="9" customFormat="1" x14ac:dyDescent="0.2">
      <c r="A8" s="9" t="s">
        <v>91</v>
      </c>
      <c r="B8" s="10">
        <v>0</v>
      </c>
      <c r="C8" s="10">
        <v>26.532858227563175</v>
      </c>
      <c r="D8" s="10">
        <v>0</v>
      </c>
      <c r="E8" s="10">
        <v>22.070149377200956</v>
      </c>
      <c r="F8" s="10">
        <v>0</v>
      </c>
      <c r="G8" s="10">
        <v>0</v>
      </c>
    </row>
    <row r="9" spans="1:25" s="9" customFormat="1" x14ac:dyDescent="0.2">
      <c r="A9" s="9" t="s">
        <v>120</v>
      </c>
      <c r="B9" s="10">
        <f>2002.36553014031*Y2</f>
        <v>0</v>
      </c>
      <c r="C9" s="10">
        <f>870.728645336937*Y2</f>
        <v>0</v>
      </c>
      <c r="D9" s="10">
        <f>2281.24866152374*Y2</f>
        <v>0</v>
      </c>
      <c r="E9" s="10">
        <f>1021.69727572668*Y2</f>
        <v>0</v>
      </c>
      <c r="F9" s="10">
        <f>1933.5429905896*Y2</f>
        <v>0</v>
      </c>
      <c r="G9" s="10">
        <f>576.865685493582*Y2</f>
        <v>0</v>
      </c>
    </row>
    <row r="10" spans="1:25" s="79" customFormat="1" x14ac:dyDescent="0.2">
      <c r="A10" s="79" t="s">
        <v>204</v>
      </c>
      <c r="B10" s="80">
        <f>314.250021258502*Q2</f>
        <v>267.11251806972666</v>
      </c>
      <c r="C10" s="80">
        <f>90.5986004545212*Q2</f>
        <v>77.008810386343015</v>
      </c>
      <c r="D10" s="80">
        <f>245.152121054381*Q2</f>
        <v>208.37930289622386</v>
      </c>
      <c r="E10" s="80">
        <f>95.4390263278243*Q2</f>
        <v>81.123172378650651</v>
      </c>
      <c r="F10" s="80">
        <f>56.4364913015733*Q2</f>
        <v>47.971017606337305</v>
      </c>
      <c r="G10" s="80">
        <f>65.859919125334*Q2</f>
        <v>55.9809312565339</v>
      </c>
    </row>
    <row r="11" spans="1:25" s="79" customFormat="1" x14ac:dyDescent="0.2">
      <c r="A11" s="79" t="s">
        <v>104</v>
      </c>
      <c r="B11" s="80">
        <f>314.250021258502*R2</f>
        <v>47.137503188775305</v>
      </c>
      <c r="C11" s="80">
        <f>90.5986004545212*R2</f>
        <v>13.589790068178182</v>
      </c>
      <c r="D11" s="80">
        <f>245.152121054381*R2</f>
        <v>36.772818158157158</v>
      </c>
      <c r="E11" s="80">
        <f>95.4390263278243*R2</f>
        <v>14.315853949173647</v>
      </c>
      <c r="F11" s="80">
        <f>56.4364913015733*R2</f>
        <v>8.4654736952359961</v>
      </c>
      <c r="G11" s="80">
        <f>65.859919125334*R2</f>
        <v>9.8789878688001025</v>
      </c>
    </row>
    <row r="12" spans="1:25" s="9" customFormat="1" x14ac:dyDescent="0.2">
      <c r="A12" s="9" t="s">
        <v>125</v>
      </c>
      <c r="B12" s="10">
        <f>57.9942497613439*X3*M2</f>
        <v>0</v>
      </c>
      <c r="C12" s="10">
        <f>173.47877748734*X3*M2</f>
        <v>0</v>
      </c>
      <c r="D12" s="10">
        <f>41.5451397632037*X3*M2</f>
        <v>0</v>
      </c>
      <c r="E12" s="10">
        <f>133.33946515962*X3*M2</f>
        <v>0</v>
      </c>
      <c r="F12" s="10">
        <f>41.8413881005381*X3*M2</f>
        <v>0</v>
      </c>
      <c r="G12" s="10">
        <f>158.30341195381*X3*M2</f>
        <v>0</v>
      </c>
    </row>
    <row r="13" spans="1:25" s="9" customFormat="1" x14ac:dyDescent="0.2">
      <c r="A13" s="9" t="s">
        <v>126</v>
      </c>
      <c r="B13" s="10">
        <f>57.9942497613439*X3*N2</f>
        <v>7.5392524689747074</v>
      </c>
      <c r="C13" s="10">
        <f>173.47877748734*X3*N2</f>
        <v>22.552241073354203</v>
      </c>
      <c r="D13" s="10">
        <f>41.5451397632037*X3*N2</f>
        <v>5.4008681692164808</v>
      </c>
      <c r="E13" s="10">
        <f>133.33946515962*X3*N2</f>
        <v>17.334130470750601</v>
      </c>
      <c r="F13" s="10">
        <f>41.8413881005381*X3*N2</f>
        <v>5.439380453069953</v>
      </c>
      <c r="G13" s="10">
        <f>158.30341195381*X3*N2</f>
        <v>20.579443553995301</v>
      </c>
    </row>
    <row r="14" spans="1:25" s="9" customFormat="1" x14ac:dyDescent="0.2">
      <c r="A14" s="9" t="s">
        <v>229</v>
      </c>
      <c r="B14" s="10">
        <f>57.9942497613439*X3*O2</f>
        <v>50.454997292369193</v>
      </c>
      <c r="C14" s="10">
        <f>173.47877748734*X3*O2</f>
        <v>150.92653641398581</v>
      </c>
      <c r="D14" s="10">
        <f>41.5451397632037*X3*O2</f>
        <v>36.14427159398722</v>
      </c>
      <c r="E14" s="10">
        <f>133.33946515962*X3*O2</f>
        <v>116.0053346888694</v>
      </c>
      <c r="F14" s="10">
        <f>41.8413881005381*X3*O2</f>
        <v>36.402007647468146</v>
      </c>
      <c r="G14" s="10">
        <f>158.30341195381*X3*O2</f>
        <v>137.72396839981471</v>
      </c>
    </row>
    <row r="15" spans="1:25" s="9" customFormat="1" x14ac:dyDescent="0.2">
      <c r="A15" s="9" t="s">
        <v>122</v>
      </c>
      <c r="B15" s="10">
        <f>57.9942497613439*Y3*M2</f>
        <v>0</v>
      </c>
      <c r="C15" s="10">
        <f>173.47877748734*Y3*M2</f>
        <v>0</v>
      </c>
      <c r="D15" s="10">
        <f>41.5451397632037*Y3*M2</f>
        <v>0</v>
      </c>
      <c r="E15" s="10">
        <f>133.33946515962*Y3*M2</f>
        <v>0</v>
      </c>
      <c r="F15" s="10">
        <f>41.8413881005381*Y3*M2</f>
        <v>0</v>
      </c>
      <c r="G15" s="10">
        <f>158.30341195381*Y3*M2</f>
        <v>0</v>
      </c>
    </row>
    <row r="16" spans="1:25" s="9" customFormat="1" x14ac:dyDescent="0.2">
      <c r="A16" s="9" t="s">
        <v>123</v>
      </c>
      <c r="B16" s="10">
        <f>57.9942497613439*Y3*N2</f>
        <v>0</v>
      </c>
      <c r="C16" s="10">
        <f>173.47877748734*Y3*N2</f>
        <v>0</v>
      </c>
      <c r="D16" s="10">
        <f>41.5451397632037*Y3*N2</f>
        <v>0</v>
      </c>
      <c r="E16" s="10">
        <f>133.33946515962*Y3*N2</f>
        <v>0</v>
      </c>
      <c r="F16" s="10">
        <f>41.8413881005381*Y3*N2</f>
        <v>0</v>
      </c>
      <c r="G16" s="10">
        <f>158.30341195381*Y3*N2</f>
        <v>0</v>
      </c>
    </row>
    <row r="17" spans="1:7" s="9" customFormat="1" x14ac:dyDescent="0.2">
      <c r="A17" s="9" t="s">
        <v>230</v>
      </c>
      <c r="B17" s="10">
        <f>57.9942497613439*Y3*O2</f>
        <v>0</v>
      </c>
      <c r="C17" s="10">
        <f>173.47877748734*Y3*O2</f>
        <v>0</v>
      </c>
      <c r="D17" s="10">
        <f>41.5451397632037*Y3*O2</f>
        <v>0</v>
      </c>
      <c r="E17" s="10">
        <f>133.33946515962*Y3*O2</f>
        <v>0</v>
      </c>
      <c r="F17" s="10">
        <f>41.8413881005381*Y3*O2</f>
        <v>0</v>
      </c>
      <c r="G17" s="10">
        <f>158.30341195381*Y3*O2</f>
        <v>0</v>
      </c>
    </row>
    <row r="18" spans="1:7" s="9" customFormat="1" x14ac:dyDescent="0.2">
      <c r="A18" s="9" t="s">
        <v>205</v>
      </c>
      <c r="B18" s="10">
        <f>136.300976097098*X4</f>
        <v>136.30097609709799</v>
      </c>
      <c r="C18" s="10">
        <f>362.466107389333*X4</f>
        <v>362.46610738933299</v>
      </c>
      <c r="D18" s="10">
        <f>229.689136360041*X4</f>
        <v>229.689136360041</v>
      </c>
      <c r="E18" s="10">
        <f>418.920562816097*X4</f>
        <v>418.920562816097</v>
      </c>
      <c r="F18" s="10">
        <f>159.862606675717*X4</f>
        <v>159.86260667571699</v>
      </c>
      <c r="G18" s="10">
        <f>364.34885453217*X4</f>
        <v>364.34885453216998</v>
      </c>
    </row>
    <row r="19" spans="1:7" s="9" customFormat="1" x14ac:dyDescent="0.2">
      <c r="A19" s="9" t="s">
        <v>227</v>
      </c>
      <c r="B19" s="10">
        <f>136.300976097098*Y4</f>
        <v>0</v>
      </c>
      <c r="C19" s="10">
        <f>362.466107389333*Y4</f>
        <v>0</v>
      </c>
      <c r="D19" s="10">
        <f>229.689136360041*Y4</f>
        <v>0</v>
      </c>
      <c r="E19" s="10">
        <f>418.920562816097*Y4</f>
        <v>0</v>
      </c>
      <c r="F19" s="10">
        <f>159.862606675717*Y4</f>
        <v>0</v>
      </c>
      <c r="G19" s="10">
        <f>364.34885453217*Y4</f>
        <v>0</v>
      </c>
    </row>
    <row r="20" spans="1:7" x14ac:dyDescent="0.2">
      <c r="A20" t="s">
        <v>30</v>
      </c>
      <c r="B20" s="8">
        <v>57.411235669854676</v>
      </c>
      <c r="C20" s="8">
        <v>79.590642497518502</v>
      </c>
      <c r="D20" s="8">
        <v>155.45326673149938</v>
      </c>
      <c r="E20" s="8">
        <v>140.99617037251051</v>
      </c>
      <c r="F20" s="8">
        <v>164.00762466344014</v>
      </c>
      <c r="G20" s="8">
        <v>166.92361618305625</v>
      </c>
    </row>
    <row r="21" spans="1:7" x14ac:dyDescent="0.2">
      <c r="A21" t="s">
        <v>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s="9" customFormat="1" x14ac:dyDescent="0.2">
      <c r="A22" s="9" t="s">
        <v>206</v>
      </c>
      <c r="B22" s="10">
        <f>0.563684507906762*X6*T2</f>
        <v>0.56368450790676194</v>
      </c>
      <c r="C22" s="10">
        <f>9.78598277981832*X6*T2</f>
        <v>9.7859827798183208</v>
      </c>
      <c r="D22" s="10">
        <f>0.522918812726381*X6*T2</f>
        <v>0.52291881272638097</v>
      </c>
      <c r="E22" s="10">
        <f>8.92531295895716*X6*T2</f>
        <v>8.9253129589571607</v>
      </c>
      <c r="F22" s="10">
        <f>0.537683375339533*X6*T2</f>
        <v>0.53768337533953303</v>
      </c>
      <c r="G22" s="10">
        <f>8.87455833659294*X6*T2</f>
        <v>8.8745583365929406</v>
      </c>
    </row>
    <row r="23" spans="1:7" s="9" customFormat="1" x14ac:dyDescent="0.2">
      <c r="A23" s="9" t="s">
        <v>208</v>
      </c>
      <c r="B23" s="10">
        <f>0.563684507906762*X7*U2</f>
        <v>0</v>
      </c>
      <c r="C23" s="10">
        <f>9.78598277981832*X7*U2</f>
        <v>0</v>
      </c>
      <c r="D23" s="10">
        <f>0.522918812726381*X7*U2</f>
        <v>0</v>
      </c>
      <c r="E23" s="10">
        <f>8.92531295895716*X7*U2</f>
        <v>0</v>
      </c>
      <c r="F23" s="10">
        <f>0.537683375339533*X7*U2</f>
        <v>0</v>
      </c>
      <c r="G23" s="10">
        <f>8.87455833659294*X7*U2</f>
        <v>0</v>
      </c>
    </row>
    <row r="24" spans="1:7" s="9" customFormat="1" x14ac:dyDescent="0.2">
      <c r="A24" s="9" t="s">
        <v>228</v>
      </c>
      <c r="B24" s="10">
        <f>0.563684507906762*Y6</f>
        <v>0</v>
      </c>
      <c r="C24" s="10">
        <f>9.78598277981832*Y6</f>
        <v>0</v>
      </c>
      <c r="D24" s="10">
        <f>0.522918812726381*Y6</f>
        <v>0</v>
      </c>
      <c r="E24" s="10">
        <f>8.92531295895716*Y6</f>
        <v>0</v>
      </c>
      <c r="F24" s="10">
        <f>0.537683375339533*Y6</f>
        <v>0</v>
      </c>
      <c r="G24" s="10">
        <f>8.87455833659294*Y6</f>
        <v>0</v>
      </c>
    </row>
    <row r="25" spans="1:7" x14ac:dyDescent="0.2">
      <c r="A25" t="s">
        <v>32</v>
      </c>
      <c r="B25" s="8">
        <v>91.598732534848821</v>
      </c>
      <c r="C25" s="8">
        <v>83.724519338445575</v>
      </c>
      <c r="D25" s="8">
        <v>84.974307068036921</v>
      </c>
      <c r="E25" s="8">
        <v>72.39420511154141</v>
      </c>
      <c r="F25" s="8">
        <v>87.373548492674175</v>
      </c>
      <c r="G25" s="8">
        <v>70.996466692743553</v>
      </c>
    </row>
    <row r="26" spans="1:7" x14ac:dyDescent="0.2">
      <c r="A26" t="s">
        <v>33</v>
      </c>
      <c r="B26" s="8">
        <v>346.38590785192702</v>
      </c>
      <c r="C26" s="8">
        <v>364.7234903970247</v>
      </c>
      <c r="D26" s="8">
        <v>335.60267869741955</v>
      </c>
      <c r="E26" s="8">
        <v>340.79145325177296</v>
      </c>
      <c r="F26" s="8">
        <v>338.11108200260446</v>
      </c>
      <c r="G26" s="8">
        <v>353.04895385652327</v>
      </c>
    </row>
    <row r="27" spans="1:7" x14ac:dyDescent="0.2">
      <c r="A27" t="s">
        <v>34</v>
      </c>
      <c r="B27" s="8">
        <v>226.87718104790926</v>
      </c>
      <c r="C27" s="8">
        <v>234.90802360559468</v>
      </c>
      <c r="D27" s="8">
        <v>223.56082318223889</v>
      </c>
      <c r="E27" s="8">
        <v>227.56047212043978</v>
      </c>
      <c r="F27" s="8">
        <v>208.96779831742191</v>
      </c>
      <c r="G27" s="8">
        <v>219.38714135210392</v>
      </c>
    </row>
    <row r="28" spans="1:7" x14ac:dyDescent="0.2">
      <c r="A28" t="s">
        <v>35</v>
      </c>
      <c r="B28" s="8">
        <v>0</v>
      </c>
      <c r="C28" s="8">
        <v>414.27327101230873</v>
      </c>
      <c r="D28" s="8">
        <v>0</v>
      </c>
      <c r="E28" s="8">
        <v>408.58099323226105</v>
      </c>
      <c r="F28" s="8">
        <v>0</v>
      </c>
      <c r="G28" s="8">
        <v>420.06242793206599</v>
      </c>
    </row>
    <row r="29" spans="1:7" x14ac:dyDescent="0.2">
      <c r="A29" t="s">
        <v>36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2">
      <c r="A30" t="s">
        <v>37</v>
      </c>
      <c r="B30" s="8">
        <v>0</v>
      </c>
      <c r="C30" s="8">
        <v>46.20499175081401</v>
      </c>
      <c r="D30" s="8">
        <v>0</v>
      </c>
      <c r="E30" s="8">
        <v>56.691661939711992</v>
      </c>
      <c r="F30" s="8">
        <v>0</v>
      </c>
      <c r="G30" s="8">
        <v>59.417100950029557</v>
      </c>
    </row>
    <row r="31" spans="1:7" x14ac:dyDescent="0.2">
      <c r="A31" t="s">
        <v>38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2">
      <c r="A32" t="s">
        <v>39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">
      <c r="A33" t="s">
        <v>40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">
      <c r="A34" t="s">
        <v>41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">
      <c r="A35" t="s">
        <v>42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2">
      <c r="A36" t="s">
        <v>43</v>
      </c>
      <c r="B36" s="8">
        <v>1.5087962516712199E-2</v>
      </c>
      <c r="C36" s="8">
        <v>2.211071518963598E-2</v>
      </c>
      <c r="D36" s="8">
        <v>1.634587173363317E-2</v>
      </c>
      <c r="E36" s="8">
        <v>1.4713432918133972E-2</v>
      </c>
      <c r="F36" s="8">
        <v>0</v>
      </c>
      <c r="G36" s="8">
        <v>0</v>
      </c>
    </row>
    <row r="37" spans="1:7" x14ac:dyDescent="0.2">
      <c r="A37" t="s">
        <v>44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 x14ac:dyDescent="0.2">
      <c r="A38" t="s">
        <v>45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2">
      <c r="A39" t="s">
        <v>46</v>
      </c>
      <c r="B39" s="8">
        <v>60.169016267778147</v>
      </c>
      <c r="C39" s="8">
        <v>58.491062107592413</v>
      </c>
      <c r="D39" s="8">
        <v>65.154296584979974</v>
      </c>
      <c r="E39" s="8">
        <v>60.726093822460172</v>
      </c>
      <c r="F39" s="8">
        <v>79.492363612292777</v>
      </c>
      <c r="G39" s="8">
        <v>70.36278072318882</v>
      </c>
    </row>
    <row r="45" spans="1:7" x14ac:dyDescent="0.2">
      <c r="D45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4"/>
  <sheetViews>
    <sheetView topLeftCell="A58" zoomScale="70" zoomScaleNormal="70" zoomScalePageLayoutView="70" workbookViewId="0">
      <pane xSplit="1" topLeftCell="B1" activePane="topRight" state="frozen"/>
      <selection activeCell="A31" sqref="A31"/>
      <selection pane="topRight" activeCell="H1" sqref="H1:J1048576"/>
    </sheetView>
  </sheetViews>
  <sheetFormatPr baseColWidth="10" defaultRowHeight="16" x14ac:dyDescent="0.2"/>
  <cols>
    <col min="1" max="1" width="29.1640625" bestFit="1" customWidth="1"/>
    <col min="2" max="2" width="24.5" bestFit="1" customWidth="1"/>
    <col min="3" max="3" width="23.1640625" bestFit="1" customWidth="1"/>
    <col min="4" max="4" width="25.1640625" bestFit="1" customWidth="1"/>
    <col min="5" max="5" width="23.83203125" bestFit="1" customWidth="1"/>
    <col min="6" max="6" width="22.83203125" bestFit="1" customWidth="1"/>
    <col min="7" max="7" width="21.5" bestFit="1" customWidth="1"/>
    <col min="8" max="8" width="24.1640625" style="128" bestFit="1" customWidth="1"/>
    <col min="9" max="9" width="22.83203125" style="128" bestFit="1" customWidth="1"/>
  </cols>
  <sheetData>
    <row r="1" spans="1:9" s="1" customFormat="1" x14ac:dyDescent="0.2">
      <c r="A1" s="78"/>
      <c r="B1" s="1" t="s">
        <v>179</v>
      </c>
      <c r="C1" s="1" t="s">
        <v>180</v>
      </c>
      <c r="D1" s="1" t="s">
        <v>183</v>
      </c>
      <c r="E1" s="1" t="s">
        <v>184</v>
      </c>
      <c r="F1" s="1" t="s">
        <v>185</v>
      </c>
      <c r="G1" s="1" t="s">
        <v>186</v>
      </c>
      <c r="H1" s="127"/>
      <c r="I1" s="127"/>
    </row>
    <row r="2" spans="1:9" s="163" customFormat="1" x14ac:dyDescent="0.2">
      <c r="A2" s="162" t="s">
        <v>155</v>
      </c>
      <c r="H2" s="164"/>
      <c r="I2" s="164"/>
    </row>
    <row r="3" spans="1:9" x14ac:dyDescent="0.2">
      <c r="A3" s="131" t="s">
        <v>66</v>
      </c>
      <c r="B3">
        <v>436.57835250258313</v>
      </c>
      <c r="C3">
        <v>54.745736513114579</v>
      </c>
      <c r="D3">
        <v>405.00498159948029</v>
      </c>
      <c r="E3">
        <v>47.231923149591772</v>
      </c>
      <c r="F3">
        <v>416.44025847981897</v>
      </c>
      <c r="G3">
        <v>46.068794721802519</v>
      </c>
    </row>
    <row r="4" spans="1:9" x14ac:dyDescent="0.2">
      <c r="A4" s="132" t="s">
        <v>59</v>
      </c>
      <c r="B4">
        <v>4.4744487079327699</v>
      </c>
      <c r="C4">
        <v>263.0310781138698</v>
      </c>
      <c r="D4">
        <v>4.1508563267882312</v>
      </c>
      <c r="E4">
        <v>245.29044438355911</v>
      </c>
      <c r="F4">
        <v>4.2680553577726679</v>
      </c>
      <c r="G4">
        <v>250.71772256320986</v>
      </c>
    </row>
    <row r="5" spans="1:9" x14ac:dyDescent="0.2">
      <c r="A5" s="132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9" x14ac:dyDescent="0.2">
      <c r="A6" s="53" t="s">
        <v>156</v>
      </c>
      <c r="B6">
        <v>12.144932207246088</v>
      </c>
      <c r="C6">
        <v>17.755374004253397</v>
      </c>
      <c r="D6">
        <v>11.266610029853769</v>
      </c>
      <c r="E6">
        <v>15.294146543677343</v>
      </c>
      <c r="F6">
        <v>11.584721685382958</v>
      </c>
      <c r="G6">
        <v>14.75990510504351</v>
      </c>
    </row>
    <row r="7" spans="1:9" x14ac:dyDescent="0.2">
      <c r="A7" s="53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9" x14ac:dyDescent="0.2">
      <c r="A8" s="132" t="s">
        <v>157</v>
      </c>
      <c r="B8">
        <v>0.25568278331044403</v>
      </c>
      <c r="C8">
        <v>4.4388435010633494</v>
      </c>
      <c r="D8">
        <v>0.23719179010218464</v>
      </c>
      <c r="E8">
        <v>4.0484505556792962</v>
      </c>
      <c r="F8">
        <v>0.24388887758700961</v>
      </c>
      <c r="G8">
        <v>4.0254286650118658</v>
      </c>
    </row>
    <row r="9" spans="1:9" x14ac:dyDescent="0.2">
      <c r="A9" s="53" t="s">
        <v>158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x14ac:dyDescent="0.2">
      <c r="A10" s="53" t="s">
        <v>159</v>
      </c>
      <c r="B10">
        <v>41.548452287947143</v>
      </c>
      <c r="C10">
        <v>37.976772175764211</v>
      </c>
      <c r="D10">
        <v>38.543665891605002</v>
      </c>
      <c r="E10">
        <v>32.837432284954289</v>
      </c>
      <c r="F10">
        <v>39.631942607889066</v>
      </c>
      <c r="G10">
        <v>32.203429320094926</v>
      </c>
    </row>
    <row r="11" spans="1:9" x14ac:dyDescent="0.2">
      <c r="A11" s="53" t="s">
        <v>160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x14ac:dyDescent="0.2">
      <c r="A12" s="53" t="s">
        <v>161</v>
      </c>
      <c r="B12">
        <v>115.69645944797588</v>
      </c>
      <c r="C12">
        <v>116.39634069455003</v>
      </c>
      <c r="D12">
        <v>107.32928502123853</v>
      </c>
      <c r="E12">
        <v>109.30816500334099</v>
      </c>
      <c r="F12">
        <v>110.35971710812184</v>
      </c>
      <c r="G12">
        <v>106.45022469698046</v>
      </c>
    </row>
    <row r="13" spans="1:9" x14ac:dyDescent="0.2">
      <c r="A13" s="53" t="s">
        <v>162</v>
      </c>
      <c r="B13">
        <v>3.1960347913805496</v>
      </c>
      <c r="C13">
        <v>4.4388435010633494</v>
      </c>
      <c r="D13">
        <v>2.9648973762773077</v>
      </c>
      <c r="E13">
        <v>3.5986227161593747</v>
      </c>
      <c r="F13">
        <v>3.04861096983762</v>
      </c>
      <c r="G13">
        <v>3.5781588133438813</v>
      </c>
    </row>
    <row r="14" spans="1:9" x14ac:dyDescent="0.2">
      <c r="A14" s="23" t="s">
        <v>163</v>
      </c>
      <c r="B14">
        <v>25.312595547733935</v>
      </c>
      <c r="C14">
        <v>24.660241672574131</v>
      </c>
      <c r="D14">
        <v>23.481987220116256</v>
      </c>
      <c r="E14">
        <v>22.04156413647619</v>
      </c>
      <c r="F14">
        <v>24.144998881113931</v>
      </c>
      <c r="G14">
        <v>20.127143325059347</v>
      </c>
    </row>
    <row r="15" spans="1:9" s="163" customFormat="1" x14ac:dyDescent="0.2">
      <c r="A15" s="165" t="s">
        <v>164</v>
      </c>
      <c r="H15" s="164"/>
      <c r="I15" s="164"/>
    </row>
    <row r="16" spans="1:9" x14ac:dyDescent="0.2">
      <c r="A16" s="132" t="s">
        <v>66</v>
      </c>
      <c r="B16">
        <v>135.16463710414027</v>
      </c>
      <c r="C16">
        <v>183.20084837716516</v>
      </c>
      <c r="D16">
        <v>186.10035195019361</v>
      </c>
      <c r="E16">
        <v>202.55272733853752</v>
      </c>
      <c r="F16">
        <v>30.768279380617106</v>
      </c>
      <c r="G16">
        <v>0</v>
      </c>
    </row>
    <row r="17" spans="1:7" x14ac:dyDescent="0.2">
      <c r="A17" s="132" t="s">
        <v>165</v>
      </c>
      <c r="B17">
        <v>0</v>
      </c>
      <c r="C17">
        <v>12.035092229156835</v>
      </c>
      <c r="D17">
        <v>0</v>
      </c>
      <c r="E17">
        <v>10.010843196303336</v>
      </c>
      <c r="F17">
        <v>0</v>
      </c>
      <c r="G17">
        <v>0</v>
      </c>
    </row>
    <row r="18" spans="1:7" x14ac:dyDescent="0.2">
      <c r="A18" s="132" t="s">
        <v>166</v>
      </c>
      <c r="B18">
        <v>97.866041042491418</v>
      </c>
      <c r="C18">
        <v>17.718330226258672</v>
      </c>
      <c r="D18">
        <v>84.523665825984338</v>
      </c>
      <c r="E18">
        <v>14.682570021244894</v>
      </c>
      <c r="F18">
        <v>0</v>
      </c>
      <c r="G18">
        <v>0</v>
      </c>
    </row>
    <row r="19" spans="1:7" x14ac:dyDescent="0.2">
      <c r="A19" s="132" t="s">
        <v>59</v>
      </c>
      <c r="B19">
        <v>0</v>
      </c>
      <c r="C19">
        <v>6.0175461145784173</v>
      </c>
      <c r="D19">
        <v>0</v>
      </c>
      <c r="E19">
        <v>9.0097588766730041</v>
      </c>
      <c r="F19">
        <v>0</v>
      </c>
      <c r="G19">
        <v>21.194190168614657</v>
      </c>
    </row>
    <row r="20" spans="1:7" x14ac:dyDescent="0.2">
      <c r="A20" s="132" t="s">
        <v>60</v>
      </c>
      <c r="B20">
        <v>58.514311252678446</v>
      </c>
      <c r="C20">
        <v>59.506844910831006</v>
      </c>
      <c r="D20">
        <v>50.78834306210463</v>
      </c>
      <c r="E20">
        <v>49.720521208306565</v>
      </c>
      <c r="F20">
        <v>0</v>
      </c>
      <c r="G20">
        <v>0</v>
      </c>
    </row>
    <row r="21" spans="1:7" x14ac:dyDescent="0.2">
      <c r="A21" s="77" t="s">
        <v>156</v>
      </c>
      <c r="B21">
        <v>9.9234796861267522</v>
      </c>
      <c r="C21">
        <v>12.703708464109992</v>
      </c>
      <c r="D21">
        <v>10.380099311962988</v>
      </c>
      <c r="E21">
        <v>11.345622289143783</v>
      </c>
      <c r="F21">
        <v>12.614994546053012</v>
      </c>
      <c r="G21">
        <v>19.993186059059827</v>
      </c>
    </row>
    <row r="22" spans="1:7" x14ac:dyDescent="0.2">
      <c r="A22" s="132" t="s">
        <v>118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s="77" t="s">
        <v>158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s="77" t="s">
        <v>161</v>
      </c>
      <c r="B24">
        <v>31.823572786544414</v>
      </c>
      <c r="C24">
        <v>37.108201039900244</v>
      </c>
      <c r="D24">
        <v>31.140297935888967</v>
      </c>
      <c r="E24">
        <v>31.367308681750455</v>
      </c>
      <c r="F24">
        <v>18.15328483456409</v>
      </c>
      <c r="G24">
        <v>28.753451328753886</v>
      </c>
    </row>
    <row r="25" spans="1:7" x14ac:dyDescent="0.2">
      <c r="A25" s="77" t="s">
        <v>162</v>
      </c>
      <c r="B25">
        <v>8.8969128220446745</v>
      </c>
      <c r="C25">
        <v>6.0175461145784173</v>
      </c>
      <c r="D25">
        <v>7.7850744839722417</v>
      </c>
      <c r="E25">
        <v>5.0054215981516679</v>
      </c>
      <c r="F25">
        <v>0</v>
      </c>
      <c r="G25">
        <v>0</v>
      </c>
    </row>
    <row r="26" spans="1:7" x14ac:dyDescent="0.2">
      <c r="A26" s="77" t="s">
        <v>160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77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77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77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77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77" t="s">
        <v>171</v>
      </c>
      <c r="B31">
        <v>6.84377909388052E-3</v>
      </c>
      <c r="C31">
        <v>1.0029243524297363E-2</v>
      </c>
      <c r="D31">
        <v>7.4143566514021366E-3</v>
      </c>
      <c r="E31">
        <v>6.6738954642022253E-3</v>
      </c>
      <c r="F31">
        <v>0</v>
      </c>
      <c r="G31">
        <v>0</v>
      </c>
    </row>
    <row r="32" spans="1:7" x14ac:dyDescent="0.2">
      <c r="A32" s="77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18" x14ac:dyDescent="0.2">
      <c r="A33" s="77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18" x14ac:dyDescent="0.2">
      <c r="A34" s="77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8" x14ac:dyDescent="0.2">
      <c r="A35" s="77" t="s">
        <v>163</v>
      </c>
      <c r="B35">
        <v>-6.8437790938493731E-3</v>
      </c>
      <c r="C35">
        <v>-1.0029243524363065E-2</v>
      </c>
      <c r="D35">
        <v>-7.4143566513683928E-3</v>
      </c>
      <c r="E35">
        <v>-6.6738954641718511E-3</v>
      </c>
      <c r="F35">
        <v>0</v>
      </c>
      <c r="G35">
        <v>0.7064730056204892</v>
      </c>
    </row>
    <row r="36" spans="1:18" s="163" customFormat="1" x14ac:dyDescent="0.2">
      <c r="A36" s="162" t="s">
        <v>173</v>
      </c>
      <c r="H36" s="164"/>
      <c r="I36" s="164"/>
    </row>
    <row r="37" spans="1:18" x14ac:dyDescent="0.2">
      <c r="A37" s="132" t="s">
        <v>66</v>
      </c>
      <c r="B37">
        <v>21.831279029814752</v>
      </c>
      <c r="C37">
        <v>21.609413317586803</v>
      </c>
      <c r="D37">
        <v>44.448402293765668</v>
      </c>
      <c r="E37">
        <v>44.114583600046927</v>
      </c>
      <c r="F37">
        <v>44.500362249417975</v>
      </c>
      <c r="G37">
        <v>44.15566689046441</v>
      </c>
      <c r="K37" s="166"/>
      <c r="L37" s="166"/>
      <c r="M37" s="166"/>
      <c r="N37" s="166"/>
      <c r="O37" s="166"/>
      <c r="P37" s="166"/>
      <c r="Q37" s="166"/>
      <c r="R37" s="166"/>
    </row>
    <row r="38" spans="1:18" x14ac:dyDescent="0.2">
      <c r="A38" s="53" t="s">
        <v>58</v>
      </c>
      <c r="B38">
        <v>0</v>
      </c>
      <c r="C38">
        <v>0</v>
      </c>
      <c r="D38">
        <v>13.885533939705308</v>
      </c>
      <c r="E38">
        <v>13.781250083320447</v>
      </c>
      <c r="F38">
        <v>13.901766058082639</v>
      </c>
      <c r="G38">
        <v>13.794084367434335</v>
      </c>
      <c r="K38" s="166"/>
      <c r="L38" s="166"/>
      <c r="M38" s="166"/>
      <c r="N38" s="166"/>
      <c r="O38" s="166"/>
      <c r="P38" s="166"/>
      <c r="Q38" s="166"/>
      <c r="R38" s="166"/>
    </row>
    <row r="39" spans="1:18" x14ac:dyDescent="0.2">
      <c r="A39" s="132" t="s">
        <v>174</v>
      </c>
      <c r="B39">
        <v>21.831279029814752</v>
      </c>
      <c r="C39">
        <v>0</v>
      </c>
      <c r="D39">
        <v>0</v>
      </c>
      <c r="E39">
        <v>0</v>
      </c>
      <c r="F39">
        <v>0</v>
      </c>
      <c r="G39">
        <v>0</v>
      </c>
      <c r="K39" s="166"/>
      <c r="L39" s="166"/>
      <c r="M39" s="166"/>
      <c r="N39" s="166"/>
      <c r="O39" s="166"/>
      <c r="P39" s="166"/>
      <c r="Q39" s="166"/>
      <c r="R39" s="166"/>
    </row>
    <row r="40" spans="1:18" x14ac:dyDescent="0.2">
      <c r="A40" s="132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K40" s="166"/>
      <c r="L40" s="166"/>
      <c r="M40" s="166"/>
      <c r="N40" s="166"/>
      <c r="O40" s="166"/>
      <c r="P40" s="166"/>
      <c r="Q40" s="166"/>
      <c r="R40" s="166"/>
    </row>
    <row r="41" spans="1:18" x14ac:dyDescent="0.2">
      <c r="A41" s="132" t="s">
        <v>59</v>
      </c>
      <c r="B41">
        <v>21.831279029814752</v>
      </c>
      <c r="C41">
        <v>21.609413317586803</v>
      </c>
      <c r="D41">
        <v>14.693686708682867</v>
      </c>
      <c r="E41">
        <v>14.583333421503118</v>
      </c>
      <c r="F41">
        <v>14.710863553526606</v>
      </c>
      <c r="G41">
        <v>14.596914674533689</v>
      </c>
      <c r="K41" s="166"/>
      <c r="L41" s="166"/>
      <c r="M41" s="166"/>
      <c r="N41" s="166"/>
      <c r="O41" s="166"/>
      <c r="P41" s="166"/>
      <c r="Q41" s="166"/>
      <c r="R41" s="166"/>
    </row>
    <row r="42" spans="1:18" x14ac:dyDescent="0.2">
      <c r="A42" s="132" t="s">
        <v>60</v>
      </c>
      <c r="B42">
        <v>0</v>
      </c>
      <c r="C42">
        <v>21.609413317586803</v>
      </c>
      <c r="D42">
        <v>0</v>
      </c>
      <c r="E42">
        <v>0</v>
      </c>
      <c r="F42">
        <v>0</v>
      </c>
      <c r="G42">
        <v>0</v>
      </c>
      <c r="K42" s="166"/>
      <c r="L42" s="166"/>
      <c r="M42" s="166"/>
      <c r="N42" s="166"/>
      <c r="O42" s="166"/>
      <c r="P42" s="166"/>
      <c r="Q42" s="166"/>
      <c r="R42" s="166"/>
    </row>
    <row r="43" spans="1:18" x14ac:dyDescent="0.2">
      <c r="A43" s="53" t="s">
        <v>160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K43" s="166"/>
      <c r="L43" s="166"/>
      <c r="M43" s="166"/>
      <c r="N43" s="166"/>
      <c r="O43" s="166"/>
      <c r="P43" s="166"/>
      <c r="Q43" s="166"/>
      <c r="R43" s="166"/>
    </row>
    <row r="44" spans="1:18" x14ac:dyDescent="0.2">
      <c r="A44" s="53" t="s">
        <v>161</v>
      </c>
      <c r="B44">
        <v>3.6385465049691259</v>
      </c>
      <c r="C44">
        <v>3.6015688862644675</v>
      </c>
      <c r="D44">
        <v>0.14693686708682865</v>
      </c>
      <c r="E44">
        <v>0.14583333421503117</v>
      </c>
      <c r="F44">
        <v>0.14710863553526604</v>
      </c>
      <c r="G44">
        <v>0.1459691467453369</v>
      </c>
      <c r="K44" s="166"/>
      <c r="L44" s="166"/>
      <c r="M44" s="166"/>
      <c r="N44" s="166"/>
      <c r="O44" s="166"/>
      <c r="P44" s="166"/>
      <c r="Q44" s="166"/>
      <c r="R44" s="166"/>
    </row>
    <row r="45" spans="1:18" x14ac:dyDescent="0.2">
      <c r="A45" s="53" t="s">
        <v>162</v>
      </c>
      <c r="B45">
        <v>3.6385465049691259</v>
      </c>
      <c r="C45">
        <v>3.6015688862644675</v>
      </c>
      <c r="D45">
        <v>0</v>
      </c>
      <c r="E45">
        <v>0</v>
      </c>
      <c r="F45">
        <v>0</v>
      </c>
      <c r="G45">
        <v>0</v>
      </c>
      <c r="K45" s="166"/>
      <c r="L45" s="166"/>
      <c r="M45" s="166"/>
      <c r="N45" s="166"/>
      <c r="O45" s="166"/>
      <c r="P45" s="166"/>
      <c r="Q45" s="166"/>
      <c r="R45" s="166"/>
    </row>
    <row r="46" spans="1:18" x14ac:dyDescent="0.2">
      <c r="A46" s="23" t="s">
        <v>163</v>
      </c>
      <c r="B46">
        <v>0</v>
      </c>
      <c r="C46">
        <v>0</v>
      </c>
      <c r="D46">
        <v>0.29387373417365759</v>
      </c>
      <c r="E46">
        <v>0.29166666843006261</v>
      </c>
      <c r="F46">
        <v>0.2942172710705323</v>
      </c>
      <c r="G46">
        <v>0.29193829349067402</v>
      </c>
      <c r="K46" s="166"/>
      <c r="L46" s="166"/>
      <c r="M46" s="166"/>
      <c r="N46" s="166"/>
      <c r="O46" s="166"/>
      <c r="P46" s="166"/>
      <c r="Q46" s="166"/>
      <c r="R46" s="166"/>
    </row>
    <row r="47" spans="1:18" s="163" customFormat="1" x14ac:dyDescent="0.2">
      <c r="A47" s="165" t="s">
        <v>175</v>
      </c>
      <c r="H47" s="164"/>
      <c r="I47" s="164"/>
    </row>
    <row r="48" spans="1:18" x14ac:dyDescent="0.2">
      <c r="A48" s="132" t="s">
        <v>66</v>
      </c>
      <c r="B48">
        <v>278.43164427086748</v>
      </c>
      <c r="C48">
        <v>99.148476847805114</v>
      </c>
      <c r="D48">
        <v>325.13029611030942</v>
      </c>
      <c r="E48">
        <v>111.85974680312658</v>
      </c>
      <c r="F48">
        <v>312.01271810770373</v>
      </c>
      <c r="G48">
        <v>111.37632201644757</v>
      </c>
      <c r="K48" s="166"/>
      <c r="L48" s="166"/>
      <c r="M48" s="166"/>
      <c r="N48" s="166"/>
      <c r="O48" s="166"/>
      <c r="P48" s="166"/>
      <c r="Q48" s="166"/>
      <c r="R48" s="166"/>
    </row>
    <row r="49" spans="1:18" x14ac:dyDescent="0.2">
      <c r="A49" s="132" t="s">
        <v>174</v>
      </c>
      <c r="B49">
        <v>22.843975570380326</v>
      </c>
      <c r="C49">
        <v>23.376470151108521</v>
      </c>
      <c r="D49">
        <v>26.675375067314334</v>
      </c>
      <c r="E49">
        <v>28.607808808845601</v>
      </c>
      <c r="F49">
        <v>25.599140962463213</v>
      </c>
      <c r="G49">
        <v>29.873532435898476</v>
      </c>
      <c r="K49" s="166"/>
      <c r="L49" s="166"/>
      <c r="M49" s="166"/>
      <c r="N49" s="166"/>
      <c r="O49" s="166"/>
      <c r="P49" s="166"/>
      <c r="Q49" s="166"/>
      <c r="R49" s="166"/>
    </row>
    <row r="50" spans="1:18" x14ac:dyDescent="0.2">
      <c r="A50" s="132" t="s">
        <v>59</v>
      </c>
      <c r="B50">
        <v>0</v>
      </c>
      <c r="C50">
        <v>6.1799863617873108</v>
      </c>
      <c r="D50">
        <v>0</v>
      </c>
      <c r="E50">
        <v>6.7501571346714337</v>
      </c>
      <c r="F50">
        <v>0</v>
      </c>
      <c r="G50">
        <v>6.4942461817170605</v>
      </c>
      <c r="K50" s="166"/>
      <c r="L50" s="166"/>
      <c r="M50" s="166"/>
      <c r="N50" s="166"/>
      <c r="O50" s="166"/>
      <c r="P50" s="166"/>
      <c r="Q50" s="166"/>
      <c r="R50" s="166"/>
    </row>
    <row r="51" spans="1:18" x14ac:dyDescent="0.2">
      <c r="A51" s="132" t="s">
        <v>60</v>
      </c>
      <c r="B51">
        <v>3.310721097156569</v>
      </c>
      <c r="C51">
        <v>108.90883731702149</v>
      </c>
      <c r="D51">
        <v>3.8659963865672946</v>
      </c>
      <c r="E51">
        <v>141.35770149078661</v>
      </c>
      <c r="F51">
        <v>3.7100204293424945</v>
      </c>
      <c r="G51">
        <v>145.61256766057673</v>
      </c>
      <c r="K51" s="166"/>
      <c r="L51" s="166"/>
      <c r="M51" s="166"/>
      <c r="N51" s="166"/>
      <c r="O51" s="166"/>
      <c r="P51" s="166"/>
      <c r="Q51" s="166"/>
      <c r="R51" s="166"/>
    </row>
    <row r="52" spans="1:18" x14ac:dyDescent="0.2">
      <c r="A52" s="53" t="s">
        <v>156</v>
      </c>
      <c r="B52">
        <v>3.9728653165878822</v>
      </c>
      <c r="C52">
        <v>5.6425962433710231</v>
      </c>
      <c r="D52">
        <v>4.639195663880753</v>
      </c>
      <c r="E52">
        <v>6.1072850266074878</v>
      </c>
      <c r="F52">
        <v>4.4520245152109936</v>
      </c>
      <c r="G52">
        <v>5.844821563545354</v>
      </c>
      <c r="K52" s="166"/>
      <c r="L52" s="166"/>
      <c r="M52" s="166"/>
      <c r="N52" s="166"/>
      <c r="O52" s="166"/>
      <c r="P52" s="166"/>
      <c r="Q52" s="166"/>
      <c r="R52" s="166"/>
    </row>
    <row r="53" spans="1:18" x14ac:dyDescent="0.2">
      <c r="A53" s="53" t="s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K53" s="166"/>
      <c r="L53" s="166"/>
      <c r="M53" s="166"/>
      <c r="N53" s="166"/>
      <c r="O53" s="166"/>
      <c r="P53" s="166"/>
      <c r="Q53" s="166"/>
      <c r="R53" s="166"/>
    </row>
    <row r="54" spans="1:18" x14ac:dyDescent="0.2">
      <c r="A54" s="132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K54" s="166"/>
      <c r="L54" s="166"/>
      <c r="M54" s="166"/>
      <c r="N54" s="166"/>
      <c r="O54" s="166"/>
      <c r="P54" s="166"/>
      <c r="Q54" s="166"/>
      <c r="R54" s="166"/>
    </row>
    <row r="55" spans="1:18" x14ac:dyDescent="0.2">
      <c r="A55" s="53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K55" s="166"/>
      <c r="L55" s="166"/>
      <c r="M55" s="166"/>
      <c r="N55" s="166"/>
      <c r="O55" s="166"/>
      <c r="P55" s="166"/>
      <c r="Q55" s="166"/>
      <c r="R55" s="166"/>
    </row>
    <row r="56" spans="1:18" x14ac:dyDescent="0.2">
      <c r="A56" s="53" t="s">
        <v>161</v>
      </c>
      <c r="B56">
        <v>5.9592979748818236</v>
      </c>
      <c r="C56">
        <v>8.3295468354524633</v>
      </c>
      <c r="D56">
        <v>6.958793495821129</v>
      </c>
      <c r="E56">
        <v>8.6787734588632723</v>
      </c>
      <c r="F56">
        <v>6.6780367728164896</v>
      </c>
      <c r="G56">
        <v>8.4425200362321782</v>
      </c>
      <c r="K56" s="166"/>
      <c r="L56" s="166"/>
      <c r="M56" s="166"/>
      <c r="N56" s="166"/>
      <c r="O56" s="166"/>
      <c r="P56" s="166"/>
      <c r="Q56" s="166"/>
      <c r="R56" s="166"/>
    </row>
    <row r="57" spans="1:18" x14ac:dyDescent="0.2">
      <c r="A57" s="53" t="s">
        <v>162</v>
      </c>
      <c r="B57">
        <v>14.567172827488902</v>
      </c>
      <c r="C57">
        <v>19.883434381402651</v>
      </c>
      <c r="D57">
        <v>17.010384100896093</v>
      </c>
      <c r="E57">
        <v>21.21477956611022</v>
      </c>
      <c r="F57">
        <v>16.324089889106975</v>
      </c>
      <c r="G57">
        <v>20.781587781494594</v>
      </c>
      <c r="K57" s="166"/>
      <c r="L57" s="166"/>
      <c r="M57" s="166"/>
      <c r="N57" s="166"/>
      <c r="O57" s="166"/>
      <c r="P57" s="166"/>
      <c r="Q57" s="166"/>
      <c r="R57" s="166"/>
    </row>
    <row r="58" spans="1:18" x14ac:dyDescent="0.2">
      <c r="A58" s="53" t="s">
        <v>163</v>
      </c>
      <c r="B58">
        <v>1.9864326582939431</v>
      </c>
      <c r="C58">
        <v>1.8808654144570391</v>
      </c>
      <c r="D58">
        <v>2.3195978319403783</v>
      </c>
      <c r="E58">
        <v>2.5714884322557863</v>
      </c>
      <c r="F58">
        <v>2.226012257605499</v>
      </c>
      <c r="G58">
        <v>2.2729861636009367</v>
      </c>
      <c r="K58" s="166"/>
      <c r="L58" s="166"/>
      <c r="M58" s="166"/>
      <c r="N58" s="166"/>
      <c r="O58" s="166"/>
      <c r="P58" s="166"/>
      <c r="Q58" s="166"/>
      <c r="R58" s="166"/>
    </row>
    <row r="59" spans="1:18" s="163" customFormat="1" x14ac:dyDescent="0.2">
      <c r="A59" s="162" t="s">
        <v>176</v>
      </c>
      <c r="H59" s="164"/>
      <c r="I59" s="164"/>
    </row>
    <row r="60" spans="1:18" x14ac:dyDescent="0.2">
      <c r="A60" s="132" t="s">
        <v>66</v>
      </c>
      <c r="B60">
        <v>0</v>
      </c>
      <c r="C60">
        <v>0</v>
      </c>
      <c r="D60">
        <v>18.2118450962985</v>
      </c>
      <c r="E60">
        <v>10.178194505981077</v>
      </c>
      <c r="F60">
        <v>33.279896255024788</v>
      </c>
      <c r="G60">
        <v>20.375346630359083</v>
      </c>
      <c r="K60" s="166"/>
      <c r="L60" s="166"/>
      <c r="M60" s="166"/>
      <c r="N60" s="166"/>
      <c r="O60" s="166"/>
      <c r="P60" s="166"/>
      <c r="Q60" s="166"/>
      <c r="R60" s="166"/>
    </row>
    <row r="61" spans="1:18" x14ac:dyDescent="0.2">
      <c r="A61" s="132" t="s">
        <v>165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K61" s="166"/>
      <c r="L61" s="166"/>
      <c r="M61" s="166"/>
      <c r="N61" s="166"/>
      <c r="O61" s="166"/>
      <c r="P61" s="166"/>
      <c r="Q61" s="166"/>
      <c r="R61" s="166"/>
    </row>
    <row r="62" spans="1:18" x14ac:dyDescent="0.2">
      <c r="A62" s="132" t="s">
        <v>60</v>
      </c>
      <c r="B62">
        <v>0</v>
      </c>
      <c r="C62">
        <v>0</v>
      </c>
      <c r="D62">
        <v>18.2118450962985</v>
      </c>
      <c r="E62">
        <v>10.178194505981077</v>
      </c>
      <c r="F62">
        <v>33.279896255024788</v>
      </c>
      <c r="G62">
        <v>20.375346630359083</v>
      </c>
      <c r="K62" s="166"/>
      <c r="L62" s="166"/>
      <c r="M62" s="166"/>
      <c r="N62" s="166"/>
      <c r="O62" s="166"/>
      <c r="P62" s="166"/>
      <c r="Q62" s="166"/>
      <c r="R62" s="166"/>
    </row>
    <row r="63" spans="1:18" x14ac:dyDescent="0.2">
      <c r="A63" s="53" t="s">
        <v>156</v>
      </c>
      <c r="B63">
        <v>0</v>
      </c>
      <c r="C63">
        <v>0</v>
      </c>
      <c r="D63">
        <v>14.024634173880839</v>
      </c>
      <c r="E63">
        <v>7.8380556029438768</v>
      </c>
      <c r="F63">
        <v>25.628285758717151</v>
      </c>
      <c r="G63">
        <v>15.690710147478741</v>
      </c>
      <c r="K63" s="166"/>
      <c r="L63" s="166"/>
      <c r="M63" s="166"/>
      <c r="N63" s="166"/>
      <c r="O63" s="166"/>
      <c r="P63" s="166"/>
      <c r="Q63" s="166"/>
      <c r="R63" s="166"/>
    </row>
    <row r="64" spans="1:18" x14ac:dyDescent="0.2">
      <c r="A64" s="23" t="s">
        <v>163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K64" s="166"/>
      <c r="L64" s="166"/>
      <c r="M64" s="166"/>
      <c r="N64" s="166"/>
      <c r="O64" s="166"/>
      <c r="P64" s="166"/>
      <c r="Q64" s="166"/>
      <c r="R64" s="166"/>
    </row>
    <row r="65" spans="1:18" s="163" customFormat="1" x14ac:dyDescent="0.2">
      <c r="A65" s="165" t="s">
        <v>177</v>
      </c>
      <c r="H65" s="164"/>
      <c r="I65" s="164"/>
    </row>
    <row r="66" spans="1:18" x14ac:dyDescent="0.2">
      <c r="A66" s="132" t="s">
        <v>66</v>
      </c>
      <c r="B66">
        <v>0</v>
      </c>
      <c r="C66">
        <v>0</v>
      </c>
      <c r="D66">
        <v>18.2118450962985</v>
      </c>
      <c r="E66">
        <v>10.178194505981077</v>
      </c>
      <c r="F66">
        <v>0</v>
      </c>
      <c r="G66">
        <v>0</v>
      </c>
      <c r="K66" s="166"/>
      <c r="L66" s="166"/>
      <c r="M66" s="166"/>
      <c r="N66" s="166"/>
      <c r="O66" s="166"/>
      <c r="P66" s="166"/>
      <c r="Q66" s="166"/>
      <c r="R66" s="166"/>
    </row>
    <row r="67" spans="1:18" x14ac:dyDescent="0.2">
      <c r="A67" s="132" t="s">
        <v>60</v>
      </c>
      <c r="B67">
        <v>0</v>
      </c>
      <c r="C67">
        <v>0</v>
      </c>
      <c r="D67">
        <v>18.2118450962985</v>
      </c>
      <c r="E67">
        <v>10.178194505981077</v>
      </c>
      <c r="F67">
        <v>0</v>
      </c>
      <c r="G67">
        <v>0</v>
      </c>
      <c r="K67" s="166"/>
      <c r="L67" s="166"/>
      <c r="M67" s="166"/>
      <c r="N67" s="166"/>
      <c r="O67" s="166"/>
      <c r="P67" s="166"/>
      <c r="Q67" s="166"/>
      <c r="R67" s="166"/>
    </row>
    <row r="68" spans="1:18" x14ac:dyDescent="0.2">
      <c r="A68" s="53" t="s">
        <v>156</v>
      </c>
      <c r="B68">
        <v>0</v>
      </c>
      <c r="C68">
        <v>0</v>
      </c>
      <c r="D68">
        <v>14.024634173880839</v>
      </c>
      <c r="E68">
        <v>7.8380556029438768</v>
      </c>
      <c r="F68">
        <v>0</v>
      </c>
      <c r="G68">
        <v>0</v>
      </c>
      <c r="K68" s="166"/>
      <c r="L68" s="166"/>
      <c r="M68" s="166"/>
      <c r="N68" s="166"/>
      <c r="O68" s="166"/>
      <c r="P68" s="166"/>
      <c r="Q68" s="166"/>
      <c r="R68" s="166"/>
    </row>
    <row r="69" spans="1:18" x14ac:dyDescent="0.2">
      <c r="A69" s="53" t="s">
        <v>163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K69" s="166"/>
      <c r="L69" s="166"/>
      <c r="M69" s="166"/>
      <c r="N69" s="166"/>
      <c r="O69" s="166"/>
      <c r="P69" s="166"/>
      <c r="Q69" s="166"/>
      <c r="R69" s="166"/>
    </row>
    <row r="70" spans="1:18" s="163" customFormat="1" x14ac:dyDescent="0.2">
      <c r="A70" s="162" t="s">
        <v>178</v>
      </c>
      <c r="H70" s="164"/>
      <c r="I70" s="164"/>
    </row>
    <row r="71" spans="1:18" x14ac:dyDescent="0.2">
      <c r="A71" s="132" t="s">
        <v>66</v>
      </c>
      <c r="B71">
        <v>0</v>
      </c>
      <c r="C71">
        <v>0</v>
      </c>
      <c r="D71">
        <v>1.3973480915303473</v>
      </c>
      <c r="E71">
        <v>1.0672681481530355</v>
      </c>
      <c r="F71">
        <v>3.7870450749343809</v>
      </c>
      <c r="G71">
        <v>3.4344571153311381</v>
      </c>
      <c r="K71" s="166"/>
      <c r="L71" s="166"/>
      <c r="M71" s="166"/>
      <c r="N71" s="166"/>
      <c r="O71" s="166"/>
      <c r="P71" s="166"/>
      <c r="Q71" s="166"/>
      <c r="R71" s="166"/>
    </row>
    <row r="72" spans="1:18" x14ac:dyDescent="0.2">
      <c r="A72" s="132" t="s">
        <v>60</v>
      </c>
      <c r="B72">
        <v>0</v>
      </c>
      <c r="C72">
        <v>0</v>
      </c>
      <c r="D72">
        <v>13.107125098554656</v>
      </c>
      <c r="E72">
        <v>10.010975229675473</v>
      </c>
      <c r="F72">
        <v>35.522482802884483</v>
      </c>
      <c r="G72">
        <v>32.215207741806068</v>
      </c>
      <c r="K72" s="166"/>
      <c r="L72" s="166"/>
      <c r="M72" s="166"/>
      <c r="N72" s="166"/>
      <c r="O72" s="166"/>
      <c r="P72" s="166"/>
      <c r="Q72" s="166"/>
      <c r="R72" s="166"/>
    </row>
    <row r="73" spans="1:18" x14ac:dyDescent="0.2">
      <c r="A73" s="53" t="s">
        <v>156</v>
      </c>
      <c r="B73">
        <v>0</v>
      </c>
      <c r="C73">
        <v>0</v>
      </c>
      <c r="D73">
        <v>2.2916508701097698</v>
      </c>
      <c r="E73">
        <v>1.7503197629709784</v>
      </c>
      <c r="F73">
        <v>6.2107539228923843</v>
      </c>
      <c r="G73">
        <v>5.6325096691430669</v>
      </c>
      <c r="K73" s="166"/>
      <c r="L73" s="166"/>
      <c r="M73" s="166"/>
      <c r="N73" s="166"/>
      <c r="O73" s="166"/>
      <c r="P73" s="166"/>
      <c r="Q73" s="166"/>
      <c r="R73" s="166"/>
    </row>
    <row r="74" spans="1:18" x14ac:dyDescent="0.2">
      <c r="A74" s="53" t="s">
        <v>162</v>
      </c>
      <c r="B74">
        <v>0</v>
      </c>
      <c r="C74">
        <v>0</v>
      </c>
      <c r="D74">
        <v>1.034037587732457</v>
      </c>
      <c r="E74">
        <v>0.78977842963324629</v>
      </c>
      <c r="F74">
        <v>2.8024133554514412</v>
      </c>
      <c r="G74">
        <v>2.5414982653450422</v>
      </c>
      <c r="K74" s="166"/>
      <c r="L74" s="166"/>
      <c r="M74" s="166"/>
      <c r="N74" s="166"/>
      <c r="O74" s="166"/>
      <c r="P74" s="166"/>
      <c r="Q74" s="166"/>
      <c r="R74" s="166"/>
    </row>
    <row r="75" spans="1:18" x14ac:dyDescent="0.2">
      <c r="A75" s="53" t="s">
        <v>161</v>
      </c>
      <c r="B75">
        <v>0</v>
      </c>
      <c r="C75">
        <v>0</v>
      </c>
      <c r="D75">
        <v>6.6513769156844527</v>
      </c>
      <c r="E75">
        <v>5.0801963852084491</v>
      </c>
      <c r="F75">
        <v>18.026334556687651</v>
      </c>
      <c r="G75">
        <v>16.348015868976216</v>
      </c>
      <c r="K75" s="166"/>
      <c r="L75" s="166"/>
      <c r="M75" s="166"/>
      <c r="N75" s="166"/>
      <c r="O75" s="166"/>
      <c r="P75" s="166"/>
      <c r="Q75" s="166"/>
      <c r="R75" s="166"/>
    </row>
    <row r="76" spans="1:18" x14ac:dyDescent="0.2">
      <c r="A76" s="53" t="s">
        <v>163</v>
      </c>
      <c r="B76">
        <v>0</v>
      </c>
      <c r="C76">
        <v>0</v>
      </c>
      <c r="D76">
        <v>3.4654232669952614</v>
      </c>
      <c r="E76">
        <v>2.6468250074195279</v>
      </c>
      <c r="F76">
        <v>9.3918717858372638</v>
      </c>
      <c r="G76">
        <v>8.517453646021222</v>
      </c>
      <c r="K76" s="166"/>
      <c r="L76" s="166"/>
      <c r="M76" s="166"/>
      <c r="N76" s="166"/>
      <c r="O76" s="166"/>
      <c r="P76" s="166"/>
      <c r="Q76" s="166"/>
      <c r="R76" s="166"/>
    </row>
    <row r="78" spans="1:18" s="1" customFormat="1" x14ac:dyDescent="0.2">
      <c r="A78" s="1" t="s">
        <v>300</v>
      </c>
      <c r="B78" s="134">
        <f>B3+B4+B5+B8+B16+B17+B18+B19+B20+B22+B37+B39+B40+B41+B42+B48+B49+B50+B51+B54+B60+B61+B62+B66+B67+B71+B72</f>
        <v>1102.9336514209849</v>
      </c>
      <c r="C78" s="134">
        <f t="shared" ref="C78:I78" si="0">C3+C4+C5+C8+C16+C17+C18+C19+C20+C22+C37+C39+C40+C41+C42+C48+C49+C50+C51+C54+C60+C61+C62+C66+C67+C71+C72</f>
        <v>903.13633061652058</v>
      </c>
      <c r="D78" s="134">
        <f t="shared" si="0"/>
        <v>1232.9710006965718</v>
      </c>
      <c r="E78" s="134">
        <f t="shared" si="0"/>
        <v>981.61159139062852</v>
      </c>
      <c r="F78" s="134">
        <f t="shared" si="0"/>
        <v>958.12290778611828</v>
      </c>
      <c r="G78" s="134">
        <f t="shared" si="0"/>
        <v>750.51574409613227</v>
      </c>
      <c r="H78" s="134"/>
      <c r="I78" s="134"/>
    </row>
    <row r="79" spans="1:18" x14ac:dyDescent="0.2">
      <c r="B79" s="36">
        <f>SUM(B2:B76)</f>
        <v>1385.2389527851753</v>
      </c>
      <c r="C79" s="36">
        <f t="shared" ref="C79:I79" si="1">SUM(C2:C76)</f>
        <v>1203.1329389305263</v>
      </c>
      <c r="D79" s="36">
        <f t="shared" si="1"/>
        <v>1552.6089905892754</v>
      </c>
      <c r="E79" s="36">
        <f t="shared" si="1"/>
        <v>1291.1441820052048</v>
      </c>
      <c r="F79" s="36">
        <f t="shared" si="1"/>
        <v>1283.744093198095</v>
      </c>
      <c r="G79" s="36">
        <f t="shared" si="1"/>
        <v>1077.3918106995966</v>
      </c>
      <c r="H79" s="36"/>
      <c r="I79" s="36"/>
    </row>
    <row r="80" spans="1:18" x14ac:dyDescent="0.2">
      <c r="A80" s="1" t="s">
        <v>301</v>
      </c>
      <c r="B80" s="36">
        <f t="shared" ref="B80:H80" si="2">(B4+B5+B19+B20+B41+B42+B50+B51+B62+B72)</f>
        <v>88.130760087582544</v>
      </c>
      <c r="C80" s="36">
        <f t="shared" si="2"/>
        <v>486.86311945326167</v>
      </c>
      <c r="D80" s="36">
        <f t="shared" si="2"/>
        <v>104.81785267899618</v>
      </c>
      <c r="E80" s="36">
        <f>(E4+E5+E19+E20+E41+E42+E50+E51+E62+E72)</f>
        <v>486.90108625115641</v>
      </c>
      <c r="F80" s="36">
        <f t="shared" si="2"/>
        <v>91.491318398551044</v>
      </c>
      <c r="G80" s="36">
        <f t="shared" si="2"/>
        <v>491.20619562081725</v>
      </c>
      <c r="H80" s="36"/>
      <c r="I80" s="36"/>
    </row>
    <row r="81" spans="1:9" x14ac:dyDescent="0.2">
      <c r="A81" s="1" t="s">
        <v>302</v>
      </c>
      <c r="B81">
        <f>B17+B61</f>
        <v>0</v>
      </c>
      <c r="C81" s="36">
        <f t="shared" ref="C81:I81" si="3">C17+C61</f>
        <v>12.035092229156835</v>
      </c>
      <c r="D81">
        <f t="shared" si="3"/>
        <v>0</v>
      </c>
      <c r="E81" s="36">
        <f t="shared" si="3"/>
        <v>10.010843196303336</v>
      </c>
      <c r="F81">
        <f t="shared" si="3"/>
        <v>0</v>
      </c>
      <c r="G81">
        <f t="shared" si="3"/>
        <v>0</v>
      </c>
      <c r="H81"/>
      <c r="I81" s="36"/>
    </row>
    <row r="82" spans="1:9" x14ac:dyDescent="0.2">
      <c r="A82" s="1" t="s">
        <v>303</v>
      </c>
      <c r="E82">
        <f>(E18+E39+E49)*Alloy_spec!M6</f>
        <v>1.4718728802230776</v>
      </c>
    </row>
    <row r="83" spans="1:9" x14ac:dyDescent="0.2">
      <c r="A83" s="1" t="s">
        <v>304</v>
      </c>
      <c r="E83">
        <f>(E17+E61)*Alloy_spec!L5</f>
        <v>2.0040323893827938E-2</v>
      </c>
    </row>
    <row r="84" spans="1:9" x14ac:dyDescent="0.2">
      <c r="A84" s="1" t="s">
        <v>305</v>
      </c>
      <c r="E84">
        <f>E80*AVERAGE(All_metal_alloy_composition!AB10:AB35)</f>
        <v>0.77899672401024556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31"/>
  <sheetViews>
    <sheetView topLeftCell="A403" zoomScale="70" zoomScaleNormal="70" zoomScalePageLayoutView="70" workbookViewId="0">
      <selection activeCell="Q7" sqref="Q7"/>
    </sheetView>
  </sheetViews>
  <sheetFormatPr baseColWidth="10" defaultRowHeight="16" x14ac:dyDescent="0.2"/>
  <cols>
    <col min="1" max="1" width="29.1640625" bestFit="1" customWidth="1"/>
    <col min="2" max="2" width="24.5" bestFit="1" customWidth="1"/>
    <col min="3" max="3" width="23.1640625" bestFit="1" customWidth="1"/>
    <col min="4" max="4" width="24.1640625" bestFit="1" customWidth="1"/>
    <col min="5" max="5" width="22.83203125" bestFit="1" customWidth="1"/>
    <col min="6" max="6" width="25.1640625" bestFit="1" customWidth="1"/>
    <col min="7" max="7" width="23.83203125" bestFit="1" customWidth="1"/>
    <col min="8" max="8" width="12.83203125" bestFit="1" customWidth="1"/>
    <col min="12" max="12" width="17.83203125" bestFit="1" customWidth="1"/>
    <col min="16" max="16" width="12" bestFit="1" customWidth="1"/>
  </cols>
  <sheetData>
    <row r="1" spans="1:21" ht="33" thickTop="1" x14ac:dyDescent="0.2">
      <c r="A1" s="135"/>
      <c r="B1" s="136" t="s">
        <v>92</v>
      </c>
      <c r="C1" s="136" t="s">
        <v>93</v>
      </c>
      <c r="D1" s="136" t="s">
        <v>94</v>
      </c>
      <c r="E1" s="136" t="s">
        <v>95</v>
      </c>
      <c r="F1" s="136" t="s">
        <v>96</v>
      </c>
      <c r="G1" s="136" t="s">
        <v>97</v>
      </c>
      <c r="H1" s="1" t="s">
        <v>110</v>
      </c>
      <c r="I1" s="39" t="s">
        <v>98</v>
      </c>
      <c r="J1" s="40" t="s">
        <v>99</v>
      </c>
      <c r="K1" s="41" t="s">
        <v>100</v>
      </c>
      <c r="L1" s="1" t="s">
        <v>297</v>
      </c>
      <c r="M1" s="44" t="s">
        <v>298</v>
      </c>
      <c r="N1" s="48" t="s">
        <v>299</v>
      </c>
      <c r="O1" s="45" t="s">
        <v>101</v>
      </c>
      <c r="P1" s="1" t="s">
        <v>111</v>
      </c>
      <c r="Q1" s="44" t="s">
        <v>102</v>
      </c>
      <c r="R1" s="45" t="s">
        <v>103</v>
      </c>
      <c r="S1" s="1" t="s">
        <v>112</v>
      </c>
      <c r="T1" s="44" t="s">
        <v>108</v>
      </c>
      <c r="U1" s="45" t="s">
        <v>109</v>
      </c>
    </row>
    <row r="2" spans="1:21" x14ac:dyDescent="0.2">
      <c r="A2" s="139" t="s">
        <v>155</v>
      </c>
      <c r="B2" s="54"/>
      <c r="C2" s="54"/>
      <c r="D2" s="54"/>
      <c r="E2" s="54"/>
      <c r="F2" s="54"/>
      <c r="G2" s="54"/>
      <c r="H2" s="1"/>
      <c r="I2" s="42">
        <v>0.21099999999999999</v>
      </c>
      <c r="J2" s="22">
        <v>0.191</v>
      </c>
      <c r="K2" s="43">
        <v>0.59800000000000009</v>
      </c>
      <c r="L2" s="1"/>
      <c r="M2" s="46">
        <v>0</v>
      </c>
      <c r="N2" s="49">
        <v>0.13</v>
      </c>
      <c r="O2" s="47">
        <v>0.87</v>
      </c>
      <c r="P2" s="1"/>
      <c r="Q2" s="46">
        <v>0.85</v>
      </c>
      <c r="R2" s="47">
        <v>0.15000000000000002</v>
      </c>
      <c r="S2" s="3"/>
      <c r="T2" s="46">
        <v>1</v>
      </c>
      <c r="U2" s="47">
        <v>0</v>
      </c>
    </row>
    <row r="3" spans="1:21" x14ac:dyDescent="0.2">
      <c r="A3" s="142" t="s">
        <v>105</v>
      </c>
      <c r="B3" s="54">
        <f>Material_compnt_GREET2!B$3*'Alloy_compnt_G&amp;L'!$I$2</f>
        <v>92.118032378045044</v>
      </c>
      <c r="C3" s="54">
        <f>Material_compnt_GREET2!C$3*'Alloy_compnt_G&amp;L'!$I$2</f>
        <v>11.551350404267176</v>
      </c>
      <c r="D3" s="54">
        <f>Material_compnt_GREET2!D$3*'Alloy_compnt_G&amp;L'!$I$2</f>
        <v>85.456051117490333</v>
      </c>
      <c r="E3" s="54">
        <f>Material_compnt_GREET2!E$3*'Alloy_compnt_G&amp;L'!$I$2</f>
        <v>9.9659357845638628</v>
      </c>
      <c r="F3" s="54">
        <f>Material_compnt_GREET2!F$3*'Alloy_compnt_G&amp;L'!$I$2</f>
        <v>87.868894539241793</v>
      </c>
      <c r="G3" s="54">
        <f>Material_compnt_GREET2!G$3*'Alloy_compnt_G&amp;L'!$I$2</f>
        <v>9.720515686300331</v>
      </c>
    </row>
    <row r="4" spans="1:21" x14ac:dyDescent="0.2">
      <c r="A4" s="142" t="s">
        <v>106</v>
      </c>
      <c r="B4" s="54">
        <f>Material_compnt_GREET2!B$3*'Alloy_compnt_G&amp;L'!$J$2</f>
        <v>83.386465327993378</v>
      </c>
      <c r="C4" s="54">
        <f>Material_compnt_GREET2!C$3*'Alloy_compnt_G&amp;L'!$J$2</f>
        <v>10.456435674004885</v>
      </c>
      <c r="D4" s="54">
        <f>Material_compnt_GREET2!D$3*'Alloy_compnt_G&amp;L'!$J$2</f>
        <v>77.355951485500739</v>
      </c>
      <c r="E4" s="54">
        <f>Material_compnt_GREET2!E$3*'Alloy_compnt_G&amp;L'!$J$2</f>
        <v>9.0212973215720282</v>
      </c>
      <c r="F4" s="54">
        <f>Material_compnt_GREET2!F$3*'Alloy_compnt_G&amp;L'!$J$2</f>
        <v>79.540089369645429</v>
      </c>
      <c r="G4" s="54">
        <f>Material_compnt_GREET2!G$3*'Alloy_compnt_G&amp;L'!$J$2</f>
        <v>8.7991397918642811</v>
      </c>
    </row>
    <row r="5" spans="1:21" x14ac:dyDescent="0.2">
      <c r="A5" s="142" t="s">
        <v>107</v>
      </c>
      <c r="B5" s="54">
        <f>Material_compnt_GREET2!B$3*'Alloy_compnt_G&amp;L'!$K$2</f>
        <v>261.07385479654477</v>
      </c>
      <c r="C5" s="54">
        <f>Material_compnt_GREET2!C$3*'Alloy_compnt_G&amp;L'!$K$2</f>
        <v>32.737950434842524</v>
      </c>
      <c r="D5" s="54">
        <f>Material_compnt_GREET2!D$3*'Alloy_compnt_G&amp;L'!$K$2</f>
        <v>242.19297899648924</v>
      </c>
      <c r="E5" s="54">
        <f>Material_compnt_GREET2!E$3*'Alloy_compnt_G&amp;L'!$K$2</f>
        <v>28.244690043455883</v>
      </c>
      <c r="F5" s="54">
        <f>Material_compnt_GREET2!F$3*'Alloy_compnt_G&amp;L'!$K$2</f>
        <v>249.03127457093177</v>
      </c>
      <c r="G5" s="54">
        <f>Material_compnt_GREET2!G$3*'Alloy_compnt_G&amp;L'!$K$2</f>
        <v>27.54913924363791</v>
      </c>
    </row>
    <row r="6" spans="1:21" x14ac:dyDescent="0.2">
      <c r="A6" s="142" t="s">
        <v>91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</row>
    <row r="7" spans="1:21" x14ac:dyDescent="0.2">
      <c r="A7" s="142" t="s">
        <v>204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</row>
    <row r="8" spans="1:21" x14ac:dyDescent="0.2">
      <c r="A8" s="144" t="s">
        <v>104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</row>
    <row r="9" spans="1:21" x14ac:dyDescent="0.2">
      <c r="A9" s="145" t="s">
        <v>244</v>
      </c>
      <c r="B9" s="54">
        <f>Material_compnt_GREET2!B$4*'Alloy_compnt_G&amp;L'!$M$2*Al_alloy_use_compnt!$B3</f>
        <v>0</v>
      </c>
      <c r="C9" s="54">
        <f>Material_compnt_GREET2!C$4*'Alloy_compnt_G&amp;L'!$M$2*Al_alloy_use_compnt!$B3</f>
        <v>0</v>
      </c>
      <c r="D9" s="54">
        <f>Material_compnt_GREET2!D$4*'Alloy_compnt_G&amp;L'!$M$2*Al_alloy_use_compnt!$B3</f>
        <v>0</v>
      </c>
      <c r="E9" s="54">
        <f>Material_compnt_GREET2!E$4*'Alloy_compnt_G&amp;L'!$M$2*Al_alloy_use_compnt!$B3</f>
        <v>0</v>
      </c>
      <c r="F9" s="54">
        <f>Material_compnt_GREET2!F$4*'Alloy_compnt_G&amp;L'!$M$2*Al_alloy_use_compnt!$B3</f>
        <v>0</v>
      </c>
      <c r="G9" s="54">
        <f>Material_compnt_GREET2!G$4*'Alloy_compnt_G&amp;L'!$M$2*Al_alloy_use_compnt!$B3</f>
        <v>0</v>
      </c>
    </row>
    <row r="10" spans="1:21" x14ac:dyDescent="0.2">
      <c r="A10" s="145" t="s">
        <v>245</v>
      </c>
      <c r="B10" s="54">
        <f>Material_compnt_GREET2!B$4*'Alloy_compnt_G&amp;L'!$M$2*Al_alloy_use_compnt!$B4</f>
        <v>0</v>
      </c>
      <c r="C10" s="54">
        <f>Material_compnt_GREET2!C$4*'Alloy_compnt_G&amp;L'!$M$2*Al_alloy_use_compnt!$B4</f>
        <v>0</v>
      </c>
      <c r="D10" s="54">
        <f>Material_compnt_GREET2!D$4*'Alloy_compnt_G&amp;L'!$M$2*Al_alloy_use_compnt!$B4</f>
        <v>0</v>
      </c>
      <c r="E10" s="54">
        <f>Material_compnt_GREET2!E$4*'Alloy_compnt_G&amp;L'!$M$2*Al_alloy_use_compnt!$B4</f>
        <v>0</v>
      </c>
      <c r="F10" s="54">
        <f>Material_compnt_GREET2!F$4*'Alloy_compnt_G&amp;L'!$M$2*Al_alloy_use_compnt!$B4</f>
        <v>0</v>
      </c>
      <c r="G10" s="54">
        <f>Material_compnt_GREET2!G$4*'Alloy_compnt_G&amp;L'!$M$2*Al_alloy_use_compnt!$B4</f>
        <v>0</v>
      </c>
    </row>
    <row r="11" spans="1:21" x14ac:dyDescent="0.2">
      <c r="A11" s="145" t="s">
        <v>246</v>
      </c>
      <c r="B11" s="54">
        <f>Material_compnt_GREET2!B$4*'Alloy_compnt_G&amp;L'!$M$2*Al_alloy_use_compnt!$B5</f>
        <v>0</v>
      </c>
      <c r="C11" s="54">
        <f>Material_compnt_GREET2!C$4*'Alloy_compnt_G&amp;L'!$M$2*Al_alloy_use_compnt!$B5</f>
        <v>0</v>
      </c>
      <c r="D11" s="54">
        <f>Material_compnt_GREET2!D$4*'Alloy_compnt_G&amp;L'!$M$2*Al_alloy_use_compnt!$B5</f>
        <v>0</v>
      </c>
      <c r="E11" s="54">
        <f>Material_compnt_GREET2!E$4*'Alloy_compnt_G&amp;L'!$M$2*Al_alloy_use_compnt!$B5</f>
        <v>0</v>
      </c>
      <c r="F11" s="54">
        <f>Material_compnt_GREET2!F$4*'Alloy_compnt_G&amp;L'!$M$2*Al_alloy_use_compnt!$B5</f>
        <v>0</v>
      </c>
      <c r="G11" s="54">
        <f>Material_compnt_GREET2!G$4*'Alloy_compnt_G&amp;L'!$M$2*Al_alloy_use_compnt!$B5</f>
        <v>0</v>
      </c>
    </row>
    <row r="12" spans="1:21" x14ac:dyDescent="0.2">
      <c r="A12" s="145" t="s">
        <v>247</v>
      </c>
      <c r="B12" s="54">
        <f>Material_compnt_GREET2!B$4*'Alloy_compnt_G&amp;L'!$M$2*Al_alloy_use_compnt!$B6</f>
        <v>0</v>
      </c>
      <c r="C12" s="54">
        <f>Material_compnt_GREET2!C$4*'Alloy_compnt_G&amp;L'!$M$2*Al_alloy_use_compnt!$B6</f>
        <v>0</v>
      </c>
      <c r="D12" s="54">
        <f>Material_compnt_GREET2!D$4*'Alloy_compnt_G&amp;L'!$M$2*Al_alloy_use_compnt!$B6</f>
        <v>0</v>
      </c>
      <c r="E12" s="54">
        <f>Material_compnt_GREET2!E$4*'Alloy_compnt_G&amp;L'!$M$2*Al_alloy_use_compnt!$B6</f>
        <v>0</v>
      </c>
      <c r="F12" s="54">
        <f>Material_compnt_GREET2!F$4*'Alloy_compnt_G&amp;L'!$M$2*Al_alloy_use_compnt!$B6</f>
        <v>0</v>
      </c>
      <c r="G12" s="54">
        <f>Material_compnt_GREET2!G$4*'Alloy_compnt_G&amp;L'!$M$2*Al_alloy_use_compnt!$B6</f>
        <v>0</v>
      </c>
    </row>
    <row r="13" spans="1:21" x14ac:dyDescent="0.2">
      <c r="A13" s="145" t="s">
        <v>248</v>
      </c>
      <c r="B13" s="54">
        <f>Material_compnt_GREET2!B$4*'Alloy_compnt_G&amp;L'!$M$2*Al_alloy_use_compnt!$B7</f>
        <v>0</v>
      </c>
      <c r="C13" s="54">
        <f>Material_compnt_GREET2!C$4*'Alloy_compnt_G&amp;L'!$M$2*Al_alloy_use_compnt!$B7</f>
        <v>0</v>
      </c>
      <c r="D13" s="54">
        <f>Material_compnt_GREET2!D$4*'Alloy_compnt_G&amp;L'!$M$2*Al_alloy_use_compnt!$B7</f>
        <v>0</v>
      </c>
      <c r="E13" s="54">
        <f>Material_compnt_GREET2!E$4*'Alloy_compnt_G&amp;L'!$M$2*Al_alloy_use_compnt!$B7</f>
        <v>0</v>
      </c>
      <c r="F13" s="54">
        <f>Material_compnt_GREET2!F$4*'Alloy_compnt_G&amp;L'!$M$2*Al_alloy_use_compnt!$B7</f>
        <v>0</v>
      </c>
      <c r="G13" s="54">
        <f>Material_compnt_GREET2!G$4*'Alloy_compnt_G&amp;L'!$M$2*Al_alloy_use_compnt!$B7</f>
        <v>0</v>
      </c>
    </row>
    <row r="14" spans="1:21" x14ac:dyDescent="0.2">
      <c r="A14" s="145" t="s">
        <v>249</v>
      </c>
      <c r="B14" s="54">
        <f>Material_compnt_GREET2!B$4*'Alloy_compnt_G&amp;L'!$M$2*Al_alloy_use_compnt!$B8</f>
        <v>0</v>
      </c>
      <c r="C14" s="54">
        <f>Material_compnt_GREET2!C$4*'Alloy_compnt_G&amp;L'!$M$2*Al_alloy_use_compnt!$B8</f>
        <v>0</v>
      </c>
      <c r="D14" s="54">
        <f>Material_compnt_GREET2!D$4*'Alloy_compnt_G&amp;L'!$M$2*Al_alloy_use_compnt!$B8</f>
        <v>0</v>
      </c>
      <c r="E14" s="54">
        <f>Material_compnt_GREET2!E$4*'Alloy_compnt_G&amp;L'!$M$2*Al_alloy_use_compnt!$B8</f>
        <v>0</v>
      </c>
      <c r="F14" s="54">
        <f>Material_compnt_GREET2!F$4*'Alloy_compnt_G&amp;L'!$M$2*Al_alloy_use_compnt!$B8</f>
        <v>0</v>
      </c>
      <c r="G14" s="54">
        <f>Material_compnt_GREET2!G$4*'Alloy_compnt_G&amp;L'!$M$2*Al_alloy_use_compnt!$B8</f>
        <v>0</v>
      </c>
    </row>
    <row r="15" spans="1:21" x14ac:dyDescent="0.2">
      <c r="A15" s="145" t="s">
        <v>250</v>
      </c>
      <c r="B15" s="54">
        <f>Material_compnt_GREET2!B$4*'Alloy_compnt_G&amp;L'!$M$2*Al_alloy_use_compnt!$B9</f>
        <v>0</v>
      </c>
      <c r="C15" s="54">
        <f>Material_compnt_GREET2!C$4*'Alloy_compnt_G&amp;L'!$M$2*Al_alloy_use_compnt!$B9</f>
        <v>0</v>
      </c>
      <c r="D15" s="54">
        <f>Material_compnt_GREET2!D$4*'Alloy_compnt_G&amp;L'!$M$2*Al_alloy_use_compnt!$B9</f>
        <v>0</v>
      </c>
      <c r="E15" s="54">
        <f>Material_compnt_GREET2!E$4*'Alloy_compnt_G&amp;L'!$M$2*Al_alloy_use_compnt!$B9</f>
        <v>0</v>
      </c>
      <c r="F15" s="54">
        <f>Material_compnt_GREET2!F$4*'Alloy_compnt_G&amp;L'!$M$2*Al_alloy_use_compnt!$B9</f>
        <v>0</v>
      </c>
      <c r="G15" s="54">
        <f>Material_compnt_GREET2!G$4*'Alloy_compnt_G&amp;L'!$M$2*Al_alloy_use_compnt!$B9</f>
        <v>0</v>
      </c>
    </row>
    <row r="16" spans="1:21" x14ac:dyDescent="0.2">
      <c r="A16" s="145" t="s">
        <v>251</v>
      </c>
      <c r="B16" s="54">
        <f>Material_compnt_GREET2!B$4*'Alloy_compnt_G&amp;L'!$M$2*Al_alloy_use_compnt!$B10</f>
        <v>0</v>
      </c>
      <c r="C16" s="54">
        <f>Material_compnt_GREET2!C$4*'Alloy_compnt_G&amp;L'!$M$2*Al_alloy_use_compnt!$B10</f>
        <v>0</v>
      </c>
      <c r="D16" s="54">
        <f>Material_compnt_GREET2!D$4*'Alloy_compnt_G&amp;L'!$M$2*Al_alloy_use_compnt!$B10</f>
        <v>0</v>
      </c>
      <c r="E16" s="54">
        <f>Material_compnt_GREET2!E$4*'Alloy_compnt_G&amp;L'!$M$2*Al_alloy_use_compnt!$B10</f>
        <v>0</v>
      </c>
      <c r="F16" s="54">
        <f>Material_compnt_GREET2!F$4*'Alloy_compnt_G&amp;L'!$M$2*Al_alloy_use_compnt!$B10</f>
        <v>0</v>
      </c>
      <c r="G16" s="54">
        <f>Material_compnt_GREET2!G$4*'Alloy_compnt_G&amp;L'!$M$2*Al_alloy_use_compnt!$B10</f>
        <v>0</v>
      </c>
    </row>
    <row r="17" spans="1:7" x14ac:dyDescent="0.2">
      <c r="A17" s="145" t="s">
        <v>252</v>
      </c>
      <c r="B17" s="54">
        <f>Material_compnt_GREET2!B$4*'Alloy_compnt_G&amp;L'!$M$2*Al_alloy_use_compnt!$B11</f>
        <v>0</v>
      </c>
      <c r="C17" s="54">
        <f>Material_compnt_GREET2!C$4*'Alloy_compnt_G&amp;L'!$M$2*Al_alloy_use_compnt!$B11</f>
        <v>0</v>
      </c>
      <c r="D17" s="54">
        <f>Material_compnt_GREET2!D$4*'Alloy_compnt_G&amp;L'!$M$2*Al_alloy_use_compnt!$B11</f>
        <v>0</v>
      </c>
      <c r="E17" s="54">
        <f>Material_compnt_GREET2!E$4*'Alloy_compnt_G&amp;L'!$M$2*Al_alloy_use_compnt!$B11</f>
        <v>0</v>
      </c>
      <c r="F17" s="54">
        <f>Material_compnt_GREET2!F$4*'Alloy_compnt_G&amp;L'!$M$2*Al_alloy_use_compnt!$B11</f>
        <v>0</v>
      </c>
      <c r="G17" s="54">
        <f>Material_compnt_GREET2!G$4*'Alloy_compnt_G&amp;L'!$M$2*Al_alloy_use_compnt!$B11</f>
        <v>0</v>
      </c>
    </row>
    <row r="18" spans="1:7" x14ac:dyDescent="0.2">
      <c r="A18" s="145" t="s">
        <v>253</v>
      </c>
      <c r="B18" s="54">
        <f>Material_compnt_GREET2!B$4*'Alloy_compnt_G&amp;L'!$M$2*Al_alloy_use_compnt!$B12</f>
        <v>0</v>
      </c>
      <c r="C18" s="54">
        <f>Material_compnt_GREET2!C$4*'Alloy_compnt_G&amp;L'!$M$2*Al_alloy_use_compnt!$B12</f>
        <v>0</v>
      </c>
      <c r="D18" s="54">
        <f>Material_compnt_GREET2!D$4*'Alloy_compnt_G&amp;L'!$M$2*Al_alloy_use_compnt!$B12</f>
        <v>0</v>
      </c>
      <c r="E18" s="54">
        <f>Material_compnt_GREET2!E$4*'Alloy_compnt_G&amp;L'!$M$2*Al_alloy_use_compnt!$B12</f>
        <v>0</v>
      </c>
      <c r="F18" s="54">
        <f>Material_compnt_GREET2!F$4*'Alloy_compnt_G&amp;L'!$M$2*Al_alloy_use_compnt!$B12</f>
        <v>0</v>
      </c>
      <c r="G18" s="54">
        <f>Material_compnt_GREET2!G$4*'Alloy_compnt_G&amp;L'!$M$2*Al_alloy_use_compnt!$B12</f>
        <v>0</v>
      </c>
    </row>
    <row r="19" spans="1:7" x14ac:dyDescent="0.2">
      <c r="A19" s="145" t="s">
        <v>254</v>
      </c>
      <c r="B19" s="54">
        <f>Material_compnt_GREET2!B$4*'Alloy_compnt_G&amp;L'!$M$2*Al_alloy_use_compnt!$B13</f>
        <v>0</v>
      </c>
      <c r="C19" s="54">
        <f>Material_compnt_GREET2!C$4*'Alloy_compnt_G&amp;L'!$M$2*Al_alloy_use_compnt!$B13</f>
        <v>0</v>
      </c>
      <c r="D19" s="54">
        <f>Material_compnt_GREET2!D$4*'Alloy_compnt_G&amp;L'!$M$2*Al_alloy_use_compnt!$B13</f>
        <v>0</v>
      </c>
      <c r="E19" s="54">
        <f>Material_compnt_GREET2!E$4*'Alloy_compnt_G&amp;L'!$M$2*Al_alloy_use_compnt!$B13</f>
        <v>0</v>
      </c>
      <c r="F19" s="54">
        <f>Material_compnt_GREET2!F$4*'Alloy_compnt_G&amp;L'!$M$2*Al_alloy_use_compnt!$B13</f>
        <v>0</v>
      </c>
      <c r="G19" s="54">
        <f>Material_compnt_GREET2!G$4*'Alloy_compnt_G&amp;L'!$M$2*Al_alloy_use_compnt!$B13</f>
        <v>0</v>
      </c>
    </row>
    <row r="20" spans="1:7" x14ac:dyDescent="0.2">
      <c r="A20" s="146" t="s">
        <v>255</v>
      </c>
      <c r="B20" s="54">
        <f>Material_compnt_GREET2!B$4*'Alloy_compnt_G&amp;L'!$M$2*Al_alloy_use_compnt!$B14</f>
        <v>0</v>
      </c>
      <c r="C20" s="54">
        <f>Material_compnt_GREET2!C$4*'Alloy_compnt_G&amp;L'!$M$2*Al_alloy_use_compnt!$B14</f>
        <v>0</v>
      </c>
      <c r="D20" s="54">
        <f>Material_compnt_GREET2!D$4*'Alloy_compnt_G&amp;L'!$M$2*Al_alloy_use_compnt!$B14</f>
        <v>0</v>
      </c>
      <c r="E20" s="54">
        <f>Material_compnt_GREET2!E$4*'Alloy_compnt_G&amp;L'!$M$2*Al_alloy_use_compnt!$B14</f>
        <v>0</v>
      </c>
      <c r="F20" s="54">
        <f>Material_compnt_GREET2!F$4*'Alloy_compnt_G&amp;L'!$M$2*Al_alloy_use_compnt!$B14</f>
        <v>0</v>
      </c>
      <c r="G20" s="54">
        <f>Material_compnt_GREET2!G$4*'Alloy_compnt_G&amp;L'!$M$2*Al_alloy_use_compnt!$B14</f>
        <v>0</v>
      </c>
    </row>
    <row r="21" spans="1:7" x14ac:dyDescent="0.2">
      <c r="A21" s="145" t="s">
        <v>256</v>
      </c>
      <c r="B21" s="54">
        <f>Material_compnt_GREET2!B$4*'Alloy_compnt_G&amp;L'!$M$2*Al_alloy_use_compnt!$B15</f>
        <v>0</v>
      </c>
      <c r="C21" s="54">
        <f>Material_compnt_GREET2!C$4*'Alloy_compnt_G&amp;L'!$M$2*Al_alloy_use_compnt!$B15</f>
        <v>0</v>
      </c>
      <c r="D21" s="54">
        <f>Material_compnt_GREET2!D$4*'Alloy_compnt_G&amp;L'!$M$2*Al_alloy_use_compnt!$B15</f>
        <v>0</v>
      </c>
      <c r="E21" s="54">
        <f>Material_compnt_GREET2!E$4*'Alloy_compnt_G&amp;L'!$M$2*Al_alloy_use_compnt!$B15</f>
        <v>0</v>
      </c>
      <c r="F21" s="54">
        <f>Material_compnt_GREET2!F$4*'Alloy_compnt_G&amp;L'!$M$2*Al_alloy_use_compnt!$B15</f>
        <v>0</v>
      </c>
      <c r="G21" s="54">
        <f>Material_compnt_GREET2!G$4*'Alloy_compnt_G&amp;L'!$M$2*Al_alloy_use_compnt!$B15</f>
        <v>0</v>
      </c>
    </row>
    <row r="22" spans="1:7" x14ac:dyDescent="0.2">
      <c r="A22" s="145" t="s">
        <v>257</v>
      </c>
      <c r="B22" s="54">
        <f>Material_compnt_GREET2!B$4*'Alloy_compnt_G&amp;L'!$M$2*Al_alloy_use_compnt!$B16</f>
        <v>0</v>
      </c>
      <c r="C22" s="54">
        <f>Material_compnt_GREET2!C$4*'Alloy_compnt_G&amp;L'!$M$2*Al_alloy_use_compnt!$B16</f>
        <v>0</v>
      </c>
      <c r="D22" s="54">
        <f>Material_compnt_GREET2!D$4*'Alloy_compnt_G&amp;L'!$M$2*Al_alloy_use_compnt!$B16</f>
        <v>0</v>
      </c>
      <c r="E22" s="54">
        <f>Material_compnt_GREET2!E$4*'Alloy_compnt_G&amp;L'!$M$2*Al_alloy_use_compnt!$B16</f>
        <v>0</v>
      </c>
      <c r="F22" s="54">
        <f>Material_compnt_GREET2!F$4*'Alloy_compnt_G&amp;L'!$M$2*Al_alloy_use_compnt!$B16</f>
        <v>0</v>
      </c>
      <c r="G22" s="54">
        <f>Material_compnt_GREET2!G$4*'Alloy_compnt_G&amp;L'!$M$2*Al_alloy_use_compnt!$B16</f>
        <v>0</v>
      </c>
    </row>
    <row r="23" spans="1:7" x14ac:dyDescent="0.2">
      <c r="A23" s="145" t="s">
        <v>258</v>
      </c>
      <c r="B23" s="54">
        <f>Material_compnt_GREET2!B$4*'Alloy_compnt_G&amp;L'!$M$2*Al_alloy_use_compnt!$B17</f>
        <v>0</v>
      </c>
      <c r="C23" s="54">
        <f>Material_compnt_GREET2!C$4*'Alloy_compnt_G&amp;L'!$M$2*Al_alloy_use_compnt!$B17</f>
        <v>0</v>
      </c>
      <c r="D23" s="54">
        <f>Material_compnt_GREET2!D$4*'Alloy_compnt_G&amp;L'!$M$2*Al_alloy_use_compnt!$B17</f>
        <v>0</v>
      </c>
      <c r="E23" s="54">
        <f>Material_compnt_GREET2!E$4*'Alloy_compnt_G&amp;L'!$M$2*Al_alloy_use_compnt!$B17</f>
        <v>0</v>
      </c>
      <c r="F23" s="54">
        <f>Material_compnt_GREET2!F$4*'Alloy_compnt_G&amp;L'!$M$2*Al_alloy_use_compnt!$B17</f>
        <v>0</v>
      </c>
      <c r="G23" s="54">
        <f>Material_compnt_GREET2!G$4*'Alloy_compnt_G&amp;L'!$M$2*Al_alloy_use_compnt!$B17</f>
        <v>0</v>
      </c>
    </row>
    <row r="24" spans="1:7" x14ac:dyDescent="0.2">
      <c r="A24" s="142" t="s">
        <v>259</v>
      </c>
      <c r="B24" s="54">
        <f>Material_compnt_GREET2!B$4*'Alloy_compnt_G&amp;L'!$M$2*Al_alloy_use_compnt!$B18</f>
        <v>0</v>
      </c>
      <c r="C24" s="54">
        <f>Material_compnt_GREET2!C$4*'Alloy_compnt_G&amp;L'!$M$2*Al_alloy_use_compnt!$B18</f>
        <v>0</v>
      </c>
      <c r="D24" s="54">
        <f>Material_compnt_GREET2!D$4*'Alloy_compnt_G&amp;L'!$M$2*Al_alloy_use_compnt!$B18</f>
        <v>0</v>
      </c>
      <c r="E24" s="54">
        <f>Material_compnt_GREET2!E$4*'Alloy_compnt_G&amp;L'!$M$2*Al_alloy_use_compnt!$B18</f>
        <v>0</v>
      </c>
      <c r="F24" s="54">
        <f>Material_compnt_GREET2!F$4*'Alloy_compnt_G&amp;L'!$M$2*Al_alloy_use_compnt!$B18</f>
        <v>0</v>
      </c>
      <c r="G24" s="54">
        <f>Material_compnt_GREET2!G$4*'Alloy_compnt_G&amp;L'!$M$2*Al_alloy_use_compnt!$B18</f>
        <v>0</v>
      </c>
    </row>
    <row r="25" spans="1:7" x14ac:dyDescent="0.2">
      <c r="A25" s="147" t="s">
        <v>260</v>
      </c>
      <c r="B25" s="54">
        <f>Material_compnt_GREET2!B$4*'Alloy_compnt_G&amp;L'!$M$2*Al_alloy_use_compnt!$B19</f>
        <v>0</v>
      </c>
      <c r="C25" s="54">
        <f>Material_compnt_GREET2!C$4*'Alloy_compnt_G&amp;L'!$M$2*Al_alloy_use_compnt!$B19</f>
        <v>0</v>
      </c>
      <c r="D25" s="54">
        <f>Material_compnt_GREET2!D$4*'Alloy_compnt_G&amp;L'!$M$2*Al_alloy_use_compnt!$B19</f>
        <v>0</v>
      </c>
      <c r="E25" s="54">
        <f>Material_compnt_GREET2!E$4*'Alloy_compnt_G&amp;L'!$M$2*Al_alloy_use_compnt!$B19</f>
        <v>0</v>
      </c>
      <c r="F25" s="54">
        <f>Material_compnt_GREET2!F$4*'Alloy_compnt_G&amp;L'!$M$2*Al_alloy_use_compnt!$B19</f>
        <v>0</v>
      </c>
      <c r="G25" s="54">
        <f>Material_compnt_GREET2!G$4*'Alloy_compnt_G&amp;L'!$M$2*Al_alloy_use_compnt!$B19</f>
        <v>0</v>
      </c>
    </row>
    <row r="26" spans="1:7" x14ac:dyDescent="0.2">
      <c r="A26" s="142" t="s">
        <v>261</v>
      </c>
      <c r="B26" s="54">
        <f>Material_compnt_GREET2!B$4*'Alloy_compnt_G&amp;L'!$N$2*Al_alloy_use_compnt!$B3</f>
        <v>0</v>
      </c>
      <c r="C26" s="54">
        <f>Material_compnt_GREET2!C$4*'Alloy_compnt_G&amp;L'!$N$2*Al_alloy_use_compnt!$B3</f>
        <v>0</v>
      </c>
      <c r="D26" s="54">
        <f>Material_compnt_GREET2!D$4*'Alloy_compnt_G&amp;L'!$N$2*Al_alloy_use_compnt!$B3</f>
        <v>0</v>
      </c>
      <c r="E26" s="54">
        <f>Material_compnt_GREET2!E$4*'Alloy_compnt_G&amp;L'!$N$2*Al_alloy_use_compnt!$B3</f>
        <v>0</v>
      </c>
      <c r="F26" s="54">
        <f>Material_compnt_GREET2!F$4*'Alloy_compnt_G&amp;L'!$N$2*Al_alloy_use_compnt!$B3</f>
        <v>0</v>
      </c>
      <c r="G26" s="54">
        <f>Material_compnt_GREET2!G$4*'Alloy_compnt_G&amp;L'!$N$2*Al_alloy_use_compnt!$B3</f>
        <v>0</v>
      </c>
    </row>
    <row r="27" spans="1:7" x14ac:dyDescent="0.2">
      <c r="A27" s="142" t="s">
        <v>262</v>
      </c>
      <c r="B27" s="54">
        <f>Material_compnt_GREET2!B$4*'Alloy_compnt_G&amp;L'!$N$2*Al_alloy_use_compnt!$B4</f>
        <v>0</v>
      </c>
      <c r="C27" s="54">
        <f>Material_compnt_GREET2!C$4*'Alloy_compnt_G&amp;L'!$N$2*Al_alloy_use_compnt!$B4</f>
        <v>0</v>
      </c>
      <c r="D27" s="54">
        <f>Material_compnt_GREET2!D$4*'Alloy_compnt_G&amp;L'!$N$2*Al_alloy_use_compnt!$B4</f>
        <v>0</v>
      </c>
      <c r="E27" s="54">
        <f>Material_compnt_GREET2!E$4*'Alloy_compnt_G&amp;L'!$N$2*Al_alloy_use_compnt!$B4</f>
        <v>0</v>
      </c>
      <c r="F27" s="54">
        <f>Material_compnt_GREET2!F$4*'Alloy_compnt_G&amp;L'!$N$2*Al_alloy_use_compnt!$B4</f>
        <v>0</v>
      </c>
      <c r="G27" s="54">
        <f>Material_compnt_GREET2!G$4*'Alloy_compnt_G&amp;L'!$N$2*Al_alloy_use_compnt!$B4</f>
        <v>0</v>
      </c>
    </row>
    <row r="28" spans="1:7" x14ac:dyDescent="0.2">
      <c r="A28" s="142" t="s">
        <v>263</v>
      </c>
      <c r="B28" s="54">
        <f>Material_compnt_GREET2!B$4*'Alloy_compnt_G&amp;L'!$N$2*Al_alloy_use_compnt!$B5</f>
        <v>0</v>
      </c>
      <c r="C28" s="54">
        <f>Material_compnt_GREET2!C$4*'Alloy_compnt_G&amp;L'!$N$2*Al_alloy_use_compnt!$B5</f>
        <v>0</v>
      </c>
      <c r="D28" s="54">
        <f>Material_compnt_GREET2!D$4*'Alloy_compnt_G&amp;L'!$N$2*Al_alloy_use_compnt!$B5</f>
        <v>0</v>
      </c>
      <c r="E28" s="54">
        <f>Material_compnt_GREET2!E$4*'Alloy_compnt_G&amp;L'!$N$2*Al_alloy_use_compnt!$B5</f>
        <v>0</v>
      </c>
      <c r="F28" s="54">
        <f>Material_compnt_GREET2!F$4*'Alloy_compnt_G&amp;L'!$N$2*Al_alloy_use_compnt!$B5</f>
        <v>0</v>
      </c>
      <c r="G28" s="54">
        <f>Material_compnt_GREET2!G$4*'Alloy_compnt_G&amp;L'!$N$2*Al_alloy_use_compnt!$B5</f>
        <v>0</v>
      </c>
    </row>
    <row r="29" spans="1:7" x14ac:dyDescent="0.2">
      <c r="A29" s="142" t="s">
        <v>264</v>
      </c>
      <c r="B29" s="54">
        <f>Material_compnt_GREET2!B$4*'Alloy_compnt_G&amp;L'!$N$2*Al_alloy_use_compnt!$B6</f>
        <v>3.2315462890625563E-2</v>
      </c>
      <c r="C29" s="54">
        <f>Material_compnt_GREET2!C$4*'Alloy_compnt_G&amp;L'!$N$2*Al_alloy_use_compnt!$B6</f>
        <v>1.8996688974890599</v>
      </c>
      <c r="D29" s="54">
        <f>Material_compnt_GREET2!D$4*'Alloy_compnt_G&amp;L'!$N$2*Al_alloy_use_compnt!$B6</f>
        <v>2.9978406804581675E-2</v>
      </c>
      <c r="E29" s="54">
        <f>Material_compnt_GREET2!E$4*'Alloy_compnt_G&amp;L'!$N$2*Al_alloy_use_compnt!$B6</f>
        <v>1.7715420983257049</v>
      </c>
      <c r="F29" s="54">
        <f>Material_compnt_GREET2!F$4*'Alloy_compnt_G&amp;L'!$N$2*Al_alloy_use_compnt!$B6</f>
        <v>3.0824844250580387E-2</v>
      </c>
      <c r="G29" s="54">
        <f>Material_compnt_GREET2!G$4*'Alloy_compnt_G&amp;L'!$N$2*Al_alloy_use_compnt!$B6</f>
        <v>1.8107391074009604</v>
      </c>
    </row>
    <row r="30" spans="1:7" x14ac:dyDescent="0.2">
      <c r="A30" s="142" t="s">
        <v>265</v>
      </c>
      <c r="B30" s="54">
        <f>Material_compnt_GREET2!B$4*'Alloy_compnt_G&amp;L'!$N$2*Al_alloy_use_compnt!$B7</f>
        <v>0</v>
      </c>
      <c r="C30" s="54">
        <f>Material_compnt_GREET2!C$4*'Alloy_compnt_G&amp;L'!$N$2*Al_alloy_use_compnt!$B7</f>
        <v>0</v>
      </c>
      <c r="D30" s="54">
        <f>Material_compnt_GREET2!D$4*'Alloy_compnt_G&amp;L'!$N$2*Al_alloy_use_compnt!$B7</f>
        <v>0</v>
      </c>
      <c r="E30" s="54">
        <f>Material_compnt_GREET2!E$4*'Alloy_compnt_G&amp;L'!$N$2*Al_alloy_use_compnt!$B7</f>
        <v>0</v>
      </c>
      <c r="F30" s="54">
        <f>Material_compnt_GREET2!F$4*'Alloy_compnt_G&amp;L'!$N$2*Al_alloy_use_compnt!$B7</f>
        <v>0</v>
      </c>
      <c r="G30" s="54">
        <f>Material_compnt_GREET2!G$4*'Alloy_compnt_G&amp;L'!$N$2*Al_alloy_use_compnt!$B7</f>
        <v>0</v>
      </c>
    </row>
    <row r="31" spans="1:7" x14ac:dyDescent="0.2">
      <c r="A31" s="142" t="s">
        <v>266</v>
      </c>
      <c r="B31" s="54">
        <f>Material_compnt_GREET2!B$4*'Alloy_compnt_G&amp;L'!$N$2*Al_alloy_use_compnt!$B8</f>
        <v>6.4630925781251125E-2</v>
      </c>
      <c r="C31" s="54">
        <f>Material_compnt_GREET2!C$4*'Alloy_compnt_G&amp;L'!$N$2*Al_alloy_use_compnt!$B8</f>
        <v>3.7993377949781197</v>
      </c>
      <c r="D31" s="54">
        <f>Material_compnt_GREET2!D$4*'Alloy_compnt_G&amp;L'!$N$2*Al_alloy_use_compnt!$B8</f>
        <v>5.9956813609163349E-2</v>
      </c>
      <c r="E31" s="54">
        <f>Material_compnt_GREET2!E$4*'Alloy_compnt_G&amp;L'!$N$2*Al_alloy_use_compnt!$B8</f>
        <v>3.5430841966514097</v>
      </c>
      <c r="F31" s="54">
        <f>Material_compnt_GREET2!F$4*'Alloy_compnt_G&amp;L'!$N$2*Al_alloy_use_compnt!$B8</f>
        <v>6.1649688501160774E-2</v>
      </c>
      <c r="G31" s="54">
        <f>Material_compnt_GREET2!G$4*'Alloy_compnt_G&amp;L'!$N$2*Al_alloy_use_compnt!$B8</f>
        <v>3.6214782148019209</v>
      </c>
    </row>
    <row r="32" spans="1:7" x14ac:dyDescent="0.2">
      <c r="A32" s="142" t="s">
        <v>267</v>
      </c>
      <c r="B32" s="54">
        <f>Material_compnt_GREET2!B$4*'Alloy_compnt_G&amp;L'!$N$2*Al_alloy_use_compnt!$B9</f>
        <v>0.19389277734375335</v>
      </c>
      <c r="C32" s="54">
        <f>Material_compnt_GREET2!C$4*'Alloy_compnt_G&amp;L'!$N$2*Al_alloy_use_compnt!$B9</f>
        <v>11.398013384934359</v>
      </c>
      <c r="D32" s="54">
        <f>Material_compnt_GREET2!D$4*'Alloy_compnt_G&amp;L'!$N$2*Al_alloy_use_compnt!$B9</f>
        <v>0.17987044082749004</v>
      </c>
      <c r="E32" s="54">
        <f>Material_compnt_GREET2!E$4*'Alloy_compnt_G&amp;L'!$N$2*Al_alloy_use_compnt!$B9</f>
        <v>10.629252589954227</v>
      </c>
      <c r="F32" s="54">
        <f>Material_compnt_GREET2!F$4*'Alloy_compnt_G&amp;L'!$N$2*Al_alloy_use_compnt!$B9</f>
        <v>0.18494906550348228</v>
      </c>
      <c r="G32" s="54">
        <f>Material_compnt_GREET2!G$4*'Alloy_compnt_G&amp;L'!$N$2*Al_alloy_use_compnt!$B9</f>
        <v>10.864434644405762</v>
      </c>
    </row>
    <row r="33" spans="1:7" x14ac:dyDescent="0.2">
      <c r="A33" s="142" t="s">
        <v>268</v>
      </c>
      <c r="B33" s="54">
        <f>Material_compnt_GREET2!B$4*'Alloy_compnt_G&amp;L'!$N$2*Al_alloy_use_compnt!$B10</f>
        <v>6.4630925781251125E-2</v>
      </c>
      <c r="C33" s="54">
        <f>Material_compnt_GREET2!C$4*'Alloy_compnt_G&amp;L'!$N$2*Al_alloy_use_compnt!$B10</f>
        <v>3.7993377949781197</v>
      </c>
      <c r="D33" s="54">
        <f>Material_compnt_GREET2!D$4*'Alloy_compnt_G&amp;L'!$N$2*Al_alloy_use_compnt!$B10</f>
        <v>5.9956813609163349E-2</v>
      </c>
      <c r="E33" s="54">
        <f>Material_compnt_GREET2!E$4*'Alloy_compnt_G&amp;L'!$N$2*Al_alloy_use_compnt!$B10</f>
        <v>3.5430841966514097</v>
      </c>
      <c r="F33" s="54">
        <f>Material_compnt_GREET2!F$4*'Alloy_compnt_G&amp;L'!$N$2*Al_alloy_use_compnt!$B10</f>
        <v>6.1649688501160774E-2</v>
      </c>
      <c r="G33" s="54">
        <f>Material_compnt_GREET2!G$4*'Alloy_compnt_G&amp;L'!$N$2*Al_alloy_use_compnt!$B10</f>
        <v>3.6214782148019209</v>
      </c>
    </row>
    <row r="34" spans="1:7" x14ac:dyDescent="0.2">
      <c r="A34" s="142" t="s">
        <v>269</v>
      </c>
      <c r="B34" s="54">
        <f>Material_compnt_GREET2!B$4*'Alloy_compnt_G&amp;L'!$N$2*Al_alloy_use_compnt!$B11</f>
        <v>0.14541958300781502</v>
      </c>
      <c r="C34" s="54">
        <f>Material_compnt_GREET2!C$4*'Alloy_compnt_G&amp;L'!$N$2*Al_alloy_use_compnt!$B11</f>
        <v>8.5485100387007691</v>
      </c>
      <c r="D34" s="54">
        <f>Material_compnt_GREET2!D$4*'Alloy_compnt_G&amp;L'!$N$2*Al_alloy_use_compnt!$B11</f>
        <v>0.13490283062061753</v>
      </c>
      <c r="E34" s="54">
        <f>Material_compnt_GREET2!E$4*'Alloy_compnt_G&amp;L'!$N$2*Al_alloy_use_compnt!$B11</f>
        <v>7.9719394424656711</v>
      </c>
      <c r="F34" s="54">
        <f>Material_compnt_GREET2!F$4*'Alloy_compnt_G&amp;L'!$N$2*Al_alloy_use_compnt!$B11</f>
        <v>0.13871179912761172</v>
      </c>
      <c r="G34" s="54">
        <f>Material_compnt_GREET2!G$4*'Alloy_compnt_G&amp;L'!$N$2*Al_alloy_use_compnt!$B11</f>
        <v>8.1483259833043213</v>
      </c>
    </row>
    <row r="35" spans="1:7" x14ac:dyDescent="0.2">
      <c r="A35" s="142" t="s">
        <v>270</v>
      </c>
      <c r="B35" s="54">
        <f>Material_compnt_GREET2!B$4*'Alloy_compnt_G&amp;L'!$N$2*Al_alloy_use_compnt!$B12</f>
        <v>0</v>
      </c>
      <c r="C35" s="54">
        <f>Material_compnt_GREET2!C$4*'Alloy_compnt_G&amp;L'!$N$2*Al_alloy_use_compnt!$B12</f>
        <v>0</v>
      </c>
      <c r="D35" s="54">
        <f>Material_compnt_GREET2!D$4*'Alloy_compnt_G&amp;L'!$N$2*Al_alloy_use_compnt!$B12</f>
        <v>0</v>
      </c>
      <c r="E35" s="54">
        <f>Material_compnt_GREET2!E$4*'Alloy_compnt_G&amp;L'!$N$2*Al_alloy_use_compnt!$B12</f>
        <v>0</v>
      </c>
      <c r="F35" s="54">
        <f>Material_compnt_GREET2!F$4*'Alloy_compnt_G&amp;L'!$N$2*Al_alloy_use_compnt!$B12</f>
        <v>0</v>
      </c>
      <c r="G35" s="54">
        <f>Material_compnt_GREET2!G$4*'Alloy_compnt_G&amp;L'!$N$2*Al_alloy_use_compnt!$B12</f>
        <v>0</v>
      </c>
    </row>
    <row r="36" spans="1:7" x14ac:dyDescent="0.2">
      <c r="A36" s="142" t="s">
        <v>271</v>
      </c>
      <c r="B36" s="54">
        <f>Material_compnt_GREET2!B$4*'Alloy_compnt_G&amp;L'!$N$2*Al_alloy_use_compnt!$B13</f>
        <v>0</v>
      </c>
      <c r="C36" s="54">
        <f>Material_compnt_GREET2!C$4*'Alloy_compnt_G&amp;L'!$N$2*Al_alloy_use_compnt!$B13</f>
        <v>0</v>
      </c>
      <c r="D36" s="54">
        <f>Material_compnt_GREET2!D$4*'Alloy_compnt_G&amp;L'!$N$2*Al_alloy_use_compnt!$B13</f>
        <v>0</v>
      </c>
      <c r="E36" s="54">
        <f>Material_compnt_GREET2!E$4*'Alloy_compnt_G&amp;L'!$N$2*Al_alloy_use_compnt!$B13</f>
        <v>0</v>
      </c>
      <c r="F36" s="54">
        <f>Material_compnt_GREET2!F$4*'Alloy_compnt_G&amp;L'!$N$2*Al_alloy_use_compnt!$B13</f>
        <v>0</v>
      </c>
      <c r="G36" s="54">
        <f>Material_compnt_GREET2!G$4*'Alloy_compnt_G&amp;L'!$N$2*Al_alloy_use_compnt!$B13</f>
        <v>0</v>
      </c>
    </row>
    <row r="37" spans="1:7" x14ac:dyDescent="0.2">
      <c r="A37" s="142" t="s">
        <v>272</v>
      </c>
      <c r="B37" s="54">
        <f>Material_compnt_GREET2!B$4*'Alloy_compnt_G&amp;L'!$N$2*Al_alloy_use_compnt!$B14</f>
        <v>0</v>
      </c>
      <c r="C37" s="54">
        <f>Material_compnt_GREET2!C$4*'Alloy_compnt_G&amp;L'!$N$2*Al_alloy_use_compnt!$B14</f>
        <v>0</v>
      </c>
      <c r="D37" s="54">
        <f>Material_compnt_GREET2!D$4*'Alloy_compnt_G&amp;L'!$N$2*Al_alloy_use_compnt!$B14</f>
        <v>0</v>
      </c>
      <c r="E37" s="54">
        <f>Material_compnt_GREET2!E$4*'Alloy_compnt_G&amp;L'!$N$2*Al_alloy_use_compnt!$B14</f>
        <v>0</v>
      </c>
      <c r="F37" s="54">
        <f>Material_compnt_GREET2!F$4*'Alloy_compnt_G&amp;L'!$N$2*Al_alloy_use_compnt!$B14</f>
        <v>0</v>
      </c>
      <c r="G37" s="54">
        <f>Material_compnt_GREET2!G$4*'Alloy_compnt_G&amp;L'!$N$2*Al_alloy_use_compnt!$B14</f>
        <v>0</v>
      </c>
    </row>
    <row r="38" spans="1:7" x14ac:dyDescent="0.2">
      <c r="A38" s="142" t="s">
        <v>273</v>
      </c>
      <c r="B38" s="54">
        <f>Material_compnt_GREET2!B$4*'Alloy_compnt_G&amp;L'!$N$2*Al_alloy_use_compnt!$B15</f>
        <v>0</v>
      </c>
      <c r="C38" s="54">
        <f>Material_compnt_GREET2!C$4*'Alloy_compnt_G&amp;L'!$N$2*Al_alloy_use_compnt!$B15</f>
        <v>0</v>
      </c>
      <c r="D38" s="54">
        <f>Material_compnt_GREET2!D$4*'Alloy_compnt_G&amp;L'!$N$2*Al_alloy_use_compnt!$B15</f>
        <v>0</v>
      </c>
      <c r="E38" s="54">
        <f>Material_compnt_GREET2!E$4*'Alloy_compnt_G&amp;L'!$N$2*Al_alloy_use_compnt!$B15</f>
        <v>0</v>
      </c>
      <c r="F38" s="54">
        <f>Material_compnt_GREET2!F$4*'Alloy_compnt_G&amp;L'!$N$2*Al_alloy_use_compnt!$B15</f>
        <v>0</v>
      </c>
      <c r="G38" s="54">
        <f>Material_compnt_GREET2!G$4*'Alloy_compnt_G&amp;L'!$N$2*Al_alloy_use_compnt!$B15</f>
        <v>0</v>
      </c>
    </row>
    <row r="39" spans="1:7" x14ac:dyDescent="0.2">
      <c r="A39" s="142" t="s">
        <v>274</v>
      </c>
      <c r="B39" s="54">
        <f>Material_compnt_GREET2!B$4*'Alloy_compnt_G&amp;L'!$N$2*Al_alloy_use_compnt!$B16</f>
        <v>0</v>
      </c>
      <c r="C39" s="54">
        <f>Material_compnt_GREET2!C$4*'Alloy_compnt_G&amp;L'!$N$2*Al_alloy_use_compnt!$B16</f>
        <v>0</v>
      </c>
      <c r="D39" s="54">
        <f>Material_compnt_GREET2!D$4*'Alloy_compnt_G&amp;L'!$N$2*Al_alloy_use_compnt!$B16</f>
        <v>0</v>
      </c>
      <c r="E39" s="54">
        <f>Material_compnt_GREET2!E$4*'Alloy_compnt_G&amp;L'!$N$2*Al_alloy_use_compnt!$B16</f>
        <v>0</v>
      </c>
      <c r="F39" s="54">
        <f>Material_compnt_GREET2!F$4*'Alloy_compnt_G&amp;L'!$N$2*Al_alloy_use_compnt!$B16</f>
        <v>0</v>
      </c>
      <c r="G39" s="54">
        <f>Material_compnt_GREET2!G$4*'Alloy_compnt_G&amp;L'!$N$2*Al_alloy_use_compnt!$B16</f>
        <v>0</v>
      </c>
    </row>
    <row r="40" spans="1:7" x14ac:dyDescent="0.2">
      <c r="A40" s="142" t="s">
        <v>275</v>
      </c>
      <c r="B40" s="54">
        <f>Material_compnt_GREET2!B$4*'Alloy_compnt_G&amp;L'!$N$2*Al_alloy_use_compnt!$B17</f>
        <v>0</v>
      </c>
      <c r="C40" s="54">
        <f>Material_compnt_GREET2!C$4*'Alloy_compnt_G&amp;L'!$N$2*Al_alloy_use_compnt!$B17</f>
        <v>0</v>
      </c>
      <c r="D40" s="54">
        <f>Material_compnt_GREET2!D$4*'Alloy_compnt_G&amp;L'!$N$2*Al_alloy_use_compnt!$B17</f>
        <v>0</v>
      </c>
      <c r="E40" s="54">
        <f>Material_compnt_GREET2!E$4*'Alloy_compnt_G&amp;L'!$N$2*Al_alloy_use_compnt!$B17</f>
        <v>0</v>
      </c>
      <c r="F40" s="54">
        <f>Material_compnt_GREET2!F$4*'Alloy_compnt_G&amp;L'!$N$2*Al_alloy_use_compnt!$B17</f>
        <v>0</v>
      </c>
      <c r="G40" s="54">
        <f>Material_compnt_GREET2!G$4*'Alloy_compnt_G&amp;L'!$N$2*Al_alloy_use_compnt!$B17</f>
        <v>0</v>
      </c>
    </row>
    <row r="41" spans="1:7" x14ac:dyDescent="0.2">
      <c r="A41" s="142" t="s">
        <v>276</v>
      </c>
      <c r="B41" s="54">
        <f>Material_compnt_GREET2!B$4*'Alloy_compnt_G&amp;L'!$N$2*Al_alloy_use_compnt!$B18</f>
        <v>8.0788657226563906E-2</v>
      </c>
      <c r="C41" s="54">
        <f>Material_compnt_GREET2!C$4*'Alloy_compnt_G&amp;L'!$N$2*Al_alloy_use_compnt!$B18</f>
        <v>4.7491722437226498</v>
      </c>
      <c r="D41" s="54">
        <f>Material_compnt_GREET2!D$4*'Alloy_compnt_G&amp;L'!$N$2*Al_alloy_use_compnt!$B18</f>
        <v>7.4946017011454188E-2</v>
      </c>
      <c r="E41" s="54">
        <f>Material_compnt_GREET2!E$4*'Alloy_compnt_G&amp;L'!$N$2*Al_alloy_use_compnt!$B18</f>
        <v>4.4288552458142618</v>
      </c>
      <c r="F41" s="54">
        <f>Material_compnt_GREET2!F$4*'Alloy_compnt_G&amp;L'!$N$2*Al_alloy_use_compnt!$B18</f>
        <v>7.7062110626450964E-2</v>
      </c>
      <c r="G41" s="54">
        <f>Material_compnt_GREET2!G$4*'Alloy_compnt_G&amp;L'!$N$2*Al_alloy_use_compnt!$B18</f>
        <v>4.5268477685024013</v>
      </c>
    </row>
    <row r="42" spans="1:7" x14ac:dyDescent="0.2">
      <c r="A42" s="144" t="s">
        <v>277</v>
      </c>
      <c r="B42" s="54">
        <f>Material_compnt_GREET2!B$4*'Alloy_compnt_G&amp;L'!$N$2*Al_alloy_use_compnt!$B19</f>
        <v>0</v>
      </c>
      <c r="C42" s="54">
        <f>Material_compnt_GREET2!C$4*'Alloy_compnt_G&amp;L'!$N$2*Al_alloy_use_compnt!$B19</f>
        <v>0</v>
      </c>
      <c r="D42" s="54">
        <f>Material_compnt_GREET2!D$4*'Alloy_compnt_G&amp;L'!$N$2*Al_alloy_use_compnt!$B19</f>
        <v>0</v>
      </c>
      <c r="E42" s="54">
        <f>Material_compnt_GREET2!E$4*'Alloy_compnt_G&amp;L'!$N$2*Al_alloy_use_compnt!$B19</f>
        <v>0</v>
      </c>
      <c r="F42" s="54">
        <f>Material_compnt_GREET2!F$4*'Alloy_compnt_G&amp;L'!$N$2*Al_alloy_use_compnt!$B19</f>
        <v>0</v>
      </c>
      <c r="G42" s="54">
        <f>Material_compnt_GREET2!G$4*'Alloy_compnt_G&amp;L'!$N$2*Al_alloy_use_compnt!$B19</f>
        <v>0</v>
      </c>
    </row>
    <row r="43" spans="1:7" x14ac:dyDescent="0.2">
      <c r="A43" s="148" t="s">
        <v>278</v>
      </c>
      <c r="B43" s="54">
        <f>Material_compnt_GREET2!B$4*'Alloy_compnt_G&amp;L'!$O$2*Al_alloy_use_compnt!$B20</f>
        <v>0</v>
      </c>
      <c r="C43" s="54">
        <f>Material_compnt_GREET2!C$4*'Alloy_compnt_G&amp;L'!$O$2*Al_alloy_use_compnt!$B20</f>
        <v>0</v>
      </c>
      <c r="D43" s="54">
        <f>Material_compnt_GREET2!D$4*'Alloy_compnt_G&amp;L'!$O$2*Al_alloy_use_compnt!$B20</f>
        <v>0</v>
      </c>
      <c r="E43" s="54">
        <f>Material_compnt_GREET2!E$4*'Alloy_compnt_G&amp;L'!$O$2*Al_alloy_use_compnt!$B20</f>
        <v>0</v>
      </c>
      <c r="F43" s="54">
        <f>Material_compnt_GREET2!F$4*'Alloy_compnt_G&amp;L'!$O$2*Al_alloy_use_compnt!$B20</f>
        <v>0</v>
      </c>
      <c r="G43" s="54">
        <f>Material_compnt_GREET2!G$4*'Alloy_compnt_G&amp;L'!$O$2*Al_alloy_use_compnt!$B20</f>
        <v>0</v>
      </c>
    </row>
    <row r="44" spans="1:7" x14ac:dyDescent="0.2">
      <c r="A44" s="148" t="s">
        <v>279</v>
      </c>
      <c r="B44" s="54">
        <f>Material_compnt_GREET2!B$4*'Alloy_compnt_G&amp;L'!$O$2*Al_alloy_use_compnt!$B21</f>
        <v>0</v>
      </c>
      <c r="C44" s="54">
        <f>Material_compnt_GREET2!C$4*'Alloy_compnt_G&amp;L'!$O$2*Al_alloy_use_compnt!$B21</f>
        <v>0</v>
      </c>
      <c r="D44" s="54">
        <f>Material_compnt_GREET2!D$4*'Alloy_compnt_G&amp;L'!$O$2*Al_alloy_use_compnt!$B21</f>
        <v>0</v>
      </c>
      <c r="E44" s="54">
        <f>Material_compnt_GREET2!E$4*'Alloy_compnt_G&amp;L'!$O$2*Al_alloy_use_compnt!$B21</f>
        <v>0</v>
      </c>
      <c r="F44" s="54">
        <f>Material_compnt_GREET2!F$4*'Alloy_compnt_G&amp;L'!$O$2*Al_alloy_use_compnt!$B21</f>
        <v>0</v>
      </c>
      <c r="G44" s="54">
        <f>Material_compnt_GREET2!G$4*'Alloy_compnt_G&amp;L'!$O$2*Al_alloy_use_compnt!$B21</f>
        <v>0</v>
      </c>
    </row>
    <row r="45" spans="1:7" x14ac:dyDescent="0.2">
      <c r="A45" s="148" t="s">
        <v>280</v>
      </c>
      <c r="B45" s="54">
        <f>Material_compnt_GREET2!B$4*'Alloy_compnt_G&amp;L'!$O$2*Al_alloy_use_compnt!$B22</f>
        <v>0</v>
      </c>
      <c r="C45" s="54">
        <f>Material_compnt_GREET2!C$4*'Alloy_compnt_G&amp;L'!$O$2*Al_alloy_use_compnt!$B22</f>
        <v>0</v>
      </c>
      <c r="D45" s="54">
        <f>Material_compnt_GREET2!D$4*'Alloy_compnt_G&amp;L'!$O$2*Al_alloy_use_compnt!$B22</f>
        <v>0</v>
      </c>
      <c r="E45" s="54">
        <f>Material_compnt_GREET2!E$4*'Alloy_compnt_G&amp;L'!$O$2*Al_alloy_use_compnt!$B22</f>
        <v>0</v>
      </c>
      <c r="F45" s="54">
        <f>Material_compnt_GREET2!F$4*'Alloy_compnt_G&amp;L'!$O$2*Al_alloy_use_compnt!$B22</f>
        <v>0</v>
      </c>
      <c r="G45" s="54">
        <f>Material_compnt_GREET2!G$4*'Alloy_compnt_G&amp;L'!$O$2*Al_alloy_use_compnt!$B22</f>
        <v>0</v>
      </c>
    </row>
    <row r="46" spans="1:7" x14ac:dyDescent="0.2">
      <c r="A46" s="148" t="s">
        <v>281</v>
      </c>
      <c r="B46" s="54">
        <f>Material_compnt_GREET2!B$4*'Alloy_compnt_G&amp;L'!$O$2*Al_alloy_use_compnt!$B23</f>
        <v>0</v>
      </c>
      <c r="C46" s="54">
        <f>Material_compnt_GREET2!C$4*'Alloy_compnt_G&amp;L'!$O$2*Al_alloy_use_compnt!$B23</f>
        <v>0</v>
      </c>
      <c r="D46" s="54">
        <f>Material_compnt_GREET2!D$4*'Alloy_compnt_G&amp;L'!$O$2*Al_alloy_use_compnt!$B23</f>
        <v>0</v>
      </c>
      <c r="E46" s="54">
        <f>Material_compnt_GREET2!E$4*'Alloy_compnt_G&amp;L'!$O$2*Al_alloy_use_compnt!$B23</f>
        <v>0</v>
      </c>
      <c r="F46" s="54">
        <f>Material_compnt_GREET2!F$4*'Alloy_compnt_G&amp;L'!$O$2*Al_alloy_use_compnt!$B23</f>
        <v>0</v>
      </c>
      <c r="G46" s="54">
        <f>Material_compnt_GREET2!G$4*'Alloy_compnt_G&amp;L'!$O$2*Al_alloy_use_compnt!$B23</f>
        <v>0</v>
      </c>
    </row>
    <row r="47" spans="1:7" x14ac:dyDescent="0.2">
      <c r="A47" s="148" t="s">
        <v>282</v>
      </c>
      <c r="B47" s="54">
        <f>Material_compnt_GREET2!B$4*'Alloy_compnt_G&amp;L'!$O$2*Al_alloy_use_compnt!$B24</f>
        <v>0</v>
      </c>
      <c r="C47" s="54">
        <f>Material_compnt_GREET2!C$4*'Alloy_compnt_G&amp;L'!$O$2*Al_alloy_use_compnt!$B24</f>
        <v>0</v>
      </c>
      <c r="D47" s="54">
        <f>Material_compnt_GREET2!D$4*'Alloy_compnt_G&amp;L'!$O$2*Al_alloy_use_compnt!$B24</f>
        <v>0</v>
      </c>
      <c r="E47" s="54">
        <f>Material_compnt_GREET2!E$4*'Alloy_compnt_G&amp;L'!$O$2*Al_alloy_use_compnt!$B24</f>
        <v>0</v>
      </c>
      <c r="F47" s="54">
        <f>Material_compnt_GREET2!F$4*'Alloy_compnt_G&amp;L'!$O$2*Al_alloy_use_compnt!$B24</f>
        <v>0</v>
      </c>
      <c r="G47" s="54">
        <f>Material_compnt_GREET2!G$4*'Alloy_compnt_G&amp;L'!$O$2*Al_alloy_use_compnt!$B24</f>
        <v>0</v>
      </c>
    </row>
    <row r="48" spans="1:7" x14ac:dyDescent="0.2">
      <c r="A48" s="148" t="s">
        <v>283</v>
      </c>
      <c r="B48" s="54">
        <f>Material_compnt_GREET2!B$4*'Alloy_compnt_G&amp;L'!$O$2*Al_alloy_use_compnt!$B25</f>
        <v>0</v>
      </c>
      <c r="C48" s="54">
        <f>Material_compnt_GREET2!C$4*'Alloy_compnt_G&amp;L'!$O$2*Al_alloy_use_compnt!$B25</f>
        <v>0</v>
      </c>
      <c r="D48" s="54">
        <f>Material_compnt_GREET2!D$4*'Alloy_compnt_G&amp;L'!$O$2*Al_alloy_use_compnt!$B25</f>
        <v>0</v>
      </c>
      <c r="E48" s="54">
        <f>Material_compnt_GREET2!E$4*'Alloy_compnt_G&amp;L'!$O$2*Al_alloy_use_compnt!$B25</f>
        <v>0</v>
      </c>
      <c r="F48" s="54">
        <f>Material_compnt_GREET2!F$4*'Alloy_compnt_G&amp;L'!$O$2*Al_alloy_use_compnt!$B25</f>
        <v>0</v>
      </c>
      <c r="G48" s="54">
        <f>Material_compnt_GREET2!G$4*'Alloy_compnt_G&amp;L'!$O$2*Al_alloy_use_compnt!$B25</f>
        <v>0</v>
      </c>
    </row>
    <row r="49" spans="1:7" x14ac:dyDescent="0.2">
      <c r="A49" s="148" t="s">
        <v>284</v>
      </c>
      <c r="B49" s="54">
        <f>Material_compnt_GREET2!B$4*'Alloy_compnt_G&amp;L'!$O$2*Al_alloy_use_compnt!$B26</f>
        <v>0</v>
      </c>
      <c r="C49" s="54">
        <f>Material_compnt_GREET2!C$4*'Alloy_compnt_G&amp;L'!$O$2*Al_alloy_use_compnt!$B26</f>
        <v>0</v>
      </c>
      <c r="D49" s="54">
        <f>Material_compnt_GREET2!D$4*'Alloy_compnt_G&amp;L'!$O$2*Al_alloy_use_compnt!$B26</f>
        <v>0</v>
      </c>
      <c r="E49" s="54">
        <f>Material_compnt_GREET2!E$4*'Alloy_compnt_G&amp;L'!$O$2*Al_alloy_use_compnt!$B26</f>
        <v>0</v>
      </c>
      <c r="F49" s="54">
        <f>Material_compnt_GREET2!F$4*'Alloy_compnt_G&amp;L'!$O$2*Al_alloy_use_compnt!$B26</f>
        <v>0</v>
      </c>
      <c r="G49" s="54">
        <f>Material_compnt_GREET2!G$4*'Alloy_compnt_G&amp;L'!$O$2*Al_alloy_use_compnt!$B26</f>
        <v>0</v>
      </c>
    </row>
    <row r="50" spans="1:7" x14ac:dyDescent="0.2">
      <c r="A50" s="148" t="s">
        <v>285</v>
      </c>
      <c r="B50" s="54">
        <f>Material_compnt_GREET2!B$4*'Alloy_compnt_G&amp;L'!$O$2*Al_alloy_use_compnt!$B27</f>
        <v>0</v>
      </c>
      <c r="C50" s="54">
        <f>Material_compnt_GREET2!C$4*'Alloy_compnt_G&amp;L'!$O$2*Al_alloy_use_compnt!$B27</f>
        <v>0</v>
      </c>
      <c r="D50" s="54">
        <f>Material_compnt_GREET2!D$4*'Alloy_compnt_G&amp;L'!$O$2*Al_alloy_use_compnt!$B27</f>
        <v>0</v>
      </c>
      <c r="E50" s="54">
        <f>Material_compnt_GREET2!E$4*'Alloy_compnt_G&amp;L'!$O$2*Al_alloy_use_compnt!$B27</f>
        <v>0</v>
      </c>
      <c r="F50" s="54">
        <f>Material_compnt_GREET2!F$4*'Alloy_compnt_G&amp;L'!$O$2*Al_alloy_use_compnt!$B27</f>
        <v>0</v>
      </c>
      <c r="G50" s="54">
        <f>Material_compnt_GREET2!G$4*'Alloy_compnt_G&amp;L'!$O$2*Al_alloy_use_compnt!$B27</f>
        <v>0</v>
      </c>
    </row>
    <row r="51" spans="1:7" x14ac:dyDescent="0.2">
      <c r="A51" s="147" t="s">
        <v>286</v>
      </c>
      <c r="B51" s="54">
        <f>Material_compnt_GREET2!B$4*'Alloy_compnt_G&amp;L'!$O$2*Al_alloy_use_compnt!$B28</f>
        <v>3.89277037590151</v>
      </c>
      <c r="C51" s="54">
        <f>Material_compnt_GREET2!C$4*'Alloy_compnt_G&amp;L'!$O$2*Al_alloy_use_compnt!$B28</f>
        <v>228.83703795906672</v>
      </c>
      <c r="D51" s="54">
        <f>Material_compnt_GREET2!D$4*'Alloy_compnt_G&amp;L'!$O$2*Al_alloy_use_compnt!$B28</f>
        <v>3.6112450043057613</v>
      </c>
      <c r="E51" s="54">
        <f>Material_compnt_GREET2!E$4*'Alloy_compnt_G&amp;L'!$O$2*Al_alloy_use_compnt!$B28</f>
        <v>213.40268661369643</v>
      </c>
      <c r="F51" s="54">
        <f>Material_compnt_GREET2!F$4*'Alloy_compnt_G&amp;L'!$O$2*Al_alloy_use_compnt!$B28</f>
        <v>3.7132081612622212</v>
      </c>
      <c r="G51" s="54">
        <f>Material_compnt_GREET2!G$4*'Alloy_compnt_G&amp;L'!$O$2*Al_alloy_use_compnt!$B28</f>
        <v>218.12441862999259</v>
      </c>
    </row>
    <row r="52" spans="1:7" x14ac:dyDescent="0.2">
      <c r="A52" s="142" t="s">
        <v>287</v>
      </c>
      <c r="B52" s="54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</row>
    <row r="53" spans="1:7" x14ac:dyDescent="0.2">
      <c r="A53" s="142" t="s">
        <v>288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</row>
    <row r="54" spans="1:7" x14ac:dyDescent="0.2">
      <c r="A54" s="142" t="s">
        <v>289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</row>
    <row r="55" spans="1:7" x14ac:dyDescent="0.2">
      <c r="A55" s="142" t="s">
        <v>290</v>
      </c>
      <c r="B55" s="54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</row>
    <row r="56" spans="1:7" x14ac:dyDescent="0.2">
      <c r="A56" s="142" t="s">
        <v>291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</row>
    <row r="57" spans="1:7" x14ac:dyDescent="0.2">
      <c r="A57" s="142" t="s">
        <v>292</v>
      </c>
      <c r="B57" s="54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</row>
    <row r="58" spans="1:7" x14ac:dyDescent="0.2">
      <c r="A58" s="142" t="s">
        <v>293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</row>
    <row r="59" spans="1:7" x14ac:dyDescent="0.2">
      <c r="A59" s="142" t="s">
        <v>294</v>
      </c>
      <c r="B59" s="54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</row>
    <row r="60" spans="1:7" x14ac:dyDescent="0.2">
      <c r="A60" s="144" t="s">
        <v>295</v>
      </c>
      <c r="B60" s="54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</row>
    <row r="61" spans="1:7" x14ac:dyDescent="0.2">
      <c r="A61" s="142" t="s">
        <v>206</v>
      </c>
      <c r="B61" s="54">
        <f>Material_compnt_GREET2!B$8*'Alloy_compnt_G&amp;L'!$T$2</f>
        <v>0.25568278331044403</v>
      </c>
      <c r="C61" s="54">
        <f>Material_compnt_GREET2!C$8*'Alloy_compnt_G&amp;L'!$T$2</f>
        <v>4.4388435010633494</v>
      </c>
      <c r="D61" s="54">
        <f>Material_compnt_GREET2!D$8*'Alloy_compnt_G&amp;L'!$T$2</f>
        <v>0.23719179010218464</v>
      </c>
      <c r="E61" s="54">
        <f>Material_compnt_GREET2!E$8*'Alloy_compnt_G&amp;L'!$T$2</f>
        <v>4.0484505556792962</v>
      </c>
      <c r="F61" s="54">
        <f>Material_compnt_GREET2!F$8*'Alloy_compnt_G&amp;L'!$T$2</f>
        <v>0.24388887758700961</v>
      </c>
      <c r="G61" s="54">
        <f>Material_compnt_GREET2!G$8*'Alloy_compnt_G&amp;L'!$T$2</f>
        <v>4.0254286650118658</v>
      </c>
    </row>
    <row r="62" spans="1:7" ht="17" thickBot="1" x14ac:dyDescent="0.25">
      <c r="A62" s="149" t="s">
        <v>208</v>
      </c>
      <c r="B62" s="54">
        <f>Material_compnt_GREET2!B$8*'Alloy_compnt_G&amp;L'!$U$2</f>
        <v>0</v>
      </c>
      <c r="C62" s="54">
        <f>Material_compnt_GREET2!C$8*'Alloy_compnt_G&amp;L'!$U$2</f>
        <v>0</v>
      </c>
      <c r="D62" s="54">
        <f>Material_compnt_GREET2!D$8*'Alloy_compnt_G&amp;L'!$U$2</f>
        <v>0</v>
      </c>
      <c r="E62" s="54">
        <f>Material_compnt_GREET2!E$8*'Alloy_compnt_G&amp;L'!$U$2</f>
        <v>0</v>
      </c>
      <c r="F62" s="54">
        <f>Material_compnt_GREET2!F$8*'Alloy_compnt_G&amp;L'!$U$2</f>
        <v>0</v>
      </c>
      <c r="G62" s="54">
        <f>Material_compnt_GREET2!G$8*'Alloy_compnt_G&amp;L'!$U$2</f>
        <v>0</v>
      </c>
    </row>
    <row r="63" spans="1:7" ht="17" thickTop="1" x14ac:dyDescent="0.2">
      <c r="A63" s="150" t="s">
        <v>164</v>
      </c>
      <c r="B63" s="54"/>
      <c r="C63" s="54"/>
      <c r="D63" s="54"/>
      <c r="E63" s="54"/>
      <c r="F63" s="54"/>
      <c r="G63" s="54"/>
    </row>
    <row r="64" spans="1:7" x14ac:dyDescent="0.2">
      <c r="A64" s="142" t="s">
        <v>105</v>
      </c>
      <c r="B64" s="54">
        <f>Material_compnt_GREET2!B$16*'Alloy_compnt_G&amp;L'!$I$2</f>
        <v>28.519738428973596</v>
      </c>
      <c r="C64" s="54">
        <f>Material_compnt_GREET2!C$16*'Alloy_compnt_G&amp;L'!$I$2</f>
        <v>38.65537900758185</v>
      </c>
      <c r="D64" s="54">
        <f>Material_compnt_GREET2!D$16*'Alloy_compnt_G&amp;L'!$I$2</f>
        <v>39.267174261490851</v>
      </c>
      <c r="E64" s="54">
        <f>Material_compnt_GREET2!E$16*'Alloy_compnt_G&amp;L'!$I$2</f>
        <v>42.738625468431415</v>
      </c>
      <c r="F64" s="54">
        <f>Material_compnt_GREET2!F$16*'Alloy_compnt_G&amp;L'!$I$2</f>
        <v>6.4921069493102088</v>
      </c>
      <c r="G64" s="54">
        <f>Material_compnt_GREET2!G$16*'Alloy_compnt_G&amp;L'!$I$2</f>
        <v>0</v>
      </c>
    </row>
    <row r="65" spans="1:7" x14ac:dyDescent="0.2">
      <c r="A65" s="142" t="s">
        <v>106</v>
      </c>
      <c r="B65" s="54">
        <f>Material_compnt_GREET2!B$16*'Alloy_compnt_G&amp;L'!$J$2</f>
        <v>25.816445686890791</v>
      </c>
      <c r="C65" s="54">
        <f>Material_compnt_GREET2!C$16*'Alloy_compnt_G&amp;L'!$J$2</f>
        <v>34.991362040038545</v>
      </c>
      <c r="D65" s="54">
        <f>Material_compnt_GREET2!D$16*'Alloy_compnt_G&amp;L'!$J$2</f>
        <v>35.545167222486981</v>
      </c>
      <c r="E65" s="54">
        <f>Material_compnt_GREET2!E$16*'Alloy_compnt_G&amp;L'!$J$2</f>
        <v>38.687570921660665</v>
      </c>
      <c r="F65" s="54">
        <f>Material_compnt_GREET2!F$16*'Alloy_compnt_G&amp;L'!$J$2</f>
        <v>5.8767413616978672</v>
      </c>
      <c r="G65" s="54">
        <f>Material_compnt_GREET2!G$16*'Alloy_compnt_G&amp;L'!$J$2</f>
        <v>0</v>
      </c>
    </row>
    <row r="66" spans="1:7" x14ac:dyDescent="0.2">
      <c r="A66" s="142" t="s">
        <v>107</v>
      </c>
      <c r="B66" s="54">
        <f>Material_compnt_GREET2!B$16*'Alloy_compnt_G&amp;L'!$K$2</f>
        <v>80.828452988275899</v>
      </c>
      <c r="C66" s="54">
        <f>Material_compnt_GREET2!C$16*'Alloy_compnt_G&amp;L'!$K$2</f>
        <v>109.55410732954478</v>
      </c>
      <c r="D66" s="54">
        <f>Material_compnt_GREET2!D$16*'Alloy_compnt_G&amp;L'!$K$2</f>
        <v>111.28801046621579</v>
      </c>
      <c r="E66" s="54">
        <f>Material_compnt_GREET2!E$16*'Alloy_compnt_G&amp;L'!$K$2</f>
        <v>121.12653094844545</v>
      </c>
      <c r="F66" s="54">
        <f>Material_compnt_GREET2!F$16*'Alloy_compnt_G&amp;L'!$K$2</f>
        <v>18.399431069609033</v>
      </c>
      <c r="G66" s="54">
        <f>Material_compnt_GREET2!G$16*'Alloy_compnt_G&amp;L'!$K$2</f>
        <v>0</v>
      </c>
    </row>
    <row r="67" spans="1:7" x14ac:dyDescent="0.2">
      <c r="A67" s="142" t="s">
        <v>91</v>
      </c>
      <c r="B67" s="54">
        <f>Material_compnt_GREET2!B17</f>
        <v>0</v>
      </c>
      <c r="C67" s="54">
        <f>Material_compnt_GREET2!C17</f>
        <v>12.035092229156835</v>
      </c>
      <c r="D67" s="54">
        <f>Material_compnt_GREET2!D17</f>
        <v>0</v>
      </c>
      <c r="E67" s="54">
        <f>Material_compnt_GREET2!E17</f>
        <v>10.010843196303336</v>
      </c>
      <c r="F67" s="54">
        <f>Material_compnt_GREET2!F17</f>
        <v>0</v>
      </c>
      <c r="G67" s="54">
        <f>Material_compnt_GREET2!G17</f>
        <v>0</v>
      </c>
    </row>
    <row r="68" spans="1:7" x14ac:dyDescent="0.2">
      <c r="A68" s="142" t="s">
        <v>204</v>
      </c>
      <c r="B68" s="54">
        <f>Material_compnt_GREET2!B$18*$Q$2</f>
        <v>83.186134886117699</v>
      </c>
      <c r="C68" s="54">
        <f>Material_compnt_GREET2!C$18*$Q$2</f>
        <v>15.060580692319871</v>
      </c>
      <c r="D68" s="54">
        <f>Material_compnt_GREET2!D$18*$Q$2</f>
        <v>71.845115952086687</v>
      </c>
      <c r="E68" s="54">
        <f>Material_compnt_GREET2!E$18*$Q$2</f>
        <v>12.480184518058159</v>
      </c>
      <c r="F68" s="54">
        <f>Material_compnt_GREET2!F$18*$Q$2</f>
        <v>0</v>
      </c>
      <c r="G68" s="54">
        <f>Material_compnt_GREET2!G$18*$Q$2</f>
        <v>0</v>
      </c>
    </row>
    <row r="69" spans="1:7" x14ac:dyDescent="0.2">
      <c r="A69" s="144" t="s">
        <v>104</v>
      </c>
      <c r="B69" s="54">
        <f>Material_compnt_GREET2!B$18*'Alloy_compnt_G&amp;L'!$R$2</f>
        <v>14.679906156373715</v>
      </c>
      <c r="C69" s="54">
        <f>Material_compnt_GREET2!C$18*'Alloy_compnt_G&amp;L'!$R$2</f>
        <v>2.6577495339388011</v>
      </c>
      <c r="D69" s="54">
        <f>Material_compnt_GREET2!D$18*'Alloy_compnt_G&amp;L'!$R$2</f>
        <v>12.678549873897653</v>
      </c>
      <c r="E69" s="54">
        <f>Material_compnt_GREET2!E$18*'Alloy_compnt_G&amp;L'!$R$2</f>
        <v>2.2023855031867345</v>
      </c>
      <c r="F69" s="54">
        <f>Material_compnt_GREET2!F$18*'Alloy_compnt_G&amp;L'!$R$2</f>
        <v>0</v>
      </c>
      <c r="G69" s="54">
        <f>Material_compnt_GREET2!G$18*'Alloy_compnt_G&amp;L'!$R$2</f>
        <v>0</v>
      </c>
    </row>
    <row r="70" spans="1:7" x14ac:dyDescent="0.2">
      <c r="A70" s="145" t="s">
        <v>244</v>
      </c>
      <c r="B70" s="54">
        <f>Material_compnt_GREET2!B$19*'Alloy_compnt_G&amp;L'!$M$2*Al_alloy_use_compnt!$C3</f>
        <v>0</v>
      </c>
      <c r="C70" s="54">
        <f>Material_compnt_GREET2!C$19*'Alloy_compnt_G&amp;L'!$M$2*Al_alloy_use_compnt!$C3</f>
        <v>0</v>
      </c>
      <c r="D70" s="54">
        <f>Material_compnt_GREET2!D$19*'Alloy_compnt_G&amp;L'!$M$2*Al_alloy_use_compnt!$C3</f>
        <v>0</v>
      </c>
      <c r="E70" s="54">
        <f>Material_compnt_GREET2!E$19*'Alloy_compnt_G&amp;L'!$M$2*Al_alloy_use_compnt!$C3</f>
        <v>0</v>
      </c>
      <c r="F70" s="54">
        <f>Material_compnt_GREET2!F$19*'Alloy_compnt_G&amp;L'!$M$2*Al_alloy_use_compnt!$C3</f>
        <v>0</v>
      </c>
      <c r="G70" s="54">
        <f>Material_compnt_GREET2!G$19*'Alloy_compnt_G&amp;L'!$M$2*Al_alloy_use_compnt!$C3</f>
        <v>0</v>
      </c>
    </row>
    <row r="71" spans="1:7" x14ac:dyDescent="0.2">
      <c r="A71" s="145" t="s">
        <v>245</v>
      </c>
      <c r="B71" s="54">
        <f>Material_compnt_GREET2!B$19*'Alloy_compnt_G&amp;L'!$M$2*Al_alloy_use_compnt!$C4</f>
        <v>0</v>
      </c>
      <c r="C71" s="54">
        <f>Material_compnt_GREET2!C$19*'Alloy_compnt_G&amp;L'!$M$2*Al_alloy_use_compnt!$C4</f>
        <v>0</v>
      </c>
      <c r="D71" s="54">
        <f>Material_compnt_GREET2!D$19*'Alloy_compnt_G&amp;L'!$M$2*Al_alloy_use_compnt!$C4</f>
        <v>0</v>
      </c>
      <c r="E71" s="54">
        <f>Material_compnt_GREET2!E$19*'Alloy_compnt_G&amp;L'!$M$2*Al_alloy_use_compnt!$C4</f>
        <v>0</v>
      </c>
      <c r="F71" s="54">
        <f>Material_compnt_GREET2!F$19*'Alloy_compnt_G&amp;L'!$M$2*Al_alloy_use_compnt!$C4</f>
        <v>0</v>
      </c>
      <c r="G71" s="54">
        <f>Material_compnt_GREET2!G$19*'Alloy_compnt_G&amp;L'!$M$2*Al_alloy_use_compnt!$C4</f>
        <v>0</v>
      </c>
    </row>
    <row r="72" spans="1:7" x14ac:dyDescent="0.2">
      <c r="A72" s="145" t="s">
        <v>246</v>
      </c>
      <c r="B72" s="54">
        <f>Material_compnt_GREET2!B$19*'Alloy_compnt_G&amp;L'!$M$2*Al_alloy_use_compnt!$C5</f>
        <v>0</v>
      </c>
      <c r="C72" s="54">
        <f>Material_compnt_GREET2!C$19*'Alloy_compnt_G&amp;L'!$M$2*Al_alloy_use_compnt!$C5</f>
        <v>0</v>
      </c>
      <c r="D72" s="54">
        <f>Material_compnt_GREET2!D$19*'Alloy_compnt_G&amp;L'!$M$2*Al_alloy_use_compnt!$C5</f>
        <v>0</v>
      </c>
      <c r="E72" s="54">
        <f>Material_compnt_GREET2!E$19*'Alloy_compnt_G&amp;L'!$M$2*Al_alloy_use_compnt!$C5</f>
        <v>0</v>
      </c>
      <c r="F72" s="54">
        <f>Material_compnt_GREET2!F$19*'Alloy_compnt_G&amp;L'!$M$2*Al_alloy_use_compnt!$C5</f>
        <v>0</v>
      </c>
      <c r="G72" s="54">
        <f>Material_compnt_GREET2!G$19*'Alloy_compnt_G&amp;L'!$M$2*Al_alloy_use_compnt!$C5</f>
        <v>0</v>
      </c>
    </row>
    <row r="73" spans="1:7" x14ac:dyDescent="0.2">
      <c r="A73" s="145" t="s">
        <v>247</v>
      </c>
      <c r="B73" s="54">
        <f>Material_compnt_GREET2!B$19*'Alloy_compnt_G&amp;L'!$M$2*Al_alloy_use_compnt!$C6</f>
        <v>0</v>
      </c>
      <c r="C73" s="54">
        <f>Material_compnt_GREET2!C$19*'Alloy_compnt_G&amp;L'!$M$2*Al_alloy_use_compnt!$C6</f>
        <v>0</v>
      </c>
      <c r="D73" s="54">
        <f>Material_compnt_GREET2!D$19*'Alloy_compnt_G&amp;L'!$M$2*Al_alloy_use_compnt!$C6</f>
        <v>0</v>
      </c>
      <c r="E73" s="54">
        <f>Material_compnt_GREET2!E$19*'Alloy_compnt_G&amp;L'!$M$2*Al_alloy_use_compnt!$C6</f>
        <v>0</v>
      </c>
      <c r="F73" s="54">
        <f>Material_compnt_GREET2!F$19*'Alloy_compnt_G&amp;L'!$M$2*Al_alloy_use_compnt!$C6</f>
        <v>0</v>
      </c>
      <c r="G73" s="54">
        <f>Material_compnt_GREET2!G$19*'Alloy_compnt_G&amp;L'!$M$2*Al_alloy_use_compnt!$C6</f>
        <v>0</v>
      </c>
    </row>
    <row r="74" spans="1:7" x14ac:dyDescent="0.2">
      <c r="A74" s="145" t="s">
        <v>248</v>
      </c>
      <c r="B74" s="54">
        <f>Material_compnt_GREET2!B$19*'Alloy_compnt_G&amp;L'!$M$2*Al_alloy_use_compnt!$C7</f>
        <v>0</v>
      </c>
      <c r="C74" s="54">
        <f>Material_compnt_GREET2!C$19*'Alloy_compnt_G&amp;L'!$M$2*Al_alloy_use_compnt!$C7</f>
        <v>0</v>
      </c>
      <c r="D74" s="54">
        <f>Material_compnt_GREET2!D$19*'Alloy_compnt_G&amp;L'!$M$2*Al_alloy_use_compnt!$C7</f>
        <v>0</v>
      </c>
      <c r="E74" s="54">
        <f>Material_compnt_GREET2!E$19*'Alloy_compnt_G&amp;L'!$M$2*Al_alloy_use_compnt!$C7</f>
        <v>0</v>
      </c>
      <c r="F74" s="54">
        <f>Material_compnt_GREET2!F$19*'Alloy_compnt_G&amp;L'!$M$2*Al_alloy_use_compnt!$C7</f>
        <v>0</v>
      </c>
      <c r="G74" s="54">
        <f>Material_compnt_GREET2!G$19*'Alloy_compnt_G&amp;L'!$M$2*Al_alloy_use_compnt!$C7</f>
        <v>0</v>
      </c>
    </row>
    <row r="75" spans="1:7" x14ac:dyDescent="0.2">
      <c r="A75" s="145" t="s">
        <v>249</v>
      </c>
      <c r="B75" s="54">
        <f>Material_compnt_GREET2!B$19*'Alloy_compnt_G&amp;L'!$M$2*Al_alloy_use_compnt!$C8</f>
        <v>0</v>
      </c>
      <c r="C75" s="54">
        <f>Material_compnt_GREET2!C$19*'Alloy_compnt_G&amp;L'!$M$2*Al_alloy_use_compnt!$C8</f>
        <v>0</v>
      </c>
      <c r="D75" s="54">
        <f>Material_compnt_GREET2!D$19*'Alloy_compnt_G&amp;L'!$M$2*Al_alloy_use_compnt!$C8</f>
        <v>0</v>
      </c>
      <c r="E75" s="54">
        <f>Material_compnt_GREET2!E$19*'Alloy_compnt_G&amp;L'!$M$2*Al_alloy_use_compnt!$C8</f>
        <v>0</v>
      </c>
      <c r="F75" s="54">
        <f>Material_compnt_GREET2!F$19*'Alloy_compnt_G&amp;L'!$M$2*Al_alloy_use_compnt!$C8</f>
        <v>0</v>
      </c>
      <c r="G75" s="54">
        <f>Material_compnt_GREET2!G$19*'Alloy_compnt_G&amp;L'!$M$2*Al_alloy_use_compnt!$C8</f>
        <v>0</v>
      </c>
    </row>
    <row r="76" spans="1:7" x14ac:dyDescent="0.2">
      <c r="A76" s="145" t="s">
        <v>250</v>
      </c>
      <c r="B76" s="54">
        <f>Material_compnt_GREET2!B$19*'Alloy_compnt_G&amp;L'!$M$2*Al_alloy_use_compnt!$C9</f>
        <v>0</v>
      </c>
      <c r="C76" s="54">
        <f>Material_compnt_GREET2!C$19*'Alloy_compnt_G&amp;L'!$M$2*Al_alloy_use_compnt!$C9</f>
        <v>0</v>
      </c>
      <c r="D76" s="54">
        <f>Material_compnt_GREET2!D$19*'Alloy_compnt_G&amp;L'!$M$2*Al_alloy_use_compnt!$C9</f>
        <v>0</v>
      </c>
      <c r="E76" s="54">
        <f>Material_compnt_GREET2!E$19*'Alloy_compnt_G&amp;L'!$M$2*Al_alloy_use_compnt!$C9</f>
        <v>0</v>
      </c>
      <c r="F76" s="54">
        <f>Material_compnt_GREET2!F$19*'Alloy_compnt_G&amp;L'!$M$2*Al_alloy_use_compnt!$C9</f>
        <v>0</v>
      </c>
      <c r="G76" s="54">
        <f>Material_compnt_GREET2!G$19*'Alloy_compnt_G&amp;L'!$M$2*Al_alloy_use_compnt!$C9</f>
        <v>0</v>
      </c>
    </row>
    <row r="77" spans="1:7" x14ac:dyDescent="0.2">
      <c r="A77" s="145" t="s">
        <v>251</v>
      </c>
      <c r="B77" s="54">
        <f>Material_compnt_GREET2!B$19*'Alloy_compnt_G&amp;L'!$M$2*Al_alloy_use_compnt!$C10</f>
        <v>0</v>
      </c>
      <c r="C77" s="54">
        <f>Material_compnt_GREET2!C$19*'Alloy_compnt_G&amp;L'!$M$2*Al_alloy_use_compnt!$C10</f>
        <v>0</v>
      </c>
      <c r="D77" s="54">
        <f>Material_compnt_GREET2!D$19*'Alloy_compnt_G&amp;L'!$M$2*Al_alloy_use_compnt!$C10</f>
        <v>0</v>
      </c>
      <c r="E77" s="54">
        <f>Material_compnt_GREET2!E$19*'Alloy_compnt_G&amp;L'!$M$2*Al_alloy_use_compnt!$C10</f>
        <v>0</v>
      </c>
      <c r="F77" s="54">
        <f>Material_compnt_GREET2!F$19*'Alloy_compnt_G&amp;L'!$M$2*Al_alloy_use_compnt!$C10</f>
        <v>0</v>
      </c>
      <c r="G77" s="54">
        <f>Material_compnt_GREET2!G$19*'Alloy_compnt_G&amp;L'!$M$2*Al_alloy_use_compnt!$C10</f>
        <v>0</v>
      </c>
    </row>
    <row r="78" spans="1:7" x14ac:dyDescent="0.2">
      <c r="A78" s="145" t="s">
        <v>252</v>
      </c>
      <c r="B78" s="54">
        <f>Material_compnt_GREET2!B$19*'Alloy_compnt_G&amp;L'!$M$2*Al_alloy_use_compnt!$C11</f>
        <v>0</v>
      </c>
      <c r="C78" s="54">
        <f>Material_compnt_GREET2!C$19*'Alloy_compnt_G&amp;L'!$M$2*Al_alloy_use_compnt!$C11</f>
        <v>0</v>
      </c>
      <c r="D78" s="54">
        <f>Material_compnt_GREET2!D$19*'Alloy_compnt_G&amp;L'!$M$2*Al_alloy_use_compnt!$C11</f>
        <v>0</v>
      </c>
      <c r="E78" s="54">
        <f>Material_compnt_GREET2!E$19*'Alloy_compnt_G&amp;L'!$M$2*Al_alloy_use_compnt!$C11</f>
        <v>0</v>
      </c>
      <c r="F78" s="54">
        <f>Material_compnt_GREET2!F$19*'Alloy_compnt_G&amp;L'!$M$2*Al_alloy_use_compnt!$C11</f>
        <v>0</v>
      </c>
      <c r="G78" s="54">
        <f>Material_compnt_GREET2!G$19*'Alloy_compnt_G&amp;L'!$M$2*Al_alloy_use_compnt!$C11</f>
        <v>0</v>
      </c>
    </row>
    <row r="79" spans="1:7" x14ac:dyDescent="0.2">
      <c r="A79" s="145" t="s">
        <v>253</v>
      </c>
      <c r="B79" s="54">
        <f>Material_compnt_GREET2!B$19*'Alloy_compnt_G&amp;L'!$M$2*Al_alloy_use_compnt!$C12</f>
        <v>0</v>
      </c>
      <c r="C79" s="54">
        <f>Material_compnt_GREET2!C$19*'Alloy_compnt_G&amp;L'!$M$2*Al_alloy_use_compnt!$C12</f>
        <v>0</v>
      </c>
      <c r="D79" s="54">
        <f>Material_compnt_GREET2!D$19*'Alloy_compnt_G&amp;L'!$M$2*Al_alloy_use_compnt!$C12</f>
        <v>0</v>
      </c>
      <c r="E79" s="54">
        <f>Material_compnt_GREET2!E$19*'Alloy_compnt_G&amp;L'!$M$2*Al_alloy_use_compnt!$C12</f>
        <v>0</v>
      </c>
      <c r="F79" s="54">
        <f>Material_compnt_GREET2!F$19*'Alloy_compnt_G&amp;L'!$M$2*Al_alloy_use_compnt!$C12</f>
        <v>0</v>
      </c>
      <c r="G79" s="54">
        <f>Material_compnt_GREET2!G$19*'Alloy_compnt_G&amp;L'!$M$2*Al_alloy_use_compnt!$C12</f>
        <v>0</v>
      </c>
    </row>
    <row r="80" spans="1:7" x14ac:dyDescent="0.2">
      <c r="A80" s="145" t="s">
        <v>254</v>
      </c>
      <c r="B80" s="54">
        <f>Material_compnt_GREET2!B$19*'Alloy_compnt_G&amp;L'!$M$2*Al_alloy_use_compnt!$C13</f>
        <v>0</v>
      </c>
      <c r="C80" s="54">
        <f>Material_compnt_GREET2!C$19*'Alloy_compnt_G&amp;L'!$M$2*Al_alloy_use_compnt!$C13</f>
        <v>0</v>
      </c>
      <c r="D80" s="54">
        <f>Material_compnt_GREET2!D$19*'Alloy_compnt_G&amp;L'!$M$2*Al_alloy_use_compnt!$C13</f>
        <v>0</v>
      </c>
      <c r="E80" s="54">
        <f>Material_compnt_GREET2!E$19*'Alloy_compnt_G&amp;L'!$M$2*Al_alloy_use_compnt!$C13</f>
        <v>0</v>
      </c>
      <c r="F80" s="54">
        <f>Material_compnt_GREET2!F$19*'Alloy_compnt_G&amp;L'!$M$2*Al_alloy_use_compnt!$C13</f>
        <v>0</v>
      </c>
      <c r="G80" s="54">
        <f>Material_compnt_GREET2!G$19*'Alloy_compnt_G&amp;L'!$M$2*Al_alloy_use_compnt!$C13</f>
        <v>0</v>
      </c>
    </row>
    <row r="81" spans="1:7" x14ac:dyDescent="0.2">
      <c r="A81" s="146" t="s">
        <v>255</v>
      </c>
      <c r="B81" s="54">
        <f>Material_compnt_GREET2!B$19*'Alloy_compnt_G&amp;L'!$M$2*Al_alloy_use_compnt!$C14</f>
        <v>0</v>
      </c>
      <c r="C81" s="54">
        <f>Material_compnt_GREET2!C$19*'Alloy_compnt_G&amp;L'!$M$2*Al_alloy_use_compnt!$C14</f>
        <v>0</v>
      </c>
      <c r="D81" s="54">
        <f>Material_compnt_GREET2!D$19*'Alloy_compnt_G&amp;L'!$M$2*Al_alloy_use_compnt!$C14</f>
        <v>0</v>
      </c>
      <c r="E81" s="54">
        <f>Material_compnt_GREET2!E$19*'Alloy_compnt_G&amp;L'!$M$2*Al_alloy_use_compnt!$C14</f>
        <v>0</v>
      </c>
      <c r="F81" s="54">
        <f>Material_compnt_GREET2!F$19*'Alloy_compnt_G&amp;L'!$M$2*Al_alloy_use_compnt!$C14</f>
        <v>0</v>
      </c>
      <c r="G81" s="54">
        <f>Material_compnt_GREET2!G$19*'Alloy_compnt_G&amp;L'!$M$2*Al_alloy_use_compnt!$C14</f>
        <v>0</v>
      </c>
    </row>
    <row r="82" spans="1:7" x14ac:dyDescent="0.2">
      <c r="A82" s="145" t="s">
        <v>256</v>
      </c>
      <c r="B82" s="54">
        <f>Material_compnt_GREET2!B$19*'Alloy_compnt_G&amp;L'!$M$2*Al_alloy_use_compnt!$C15</f>
        <v>0</v>
      </c>
      <c r="C82" s="54">
        <f>Material_compnt_GREET2!C$19*'Alloy_compnt_G&amp;L'!$M$2*Al_alloy_use_compnt!$C15</f>
        <v>0</v>
      </c>
      <c r="D82" s="54">
        <f>Material_compnt_GREET2!D$19*'Alloy_compnt_G&amp;L'!$M$2*Al_alloy_use_compnt!$C15</f>
        <v>0</v>
      </c>
      <c r="E82" s="54">
        <f>Material_compnt_GREET2!E$19*'Alloy_compnt_G&amp;L'!$M$2*Al_alloy_use_compnt!$C15</f>
        <v>0</v>
      </c>
      <c r="F82" s="54">
        <f>Material_compnt_GREET2!F$19*'Alloy_compnt_G&amp;L'!$M$2*Al_alloy_use_compnt!$C15</f>
        <v>0</v>
      </c>
      <c r="G82" s="54">
        <f>Material_compnt_GREET2!G$19*'Alloy_compnt_G&amp;L'!$M$2*Al_alloy_use_compnt!$C15</f>
        <v>0</v>
      </c>
    </row>
    <row r="83" spans="1:7" x14ac:dyDescent="0.2">
      <c r="A83" s="145" t="s">
        <v>257</v>
      </c>
      <c r="B83" s="54">
        <f>Material_compnt_GREET2!B$19*'Alloy_compnt_G&amp;L'!$M$2*Al_alloy_use_compnt!$C16</f>
        <v>0</v>
      </c>
      <c r="C83" s="54">
        <f>Material_compnt_GREET2!C$19*'Alloy_compnt_G&amp;L'!$M$2*Al_alloy_use_compnt!$C16</f>
        <v>0</v>
      </c>
      <c r="D83" s="54">
        <f>Material_compnt_GREET2!D$19*'Alloy_compnt_G&amp;L'!$M$2*Al_alloy_use_compnt!$C16</f>
        <v>0</v>
      </c>
      <c r="E83" s="54">
        <f>Material_compnt_GREET2!E$19*'Alloy_compnt_G&amp;L'!$M$2*Al_alloy_use_compnt!$C16</f>
        <v>0</v>
      </c>
      <c r="F83" s="54">
        <f>Material_compnt_GREET2!F$19*'Alloy_compnt_G&amp;L'!$M$2*Al_alloy_use_compnt!$C16</f>
        <v>0</v>
      </c>
      <c r="G83" s="54">
        <f>Material_compnt_GREET2!G$19*'Alloy_compnt_G&amp;L'!$M$2*Al_alloy_use_compnt!$C16</f>
        <v>0</v>
      </c>
    </row>
    <row r="84" spans="1:7" x14ac:dyDescent="0.2">
      <c r="A84" s="145" t="s">
        <v>258</v>
      </c>
      <c r="B84" s="54">
        <f>Material_compnt_GREET2!B$19*'Alloy_compnt_G&amp;L'!$M$2*Al_alloy_use_compnt!$C17</f>
        <v>0</v>
      </c>
      <c r="C84" s="54">
        <f>Material_compnt_GREET2!C$19*'Alloy_compnt_G&amp;L'!$M$2*Al_alloy_use_compnt!$C17</f>
        <v>0</v>
      </c>
      <c r="D84" s="54">
        <f>Material_compnt_GREET2!D$19*'Alloy_compnt_G&amp;L'!$M$2*Al_alloy_use_compnt!$C17</f>
        <v>0</v>
      </c>
      <c r="E84" s="54">
        <f>Material_compnt_GREET2!E$19*'Alloy_compnt_G&amp;L'!$M$2*Al_alloy_use_compnt!$C17</f>
        <v>0</v>
      </c>
      <c r="F84" s="54">
        <f>Material_compnt_GREET2!F$19*'Alloy_compnt_G&amp;L'!$M$2*Al_alloy_use_compnt!$C17</f>
        <v>0</v>
      </c>
      <c r="G84" s="54">
        <f>Material_compnt_GREET2!G$19*'Alloy_compnt_G&amp;L'!$M$2*Al_alloy_use_compnt!$C17</f>
        <v>0</v>
      </c>
    </row>
    <row r="85" spans="1:7" x14ac:dyDescent="0.2">
      <c r="A85" s="142" t="s">
        <v>259</v>
      </c>
      <c r="B85" s="54">
        <f>Material_compnt_GREET2!B$19*'Alloy_compnt_G&amp;L'!$M$2*Al_alloy_use_compnt!$C18</f>
        <v>0</v>
      </c>
      <c r="C85" s="54">
        <f>Material_compnt_GREET2!C$19*'Alloy_compnt_G&amp;L'!$M$2*Al_alloy_use_compnt!$C18</f>
        <v>0</v>
      </c>
      <c r="D85" s="54">
        <f>Material_compnt_GREET2!D$19*'Alloy_compnt_G&amp;L'!$M$2*Al_alloy_use_compnt!$C18</f>
        <v>0</v>
      </c>
      <c r="E85" s="54">
        <f>Material_compnt_GREET2!E$19*'Alloy_compnt_G&amp;L'!$M$2*Al_alloy_use_compnt!$C18</f>
        <v>0</v>
      </c>
      <c r="F85" s="54">
        <f>Material_compnt_GREET2!F$19*'Alloy_compnt_G&amp;L'!$M$2*Al_alloy_use_compnt!$C18</f>
        <v>0</v>
      </c>
      <c r="G85" s="54">
        <f>Material_compnt_GREET2!G$19*'Alloy_compnt_G&amp;L'!$M$2*Al_alloy_use_compnt!$C18</f>
        <v>0</v>
      </c>
    </row>
    <row r="86" spans="1:7" x14ac:dyDescent="0.2">
      <c r="A86" s="147" t="s">
        <v>260</v>
      </c>
      <c r="B86" s="54">
        <f>Material_compnt_GREET2!B$19*'Alloy_compnt_G&amp;L'!$M$2*Al_alloy_use_compnt!$C19</f>
        <v>0</v>
      </c>
      <c r="C86" s="54">
        <f>Material_compnt_GREET2!C$19*'Alloy_compnt_G&amp;L'!$M$2*Al_alloy_use_compnt!$C19</f>
        <v>0</v>
      </c>
      <c r="D86" s="54">
        <f>Material_compnt_GREET2!D$19*'Alloy_compnt_G&amp;L'!$M$2*Al_alloy_use_compnt!$C19</f>
        <v>0</v>
      </c>
      <c r="E86" s="54">
        <f>Material_compnt_GREET2!E$19*'Alloy_compnt_G&amp;L'!$M$2*Al_alloy_use_compnt!$C19</f>
        <v>0</v>
      </c>
      <c r="F86" s="54">
        <f>Material_compnt_GREET2!F$19*'Alloy_compnt_G&amp;L'!$M$2*Al_alloy_use_compnt!$C19</f>
        <v>0</v>
      </c>
      <c r="G86" s="54">
        <f>Material_compnt_GREET2!G$19*'Alloy_compnt_G&amp;L'!$M$2*Al_alloy_use_compnt!$C19</f>
        <v>0</v>
      </c>
    </row>
    <row r="87" spans="1:7" x14ac:dyDescent="0.2">
      <c r="A87" s="142" t="s">
        <v>261</v>
      </c>
      <c r="B87" s="54">
        <f>Material_compnt_GREET2!B$19*'Alloy_compnt_G&amp;L'!$N$2*Al_alloy_use_compnt!$C3</f>
        <v>0</v>
      </c>
      <c r="C87" s="54">
        <f>Material_compnt_GREET2!C$19*'Alloy_compnt_G&amp;L'!$N$2*Al_alloy_use_compnt!$C3</f>
        <v>0</v>
      </c>
      <c r="D87" s="54">
        <f>Material_compnt_GREET2!D$19*'Alloy_compnt_G&amp;L'!$N$2*Al_alloy_use_compnt!$C3</f>
        <v>0</v>
      </c>
      <c r="E87" s="54">
        <f>Material_compnt_GREET2!E$19*'Alloy_compnt_G&amp;L'!$N$2*Al_alloy_use_compnt!$C3</f>
        <v>0</v>
      </c>
      <c r="F87" s="54">
        <f>Material_compnt_GREET2!F$19*'Alloy_compnt_G&amp;L'!$N$2*Al_alloy_use_compnt!$C3</f>
        <v>0</v>
      </c>
      <c r="G87" s="54">
        <f>Material_compnt_GREET2!G$19*'Alloy_compnt_G&amp;L'!$N$2*Al_alloy_use_compnt!$C3</f>
        <v>0</v>
      </c>
    </row>
    <row r="88" spans="1:7" x14ac:dyDescent="0.2">
      <c r="A88" s="142" t="s">
        <v>262</v>
      </c>
      <c r="B88" s="54">
        <f>Material_compnt_GREET2!B$19*'Alloy_compnt_G&amp;L'!$N$2*Al_alloy_use_compnt!$C4</f>
        <v>0</v>
      </c>
      <c r="C88" s="54">
        <f>Material_compnt_GREET2!C$19*'Alloy_compnt_G&amp;L'!$N$2*Al_alloy_use_compnt!$C4</f>
        <v>0</v>
      </c>
      <c r="D88" s="54">
        <f>Material_compnt_GREET2!D$19*'Alloy_compnt_G&amp;L'!$N$2*Al_alloy_use_compnt!$C4</f>
        <v>0</v>
      </c>
      <c r="E88" s="54">
        <f>Material_compnt_GREET2!E$19*'Alloy_compnt_G&amp;L'!$N$2*Al_alloy_use_compnt!$C4</f>
        <v>0</v>
      </c>
      <c r="F88" s="54">
        <f>Material_compnt_GREET2!F$19*'Alloy_compnt_G&amp;L'!$N$2*Al_alloy_use_compnt!$C4</f>
        <v>0</v>
      </c>
      <c r="G88" s="54">
        <f>Material_compnt_GREET2!G$19*'Alloy_compnt_G&amp;L'!$N$2*Al_alloy_use_compnt!$C4</f>
        <v>0</v>
      </c>
    </row>
    <row r="89" spans="1:7" x14ac:dyDescent="0.2">
      <c r="A89" s="142" t="s">
        <v>263</v>
      </c>
      <c r="B89" s="54">
        <f>Material_compnt_GREET2!B$19*'Alloy_compnt_G&amp;L'!$N$2*Al_alloy_use_compnt!$C5</f>
        <v>0</v>
      </c>
      <c r="C89" s="54">
        <f>Material_compnt_GREET2!C$19*'Alloy_compnt_G&amp;L'!$N$2*Al_alloy_use_compnt!$C5</f>
        <v>0</v>
      </c>
      <c r="D89" s="54">
        <f>Material_compnt_GREET2!D$19*'Alloy_compnt_G&amp;L'!$N$2*Al_alloy_use_compnt!$C5</f>
        <v>0</v>
      </c>
      <c r="E89" s="54">
        <f>Material_compnt_GREET2!E$19*'Alloy_compnt_G&amp;L'!$N$2*Al_alloy_use_compnt!$C5</f>
        <v>0</v>
      </c>
      <c r="F89" s="54">
        <f>Material_compnt_GREET2!F$19*'Alloy_compnt_G&amp;L'!$N$2*Al_alloy_use_compnt!$C5</f>
        <v>0</v>
      </c>
      <c r="G89" s="54">
        <f>Material_compnt_GREET2!G$19*'Alloy_compnt_G&amp;L'!$N$2*Al_alloy_use_compnt!$C5</f>
        <v>0</v>
      </c>
    </row>
    <row r="90" spans="1:7" x14ac:dyDescent="0.2">
      <c r="A90" s="142" t="s">
        <v>264</v>
      </c>
      <c r="B90" s="54">
        <f>Material_compnt_GREET2!B$19*'Alloy_compnt_G&amp;L'!$N$2*Al_alloy_use_compnt!$C6</f>
        <v>0</v>
      </c>
      <c r="C90" s="54">
        <f>Material_compnt_GREET2!C$19*'Alloy_compnt_G&amp;L'!$N$2*Al_alloy_use_compnt!$C6</f>
        <v>0</v>
      </c>
      <c r="D90" s="54">
        <f>Material_compnt_GREET2!D$19*'Alloy_compnt_G&amp;L'!$N$2*Al_alloy_use_compnt!$C6</f>
        <v>0</v>
      </c>
      <c r="E90" s="54">
        <f>Material_compnt_GREET2!E$19*'Alloy_compnt_G&amp;L'!$N$2*Al_alloy_use_compnt!$C6</f>
        <v>0</v>
      </c>
      <c r="F90" s="54">
        <f>Material_compnt_GREET2!F$19*'Alloy_compnt_G&amp;L'!$N$2*Al_alloy_use_compnt!$C6</f>
        <v>0</v>
      </c>
      <c r="G90" s="54">
        <f>Material_compnt_GREET2!G$19*'Alloy_compnt_G&amp;L'!$N$2*Al_alloy_use_compnt!$C6</f>
        <v>0</v>
      </c>
    </row>
    <row r="91" spans="1:7" x14ac:dyDescent="0.2">
      <c r="A91" s="142" t="s">
        <v>265</v>
      </c>
      <c r="B91" s="54">
        <f>Material_compnt_GREET2!B$19*'Alloy_compnt_G&amp;L'!$N$2*Al_alloy_use_compnt!$C7</f>
        <v>0</v>
      </c>
      <c r="C91" s="54">
        <f>Material_compnt_GREET2!C$19*'Alloy_compnt_G&amp;L'!$N$2*Al_alloy_use_compnt!$C7</f>
        <v>0</v>
      </c>
      <c r="D91" s="54">
        <f>Material_compnt_GREET2!D$19*'Alloy_compnt_G&amp;L'!$N$2*Al_alloy_use_compnt!$C7</f>
        <v>0</v>
      </c>
      <c r="E91" s="54">
        <f>Material_compnt_GREET2!E$19*'Alloy_compnt_G&amp;L'!$N$2*Al_alloy_use_compnt!$C7</f>
        <v>0</v>
      </c>
      <c r="F91" s="54">
        <f>Material_compnt_GREET2!F$19*'Alloy_compnt_G&amp;L'!$N$2*Al_alloy_use_compnt!$C7</f>
        <v>0</v>
      </c>
      <c r="G91" s="54">
        <f>Material_compnt_GREET2!G$19*'Alloy_compnt_G&amp;L'!$N$2*Al_alloy_use_compnt!$C7</f>
        <v>0</v>
      </c>
    </row>
    <row r="92" spans="1:7" x14ac:dyDescent="0.2">
      <c r="A92" s="142" t="s">
        <v>266</v>
      </c>
      <c r="B92" s="54">
        <f>Material_compnt_GREET2!B$19*'Alloy_compnt_G&amp;L'!$N$2*Al_alloy_use_compnt!$C8</f>
        <v>0</v>
      </c>
      <c r="C92" s="54">
        <f>Material_compnt_GREET2!C$19*'Alloy_compnt_G&amp;L'!$N$2*Al_alloy_use_compnt!$C8</f>
        <v>9.7785124361899289E-2</v>
      </c>
      <c r="D92" s="54">
        <f>Material_compnt_GREET2!D$19*'Alloy_compnt_G&amp;L'!$N$2*Al_alloy_use_compnt!$C8</f>
        <v>0</v>
      </c>
      <c r="E92" s="54">
        <f>Material_compnt_GREET2!E$19*'Alloy_compnt_G&amp;L'!$N$2*Al_alloy_use_compnt!$C8</f>
        <v>0.14640858174593632</v>
      </c>
      <c r="F92" s="54">
        <f>Material_compnt_GREET2!F$19*'Alloy_compnt_G&amp;L'!$N$2*Al_alloy_use_compnt!$C8</f>
        <v>0</v>
      </c>
      <c r="G92" s="54">
        <f>Material_compnt_GREET2!G$19*'Alloy_compnt_G&amp;L'!$N$2*Al_alloy_use_compnt!$C8</f>
        <v>0.34440559023998818</v>
      </c>
    </row>
    <row r="93" spans="1:7" x14ac:dyDescent="0.2">
      <c r="A93" s="142" t="s">
        <v>267</v>
      </c>
      <c r="B93" s="54">
        <f>Material_compnt_GREET2!B$19*'Alloy_compnt_G&amp;L'!$N$2*Al_alloy_use_compnt!$C9</f>
        <v>0</v>
      </c>
      <c r="C93" s="54">
        <f>Material_compnt_GREET2!C$19*'Alloy_compnt_G&amp;L'!$N$2*Al_alloy_use_compnt!$C9</f>
        <v>9.7785124361899289E-2</v>
      </c>
      <c r="D93" s="54">
        <f>Material_compnt_GREET2!D$19*'Alloy_compnt_G&amp;L'!$N$2*Al_alloy_use_compnt!$C9</f>
        <v>0</v>
      </c>
      <c r="E93" s="54">
        <f>Material_compnt_GREET2!E$19*'Alloy_compnt_G&amp;L'!$N$2*Al_alloy_use_compnt!$C9</f>
        <v>0.14640858174593632</v>
      </c>
      <c r="F93" s="54">
        <f>Material_compnt_GREET2!F$19*'Alloy_compnt_G&amp;L'!$N$2*Al_alloy_use_compnt!$C9</f>
        <v>0</v>
      </c>
      <c r="G93" s="54">
        <f>Material_compnt_GREET2!G$19*'Alloy_compnt_G&amp;L'!$N$2*Al_alloy_use_compnt!$C9</f>
        <v>0.34440559023998818</v>
      </c>
    </row>
    <row r="94" spans="1:7" x14ac:dyDescent="0.2">
      <c r="A94" s="142" t="s">
        <v>268</v>
      </c>
      <c r="B94" s="54">
        <f>Material_compnt_GREET2!B$19*'Alloy_compnt_G&amp;L'!$N$2*Al_alloy_use_compnt!$C10</f>
        <v>0</v>
      </c>
      <c r="C94" s="54">
        <f>Material_compnt_GREET2!C$19*'Alloy_compnt_G&amp;L'!$N$2*Al_alloy_use_compnt!$C10</f>
        <v>0</v>
      </c>
      <c r="D94" s="54">
        <f>Material_compnt_GREET2!D$19*'Alloy_compnt_G&amp;L'!$N$2*Al_alloy_use_compnt!$C10</f>
        <v>0</v>
      </c>
      <c r="E94" s="54">
        <f>Material_compnt_GREET2!E$19*'Alloy_compnt_G&amp;L'!$N$2*Al_alloy_use_compnt!$C10</f>
        <v>0</v>
      </c>
      <c r="F94" s="54">
        <f>Material_compnt_GREET2!F$19*'Alloy_compnt_G&amp;L'!$N$2*Al_alloy_use_compnt!$C10</f>
        <v>0</v>
      </c>
      <c r="G94" s="54">
        <f>Material_compnt_GREET2!G$19*'Alloy_compnt_G&amp;L'!$N$2*Al_alloy_use_compnt!$C10</f>
        <v>0</v>
      </c>
    </row>
    <row r="95" spans="1:7" x14ac:dyDescent="0.2">
      <c r="A95" s="142" t="s">
        <v>269</v>
      </c>
      <c r="B95" s="54">
        <f>Material_compnt_GREET2!B$19*'Alloy_compnt_G&amp;L'!$N$2*Al_alloy_use_compnt!$C11</f>
        <v>0</v>
      </c>
      <c r="C95" s="54">
        <f>Material_compnt_GREET2!C$19*'Alloy_compnt_G&amp;L'!$N$2*Al_alloy_use_compnt!$C11</f>
        <v>0</v>
      </c>
      <c r="D95" s="54">
        <f>Material_compnt_GREET2!D$19*'Alloy_compnt_G&amp;L'!$N$2*Al_alloy_use_compnt!$C11</f>
        <v>0</v>
      </c>
      <c r="E95" s="54">
        <f>Material_compnt_GREET2!E$19*'Alloy_compnt_G&amp;L'!$N$2*Al_alloy_use_compnt!$C11</f>
        <v>0</v>
      </c>
      <c r="F95" s="54">
        <f>Material_compnt_GREET2!F$19*'Alloy_compnt_G&amp;L'!$N$2*Al_alloy_use_compnt!$C11</f>
        <v>0</v>
      </c>
      <c r="G95" s="54">
        <f>Material_compnt_GREET2!G$19*'Alloy_compnt_G&amp;L'!$N$2*Al_alloy_use_compnt!$C11</f>
        <v>0</v>
      </c>
    </row>
    <row r="96" spans="1:7" x14ac:dyDescent="0.2">
      <c r="A96" s="142" t="s">
        <v>270</v>
      </c>
      <c r="B96" s="54">
        <f>Material_compnt_GREET2!B$19*'Alloy_compnt_G&amp;L'!$N$2*Al_alloy_use_compnt!$C12</f>
        <v>0</v>
      </c>
      <c r="C96" s="54">
        <f>Material_compnt_GREET2!C$19*'Alloy_compnt_G&amp;L'!$N$2*Al_alloy_use_compnt!$C12</f>
        <v>0</v>
      </c>
      <c r="D96" s="54">
        <f>Material_compnt_GREET2!D$19*'Alloy_compnt_G&amp;L'!$N$2*Al_alloy_use_compnt!$C12</f>
        <v>0</v>
      </c>
      <c r="E96" s="54">
        <f>Material_compnt_GREET2!E$19*'Alloy_compnt_G&amp;L'!$N$2*Al_alloy_use_compnt!$C12</f>
        <v>0</v>
      </c>
      <c r="F96" s="54">
        <f>Material_compnt_GREET2!F$19*'Alloy_compnt_G&amp;L'!$N$2*Al_alloy_use_compnt!$C12</f>
        <v>0</v>
      </c>
      <c r="G96" s="54">
        <f>Material_compnt_GREET2!G$19*'Alloy_compnt_G&amp;L'!$N$2*Al_alloy_use_compnt!$C12</f>
        <v>0</v>
      </c>
    </row>
    <row r="97" spans="1:7" x14ac:dyDescent="0.2">
      <c r="A97" s="142" t="s">
        <v>271</v>
      </c>
      <c r="B97" s="54">
        <f>Material_compnt_GREET2!B$19*'Alloy_compnt_G&amp;L'!$N$2*Al_alloy_use_compnt!$C13</f>
        <v>0</v>
      </c>
      <c r="C97" s="54">
        <f>Material_compnt_GREET2!C$19*'Alloy_compnt_G&amp;L'!$N$2*Al_alloy_use_compnt!$C13</f>
        <v>0</v>
      </c>
      <c r="D97" s="54">
        <f>Material_compnt_GREET2!D$19*'Alloy_compnt_G&amp;L'!$N$2*Al_alloy_use_compnt!$C13</f>
        <v>0</v>
      </c>
      <c r="E97" s="54">
        <f>Material_compnt_GREET2!E$19*'Alloy_compnt_G&amp;L'!$N$2*Al_alloy_use_compnt!$C13</f>
        <v>0</v>
      </c>
      <c r="F97" s="54">
        <f>Material_compnt_GREET2!F$19*'Alloy_compnt_G&amp;L'!$N$2*Al_alloy_use_compnt!$C13</f>
        <v>0</v>
      </c>
      <c r="G97" s="54">
        <f>Material_compnt_GREET2!G$19*'Alloy_compnt_G&amp;L'!$N$2*Al_alloy_use_compnt!$C13</f>
        <v>0</v>
      </c>
    </row>
    <row r="98" spans="1:7" x14ac:dyDescent="0.2">
      <c r="A98" s="142" t="s">
        <v>272</v>
      </c>
      <c r="B98" s="54">
        <f>Material_compnt_GREET2!B$19*'Alloy_compnt_G&amp;L'!$N$2*Al_alloy_use_compnt!$C14</f>
        <v>0</v>
      </c>
      <c r="C98" s="54">
        <f>Material_compnt_GREET2!C$19*'Alloy_compnt_G&amp;L'!$N$2*Al_alloy_use_compnt!$C14</f>
        <v>0</v>
      </c>
      <c r="D98" s="54">
        <f>Material_compnt_GREET2!D$19*'Alloy_compnt_G&amp;L'!$N$2*Al_alloy_use_compnt!$C14</f>
        <v>0</v>
      </c>
      <c r="E98" s="54">
        <f>Material_compnt_GREET2!E$19*'Alloy_compnt_G&amp;L'!$N$2*Al_alloy_use_compnt!$C14</f>
        <v>0</v>
      </c>
      <c r="F98" s="54">
        <f>Material_compnt_GREET2!F$19*'Alloy_compnt_G&amp;L'!$N$2*Al_alloy_use_compnt!$C14</f>
        <v>0</v>
      </c>
      <c r="G98" s="54">
        <f>Material_compnt_GREET2!G$19*'Alloy_compnt_G&amp;L'!$N$2*Al_alloy_use_compnt!$C14</f>
        <v>0</v>
      </c>
    </row>
    <row r="99" spans="1:7" x14ac:dyDescent="0.2">
      <c r="A99" s="142" t="s">
        <v>273</v>
      </c>
      <c r="B99" s="54">
        <f>Material_compnt_GREET2!B$19*'Alloy_compnt_G&amp;L'!$N$2*Al_alloy_use_compnt!$C15</f>
        <v>0</v>
      </c>
      <c r="C99" s="54">
        <f>Material_compnt_GREET2!C$19*'Alloy_compnt_G&amp;L'!$N$2*Al_alloy_use_compnt!$C15</f>
        <v>0</v>
      </c>
      <c r="D99" s="54">
        <f>Material_compnt_GREET2!D$19*'Alloy_compnt_G&amp;L'!$N$2*Al_alloy_use_compnt!$C15</f>
        <v>0</v>
      </c>
      <c r="E99" s="54">
        <f>Material_compnt_GREET2!E$19*'Alloy_compnt_G&amp;L'!$N$2*Al_alloy_use_compnt!$C15</f>
        <v>0</v>
      </c>
      <c r="F99" s="54">
        <f>Material_compnt_GREET2!F$19*'Alloy_compnt_G&amp;L'!$N$2*Al_alloy_use_compnt!$C15</f>
        <v>0</v>
      </c>
      <c r="G99" s="54">
        <f>Material_compnt_GREET2!G$19*'Alloy_compnt_G&amp;L'!$N$2*Al_alloy_use_compnt!$C15</f>
        <v>0</v>
      </c>
    </row>
    <row r="100" spans="1:7" x14ac:dyDescent="0.2">
      <c r="A100" s="142" t="s">
        <v>274</v>
      </c>
      <c r="B100" s="54">
        <f>Material_compnt_GREET2!B$19*'Alloy_compnt_G&amp;L'!$N$2*Al_alloy_use_compnt!$C16</f>
        <v>0</v>
      </c>
      <c r="C100" s="54">
        <f>Material_compnt_GREET2!C$19*'Alloy_compnt_G&amp;L'!$N$2*Al_alloy_use_compnt!$C16</f>
        <v>0.39114049744759716</v>
      </c>
      <c r="D100" s="54">
        <f>Material_compnt_GREET2!D$19*'Alloy_compnt_G&amp;L'!$N$2*Al_alloy_use_compnt!$C16</f>
        <v>0</v>
      </c>
      <c r="E100" s="54">
        <f>Material_compnt_GREET2!E$19*'Alloy_compnt_G&amp;L'!$N$2*Al_alloy_use_compnt!$C16</f>
        <v>0.58563432698374529</v>
      </c>
      <c r="F100" s="54">
        <f>Material_compnt_GREET2!F$19*'Alloy_compnt_G&amp;L'!$N$2*Al_alloy_use_compnt!$C16</f>
        <v>0</v>
      </c>
      <c r="G100" s="54">
        <f>Material_compnt_GREET2!G$19*'Alloy_compnt_G&amp;L'!$N$2*Al_alloy_use_compnt!$C16</f>
        <v>1.3776223609599527</v>
      </c>
    </row>
    <row r="101" spans="1:7" x14ac:dyDescent="0.2">
      <c r="A101" s="142" t="s">
        <v>275</v>
      </c>
      <c r="B101" s="54">
        <f>Material_compnt_GREET2!B$19*'Alloy_compnt_G&amp;L'!$N$2*Al_alloy_use_compnt!$C17</f>
        <v>0</v>
      </c>
      <c r="C101" s="54">
        <f>Material_compnt_GREET2!C$19*'Alloy_compnt_G&amp;L'!$N$2*Al_alloy_use_compnt!$C17</f>
        <v>0</v>
      </c>
      <c r="D101" s="54">
        <f>Material_compnt_GREET2!D$19*'Alloy_compnt_G&amp;L'!$N$2*Al_alloy_use_compnt!$C17</f>
        <v>0</v>
      </c>
      <c r="E101" s="54">
        <f>Material_compnt_GREET2!E$19*'Alloy_compnt_G&amp;L'!$N$2*Al_alloy_use_compnt!$C17</f>
        <v>0</v>
      </c>
      <c r="F101" s="54">
        <f>Material_compnt_GREET2!F$19*'Alloy_compnt_G&amp;L'!$N$2*Al_alloy_use_compnt!$C17</f>
        <v>0</v>
      </c>
      <c r="G101" s="54">
        <f>Material_compnt_GREET2!G$19*'Alloy_compnt_G&amp;L'!$N$2*Al_alloy_use_compnt!$C17</f>
        <v>0</v>
      </c>
    </row>
    <row r="102" spans="1:7" x14ac:dyDescent="0.2">
      <c r="A102" s="142" t="s">
        <v>276</v>
      </c>
      <c r="B102" s="54">
        <f>Material_compnt_GREET2!B$19*'Alloy_compnt_G&amp;L'!$N$2*Al_alloy_use_compnt!$C18</f>
        <v>0</v>
      </c>
      <c r="C102" s="54">
        <f>Material_compnt_GREET2!C$19*'Alloy_compnt_G&amp;L'!$N$2*Al_alloy_use_compnt!$C18</f>
        <v>0</v>
      </c>
      <c r="D102" s="54">
        <f>Material_compnt_GREET2!D$19*'Alloy_compnt_G&amp;L'!$N$2*Al_alloy_use_compnt!$C18</f>
        <v>0</v>
      </c>
      <c r="E102" s="54">
        <f>Material_compnt_GREET2!E$19*'Alloy_compnt_G&amp;L'!$N$2*Al_alloy_use_compnt!$C18</f>
        <v>0</v>
      </c>
      <c r="F102" s="54">
        <f>Material_compnt_GREET2!F$19*'Alloy_compnt_G&amp;L'!$N$2*Al_alloy_use_compnt!$C18</f>
        <v>0</v>
      </c>
      <c r="G102" s="54">
        <f>Material_compnt_GREET2!G$19*'Alloy_compnt_G&amp;L'!$N$2*Al_alloy_use_compnt!$C18</f>
        <v>0</v>
      </c>
    </row>
    <row r="103" spans="1:7" x14ac:dyDescent="0.2">
      <c r="A103" s="144" t="s">
        <v>277</v>
      </c>
      <c r="B103" s="54">
        <f>Material_compnt_GREET2!B$19*'Alloy_compnt_G&amp;L'!$N$2*Al_alloy_use_compnt!$C19</f>
        <v>0</v>
      </c>
      <c r="C103" s="54">
        <f>Material_compnt_GREET2!C$19*'Alloy_compnt_G&amp;L'!$N$2*Al_alloy_use_compnt!$C19</f>
        <v>0.19557024872379858</v>
      </c>
      <c r="D103" s="54">
        <f>Material_compnt_GREET2!D$19*'Alloy_compnt_G&amp;L'!$N$2*Al_alloy_use_compnt!$C19</f>
        <v>0</v>
      </c>
      <c r="E103" s="54">
        <f>Material_compnt_GREET2!E$19*'Alloy_compnt_G&amp;L'!$N$2*Al_alloy_use_compnt!$C19</f>
        <v>0.29281716349187265</v>
      </c>
      <c r="F103" s="54">
        <f>Material_compnt_GREET2!F$19*'Alloy_compnt_G&amp;L'!$N$2*Al_alloy_use_compnt!$C19</f>
        <v>0</v>
      </c>
      <c r="G103" s="54">
        <f>Material_compnt_GREET2!G$19*'Alloy_compnt_G&amp;L'!$N$2*Al_alloy_use_compnt!$C19</f>
        <v>0.68881118047997636</v>
      </c>
    </row>
    <row r="104" spans="1:7" x14ac:dyDescent="0.2">
      <c r="A104" s="148" t="s">
        <v>278</v>
      </c>
      <c r="B104" s="54">
        <f>Material_compnt_GREET2!B$19*'Alloy_compnt_G&amp;L'!$O$2*Al_alloy_use_compnt!$C20</f>
        <v>0</v>
      </c>
      <c r="C104" s="54">
        <f>Material_compnt_GREET2!C$19*'Alloy_compnt_G&amp;L'!$O$2*Al_alloy_use_compnt!$C20</f>
        <v>0</v>
      </c>
      <c r="D104" s="54">
        <f>Material_compnt_GREET2!D$19*'Alloy_compnt_G&amp;L'!$O$2*Al_alloy_use_compnt!$C20</f>
        <v>0</v>
      </c>
      <c r="E104" s="54">
        <f>Material_compnt_GREET2!E$19*'Alloy_compnt_G&amp;L'!$O$2*Al_alloy_use_compnt!$C20</f>
        <v>0</v>
      </c>
      <c r="F104" s="54">
        <f>Material_compnt_GREET2!F$19*'Alloy_compnt_G&amp;L'!$O$2*Al_alloy_use_compnt!$C20</f>
        <v>0</v>
      </c>
      <c r="G104" s="54">
        <f>Material_compnt_GREET2!G$19*'Alloy_compnt_G&amp;L'!$O$2*Al_alloy_use_compnt!$C20</f>
        <v>0</v>
      </c>
    </row>
    <row r="105" spans="1:7" x14ac:dyDescent="0.2">
      <c r="A105" s="148" t="s">
        <v>279</v>
      </c>
      <c r="B105" s="54">
        <f>Material_compnt_GREET2!B$19*'Alloy_compnt_G&amp;L'!$O$2*Al_alloy_use_compnt!$C21</f>
        <v>0</v>
      </c>
      <c r="C105" s="54">
        <f>Material_compnt_GREET2!C$19*'Alloy_compnt_G&amp;L'!$O$2*Al_alloy_use_compnt!$C21</f>
        <v>0</v>
      </c>
      <c r="D105" s="54">
        <f>Material_compnt_GREET2!D$19*'Alloy_compnt_G&amp;L'!$O$2*Al_alloy_use_compnt!$C21</f>
        <v>0</v>
      </c>
      <c r="E105" s="54">
        <f>Material_compnt_GREET2!E$19*'Alloy_compnt_G&amp;L'!$O$2*Al_alloy_use_compnt!$C21</f>
        <v>0</v>
      </c>
      <c r="F105" s="54">
        <f>Material_compnt_GREET2!F$19*'Alloy_compnt_G&amp;L'!$O$2*Al_alloy_use_compnt!$C21</f>
        <v>0</v>
      </c>
      <c r="G105" s="54">
        <f>Material_compnt_GREET2!G$19*'Alloy_compnt_G&amp;L'!$O$2*Al_alloy_use_compnt!$C21</f>
        <v>0</v>
      </c>
    </row>
    <row r="106" spans="1:7" x14ac:dyDescent="0.2">
      <c r="A106" s="148" t="s">
        <v>280</v>
      </c>
      <c r="B106" s="54">
        <f>Material_compnt_GREET2!B$19*'Alloy_compnt_G&amp;L'!$O$2*Al_alloy_use_compnt!$C22</f>
        <v>0</v>
      </c>
      <c r="C106" s="54">
        <f>Material_compnt_GREET2!C$19*'Alloy_compnt_G&amp;L'!$O$2*Al_alloy_use_compnt!$C22</f>
        <v>2.6176325598416117</v>
      </c>
      <c r="D106" s="54">
        <f>Material_compnt_GREET2!D$19*'Alloy_compnt_G&amp;L'!$O$2*Al_alloy_use_compnt!$C22</f>
        <v>0</v>
      </c>
      <c r="E106" s="54">
        <f>Material_compnt_GREET2!E$19*'Alloy_compnt_G&amp;L'!$O$2*Al_alloy_use_compnt!$C22</f>
        <v>3.9192451113527569</v>
      </c>
      <c r="F106" s="54">
        <f>Material_compnt_GREET2!F$19*'Alloy_compnt_G&amp;L'!$O$2*Al_alloy_use_compnt!$C22</f>
        <v>0</v>
      </c>
      <c r="G106" s="54">
        <f>Material_compnt_GREET2!G$19*'Alloy_compnt_G&amp;L'!$O$2*Al_alloy_use_compnt!$C22</f>
        <v>9.2194727233473763</v>
      </c>
    </row>
    <row r="107" spans="1:7" x14ac:dyDescent="0.2">
      <c r="A107" s="148" t="s">
        <v>281</v>
      </c>
      <c r="B107" s="54">
        <f>Material_compnt_GREET2!B$19*'Alloy_compnt_G&amp;L'!$O$2*Al_alloy_use_compnt!$C23</f>
        <v>0</v>
      </c>
      <c r="C107" s="54">
        <f>Material_compnt_GREET2!C$19*'Alloy_compnt_G&amp;L'!$O$2*Al_alloy_use_compnt!$C23</f>
        <v>2.6176325598416117</v>
      </c>
      <c r="D107" s="54">
        <f>Material_compnt_GREET2!D$19*'Alloy_compnt_G&amp;L'!$O$2*Al_alloy_use_compnt!$C23</f>
        <v>0</v>
      </c>
      <c r="E107" s="54">
        <f>Material_compnt_GREET2!E$19*'Alloy_compnt_G&amp;L'!$O$2*Al_alloy_use_compnt!$C23</f>
        <v>3.9192451113527569</v>
      </c>
      <c r="F107" s="54">
        <f>Material_compnt_GREET2!F$19*'Alloy_compnt_G&amp;L'!$O$2*Al_alloy_use_compnt!$C23</f>
        <v>0</v>
      </c>
      <c r="G107" s="54">
        <f>Material_compnt_GREET2!G$19*'Alloy_compnt_G&amp;L'!$O$2*Al_alloy_use_compnt!$C23</f>
        <v>9.2194727233473763</v>
      </c>
    </row>
    <row r="108" spans="1:7" x14ac:dyDescent="0.2">
      <c r="A108" s="148" t="s">
        <v>282</v>
      </c>
      <c r="B108" s="54">
        <f>Material_compnt_GREET2!B$19*'Alloy_compnt_G&amp;L'!$O$2*Al_alloy_use_compnt!$C24</f>
        <v>0</v>
      </c>
      <c r="C108" s="54">
        <f>Material_compnt_GREET2!C$19*'Alloy_compnt_G&amp;L'!$O$2*Al_alloy_use_compnt!$C24</f>
        <v>0</v>
      </c>
      <c r="D108" s="54">
        <f>Material_compnt_GREET2!D$19*'Alloy_compnt_G&amp;L'!$O$2*Al_alloy_use_compnt!$C24</f>
        <v>0</v>
      </c>
      <c r="E108" s="54">
        <f>Material_compnt_GREET2!E$19*'Alloy_compnt_G&amp;L'!$O$2*Al_alloy_use_compnt!$C24</f>
        <v>0</v>
      </c>
      <c r="F108" s="54">
        <f>Material_compnt_GREET2!F$19*'Alloy_compnt_G&amp;L'!$O$2*Al_alloy_use_compnt!$C24</f>
        <v>0</v>
      </c>
      <c r="G108" s="54">
        <f>Material_compnt_GREET2!G$19*'Alloy_compnt_G&amp;L'!$O$2*Al_alloy_use_compnt!$C24</f>
        <v>0</v>
      </c>
    </row>
    <row r="109" spans="1:7" x14ac:dyDescent="0.2">
      <c r="A109" s="148" t="s">
        <v>283</v>
      </c>
      <c r="B109" s="54">
        <f>Material_compnt_GREET2!B$19*'Alloy_compnt_G&amp;L'!$O$2*Al_alloy_use_compnt!$C25</f>
        <v>0</v>
      </c>
      <c r="C109" s="54">
        <f>Material_compnt_GREET2!C$19*'Alloy_compnt_G&amp;L'!$O$2*Al_alloy_use_compnt!$C25</f>
        <v>0</v>
      </c>
      <c r="D109" s="54">
        <f>Material_compnt_GREET2!D$19*'Alloy_compnt_G&amp;L'!$O$2*Al_alloy_use_compnt!$C25</f>
        <v>0</v>
      </c>
      <c r="E109" s="54">
        <f>Material_compnt_GREET2!E$19*'Alloy_compnt_G&amp;L'!$O$2*Al_alloy_use_compnt!$C25</f>
        <v>0</v>
      </c>
      <c r="F109" s="54">
        <f>Material_compnt_GREET2!F$19*'Alloy_compnt_G&amp;L'!$O$2*Al_alloy_use_compnt!$C25</f>
        <v>0</v>
      </c>
      <c r="G109" s="54">
        <f>Material_compnt_GREET2!G$19*'Alloy_compnt_G&amp;L'!$O$2*Al_alloy_use_compnt!$C25</f>
        <v>0</v>
      </c>
    </row>
    <row r="110" spans="1:7" x14ac:dyDescent="0.2">
      <c r="A110" s="148" t="s">
        <v>284</v>
      </c>
      <c r="B110" s="54">
        <f>Material_compnt_GREET2!B$19*'Alloy_compnt_G&amp;L'!$O$2*Al_alloy_use_compnt!$C26</f>
        <v>0</v>
      </c>
      <c r="C110" s="54">
        <f>Material_compnt_GREET2!C$19*'Alloy_compnt_G&amp;L'!$O$2*Al_alloy_use_compnt!$C26</f>
        <v>0</v>
      </c>
      <c r="D110" s="54">
        <f>Material_compnt_GREET2!D$19*'Alloy_compnt_G&amp;L'!$O$2*Al_alloy_use_compnt!$C26</f>
        <v>0</v>
      </c>
      <c r="E110" s="54">
        <f>Material_compnt_GREET2!E$19*'Alloy_compnt_G&amp;L'!$O$2*Al_alloy_use_compnt!$C26</f>
        <v>0</v>
      </c>
      <c r="F110" s="54">
        <f>Material_compnt_GREET2!F$19*'Alloy_compnt_G&amp;L'!$O$2*Al_alloy_use_compnt!$C26</f>
        <v>0</v>
      </c>
      <c r="G110" s="54">
        <f>Material_compnt_GREET2!G$19*'Alloy_compnt_G&amp;L'!$O$2*Al_alloy_use_compnt!$C26</f>
        <v>0</v>
      </c>
    </row>
    <row r="111" spans="1:7" x14ac:dyDescent="0.2">
      <c r="A111" s="148" t="s">
        <v>285</v>
      </c>
      <c r="B111" s="54">
        <f>Material_compnt_GREET2!B$19*'Alloy_compnt_G&amp;L'!$O$2*Al_alloy_use_compnt!$C27</f>
        <v>0</v>
      </c>
      <c r="C111" s="54">
        <f>Material_compnt_GREET2!C$19*'Alloy_compnt_G&amp;L'!$O$2*Al_alloy_use_compnt!$C27</f>
        <v>0</v>
      </c>
      <c r="D111" s="54">
        <f>Material_compnt_GREET2!D$19*'Alloy_compnt_G&amp;L'!$O$2*Al_alloy_use_compnt!$C27</f>
        <v>0</v>
      </c>
      <c r="E111" s="54">
        <f>Material_compnt_GREET2!E$19*'Alloy_compnt_G&amp;L'!$O$2*Al_alloy_use_compnt!$C27</f>
        <v>0</v>
      </c>
      <c r="F111" s="54">
        <f>Material_compnt_GREET2!F$19*'Alloy_compnt_G&amp;L'!$O$2*Al_alloy_use_compnt!$C27</f>
        <v>0</v>
      </c>
      <c r="G111" s="54">
        <f>Material_compnt_GREET2!G$19*'Alloy_compnt_G&amp;L'!$O$2*Al_alloy_use_compnt!$C27</f>
        <v>0</v>
      </c>
    </row>
    <row r="112" spans="1:7" x14ac:dyDescent="0.2">
      <c r="A112" s="147" t="s">
        <v>286</v>
      </c>
      <c r="B112" s="54">
        <f>Material_compnt_GREET2!B$19*'Alloy_compnt_G&amp;L'!$O$2*Al_alloy_use_compnt!$C28</f>
        <v>0</v>
      </c>
      <c r="C112" s="54">
        <f>Material_compnt_GREET2!C$19*'Alloy_compnt_G&amp;L'!$O$2*Al_alloy_use_compnt!$C28</f>
        <v>0</v>
      </c>
      <c r="D112" s="54">
        <f>Material_compnt_GREET2!D$19*'Alloy_compnt_G&amp;L'!$O$2*Al_alloy_use_compnt!$C28</f>
        <v>0</v>
      </c>
      <c r="E112" s="54">
        <f>Material_compnt_GREET2!E$19*'Alloy_compnt_G&amp;L'!$O$2*Al_alloy_use_compnt!$C28</f>
        <v>0</v>
      </c>
      <c r="F112" s="54">
        <f>Material_compnt_GREET2!F$19*'Alloy_compnt_G&amp;L'!$O$2*Al_alloy_use_compnt!$C28</f>
        <v>0</v>
      </c>
      <c r="G112" s="54">
        <f>Material_compnt_GREET2!G$19*'Alloy_compnt_G&amp;L'!$O$2*Al_alloy_use_compnt!$C28</f>
        <v>0</v>
      </c>
    </row>
    <row r="113" spans="1:7" x14ac:dyDescent="0.2">
      <c r="A113" s="142" t="s">
        <v>287</v>
      </c>
      <c r="B113" s="54">
        <f>Material_compnt_GREET2!B$20*Al_alloy_use_compnt!$C20</f>
        <v>0</v>
      </c>
      <c r="C113" s="54">
        <f>Material_compnt_GREET2!C$20*Al_alloy_use_compnt!$C20</f>
        <v>0</v>
      </c>
      <c r="D113" s="54">
        <f>Material_compnt_GREET2!D$20*Al_alloy_use_compnt!$C20</f>
        <v>0</v>
      </c>
      <c r="E113" s="54">
        <f>Material_compnt_GREET2!E$20*Al_alloy_use_compnt!$C20</f>
        <v>0</v>
      </c>
      <c r="F113" s="54">
        <f>Material_compnt_GREET2!F$20*Al_alloy_use_compnt!$C20</f>
        <v>0</v>
      </c>
      <c r="G113" s="54">
        <f>Material_compnt_GREET2!G$20*Al_alloy_use_compnt!$C20</f>
        <v>0</v>
      </c>
    </row>
    <row r="114" spans="1:7" x14ac:dyDescent="0.2">
      <c r="A114" s="142" t="s">
        <v>288</v>
      </c>
      <c r="B114" s="54">
        <f>Material_compnt_GREET2!B$20*Al_alloy_use_compnt!$C21</f>
        <v>0</v>
      </c>
      <c r="C114" s="54">
        <f>Material_compnt_GREET2!C$20*Al_alloy_use_compnt!$C21</f>
        <v>0</v>
      </c>
      <c r="D114" s="54">
        <f>Material_compnt_GREET2!D$20*Al_alloy_use_compnt!$C21</f>
        <v>0</v>
      </c>
      <c r="E114" s="54">
        <f>Material_compnt_GREET2!E$20*Al_alloy_use_compnt!$C21</f>
        <v>0</v>
      </c>
      <c r="F114" s="54">
        <f>Material_compnt_GREET2!F$20*Al_alloy_use_compnt!$C21</f>
        <v>0</v>
      </c>
      <c r="G114" s="54">
        <f>Material_compnt_GREET2!G$20*Al_alloy_use_compnt!$C21</f>
        <v>0</v>
      </c>
    </row>
    <row r="115" spans="1:7" x14ac:dyDescent="0.2">
      <c r="A115" s="142" t="s">
        <v>289</v>
      </c>
      <c r="B115" s="54">
        <f>Material_compnt_GREET2!B$20*Al_alloy_use_compnt!$C22</f>
        <v>29.257155626339223</v>
      </c>
      <c r="C115" s="54">
        <f>Material_compnt_GREET2!C$20*Al_alloy_use_compnt!$C22</f>
        <v>29.753422455415503</v>
      </c>
      <c r="D115" s="54">
        <f>Material_compnt_GREET2!D$20*Al_alloy_use_compnt!$C22</f>
        <v>25.394171531052315</v>
      </c>
      <c r="E115" s="54">
        <f>Material_compnt_GREET2!E$20*Al_alloy_use_compnt!$C22</f>
        <v>24.860260604153282</v>
      </c>
      <c r="F115" s="54">
        <f>Material_compnt_GREET2!F$20*Al_alloy_use_compnt!$C22</f>
        <v>0</v>
      </c>
      <c r="G115" s="54">
        <f>Material_compnt_GREET2!G$20*Al_alloy_use_compnt!$C22</f>
        <v>0</v>
      </c>
    </row>
    <row r="116" spans="1:7" x14ac:dyDescent="0.2">
      <c r="A116" s="142" t="s">
        <v>290</v>
      </c>
      <c r="B116" s="54">
        <f>Material_compnt_GREET2!B$20*Al_alloy_use_compnt!$C23</f>
        <v>29.257155626339223</v>
      </c>
      <c r="C116" s="54">
        <f>Material_compnt_GREET2!C$20*Al_alloy_use_compnt!$C23</f>
        <v>29.753422455415503</v>
      </c>
      <c r="D116" s="54">
        <f>Material_compnt_GREET2!D$20*Al_alloy_use_compnt!$C23</f>
        <v>25.394171531052315</v>
      </c>
      <c r="E116" s="54">
        <f>Material_compnt_GREET2!E$20*Al_alloy_use_compnt!$C23</f>
        <v>24.860260604153282</v>
      </c>
      <c r="F116" s="54">
        <f>Material_compnt_GREET2!F$20*Al_alloy_use_compnt!$C23</f>
        <v>0</v>
      </c>
      <c r="G116" s="54">
        <f>Material_compnt_GREET2!G$20*Al_alloy_use_compnt!$C23</f>
        <v>0</v>
      </c>
    </row>
    <row r="117" spans="1:7" x14ac:dyDescent="0.2">
      <c r="A117" s="142" t="s">
        <v>291</v>
      </c>
      <c r="B117" s="54">
        <f>Material_compnt_GREET2!B$20*Al_alloy_use_compnt!$C24</f>
        <v>0</v>
      </c>
      <c r="C117" s="54">
        <f>Material_compnt_GREET2!C$20*Al_alloy_use_compnt!$C24</f>
        <v>0</v>
      </c>
      <c r="D117" s="54">
        <f>Material_compnt_GREET2!D$20*Al_alloy_use_compnt!$C24</f>
        <v>0</v>
      </c>
      <c r="E117" s="54">
        <f>Material_compnt_GREET2!E$20*Al_alloy_use_compnt!$C24</f>
        <v>0</v>
      </c>
      <c r="F117" s="54">
        <f>Material_compnt_GREET2!F$20*Al_alloy_use_compnt!$C24</f>
        <v>0</v>
      </c>
      <c r="G117" s="54">
        <f>Material_compnt_GREET2!G$20*Al_alloy_use_compnt!$C24</f>
        <v>0</v>
      </c>
    </row>
    <row r="118" spans="1:7" x14ac:dyDescent="0.2">
      <c r="A118" s="142" t="s">
        <v>292</v>
      </c>
      <c r="B118" s="54">
        <f>Material_compnt_GREET2!B$20*Al_alloy_use_compnt!$C25</f>
        <v>0</v>
      </c>
      <c r="C118" s="54">
        <f>Material_compnt_GREET2!C$20*Al_alloy_use_compnt!$C25</f>
        <v>0</v>
      </c>
      <c r="D118" s="54">
        <f>Material_compnt_GREET2!D$20*Al_alloy_use_compnt!$C25</f>
        <v>0</v>
      </c>
      <c r="E118" s="54">
        <f>Material_compnt_GREET2!E$20*Al_alloy_use_compnt!$C25</f>
        <v>0</v>
      </c>
      <c r="F118" s="54">
        <f>Material_compnt_GREET2!F$20*Al_alloy_use_compnt!$C25</f>
        <v>0</v>
      </c>
      <c r="G118" s="54">
        <f>Material_compnt_GREET2!G$20*Al_alloy_use_compnt!$C25</f>
        <v>0</v>
      </c>
    </row>
    <row r="119" spans="1:7" x14ac:dyDescent="0.2">
      <c r="A119" s="142" t="s">
        <v>293</v>
      </c>
      <c r="B119" s="54">
        <f>Material_compnt_GREET2!B$20*Al_alloy_use_compnt!$C26</f>
        <v>0</v>
      </c>
      <c r="C119" s="54">
        <f>Material_compnt_GREET2!C$20*Al_alloy_use_compnt!$C26</f>
        <v>0</v>
      </c>
      <c r="D119" s="54">
        <f>Material_compnt_GREET2!D$20*Al_alloy_use_compnt!$C26</f>
        <v>0</v>
      </c>
      <c r="E119" s="54">
        <f>Material_compnt_GREET2!E$20*Al_alloy_use_compnt!$C26</f>
        <v>0</v>
      </c>
      <c r="F119" s="54">
        <f>Material_compnt_GREET2!F$20*Al_alloy_use_compnt!$C26</f>
        <v>0</v>
      </c>
      <c r="G119" s="54">
        <f>Material_compnt_GREET2!G$20*Al_alloy_use_compnt!$C26</f>
        <v>0</v>
      </c>
    </row>
    <row r="120" spans="1:7" x14ac:dyDescent="0.2">
      <c r="A120" s="142" t="s">
        <v>294</v>
      </c>
      <c r="B120" s="54">
        <f>Material_compnt_GREET2!B$20*Al_alloy_use_compnt!$C27</f>
        <v>0</v>
      </c>
      <c r="C120" s="54">
        <f>Material_compnt_GREET2!C$20*Al_alloy_use_compnt!$C27</f>
        <v>0</v>
      </c>
      <c r="D120" s="54">
        <f>Material_compnt_GREET2!D$20*Al_alloy_use_compnt!$C27</f>
        <v>0</v>
      </c>
      <c r="E120" s="54">
        <f>Material_compnt_GREET2!E$20*Al_alloy_use_compnt!$C27</f>
        <v>0</v>
      </c>
      <c r="F120" s="54">
        <f>Material_compnt_GREET2!F$20*Al_alloy_use_compnt!$C27</f>
        <v>0</v>
      </c>
      <c r="G120" s="54">
        <f>Material_compnt_GREET2!G$20*Al_alloy_use_compnt!$C27</f>
        <v>0</v>
      </c>
    </row>
    <row r="121" spans="1:7" x14ac:dyDescent="0.2">
      <c r="A121" s="144" t="s">
        <v>295</v>
      </c>
      <c r="B121" s="54">
        <f>Material_compnt_GREET2!B$20*Al_alloy_use_compnt!$C28</f>
        <v>0</v>
      </c>
      <c r="C121" s="54">
        <f>Material_compnt_GREET2!C$20*Al_alloy_use_compnt!$C28</f>
        <v>0</v>
      </c>
      <c r="D121" s="54">
        <f>Material_compnt_GREET2!D$20*Al_alloy_use_compnt!$C28</f>
        <v>0</v>
      </c>
      <c r="E121" s="54">
        <f>Material_compnt_GREET2!E$20*Al_alloy_use_compnt!$C28</f>
        <v>0</v>
      </c>
      <c r="F121" s="54">
        <f>Material_compnt_GREET2!F$20*Al_alloy_use_compnt!$C28</f>
        <v>0</v>
      </c>
      <c r="G121" s="54">
        <f>Material_compnt_GREET2!G$20*Al_alloy_use_compnt!$C28</f>
        <v>0</v>
      </c>
    </row>
    <row r="122" spans="1:7" x14ac:dyDescent="0.2">
      <c r="A122" s="142" t="s">
        <v>206</v>
      </c>
      <c r="B122" s="54">
        <v>0</v>
      </c>
      <c r="C122" s="54">
        <v>0</v>
      </c>
      <c r="D122" s="54">
        <v>0</v>
      </c>
      <c r="E122" s="54">
        <v>0</v>
      </c>
      <c r="F122" s="54">
        <v>0</v>
      </c>
      <c r="G122" s="54">
        <v>0</v>
      </c>
    </row>
    <row r="123" spans="1:7" ht="17" thickBot="1" x14ac:dyDescent="0.25">
      <c r="A123" s="149" t="s">
        <v>208</v>
      </c>
      <c r="B123" s="54">
        <v>0</v>
      </c>
      <c r="C123" s="54">
        <v>0</v>
      </c>
      <c r="D123" s="54">
        <v>0</v>
      </c>
      <c r="E123" s="54">
        <v>0</v>
      </c>
      <c r="F123" s="54">
        <v>0</v>
      </c>
      <c r="G123" s="54">
        <v>0</v>
      </c>
    </row>
    <row r="124" spans="1:7" ht="17" thickTop="1" x14ac:dyDescent="0.2">
      <c r="A124" s="139" t="s">
        <v>173</v>
      </c>
      <c r="B124" s="54"/>
      <c r="C124" s="54"/>
      <c r="D124" s="54"/>
      <c r="E124" s="54"/>
      <c r="F124" s="54"/>
      <c r="G124" s="54"/>
    </row>
    <row r="125" spans="1:7" x14ac:dyDescent="0.2">
      <c r="A125" s="142" t="s">
        <v>105</v>
      </c>
      <c r="B125" s="54">
        <f>Material_compnt_GREET2!B$37*'Alloy_compnt_G&amp;L'!$I$2</f>
        <v>4.6063998752909123</v>
      </c>
      <c r="C125" s="54">
        <f>Material_compnt_GREET2!C$37*'Alloy_compnt_G&amp;L'!$I$2</f>
        <v>4.5595862100108153</v>
      </c>
      <c r="D125" s="54">
        <f>Material_compnt_GREET2!D$37*'Alloy_compnt_G&amp;L'!$I$2</f>
        <v>9.3786128839845553</v>
      </c>
      <c r="E125" s="54">
        <f>Material_compnt_GREET2!E$37*'Alloy_compnt_G&amp;L'!$I$2</f>
        <v>9.3081771396099011</v>
      </c>
      <c r="F125" s="54">
        <f>Material_compnt_GREET2!F$37*'Alloy_compnt_G&amp;L'!$I$2</f>
        <v>9.3895764346271928</v>
      </c>
      <c r="G125" s="54">
        <f>Material_compnt_GREET2!G$37*'Alloy_compnt_G&amp;L'!$I$2</f>
        <v>9.3168457138879894</v>
      </c>
    </row>
    <row r="126" spans="1:7" x14ac:dyDescent="0.2">
      <c r="A126" s="142" t="s">
        <v>106</v>
      </c>
      <c r="B126" s="54">
        <f>Material_compnt_GREET2!B$37*'Alloy_compnt_G&amp;L'!$J$2</f>
        <v>4.1697742946946175</v>
      </c>
      <c r="C126" s="54">
        <f>Material_compnt_GREET2!C$37*'Alloy_compnt_G&amp;L'!$J$2</f>
        <v>4.1273979436590791</v>
      </c>
      <c r="D126" s="54">
        <f>Material_compnt_GREET2!D$37*'Alloy_compnt_G&amp;L'!$J$2</f>
        <v>8.4896448381092426</v>
      </c>
      <c r="E126" s="54">
        <f>Material_compnt_GREET2!E$37*'Alloy_compnt_G&amp;L'!$J$2</f>
        <v>8.4258854676089641</v>
      </c>
      <c r="F126" s="54">
        <f>Material_compnt_GREET2!F$37*'Alloy_compnt_G&amp;L'!$J$2</f>
        <v>8.4995691896388337</v>
      </c>
      <c r="G126" s="54">
        <f>Material_compnt_GREET2!G$37*'Alloy_compnt_G&amp;L'!$J$2</f>
        <v>8.4337323760787033</v>
      </c>
    </row>
    <row r="127" spans="1:7" x14ac:dyDescent="0.2">
      <c r="A127" s="142" t="s">
        <v>107</v>
      </c>
      <c r="B127" s="54">
        <f>Material_compnt_GREET2!B$37*'Alloy_compnt_G&amp;L'!$K$2</f>
        <v>13.055104859829223</v>
      </c>
      <c r="C127" s="54">
        <f>Material_compnt_GREET2!C$37*'Alloy_compnt_G&amp;L'!$K$2</f>
        <v>12.92242916391691</v>
      </c>
      <c r="D127" s="54">
        <f>Material_compnt_GREET2!D$37*'Alloy_compnt_G&amp;L'!$K$2</f>
        <v>26.580144571671873</v>
      </c>
      <c r="E127" s="54">
        <f>Material_compnt_GREET2!E$37*'Alloy_compnt_G&amp;L'!$K$2</f>
        <v>26.380520992828068</v>
      </c>
      <c r="F127" s="54">
        <f>Material_compnt_GREET2!F$37*'Alloy_compnt_G&amp;L'!$K$2</f>
        <v>26.611216625151954</v>
      </c>
      <c r="G127" s="54">
        <f>Material_compnt_GREET2!G$37*'Alloy_compnt_G&amp;L'!$K$2</f>
        <v>26.405088800497722</v>
      </c>
    </row>
    <row r="128" spans="1:7" x14ac:dyDescent="0.2">
      <c r="A128" s="142" t="s">
        <v>91</v>
      </c>
      <c r="B128" s="54">
        <v>0</v>
      </c>
      <c r="C128" s="54">
        <v>0</v>
      </c>
      <c r="D128" s="54">
        <v>0</v>
      </c>
      <c r="E128" s="54">
        <v>0</v>
      </c>
      <c r="F128" s="54">
        <v>0</v>
      </c>
      <c r="G128" s="54">
        <v>0</v>
      </c>
    </row>
    <row r="129" spans="1:7" x14ac:dyDescent="0.2">
      <c r="A129" s="142" t="s">
        <v>204</v>
      </c>
      <c r="B129" s="54">
        <f>Material_compnt_GREET2!B$39*'Alloy_compnt_G&amp;L'!$Q$2</f>
        <v>18.556587175342539</v>
      </c>
      <c r="C129" s="54">
        <f>Material_compnt_GREET2!C$39*'Alloy_compnt_G&amp;L'!$Q$2</f>
        <v>0</v>
      </c>
      <c r="D129" s="54">
        <f>Material_compnt_GREET2!D$39*'Alloy_compnt_G&amp;L'!$Q$2</f>
        <v>0</v>
      </c>
      <c r="E129" s="54">
        <f>Material_compnt_GREET2!E$39*'Alloy_compnt_G&amp;L'!$Q$2</f>
        <v>0</v>
      </c>
      <c r="F129" s="54">
        <f>Material_compnt_GREET2!F$39*'Alloy_compnt_G&amp;L'!$Q$2</f>
        <v>0</v>
      </c>
      <c r="G129" s="54">
        <f>Material_compnt_GREET2!G$39*'Alloy_compnt_G&amp;L'!$Q$2</f>
        <v>0</v>
      </c>
    </row>
    <row r="130" spans="1:7" x14ac:dyDescent="0.2">
      <c r="A130" s="144" t="s">
        <v>104</v>
      </c>
      <c r="B130" s="54">
        <f>Material_compnt_GREET2!B$39*'Alloy_compnt_G&amp;L'!$R$2</f>
        <v>3.2746918544722132</v>
      </c>
      <c r="C130" s="54">
        <f>Material_compnt_GREET2!C$39*'Alloy_compnt_G&amp;L'!$R$2</f>
        <v>0</v>
      </c>
      <c r="D130" s="54">
        <f>Material_compnt_GREET2!D$39*'Alloy_compnt_G&amp;L'!$R$2</f>
        <v>0</v>
      </c>
      <c r="E130" s="54">
        <f>Material_compnt_GREET2!E$39*'Alloy_compnt_G&amp;L'!$R$2</f>
        <v>0</v>
      </c>
      <c r="F130" s="54">
        <f>Material_compnt_GREET2!F$39*'Alloy_compnt_G&amp;L'!$R$2</f>
        <v>0</v>
      </c>
      <c r="G130" s="54">
        <f>Material_compnt_GREET2!G$39*'Alloy_compnt_G&amp;L'!$R$2</f>
        <v>0</v>
      </c>
    </row>
    <row r="131" spans="1:7" x14ac:dyDescent="0.2">
      <c r="A131" s="145" t="s">
        <v>244</v>
      </c>
      <c r="B131" s="54">
        <f>Material_compnt_GREET2!B$41*'Alloy_compnt_G&amp;L'!$M$2*Al_alloy_use_compnt!$D3</f>
        <v>0</v>
      </c>
      <c r="C131" s="54">
        <f>Material_compnt_GREET2!C$41*'Alloy_compnt_G&amp;L'!$M$2*Al_alloy_use_compnt!$D3</f>
        <v>0</v>
      </c>
      <c r="D131" s="54">
        <f>Material_compnt_GREET2!D$41*'Alloy_compnt_G&amp;L'!$M$2*Al_alloy_use_compnt!$D3</f>
        <v>0</v>
      </c>
      <c r="E131" s="54">
        <f>Material_compnt_GREET2!E$41*'Alloy_compnt_G&amp;L'!$M$2*Al_alloy_use_compnt!$D3</f>
        <v>0</v>
      </c>
      <c r="F131" s="54">
        <f>Material_compnt_GREET2!F$41*'Alloy_compnt_G&amp;L'!$M$2*Al_alloy_use_compnt!$D3</f>
        <v>0</v>
      </c>
      <c r="G131" s="54">
        <f>Material_compnt_GREET2!G$41*'Alloy_compnt_G&amp;L'!$M$2*Al_alloy_use_compnt!$D3</f>
        <v>0</v>
      </c>
    </row>
    <row r="132" spans="1:7" x14ac:dyDescent="0.2">
      <c r="A132" s="145" t="s">
        <v>245</v>
      </c>
      <c r="B132" s="54">
        <f>Material_compnt_GREET2!B$41*'Alloy_compnt_G&amp;L'!$M$2*Al_alloy_use_compnt!$D4</f>
        <v>0</v>
      </c>
      <c r="C132" s="54">
        <f>Material_compnt_GREET2!C$41*'Alloy_compnt_G&amp;L'!$M$2*Al_alloy_use_compnt!$D4</f>
        <v>0</v>
      </c>
      <c r="D132" s="54">
        <f>Material_compnt_GREET2!D$41*'Alloy_compnt_G&amp;L'!$M$2*Al_alloy_use_compnt!$D4</f>
        <v>0</v>
      </c>
      <c r="E132" s="54">
        <f>Material_compnt_GREET2!E$41*'Alloy_compnt_G&amp;L'!$M$2*Al_alloy_use_compnt!$D4</f>
        <v>0</v>
      </c>
      <c r="F132" s="54">
        <f>Material_compnt_GREET2!F$41*'Alloy_compnt_G&amp;L'!$M$2*Al_alloy_use_compnt!$D4</f>
        <v>0</v>
      </c>
      <c r="G132" s="54">
        <f>Material_compnt_GREET2!G$41*'Alloy_compnt_G&amp;L'!$M$2*Al_alloy_use_compnt!$D4</f>
        <v>0</v>
      </c>
    </row>
    <row r="133" spans="1:7" x14ac:dyDescent="0.2">
      <c r="A133" s="145" t="s">
        <v>246</v>
      </c>
      <c r="B133" s="54">
        <f>Material_compnt_GREET2!B$41*'Alloy_compnt_G&amp;L'!$M$2*Al_alloy_use_compnt!$D5</f>
        <v>0</v>
      </c>
      <c r="C133" s="54">
        <f>Material_compnt_GREET2!C$41*'Alloy_compnt_G&amp;L'!$M$2*Al_alloy_use_compnt!$D5</f>
        <v>0</v>
      </c>
      <c r="D133" s="54">
        <f>Material_compnt_GREET2!D$41*'Alloy_compnt_G&amp;L'!$M$2*Al_alloy_use_compnt!$D5</f>
        <v>0</v>
      </c>
      <c r="E133" s="54">
        <f>Material_compnt_GREET2!E$41*'Alloy_compnt_G&amp;L'!$M$2*Al_alloy_use_compnt!$D5</f>
        <v>0</v>
      </c>
      <c r="F133" s="54">
        <f>Material_compnt_GREET2!F$41*'Alloy_compnt_G&amp;L'!$M$2*Al_alloy_use_compnt!$D5</f>
        <v>0</v>
      </c>
      <c r="G133" s="54">
        <f>Material_compnt_GREET2!G$41*'Alloy_compnt_G&amp;L'!$M$2*Al_alloy_use_compnt!$D5</f>
        <v>0</v>
      </c>
    </row>
    <row r="134" spans="1:7" x14ac:dyDescent="0.2">
      <c r="A134" s="145" t="s">
        <v>247</v>
      </c>
      <c r="B134" s="54">
        <f>Material_compnt_GREET2!B$41*'Alloy_compnt_G&amp;L'!$M$2*Al_alloy_use_compnt!$D6</f>
        <v>0</v>
      </c>
      <c r="C134" s="54">
        <f>Material_compnt_GREET2!C$41*'Alloy_compnt_G&amp;L'!$M$2*Al_alloy_use_compnt!$D6</f>
        <v>0</v>
      </c>
      <c r="D134" s="54">
        <f>Material_compnt_GREET2!D$41*'Alloy_compnt_G&amp;L'!$M$2*Al_alloy_use_compnt!$D6</f>
        <v>0</v>
      </c>
      <c r="E134" s="54">
        <f>Material_compnt_GREET2!E$41*'Alloy_compnt_G&amp;L'!$M$2*Al_alloy_use_compnt!$D6</f>
        <v>0</v>
      </c>
      <c r="F134" s="54">
        <f>Material_compnt_GREET2!F$41*'Alloy_compnt_G&amp;L'!$M$2*Al_alloy_use_compnt!$D6</f>
        <v>0</v>
      </c>
      <c r="G134" s="54">
        <f>Material_compnt_GREET2!G$41*'Alloy_compnt_G&amp;L'!$M$2*Al_alloy_use_compnt!$D6</f>
        <v>0</v>
      </c>
    </row>
    <row r="135" spans="1:7" x14ac:dyDescent="0.2">
      <c r="A135" s="145" t="s">
        <v>248</v>
      </c>
      <c r="B135" s="54">
        <f>Material_compnt_GREET2!B$41*'Alloy_compnt_G&amp;L'!$M$2*Al_alloy_use_compnt!$D7</f>
        <v>0</v>
      </c>
      <c r="C135" s="54">
        <f>Material_compnt_GREET2!C$41*'Alloy_compnt_G&amp;L'!$M$2*Al_alloy_use_compnt!$D7</f>
        <v>0</v>
      </c>
      <c r="D135" s="54">
        <f>Material_compnt_GREET2!D$41*'Alloy_compnt_G&amp;L'!$M$2*Al_alloy_use_compnt!$D7</f>
        <v>0</v>
      </c>
      <c r="E135" s="54">
        <f>Material_compnt_GREET2!E$41*'Alloy_compnt_G&amp;L'!$M$2*Al_alloy_use_compnt!$D7</f>
        <v>0</v>
      </c>
      <c r="F135" s="54">
        <f>Material_compnt_GREET2!F$41*'Alloy_compnt_G&amp;L'!$M$2*Al_alloy_use_compnt!$D7</f>
        <v>0</v>
      </c>
      <c r="G135" s="54">
        <f>Material_compnt_GREET2!G$41*'Alloy_compnt_G&amp;L'!$M$2*Al_alloy_use_compnt!$D7</f>
        <v>0</v>
      </c>
    </row>
    <row r="136" spans="1:7" x14ac:dyDescent="0.2">
      <c r="A136" s="145" t="s">
        <v>249</v>
      </c>
      <c r="B136" s="54">
        <f>Material_compnt_GREET2!B$41*'Alloy_compnt_G&amp;L'!$M$2*Al_alloy_use_compnt!$D8</f>
        <v>0</v>
      </c>
      <c r="C136" s="54">
        <f>Material_compnt_GREET2!C$41*'Alloy_compnt_G&amp;L'!$M$2*Al_alloy_use_compnt!$D8</f>
        <v>0</v>
      </c>
      <c r="D136" s="54">
        <f>Material_compnt_GREET2!D$41*'Alloy_compnt_G&amp;L'!$M$2*Al_alloy_use_compnt!$D8</f>
        <v>0</v>
      </c>
      <c r="E136" s="54">
        <f>Material_compnt_GREET2!E$41*'Alloy_compnt_G&amp;L'!$M$2*Al_alloy_use_compnt!$D8</f>
        <v>0</v>
      </c>
      <c r="F136" s="54">
        <f>Material_compnt_GREET2!F$41*'Alloy_compnt_G&amp;L'!$M$2*Al_alloy_use_compnt!$D8</f>
        <v>0</v>
      </c>
      <c r="G136" s="54">
        <f>Material_compnt_GREET2!G$41*'Alloy_compnt_G&amp;L'!$M$2*Al_alloy_use_compnt!$D8</f>
        <v>0</v>
      </c>
    </row>
    <row r="137" spans="1:7" x14ac:dyDescent="0.2">
      <c r="A137" s="145" t="s">
        <v>250</v>
      </c>
      <c r="B137" s="54">
        <f>Material_compnt_GREET2!B$41*'Alloy_compnt_G&amp;L'!$M$2*Al_alloy_use_compnt!$D9</f>
        <v>0</v>
      </c>
      <c r="C137" s="54">
        <f>Material_compnt_GREET2!C$41*'Alloy_compnt_G&amp;L'!$M$2*Al_alloy_use_compnt!$D9</f>
        <v>0</v>
      </c>
      <c r="D137" s="54">
        <f>Material_compnt_GREET2!D$41*'Alloy_compnt_G&amp;L'!$M$2*Al_alloy_use_compnt!$D9</f>
        <v>0</v>
      </c>
      <c r="E137" s="54">
        <f>Material_compnt_GREET2!E$41*'Alloy_compnt_G&amp;L'!$M$2*Al_alloy_use_compnt!$D9</f>
        <v>0</v>
      </c>
      <c r="F137" s="54">
        <f>Material_compnt_GREET2!F$41*'Alloy_compnt_G&amp;L'!$M$2*Al_alloy_use_compnt!$D9</f>
        <v>0</v>
      </c>
      <c r="G137" s="54">
        <f>Material_compnt_GREET2!G$41*'Alloy_compnt_G&amp;L'!$M$2*Al_alloy_use_compnt!$D9</f>
        <v>0</v>
      </c>
    </row>
    <row r="138" spans="1:7" x14ac:dyDescent="0.2">
      <c r="A138" s="145" t="s">
        <v>251</v>
      </c>
      <c r="B138" s="54">
        <f>Material_compnt_GREET2!B$41*'Alloy_compnt_G&amp;L'!$M$2*Al_alloy_use_compnt!$D10</f>
        <v>0</v>
      </c>
      <c r="C138" s="54">
        <f>Material_compnt_GREET2!C$41*'Alloy_compnt_G&amp;L'!$M$2*Al_alloy_use_compnt!$D10</f>
        <v>0</v>
      </c>
      <c r="D138" s="54">
        <f>Material_compnt_GREET2!D$41*'Alloy_compnt_G&amp;L'!$M$2*Al_alloy_use_compnt!$D10</f>
        <v>0</v>
      </c>
      <c r="E138" s="54">
        <f>Material_compnt_GREET2!E$41*'Alloy_compnt_G&amp;L'!$M$2*Al_alloy_use_compnt!$D10</f>
        <v>0</v>
      </c>
      <c r="F138" s="54">
        <f>Material_compnt_GREET2!F$41*'Alloy_compnt_G&amp;L'!$M$2*Al_alloy_use_compnt!$D10</f>
        <v>0</v>
      </c>
      <c r="G138" s="54">
        <f>Material_compnt_GREET2!G$41*'Alloy_compnt_G&amp;L'!$M$2*Al_alloy_use_compnt!$D10</f>
        <v>0</v>
      </c>
    </row>
    <row r="139" spans="1:7" x14ac:dyDescent="0.2">
      <c r="A139" s="145" t="s">
        <v>252</v>
      </c>
      <c r="B139" s="54">
        <f>Material_compnt_GREET2!B$41*'Alloy_compnt_G&amp;L'!$M$2*Al_alloy_use_compnt!$D11</f>
        <v>0</v>
      </c>
      <c r="C139" s="54">
        <f>Material_compnt_GREET2!C$41*'Alloy_compnt_G&amp;L'!$M$2*Al_alloy_use_compnt!$D11</f>
        <v>0</v>
      </c>
      <c r="D139" s="54">
        <f>Material_compnt_GREET2!D$41*'Alloy_compnt_G&amp;L'!$M$2*Al_alloy_use_compnt!$D11</f>
        <v>0</v>
      </c>
      <c r="E139" s="54">
        <f>Material_compnt_GREET2!E$41*'Alloy_compnt_G&amp;L'!$M$2*Al_alloy_use_compnt!$D11</f>
        <v>0</v>
      </c>
      <c r="F139" s="54">
        <f>Material_compnt_GREET2!F$41*'Alloy_compnt_G&amp;L'!$M$2*Al_alloy_use_compnt!$D11</f>
        <v>0</v>
      </c>
      <c r="G139" s="54">
        <f>Material_compnt_GREET2!G$41*'Alloy_compnt_G&amp;L'!$M$2*Al_alloy_use_compnt!$D11</f>
        <v>0</v>
      </c>
    </row>
    <row r="140" spans="1:7" x14ac:dyDescent="0.2">
      <c r="A140" s="145" t="s">
        <v>253</v>
      </c>
      <c r="B140" s="54">
        <f>Material_compnt_GREET2!B$41*'Alloy_compnt_G&amp;L'!$M$2*Al_alloy_use_compnt!$D12</f>
        <v>0</v>
      </c>
      <c r="C140" s="54">
        <f>Material_compnt_GREET2!C$41*'Alloy_compnt_G&amp;L'!$M$2*Al_alloy_use_compnt!$D12</f>
        <v>0</v>
      </c>
      <c r="D140" s="54">
        <f>Material_compnt_GREET2!D$41*'Alloy_compnt_G&amp;L'!$M$2*Al_alloy_use_compnt!$D12</f>
        <v>0</v>
      </c>
      <c r="E140" s="54">
        <f>Material_compnt_GREET2!E$41*'Alloy_compnt_G&amp;L'!$M$2*Al_alloy_use_compnt!$D12</f>
        <v>0</v>
      </c>
      <c r="F140" s="54">
        <f>Material_compnt_GREET2!F$41*'Alloy_compnt_G&amp;L'!$M$2*Al_alloy_use_compnt!$D12</f>
        <v>0</v>
      </c>
      <c r="G140" s="54">
        <f>Material_compnt_GREET2!G$41*'Alloy_compnt_G&amp;L'!$M$2*Al_alloy_use_compnt!$D12</f>
        <v>0</v>
      </c>
    </row>
    <row r="141" spans="1:7" x14ac:dyDescent="0.2">
      <c r="A141" s="145" t="s">
        <v>254</v>
      </c>
      <c r="B141" s="54">
        <f>Material_compnt_GREET2!B$41*'Alloy_compnt_G&amp;L'!$M$2*Al_alloy_use_compnt!$D13</f>
        <v>0</v>
      </c>
      <c r="C141" s="54">
        <f>Material_compnt_GREET2!C$41*'Alloy_compnt_G&amp;L'!$M$2*Al_alloy_use_compnt!$D13</f>
        <v>0</v>
      </c>
      <c r="D141" s="54">
        <f>Material_compnt_GREET2!D$41*'Alloy_compnt_G&amp;L'!$M$2*Al_alloy_use_compnt!$D13</f>
        <v>0</v>
      </c>
      <c r="E141" s="54">
        <f>Material_compnt_GREET2!E$41*'Alloy_compnt_G&amp;L'!$M$2*Al_alloy_use_compnt!$D13</f>
        <v>0</v>
      </c>
      <c r="F141" s="54">
        <f>Material_compnt_GREET2!F$41*'Alloy_compnt_G&amp;L'!$M$2*Al_alloy_use_compnt!$D13</f>
        <v>0</v>
      </c>
      <c r="G141" s="54">
        <f>Material_compnt_GREET2!G$41*'Alloy_compnt_G&amp;L'!$M$2*Al_alloy_use_compnt!$D13</f>
        <v>0</v>
      </c>
    </row>
    <row r="142" spans="1:7" x14ac:dyDescent="0.2">
      <c r="A142" s="146" t="s">
        <v>255</v>
      </c>
      <c r="B142" s="54">
        <f>Material_compnt_GREET2!B$41*'Alloy_compnt_G&amp;L'!$M$2*Al_alloy_use_compnt!$D14</f>
        <v>0</v>
      </c>
      <c r="C142" s="54">
        <f>Material_compnt_GREET2!C$41*'Alloy_compnt_G&amp;L'!$M$2*Al_alloy_use_compnt!$D14</f>
        <v>0</v>
      </c>
      <c r="D142" s="54">
        <f>Material_compnt_GREET2!D$41*'Alloy_compnt_G&amp;L'!$M$2*Al_alloy_use_compnt!$D14</f>
        <v>0</v>
      </c>
      <c r="E142" s="54">
        <f>Material_compnt_GREET2!E$41*'Alloy_compnt_G&amp;L'!$M$2*Al_alloy_use_compnt!$D14</f>
        <v>0</v>
      </c>
      <c r="F142" s="54">
        <f>Material_compnt_GREET2!F$41*'Alloy_compnt_G&amp;L'!$M$2*Al_alloy_use_compnt!$D14</f>
        <v>0</v>
      </c>
      <c r="G142" s="54">
        <f>Material_compnt_GREET2!G$41*'Alloy_compnt_G&amp;L'!$M$2*Al_alloy_use_compnt!$D14</f>
        <v>0</v>
      </c>
    </row>
    <row r="143" spans="1:7" x14ac:dyDescent="0.2">
      <c r="A143" s="145" t="s">
        <v>256</v>
      </c>
      <c r="B143" s="54">
        <f>Material_compnt_GREET2!B$41*'Alloy_compnt_G&amp;L'!$M$2*Al_alloy_use_compnt!$D15</f>
        <v>0</v>
      </c>
      <c r="C143" s="54">
        <f>Material_compnt_GREET2!C$41*'Alloy_compnt_G&amp;L'!$M$2*Al_alloy_use_compnt!$D15</f>
        <v>0</v>
      </c>
      <c r="D143" s="54">
        <f>Material_compnt_GREET2!D$41*'Alloy_compnt_G&amp;L'!$M$2*Al_alloy_use_compnt!$D15</f>
        <v>0</v>
      </c>
      <c r="E143" s="54">
        <f>Material_compnt_GREET2!E$41*'Alloy_compnt_G&amp;L'!$M$2*Al_alloy_use_compnt!$D15</f>
        <v>0</v>
      </c>
      <c r="F143" s="54">
        <f>Material_compnt_GREET2!F$41*'Alloy_compnt_G&amp;L'!$M$2*Al_alloy_use_compnt!$D15</f>
        <v>0</v>
      </c>
      <c r="G143" s="54">
        <f>Material_compnt_GREET2!G$41*'Alloy_compnt_G&amp;L'!$M$2*Al_alloy_use_compnt!$D15</f>
        <v>0</v>
      </c>
    </row>
    <row r="144" spans="1:7" x14ac:dyDescent="0.2">
      <c r="A144" s="145" t="s">
        <v>257</v>
      </c>
      <c r="B144" s="54">
        <f>Material_compnt_GREET2!B$41*'Alloy_compnt_G&amp;L'!$M$2*Al_alloy_use_compnt!$D16</f>
        <v>0</v>
      </c>
      <c r="C144" s="54">
        <f>Material_compnt_GREET2!C$41*'Alloy_compnt_G&amp;L'!$M$2*Al_alloy_use_compnt!$D16</f>
        <v>0</v>
      </c>
      <c r="D144" s="54">
        <f>Material_compnt_GREET2!D$41*'Alloy_compnt_G&amp;L'!$M$2*Al_alloy_use_compnt!$D16</f>
        <v>0</v>
      </c>
      <c r="E144" s="54">
        <f>Material_compnt_GREET2!E$41*'Alloy_compnt_G&amp;L'!$M$2*Al_alloy_use_compnt!$D16</f>
        <v>0</v>
      </c>
      <c r="F144" s="54">
        <f>Material_compnt_GREET2!F$41*'Alloy_compnt_G&amp;L'!$M$2*Al_alloy_use_compnt!$D16</f>
        <v>0</v>
      </c>
      <c r="G144" s="54">
        <f>Material_compnt_GREET2!G$41*'Alloy_compnt_G&amp;L'!$M$2*Al_alloy_use_compnt!$D16</f>
        <v>0</v>
      </c>
    </row>
    <row r="145" spans="1:7" x14ac:dyDescent="0.2">
      <c r="A145" s="145" t="s">
        <v>258</v>
      </c>
      <c r="B145" s="54">
        <f>Material_compnt_GREET2!B$41*'Alloy_compnt_G&amp;L'!$M$2*Al_alloy_use_compnt!$D17</f>
        <v>0</v>
      </c>
      <c r="C145" s="54">
        <f>Material_compnt_GREET2!C$41*'Alloy_compnt_G&amp;L'!$M$2*Al_alloy_use_compnt!$D17</f>
        <v>0</v>
      </c>
      <c r="D145" s="54">
        <f>Material_compnt_GREET2!D$41*'Alloy_compnt_G&amp;L'!$M$2*Al_alloy_use_compnt!$D17</f>
        <v>0</v>
      </c>
      <c r="E145" s="54">
        <f>Material_compnt_GREET2!E$41*'Alloy_compnt_G&amp;L'!$M$2*Al_alloy_use_compnt!$D17</f>
        <v>0</v>
      </c>
      <c r="F145" s="54">
        <f>Material_compnt_GREET2!F$41*'Alloy_compnt_G&amp;L'!$M$2*Al_alloy_use_compnt!$D17</f>
        <v>0</v>
      </c>
      <c r="G145" s="54">
        <f>Material_compnt_GREET2!G$41*'Alloy_compnt_G&amp;L'!$M$2*Al_alloy_use_compnt!$D17</f>
        <v>0</v>
      </c>
    </row>
    <row r="146" spans="1:7" x14ac:dyDescent="0.2">
      <c r="A146" s="142" t="s">
        <v>259</v>
      </c>
      <c r="B146" s="54">
        <f>Material_compnt_GREET2!B$41*'Alloy_compnt_G&amp;L'!$M$2*Al_alloy_use_compnt!$D18</f>
        <v>0</v>
      </c>
      <c r="C146" s="54">
        <f>Material_compnt_GREET2!C$41*'Alloy_compnt_G&amp;L'!$M$2*Al_alloy_use_compnt!$D18</f>
        <v>0</v>
      </c>
      <c r="D146" s="54">
        <f>Material_compnt_GREET2!D$41*'Alloy_compnt_G&amp;L'!$M$2*Al_alloy_use_compnt!$D18</f>
        <v>0</v>
      </c>
      <c r="E146" s="54">
        <f>Material_compnt_GREET2!E$41*'Alloy_compnt_G&amp;L'!$M$2*Al_alloy_use_compnt!$D18</f>
        <v>0</v>
      </c>
      <c r="F146" s="54">
        <f>Material_compnt_GREET2!F$41*'Alloy_compnt_G&amp;L'!$M$2*Al_alloy_use_compnt!$D18</f>
        <v>0</v>
      </c>
      <c r="G146" s="54">
        <f>Material_compnt_GREET2!G$41*'Alloy_compnt_G&amp;L'!$M$2*Al_alloy_use_compnt!$D18</f>
        <v>0</v>
      </c>
    </row>
    <row r="147" spans="1:7" x14ac:dyDescent="0.2">
      <c r="A147" s="147" t="s">
        <v>260</v>
      </c>
      <c r="B147" s="54">
        <f>Material_compnt_GREET2!B$41*'Alloy_compnt_G&amp;L'!$M$2*Al_alloy_use_compnt!$D19</f>
        <v>0</v>
      </c>
      <c r="C147" s="54">
        <f>Material_compnt_GREET2!C$41*'Alloy_compnt_G&amp;L'!$M$2*Al_alloy_use_compnt!$D19</f>
        <v>0</v>
      </c>
      <c r="D147" s="54">
        <f>Material_compnt_GREET2!D$41*'Alloy_compnt_G&amp;L'!$M$2*Al_alloy_use_compnt!$D19</f>
        <v>0</v>
      </c>
      <c r="E147" s="54">
        <f>Material_compnt_GREET2!E$41*'Alloy_compnt_G&amp;L'!$M$2*Al_alloy_use_compnt!$D19</f>
        <v>0</v>
      </c>
      <c r="F147" s="54">
        <f>Material_compnt_GREET2!F$41*'Alloy_compnt_G&amp;L'!$M$2*Al_alloy_use_compnt!$D19</f>
        <v>0</v>
      </c>
      <c r="G147" s="54">
        <f>Material_compnt_GREET2!G$41*'Alloy_compnt_G&amp;L'!$M$2*Al_alloy_use_compnt!$D19</f>
        <v>0</v>
      </c>
    </row>
    <row r="148" spans="1:7" x14ac:dyDescent="0.2">
      <c r="A148" s="142" t="s">
        <v>261</v>
      </c>
      <c r="B148" s="54">
        <f>Material_compnt_GREET2!B$41*'Alloy_compnt_G&amp;L'!$N$2*Al_alloy_use_compnt!$D3</f>
        <v>0</v>
      </c>
      <c r="C148" s="54">
        <f>Material_compnt_GREET2!C$41*'Alloy_compnt_G&amp;L'!$N$2*Al_alloy_use_compnt!$D3</f>
        <v>0</v>
      </c>
      <c r="D148" s="54">
        <f>Material_compnt_GREET2!D$41*'Alloy_compnt_G&amp;L'!$N$2*Al_alloy_use_compnt!$D3</f>
        <v>0</v>
      </c>
      <c r="E148" s="54">
        <f>Material_compnt_GREET2!E$41*'Alloy_compnt_G&amp;L'!$N$2*Al_alloy_use_compnt!$D3</f>
        <v>0</v>
      </c>
      <c r="F148" s="54">
        <f>Material_compnt_GREET2!F$41*'Alloy_compnt_G&amp;L'!$N$2*Al_alloy_use_compnt!$D3</f>
        <v>0</v>
      </c>
      <c r="G148" s="54">
        <f>Material_compnt_GREET2!G$41*'Alloy_compnt_G&amp;L'!$N$2*Al_alloy_use_compnt!$D3</f>
        <v>0</v>
      </c>
    </row>
    <row r="149" spans="1:7" x14ac:dyDescent="0.2">
      <c r="A149" s="142" t="s">
        <v>262</v>
      </c>
      <c r="B149" s="54">
        <f>Material_compnt_GREET2!B$41*'Alloy_compnt_G&amp;L'!$N$2*Al_alloy_use_compnt!$D4</f>
        <v>0</v>
      </c>
      <c r="C149" s="54">
        <f>Material_compnt_GREET2!C$41*'Alloy_compnt_G&amp;L'!$N$2*Al_alloy_use_compnt!$D4</f>
        <v>0</v>
      </c>
      <c r="D149" s="54">
        <f>Material_compnt_GREET2!D$41*'Alloy_compnt_G&amp;L'!$N$2*Al_alloy_use_compnt!$D4</f>
        <v>0</v>
      </c>
      <c r="E149" s="54">
        <f>Material_compnt_GREET2!E$41*'Alloy_compnt_G&amp;L'!$N$2*Al_alloy_use_compnt!$D4</f>
        <v>0</v>
      </c>
      <c r="F149" s="54">
        <f>Material_compnt_GREET2!F$41*'Alloy_compnt_G&amp;L'!$N$2*Al_alloy_use_compnt!$D4</f>
        <v>0</v>
      </c>
      <c r="G149" s="54">
        <f>Material_compnt_GREET2!G$41*'Alloy_compnt_G&amp;L'!$N$2*Al_alloy_use_compnt!$D4</f>
        <v>0</v>
      </c>
    </row>
    <row r="150" spans="1:7" x14ac:dyDescent="0.2">
      <c r="A150" s="142" t="s">
        <v>263</v>
      </c>
      <c r="B150" s="54">
        <f>Material_compnt_GREET2!B$41*'Alloy_compnt_G&amp;L'!$N$2*Al_alloy_use_compnt!$D5</f>
        <v>0</v>
      </c>
      <c r="C150" s="54">
        <f>Material_compnt_GREET2!C$41*'Alloy_compnt_G&amp;L'!$N$2*Al_alloy_use_compnt!$D5</f>
        <v>0</v>
      </c>
      <c r="D150" s="54">
        <f>Material_compnt_GREET2!D$41*'Alloy_compnt_G&amp;L'!$N$2*Al_alloy_use_compnt!$D5</f>
        <v>0</v>
      </c>
      <c r="E150" s="54">
        <f>Material_compnt_GREET2!E$41*'Alloy_compnt_G&amp;L'!$N$2*Al_alloy_use_compnt!$D5</f>
        <v>0</v>
      </c>
      <c r="F150" s="54">
        <f>Material_compnt_GREET2!F$41*'Alloy_compnt_G&amp;L'!$N$2*Al_alloy_use_compnt!$D5</f>
        <v>0</v>
      </c>
      <c r="G150" s="54">
        <f>Material_compnt_GREET2!G$41*'Alloy_compnt_G&amp;L'!$N$2*Al_alloy_use_compnt!$D5</f>
        <v>0</v>
      </c>
    </row>
    <row r="151" spans="1:7" x14ac:dyDescent="0.2">
      <c r="A151" s="142" t="s">
        <v>264</v>
      </c>
      <c r="B151" s="54">
        <f>Material_compnt_GREET2!B$41*'Alloy_compnt_G&amp;L'!$N$2*Al_alloy_use_compnt!$D6</f>
        <v>0</v>
      </c>
      <c r="C151" s="54">
        <f>Material_compnt_GREET2!C$41*'Alloy_compnt_G&amp;L'!$N$2*Al_alloy_use_compnt!$D6</f>
        <v>0</v>
      </c>
      <c r="D151" s="54">
        <f>Material_compnt_GREET2!D$41*'Alloy_compnt_G&amp;L'!$N$2*Al_alloy_use_compnt!$D6</f>
        <v>0</v>
      </c>
      <c r="E151" s="54">
        <f>Material_compnt_GREET2!E$41*'Alloy_compnt_G&amp;L'!$N$2*Al_alloy_use_compnt!$D6</f>
        <v>0</v>
      </c>
      <c r="F151" s="54">
        <f>Material_compnt_GREET2!F$41*'Alloy_compnt_G&amp;L'!$N$2*Al_alloy_use_compnt!$D6</f>
        <v>0</v>
      </c>
      <c r="G151" s="54">
        <f>Material_compnt_GREET2!G$41*'Alloy_compnt_G&amp;L'!$N$2*Al_alloy_use_compnt!$D6</f>
        <v>0</v>
      </c>
    </row>
    <row r="152" spans="1:7" x14ac:dyDescent="0.2">
      <c r="A152" s="142" t="s">
        <v>265</v>
      </c>
      <c r="B152" s="54">
        <f>Material_compnt_GREET2!B$41*'Alloy_compnt_G&amp;L'!$N$2*Al_alloy_use_compnt!$D7</f>
        <v>0</v>
      </c>
      <c r="C152" s="54">
        <f>Material_compnt_GREET2!C$41*'Alloy_compnt_G&amp;L'!$N$2*Al_alloy_use_compnt!$D7</f>
        <v>0</v>
      </c>
      <c r="D152" s="54">
        <f>Material_compnt_GREET2!D$41*'Alloy_compnt_G&amp;L'!$N$2*Al_alloy_use_compnt!$D7</f>
        <v>0</v>
      </c>
      <c r="E152" s="54">
        <f>Material_compnt_GREET2!E$41*'Alloy_compnt_G&amp;L'!$N$2*Al_alloy_use_compnt!$D7</f>
        <v>0</v>
      </c>
      <c r="F152" s="54">
        <f>Material_compnt_GREET2!F$41*'Alloy_compnt_G&amp;L'!$N$2*Al_alloy_use_compnt!$D7</f>
        <v>0</v>
      </c>
      <c r="G152" s="54">
        <f>Material_compnt_GREET2!G$41*'Alloy_compnt_G&amp;L'!$N$2*Al_alloy_use_compnt!$D7</f>
        <v>0</v>
      </c>
    </row>
    <row r="153" spans="1:7" x14ac:dyDescent="0.2">
      <c r="A153" s="142" t="s">
        <v>266</v>
      </c>
      <c r="B153" s="54">
        <f>Material_compnt_GREET2!B$41*'Alloy_compnt_G&amp;L'!$N$2*Al_alloy_use_compnt!$D8</f>
        <v>0</v>
      </c>
      <c r="C153" s="54">
        <f>Material_compnt_GREET2!C$41*'Alloy_compnt_G&amp;L'!$N$2*Al_alloy_use_compnt!$D8</f>
        <v>0</v>
      </c>
      <c r="D153" s="54">
        <f>Material_compnt_GREET2!D$41*'Alloy_compnt_G&amp;L'!$N$2*Al_alloy_use_compnt!$D8</f>
        <v>0</v>
      </c>
      <c r="E153" s="54">
        <f>Material_compnt_GREET2!E$41*'Alloy_compnt_G&amp;L'!$N$2*Al_alloy_use_compnt!$D8</f>
        <v>0</v>
      </c>
      <c r="F153" s="54">
        <f>Material_compnt_GREET2!F$41*'Alloy_compnt_G&amp;L'!$N$2*Al_alloy_use_compnt!$D8</f>
        <v>0</v>
      </c>
      <c r="G153" s="54">
        <f>Material_compnt_GREET2!G$41*'Alloy_compnt_G&amp;L'!$N$2*Al_alloy_use_compnt!$D8</f>
        <v>0</v>
      </c>
    </row>
    <row r="154" spans="1:7" x14ac:dyDescent="0.2">
      <c r="A154" s="142" t="s">
        <v>267</v>
      </c>
      <c r="B154" s="54">
        <f>Material_compnt_GREET2!B$41*'Alloy_compnt_G&amp;L'!$N$2*Al_alloy_use_compnt!$D9</f>
        <v>0</v>
      </c>
      <c r="C154" s="54">
        <f>Material_compnt_GREET2!C$41*'Alloy_compnt_G&amp;L'!$N$2*Al_alloy_use_compnt!$D9</f>
        <v>0</v>
      </c>
      <c r="D154" s="54">
        <f>Material_compnt_GREET2!D$41*'Alloy_compnt_G&amp;L'!$N$2*Al_alloy_use_compnt!$D9</f>
        <v>0</v>
      </c>
      <c r="E154" s="54">
        <f>Material_compnt_GREET2!E$41*'Alloy_compnt_G&amp;L'!$N$2*Al_alloy_use_compnt!$D9</f>
        <v>0</v>
      </c>
      <c r="F154" s="54">
        <f>Material_compnt_GREET2!F$41*'Alloy_compnt_G&amp;L'!$N$2*Al_alloy_use_compnt!$D9</f>
        <v>0</v>
      </c>
      <c r="G154" s="54">
        <f>Material_compnt_GREET2!G$41*'Alloy_compnt_G&amp;L'!$N$2*Al_alloy_use_compnt!$D9</f>
        <v>0</v>
      </c>
    </row>
    <row r="155" spans="1:7" x14ac:dyDescent="0.2">
      <c r="A155" s="142" t="s">
        <v>268</v>
      </c>
      <c r="B155" s="54">
        <f>Material_compnt_GREET2!B$41*'Alloy_compnt_G&amp;L'!$N$2*Al_alloy_use_compnt!$D10</f>
        <v>0</v>
      </c>
      <c r="C155" s="54">
        <f>Material_compnt_GREET2!C$41*'Alloy_compnt_G&amp;L'!$N$2*Al_alloy_use_compnt!$D10</f>
        <v>0</v>
      </c>
      <c r="D155" s="54">
        <f>Material_compnt_GREET2!D$41*'Alloy_compnt_G&amp;L'!$N$2*Al_alloy_use_compnt!$D10</f>
        <v>0</v>
      </c>
      <c r="E155" s="54">
        <f>Material_compnt_GREET2!E$41*'Alloy_compnt_G&amp;L'!$N$2*Al_alloy_use_compnt!$D10</f>
        <v>0</v>
      </c>
      <c r="F155" s="54">
        <f>Material_compnt_GREET2!F$41*'Alloy_compnt_G&amp;L'!$N$2*Al_alloy_use_compnt!$D10</f>
        <v>0</v>
      </c>
      <c r="G155" s="54">
        <f>Material_compnt_GREET2!G$41*'Alloy_compnt_G&amp;L'!$N$2*Al_alloy_use_compnt!$D10</f>
        <v>0</v>
      </c>
    </row>
    <row r="156" spans="1:7" x14ac:dyDescent="0.2">
      <c r="A156" s="142" t="s">
        <v>269</v>
      </c>
      <c r="B156" s="54">
        <f>Material_compnt_GREET2!B$41*'Alloy_compnt_G&amp;L'!$N$2*Al_alloy_use_compnt!$D11</f>
        <v>0</v>
      </c>
      <c r="C156" s="54">
        <f>Material_compnt_GREET2!C$41*'Alloy_compnt_G&amp;L'!$N$2*Al_alloy_use_compnt!$D11</f>
        <v>0</v>
      </c>
      <c r="D156" s="54">
        <f>Material_compnt_GREET2!D$41*'Alloy_compnt_G&amp;L'!$N$2*Al_alloy_use_compnt!$D11</f>
        <v>0</v>
      </c>
      <c r="E156" s="54">
        <f>Material_compnt_GREET2!E$41*'Alloy_compnt_G&amp;L'!$N$2*Al_alloy_use_compnt!$D11</f>
        <v>0</v>
      </c>
      <c r="F156" s="54">
        <f>Material_compnt_GREET2!F$41*'Alloy_compnt_G&amp;L'!$N$2*Al_alloy_use_compnt!$D11</f>
        <v>0</v>
      </c>
      <c r="G156" s="54">
        <f>Material_compnt_GREET2!G$41*'Alloy_compnt_G&amp;L'!$N$2*Al_alloy_use_compnt!$D11</f>
        <v>0</v>
      </c>
    </row>
    <row r="157" spans="1:7" x14ac:dyDescent="0.2">
      <c r="A157" s="142" t="s">
        <v>270</v>
      </c>
      <c r="B157" s="54">
        <f>Material_compnt_GREET2!B$41*'Alloy_compnt_G&amp;L'!$N$2*Al_alloy_use_compnt!$D12</f>
        <v>0</v>
      </c>
      <c r="C157" s="54">
        <f>Material_compnt_GREET2!C$41*'Alloy_compnt_G&amp;L'!$N$2*Al_alloy_use_compnt!$D12</f>
        <v>0</v>
      </c>
      <c r="D157" s="54">
        <f>Material_compnt_GREET2!D$41*'Alloy_compnt_G&amp;L'!$N$2*Al_alloy_use_compnt!$D12</f>
        <v>0</v>
      </c>
      <c r="E157" s="54">
        <f>Material_compnt_GREET2!E$41*'Alloy_compnt_G&amp;L'!$N$2*Al_alloy_use_compnt!$D12</f>
        <v>0</v>
      </c>
      <c r="F157" s="54">
        <f>Material_compnt_GREET2!F$41*'Alloy_compnt_G&amp;L'!$N$2*Al_alloy_use_compnt!$D12</f>
        <v>0</v>
      </c>
      <c r="G157" s="54">
        <f>Material_compnt_GREET2!G$41*'Alloy_compnt_G&amp;L'!$N$2*Al_alloy_use_compnt!$D12</f>
        <v>0</v>
      </c>
    </row>
    <row r="158" spans="1:7" x14ac:dyDescent="0.2">
      <c r="A158" s="142" t="s">
        <v>271</v>
      </c>
      <c r="B158" s="54">
        <f>Material_compnt_GREET2!B$41*'Alloy_compnt_G&amp;L'!$N$2*Al_alloy_use_compnt!$D13</f>
        <v>0</v>
      </c>
      <c r="C158" s="54">
        <f>Material_compnt_GREET2!C$41*'Alloy_compnt_G&amp;L'!$N$2*Al_alloy_use_compnt!$D13</f>
        <v>0</v>
      </c>
      <c r="D158" s="54">
        <f>Material_compnt_GREET2!D$41*'Alloy_compnt_G&amp;L'!$N$2*Al_alloy_use_compnt!$D13</f>
        <v>0</v>
      </c>
      <c r="E158" s="54">
        <f>Material_compnt_GREET2!E$41*'Alloy_compnt_G&amp;L'!$N$2*Al_alloy_use_compnt!$D13</f>
        <v>0</v>
      </c>
      <c r="F158" s="54">
        <f>Material_compnt_GREET2!F$41*'Alloy_compnt_G&amp;L'!$N$2*Al_alloy_use_compnt!$D13</f>
        <v>0</v>
      </c>
      <c r="G158" s="54">
        <f>Material_compnt_GREET2!G$41*'Alloy_compnt_G&amp;L'!$N$2*Al_alloy_use_compnt!$D13</f>
        <v>0</v>
      </c>
    </row>
    <row r="159" spans="1:7" x14ac:dyDescent="0.2">
      <c r="A159" s="142" t="s">
        <v>272</v>
      </c>
      <c r="B159" s="54">
        <f>Material_compnt_GREET2!B$41*'Alloy_compnt_G&amp;L'!$N$2*Al_alloy_use_compnt!$D14</f>
        <v>0</v>
      </c>
      <c r="C159" s="54">
        <f>Material_compnt_GREET2!C$41*'Alloy_compnt_G&amp;L'!$N$2*Al_alloy_use_compnt!$D14</f>
        <v>0</v>
      </c>
      <c r="D159" s="54">
        <f>Material_compnt_GREET2!D$41*'Alloy_compnt_G&amp;L'!$N$2*Al_alloy_use_compnt!$D14</f>
        <v>0</v>
      </c>
      <c r="E159" s="54">
        <f>Material_compnt_GREET2!E$41*'Alloy_compnt_G&amp;L'!$N$2*Al_alloy_use_compnt!$D14</f>
        <v>0</v>
      </c>
      <c r="F159" s="54">
        <f>Material_compnt_GREET2!F$41*'Alloy_compnt_G&amp;L'!$N$2*Al_alloy_use_compnt!$D14</f>
        <v>0</v>
      </c>
      <c r="G159" s="54">
        <f>Material_compnt_GREET2!G$41*'Alloy_compnt_G&amp;L'!$N$2*Al_alloy_use_compnt!$D14</f>
        <v>0</v>
      </c>
    </row>
    <row r="160" spans="1:7" x14ac:dyDescent="0.2">
      <c r="A160" s="142" t="s">
        <v>273</v>
      </c>
      <c r="B160" s="54">
        <f>Material_compnt_GREET2!B$41*'Alloy_compnt_G&amp;L'!$N$2*Al_alloy_use_compnt!$D15</f>
        <v>0</v>
      </c>
      <c r="C160" s="54">
        <f>Material_compnt_GREET2!C$41*'Alloy_compnt_G&amp;L'!$N$2*Al_alloy_use_compnt!$D15</f>
        <v>0</v>
      </c>
      <c r="D160" s="54">
        <f>Material_compnt_GREET2!D$41*'Alloy_compnt_G&amp;L'!$N$2*Al_alloy_use_compnt!$D15</f>
        <v>0</v>
      </c>
      <c r="E160" s="54">
        <f>Material_compnt_GREET2!E$41*'Alloy_compnt_G&amp;L'!$N$2*Al_alloy_use_compnt!$D15</f>
        <v>0</v>
      </c>
      <c r="F160" s="54">
        <f>Material_compnt_GREET2!F$41*'Alloy_compnt_G&amp;L'!$N$2*Al_alloy_use_compnt!$D15</f>
        <v>0</v>
      </c>
      <c r="G160" s="54">
        <f>Material_compnt_GREET2!G$41*'Alloy_compnt_G&amp;L'!$N$2*Al_alloy_use_compnt!$D15</f>
        <v>0</v>
      </c>
    </row>
    <row r="161" spans="1:7" x14ac:dyDescent="0.2">
      <c r="A161" s="142" t="s">
        <v>274</v>
      </c>
      <c r="B161" s="54">
        <f>Material_compnt_GREET2!B$41*'Alloy_compnt_G&amp;L'!$N$2*Al_alloy_use_compnt!$D16</f>
        <v>2.8380662738759179</v>
      </c>
      <c r="C161" s="54">
        <f>Material_compnt_GREET2!C$41*'Alloy_compnt_G&amp;L'!$N$2*Al_alloy_use_compnt!$D16</f>
        <v>2.8092237312862847</v>
      </c>
      <c r="D161" s="54">
        <f>Material_compnt_GREET2!D$41*'Alloy_compnt_G&amp;L'!$N$2*Al_alloy_use_compnt!$D16</f>
        <v>1.9101792721287727</v>
      </c>
      <c r="E161" s="54">
        <f>Material_compnt_GREET2!E$41*'Alloy_compnt_G&amp;L'!$N$2*Al_alloy_use_compnt!$D16</f>
        <v>1.8958333447954054</v>
      </c>
      <c r="F161" s="54">
        <f>Material_compnt_GREET2!F$41*'Alloy_compnt_G&amp;L'!$N$2*Al_alloy_use_compnt!$D16</f>
        <v>1.9124122619584587</v>
      </c>
      <c r="G161" s="54">
        <f>Material_compnt_GREET2!G$41*'Alloy_compnt_G&amp;L'!$N$2*Al_alloy_use_compnt!$D16</f>
        <v>1.8975989076893798</v>
      </c>
    </row>
    <row r="162" spans="1:7" x14ac:dyDescent="0.2">
      <c r="A162" s="142" t="s">
        <v>275</v>
      </c>
      <c r="B162" s="54">
        <f>Material_compnt_GREET2!B$41*'Alloy_compnt_G&amp;L'!$N$2*Al_alloy_use_compnt!$D17</f>
        <v>0</v>
      </c>
      <c r="C162" s="54">
        <f>Material_compnt_GREET2!C$41*'Alloy_compnt_G&amp;L'!$N$2*Al_alloy_use_compnt!$D17</f>
        <v>0</v>
      </c>
      <c r="D162" s="54">
        <f>Material_compnt_GREET2!D$41*'Alloy_compnt_G&amp;L'!$N$2*Al_alloy_use_compnt!$D17</f>
        <v>0</v>
      </c>
      <c r="E162" s="54">
        <f>Material_compnt_GREET2!E$41*'Alloy_compnt_G&amp;L'!$N$2*Al_alloy_use_compnt!$D17</f>
        <v>0</v>
      </c>
      <c r="F162" s="54">
        <f>Material_compnt_GREET2!F$41*'Alloy_compnt_G&amp;L'!$N$2*Al_alloy_use_compnt!$D17</f>
        <v>0</v>
      </c>
      <c r="G162" s="54">
        <f>Material_compnt_GREET2!G$41*'Alloy_compnt_G&amp;L'!$N$2*Al_alloy_use_compnt!$D17</f>
        <v>0</v>
      </c>
    </row>
    <row r="163" spans="1:7" x14ac:dyDescent="0.2">
      <c r="A163" s="142" t="s">
        <v>276</v>
      </c>
      <c r="B163" s="54">
        <f>Material_compnt_GREET2!B$41*'Alloy_compnt_G&amp;L'!$N$2*Al_alloy_use_compnt!$D18</f>
        <v>0</v>
      </c>
      <c r="C163" s="54">
        <f>Material_compnt_GREET2!C$41*'Alloy_compnt_G&amp;L'!$N$2*Al_alloy_use_compnt!$D18</f>
        <v>0</v>
      </c>
      <c r="D163" s="54">
        <f>Material_compnt_GREET2!D$41*'Alloy_compnt_G&amp;L'!$N$2*Al_alloy_use_compnt!$D18</f>
        <v>0</v>
      </c>
      <c r="E163" s="54">
        <f>Material_compnt_GREET2!E$41*'Alloy_compnt_G&amp;L'!$N$2*Al_alloy_use_compnt!$D18</f>
        <v>0</v>
      </c>
      <c r="F163" s="54">
        <f>Material_compnt_GREET2!F$41*'Alloy_compnt_G&amp;L'!$N$2*Al_alloy_use_compnt!$D18</f>
        <v>0</v>
      </c>
      <c r="G163" s="54">
        <f>Material_compnt_GREET2!G$41*'Alloy_compnt_G&amp;L'!$N$2*Al_alloy_use_compnt!$D18</f>
        <v>0</v>
      </c>
    </row>
    <row r="164" spans="1:7" x14ac:dyDescent="0.2">
      <c r="A164" s="144" t="s">
        <v>277</v>
      </c>
      <c r="B164" s="54">
        <f>Material_compnt_GREET2!B$41*'Alloy_compnt_G&amp;L'!$N$2*Al_alloy_use_compnt!$D19</f>
        <v>0</v>
      </c>
      <c r="C164" s="54">
        <f>Material_compnt_GREET2!C$41*'Alloy_compnt_G&amp;L'!$N$2*Al_alloy_use_compnt!$D19</f>
        <v>0</v>
      </c>
      <c r="D164" s="54">
        <f>Material_compnt_GREET2!D$41*'Alloy_compnt_G&amp;L'!$N$2*Al_alloy_use_compnt!$D19</f>
        <v>0</v>
      </c>
      <c r="E164" s="54">
        <f>Material_compnt_GREET2!E$41*'Alloy_compnt_G&amp;L'!$N$2*Al_alloy_use_compnt!$D19</f>
        <v>0</v>
      </c>
      <c r="F164" s="54">
        <f>Material_compnt_GREET2!F$41*'Alloy_compnt_G&amp;L'!$N$2*Al_alloy_use_compnt!$D19</f>
        <v>0</v>
      </c>
      <c r="G164" s="54">
        <f>Material_compnt_GREET2!G$41*'Alloy_compnt_G&amp;L'!$N$2*Al_alloy_use_compnt!$D19</f>
        <v>0</v>
      </c>
    </row>
    <row r="165" spans="1:7" x14ac:dyDescent="0.2">
      <c r="A165" s="148" t="s">
        <v>278</v>
      </c>
      <c r="B165" s="54">
        <f>Material_compnt_GREET2!B$41*'Alloy_compnt_G&amp;L'!$O$2*Al_alloy_use_compnt!$D20</f>
        <v>0</v>
      </c>
      <c r="C165" s="54">
        <f>Material_compnt_GREET2!C$41*'Alloy_compnt_G&amp;L'!$O$2*Al_alloy_use_compnt!$D20</f>
        <v>0</v>
      </c>
      <c r="D165" s="54">
        <f>Material_compnt_GREET2!D$41*'Alloy_compnt_G&amp;L'!$O$2*Al_alloy_use_compnt!$D20</f>
        <v>0</v>
      </c>
      <c r="E165" s="54">
        <f>Material_compnt_GREET2!E$41*'Alloy_compnt_G&amp;L'!$O$2*Al_alloy_use_compnt!$D20</f>
        <v>0</v>
      </c>
      <c r="F165" s="54">
        <f>Material_compnt_GREET2!F$41*'Alloy_compnt_G&amp;L'!$O$2*Al_alloy_use_compnt!$D20</f>
        <v>0</v>
      </c>
      <c r="G165" s="54">
        <f>Material_compnt_GREET2!G$41*'Alloy_compnt_G&amp;L'!$O$2*Al_alloy_use_compnt!$D20</f>
        <v>0</v>
      </c>
    </row>
    <row r="166" spans="1:7" x14ac:dyDescent="0.2">
      <c r="A166" s="148" t="s">
        <v>279</v>
      </c>
      <c r="B166" s="54">
        <f>Material_compnt_GREET2!B$41*'Alloy_compnt_G&amp;L'!$O$2*Al_alloy_use_compnt!$D21</f>
        <v>2.110356972882093</v>
      </c>
      <c r="C166" s="54">
        <f>Material_compnt_GREET2!C$41*'Alloy_compnt_G&amp;L'!$O$2*Al_alloy_use_compnt!$D21</f>
        <v>2.0889099540333911</v>
      </c>
      <c r="D166" s="54">
        <f>Material_compnt_GREET2!D$41*'Alloy_compnt_G&amp;L'!$O$2*Al_alloy_use_compnt!$D21</f>
        <v>1.4203897151726772</v>
      </c>
      <c r="E166" s="54">
        <f>Material_compnt_GREET2!E$41*'Alloy_compnt_G&amp;L'!$O$2*Al_alloy_use_compnt!$D21</f>
        <v>1.4097222307453015</v>
      </c>
      <c r="F166" s="54">
        <f>Material_compnt_GREET2!F$41*'Alloy_compnt_G&amp;L'!$O$2*Al_alloy_use_compnt!$D21</f>
        <v>1.4220501435075721</v>
      </c>
      <c r="G166" s="54">
        <f>Material_compnt_GREET2!G$41*'Alloy_compnt_G&amp;L'!$O$2*Al_alloy_use_compnt!$D21</f>
        <v>1.4110350852049234</v>
      </c>
    </row>
    <row r="167" spans="1:7" x14ac:dyDescent="0.2">
      <c r="A167" s="148" t="s">
        <v>280</v>
      </c>
      <c r="B167" s="54">
        <f>Material_compnt_GREET2!B$41*'Alloy_compnt_G&amp;L'!$O$2*Al_alloy_use_compnt!$D22</f>
        <v>0</v>
      </c>
      <c r="C167" s="54">
        <f>Material_compnt_GREET2!C$41*'Alloy_compnt_G&amp;L'!$O$2*Al_alloy_use_compnt!$D22</f>
        <v>0</v>
      </c>
      <c r="D167" s="54">
        <f>Material_compnt_GREET2!D$41*'Alloy_compnt_G&amp;L'!$O$2*Al_alloy_use_compnt!$D22</f>
        <v>0</v>
      </c>
      <c r="E167" s="54">
        <f>Material_compnt_GREET2!E$41*'Alloy_compnt_G&amp;L'!$O$2*Al_alloy_use_compnt!$D22</f>
        <v>0</v>
      </c>
      <c r="F167" s="54">
        <f>Material_compnt_GREET2!F$41*'Alloy_compnt_G&amp;L'!$O$2*Al_alloy_use_compnt!$D22</f>
        <v>0</v>
      </c>
      <c r="G167" s="54">
        <f>Material_compnt_GREET2!G$41*'Alloy_compnt_G&amp;L'!$O$2*Al_alloy_use_compnt!$D22</f>
        <v>0</v>
      </c>
    </row>
    <row r="168" spans="1:7" x14ac:dyDescent="0.2">
      <c r="A168" s="148" t="s">
        <v>281</v>
      </c>
      <c r="B168" s="54">
        <f>Material_compnt_GREET2!B$41*'Alloy_compnt_G&amp;L'!$O$2*Al_alloy_use_compnt!$D23</f>
        <v>0</v>
      </c>
      <c r="C168" s="54">
        <f>Material_compnt_GREET2!C$41*'Alloy_compnt_G&amp;L'!$O$2*Al_alloy_use_compnt!$D23</f>
        <v>0</v>
      </c>
      <c r="D168" s="54">
        <f>Material_compnt_GREET2!D$41*'Alloy_compnt_G&amp;L'!$O$2*Al_alloy_use_compnt!$D23</f>
        <v>0</v>
      </c>
      <c r="E168" s="54">
        <f>Material_compnt_GREET2!E$41*'Alloy_compnt_G&amp;L'!$O$2*Al_alloy_use_compnt!$D23</f>
        <v>0</v>
      </c>
      <c r="F168" s="54">
        <f>Material_compnt_GREET2!F$41*'Alloy_compnt_G&amp;L'!$O$2*Al_alloy_use_compnt!$D23</f>
        <v>0</v>
      </c>
      <c r="G168" s="54">
        <f>Material_compnt_GREET2!G$41*'Alloy_compnt_G&amp;L'!$O$2*Al_alloy_use_compnt!$D23</f>
        <v>0</v>
      </c>
    </row>
    <row r="169" spans="1:7" x14ac:dyDescent="0.2">
      <c r="A169" s="148" t="s">
        <v>282</v>
      </c>
      <c r="B169" s="54">
        <f>Material_compnt_GREET2!B$41*'Alloy_compnt_G&amp;L'!$O$2*Al_alloy_use_compnt!$D24</f>
        <v>8.441427891528372</v>
      </c>
      <c r="C169" s="54">
        <f>Material_compnt_GREET2!C$41*'Alloy_compnt_G&amp;L'!$O$2*Al_alloy_use_compnt!$D24</f>
        <v>8.3556398161335643</v>
      </c>
      <c r="D169" s="54">
        <f>Material_compnt_GREET2!D$41*'Alloy_compnt_G&amp;L'!$O$2*Al_alloy_use_compnt!$D24</f>
        <v>5.6815588606907088</v>
      </c>
      <c r="E169" s="54">
        <f>Material_compnt_GREET2!E$41*'Alloy_compnt_G&amp;L'!$O$2*Al_alloy_use_compnt!$D24</f>
        <v>5.6388889229812058</v>
      </c>
      <c r="F169" s="54">
        <f>Material_compnt_GREET2!F$41*'Alloy_compnt_G&amp;L'!$O$2*Al_alloy_use_compnt!$D24</f>
        <v>5.6882005740302883</v>
      </c>
      <c r="G169" s="54">
        <f>Material_compnt_GREET2!G$41*'Alloy_compnt_G&amp;L'!$O$2*Al_alloy_use_compnt!$D24</f>
        <v>5.6441403408196935</v>
      </c>
    </row>
    <row r="170" spans="1:7" x14ac:dyDescent="0.2">
      <c r="A170" s="148" t="s">
        <v>283</v>
      </c>
      <c r="B170" s="54">
        <f>Material_compnt_GREET2!B$41*'Alloy_compnt_G&amp;L'!$O$2*Al_alloy_use_compnt!$D25</f>
        <v>8.441427891528372</v>
      </c>
      <c r="C170" s="54">
        <f>Material_compnt_GREET2!C$41*'Alloy_compnt_G&amp;L'!$O$2*Al_alloy_use_compnt!$D25</f>
        <v>8.3556398161335643</v>
      </c>
      <c r="D170" s="54">
        <f>Material_compnt_GREET2!D$41*'Alloy_compnt_G&amp;L'!$O$2*Al_alloy_use_compnt!$D25</f>
        <v>5.6815588606907088</v>
      </c>
      <c r="E170" s="54">
        <f>Material_compnt_GREET2!E$41*'Alloy_compnt_G&amp;L'!$O$2*Al_alloy_use_compnt!$D25</f>
        <v>5.6388889229812058</v>
      </c>
      <c r="F170" s="54">
        <f>Material_compnt_GREET2!F$41*'Alloy_compnt_G&amp;L'!$O$2*Al_alloy_use_compnt!$D25</f>
        <v>5.6882005740302883</v>
      </c>
      <c r="G170" s="54">
        <f>Material_compnt_GREET2!G$41*'Alloy_compnt_G&amp;L'!$O$2*Al_alloy_use_compnt!$D25</f>
        <v>5.6441403408196935</v>
      </c>
    </row>
    <row r="171" spans="1:7" x14ac:dyDescent="0.2">
      <c r="A171" s="148" t="s">
        <v>284</v>
      </c>
      <c r="B171" s="54">
        <f>Material_compnt_GREET2!B$41*'Alloy_compnt_G&amp;L'!$O$2*Al_alloy_use_compnt!$D26</f>
        <v>0</v>
      </c>
      <c r="C171" s="54">
        <f>Material_compnt_GREET2!C$41*'Alloy_compnt_G&amp;L'!$O$2*Al_alloy_use_compnt!$D26</f>
        <v>0</v>
      </c>
      <c r="D171" s="54">
        <f>Material_compnt_GREET2!D$41*'Alloy_compnt_G&amp;L'!$O$2*Al_alloy_use_compnt!$D26</f>
        <v>0</v>
      </c>
      <c r="E171" s="54">
        <f>Material_compnt_GREET2!E$41*'Alloy_compnt_G&amp;L'!$O$2*Al_alloy_use_compnt!$D26</f>
        <v>0</v>
      </c>
      <c r="F171" s="54">
        <f>Material_compnt_GREET2!F$41*'Alloy_compnt_G&amp;L'!$O$2*Al_alloy_use_compnt!$D26</f>
        <v>0</v>
      </c>
      <c r="G171" s="54">
        <f>Material_compnt_GREET2!G$41*'Alloy_compnt_G&amp;L'!$O$2*Al_alloy_use_compnt!$D26</f>
        <v>0</v>
      </c>
    </row>
    <row r="172" spans="1:7" x14ac:dyDescent="0.2">
      <c r="A172" s="148" t="s">
        <v>285</v>
      </c>
      <c r="B172" s="54">
        <f>Material_compnt_GREET2!B$41*'Alloy_compnt_G&amp;L'!$O$2*Al_alloy_use_compnt!$D27</f>
        <v>0</v>
      </c>
      <c r="C172" s="54">
        <f>Material_compnt_GREET2!C$41*'Alloy_compnt_G&amp;L'!$O$2*Al_alloy_use_compnt!$D27</f>
        <v>0</v>
      </c>
      <c r="D172" s="54">
        <f>Material_compnt_GREET2!D$41*'Alloy_compnt_G&amp;L'!$O$2*Al_alloy_use_compnt!$D27</f>
        <v>0</v>
      </c>
      <c r="E172" s="54">
        <f>Material_compnt_GREET2!E$41*'Alloy_compnt_G&amp;L'!$O$2*Al_alloy_use_compnt!$D27</f>
        <v>0</v>
      </c>
      <c r="F172" s="54">
        <f>Material_compnt_GREET2!F$41*'Alloy_compnt_G&amp;L'!$O$2*Al_alloy_use_compnt!$D27</f>
        <v>0</v>
      </c>
      <c r="G172" s="54">
        <f>Material_compnt_GREET2!G$41*'Alloy_compnt_G&amp;L'!$O$2*Al_alloy_use_compnt!$D27</f>
        <v>0</v>
      </c>
    </row>
    <row r="173" spans="1:7" x14ac:dyDescent="0.2">
      <c r="A173" s="147" t="s">
        <v>286</v>
      </c>
      <c r="B173" s="54">
        <f>Material_compnt_GREET2!B$41*'Alloy_compnt_G&amp;L'!$O$2*Al_alloy_use_compnt!$D28</f>
        <v>0</v>
      </c>
      <c r="C173" s="54">
        <f>Material_compnt_GREET2!C$41*'Alloy_compnt_G&amp;L'!$O$2*Al_alloy_use_compnt!$D28</f>
        <v>0</v>
      </c>
      <c r="D173" s="54">
        <f>Material_compnt_GREET2!D$41*'Alloy_compnt_G&amp;L'!$O$2*Al_alloy_use_compnt!$D28</f>
        <v>0</v>
      </c>
      <c r="E173" s="54">
        <f>Material_compnt_GREET2!E$41*'Alloy_compnt_G&amp;L'!$O$2*Al_alloy_use_compnt!$D28</f>
        <v>0</v>
      </c>
      <c r="F173" s="54">
        <f>Material_compnt_GREET2!F$41*'Alloy_compnt_G&amp;L'!$O$2*Al_alloy_use_compnt!$D28</f>
        <v>0</v>
      </c>
      <c r="G173" s="54">
        <f>Material_compnt_GREET2!G$41*'Alloy_compnt_G&amp;L'!$O$2*Al_alloy_use_compnt!$D28</f>
        <v>0</v>
      </c>
    </row>
    <row r="174" spans="1:7" x14ac:dyDescent="0.2">
      <c r="A174" s="142" t="s">
        <v>287</v>
      </c>
      <c r="B174" s="54">
        <f>Material_compnt_GREET2!B$42*Al_alloy_use_compnt!$D20</f>
        <v>0</v>
      </c>
      <c r="C174" s="54">
        <f>Material_compnt_GREET2!C$42*Al_alloy_use_compnt!$D20</f>
        <v>0</v>
      </c>
      <c r="D174" s="54">
        <f>Material_compnt_GREET2!D$42*Al_alloy_use_compnt!$D20</f>
        <v>0</v>
      </c>
      <c r="E174" s="54">
        <f>Material_compnt_GREET2!E$42*Al_alloy_use_compnt!$D20</f>
        <v>0</v>
      </c>
      <c r="F174" s="54">
        <f>Material_compnt_GREET2!F$42*Al_alloy_use_compnt!$D20</f>
        <v>0</v>
      </c>
      <c r="G174" s="54">
        <f>Material_compnt_GREET2!G$42*Al_alloy_use_compnt!$D20</f>
        <v>0</v>
      </c>
    </row>
    <row r="175" spans="1:7" x14ac:dyDescent="0.2">
      <c r="A175" s="142" t="s">
        <v>288</v>
      </c>
      <c r="B175" s="54">
        <f>Material_compnt_GREET2!B$42*Al_alloy_use_compnt!$D21</f>
        <v>0</v>
      </c>
      <c r="C175" s="54">
        <f>Material_compnt_GREET2!C$42*Al_alloy_use_compnt!$D21</f>
        <v>2.4010459241763118</v>
      </c>
      <c r="D175" s="54">
        <f>Material_compnt_GREET2!D$42*Al_alloy_use_compnt!$D21</f>
        <v>0</v>
      </c>
      <c r="E175" s="54">
        <f>Material_compnt_GREET2!E$42*Al_alloy_use_compnt!$D21</f>
        <v>0</v>
      </c>
      <c r="F175" s="54">
        <f>Material_compnt_GREET2!F$42*Al_alloy_use_compnt!$D21</f>
        <v>0</v>
      </c>
      <c r="G175" s="54">
        <f>Material_compnt_GREET2!G$42*Al_alloy_use_compnt!$D21</f>
        <v>0</v>
      </c>
    </row>
    <row r="176" spans="1:7" x14ac:dyDescent="0.2">
      <c r="A176" s="142" t="s">
        <v>289</v>
      </c>
      <c r="B176" s="54">
        <f>Material_compnt_GREET2!B$42*Al_alloy_use_compnt!$D22</f>
        <v>0</v>
      </c>
      <c r="C176" s="54">
        <f>Material_compnt_GREET2!C$42*Al_alloy_use_compnt!$D22</f>
        <v>0</v>
      </c>
      <c r="D176" s="54">
        <f>Material_compnt_GREET2!D$42*Al_alloy_use_compnt!$D22</f>
        <v>0</v>
      </c>
      <c r="E176" s="54">
        <f>Material_compnt_GREET2!E$42*Al_alloy_use_compnt!$D22</f>
        <v>0</v>
      </c>
      <c r="F176" s="54">
        <f>Material_compnt_GREET2!F$42*Al_alloy_use_compnt!$D22</f>
        <v>0</v>
      </c>
      <c r="G176" s="54">
        <f>Material_compnt_GREET2!G$42*Al_alloy_use_compnt!$D22</f>
        <v>0</v>
      </c>
    </row>
    <row r="177" spans="1:7" x14ac:dyDescent="0.2">
      <c r="A177" s="142" t="s">
        <v>290</v>
      </c>
      <c r="B177" s="54">
        <f>Material_compnt_GREET2!B$42*Al_alloy_use_compnt!$D23</f>
        <v>0</v>
      </c>
      <c r="C177" s="54">
        <f>Material_compnt_GREET2!C$42*Al_alloy_use_compnt!$D23</f>
        <v>0</v>
      </c>
      <c r="D177" s="54">
        <f>Material_compnt_GREET2!D$42*Al_alloy_use_compnt!$D23</f>
        <v>0</v>
      </c>
      <c r="E177" s="54">
        <f>Material_compnt_GREET2!E$42*Al_alloy_use_compnt!$D23</f>
        <v>0</v>
      </c>
      <c r="F177" s="54">
        <f>Material_compnt_GREET2!F$42*Al_alloy_use_compnt!$D23</f>
        <v>0</v>
      </c>
      <c r="G177" s="54">
        <f>Material_compnt_GREET2!G$42*Al_alloy_use_compnt!$D23</f>
        <v>0</v>
      </c>
    </row>
    <row r="178" spans="1:7" x14ac:dyDescent="0.2">
      <c r="A178" s="142" t="s">
        <v>291</v>
      </c>
      <c r="B178" s="54">
        <f>Material_compnt_GREET2!B$42*Al_alloy_use_compnt!$D24</f>
        <v>0</v>
      </c>
      <c r="C178" s="54">
        <f>Material_compnt_GREET2!C$42*Al_alloy_use_compnt!$D24</f>
        <v>9.6041836967052472</v>
      </c>
      <c r="D178" s="54">
        <f>Material_compnt_GREET2!D$42*Al_alloy_use_compnt!$D24</f>
        <v>0</v>
      </c>
      <c r="E178" s="54">
        <f>Material_compnt_GREET2!E$42*Al_alloy_use_compnt!$D24</f>
        <v>0</v>
      </c>
      <c r="F178" s="54">
        <f>Material_compnt_GREET2!F$42*Al_alloy_use_compnt!$D24</f>
        <v>0</v>
      </c>
      <c r="G178" s="54">
        <f>Material_compnt_GREET2!G$42*Al_alloy_use_compnt!$D24</f>
        <v>0</v>
      </c>
    </row>
    <row r="179" spans="1:7" x14ac:dyDescent="0.2">
      <c r="A179" s="142" t="s">
        <v>292</v>
      </c>
      <c r="B179" s="54">
        <f>Material_compnt_GREET2!B$42*Al_alloy_use_compnt!$D25</f>
        <v>0</v>
      </c>
      <c r="C179" s="54">
        <f>Material_compnt_GREET2!C$42*Al_alloy_use_compnt!$D25</f>
        <v>9.6041836967052472</v>
      </c>
      <c r="D179" s="54">
        <f>Material_compnt_GREET2!D$42*Al_alloy_use_compnt!$D25</f>
        <v>0</v>
      </c>
      <c r="E179" s="54">
        <f>Material_compnt_GREET2!E$42*Al_alloy_use_compnt!$D25</f>
        <v>0</v>
      </c>
      <c r="F179" s="54">
        <f>Material_compnt_GREET2!F$42*Al_alloy_use_compnt!$D25</f>
        <v>0</v>
      </c>
      <c r="G179" s="54">
        <f>Material_compnt_GREET2!G$42*Al_alloy_use_compnt!$D25</f>
        <v>0</v>
      </c>
    </row>
    <row r="180" spans="1:7" x14ac:dyDescent="0.2">
      <c r="A180" s="142" t="s">
        <v>293</v>
      </c>
      <c r="B180" s="54">
        <f>Material_compnt_GREET2!B$42*Al_alloy_use_compnt!$D26</f>
        <v>0</v>
      </c>
      <c r="C180" s="54">
        <f>Material_compnt_GREET2!C$42*Al_alloy_use_compnt!$D26</f>
        <v>0</v>
      </c>
      <c r="D180" s="54">
        <f>Material_compnt_GREET2!D$42*Al_alloy_use_compnt!$D26</f>
        <v>0</v>
      </c>
      <c r="E180" s="54">
        <f>Material_compnt_GREET2!E$42*Al_alloy_use_compnt!$D26</f>
        <v>0</v>
      </c>
      <c r="F180" s="54">
        <f>Material_compnt_GREET2!F$42*Al_alloy_use_compnt!$D26</f>
        <v>0</v>
      </c>
      <c r="G180" s="54">
        <f>Material_compnt_GREET2!G$42*Al_alloy_use_compnt!$D26</f>
        <v>0</v>
      </c>
    </row>
    <row r="181" spans="1:7" x14ac:dyDescent="0.2">
      <c r="A181" s="142" t="s">
        <v>294</v>
      </c>
      <c r="B181" s="54">
        <f>Material_compnt_GREET2!B$42*Al_alloy_use_compnt!$D27</f>
        <v>0</v>
      </c>
      <c r="C181" s="54">
        <f>Material_compnt_GREET2!C$42*Al_alloy_use_compnt!$D27</f>
        <v>0</v>
      </c>
      <c r="D181" s="54">
        <f>Material_compnt_GREET2!D$42*Al_alloy_use_compnt!$D27</f>
        <v>0</v>
      </c>
      <c r="E181" s="54">
        <f>Material_compnt_GREET2!E$42*Al_alloy_use_compnt!$D27</f>
        <v>0</v>
      </c>
      <c r="F181" s="54">
        <f>Material_compnt_GREET2!F$42*Al_alloy_use_compnt!$D27</f>
        <v>0</v>
      </c>
      <c r="G181" s="54">
        <f>Material_compnt_GREET2!G$42*Al_alloy_use_compnt!$D27</f>
        <v>0</v>
      </c>
    </row>
    <row r="182" spans="1:7" x14ac:dyDescent="0.2">
      <c r="A182" s="144" t="s">
        <v>295</v>
      </c>
      <c r="B182" s="54">
        <f>Material_compnt_GREET2!B$42*Al_alloy_use_compnt!$D28</f>
        <v>0</v>
      </c>
      <c r="C182" s="54">
        <f>Material_compnt_GREET2!C$42*Al_alloy_use_compnt!$D28</f>
        <v>0</v>
      </c>
      <c r="D182" s="54">
        <f>Material_compnt_GREET2!D$42*Al_alloy_use_compnt!$D28</f>
        <v>0</v>
      </c>
      <c r="E182" s="54">
        <f>Material_compnt_GREET2!E$42*Al_alloy_use_compnt!$D28</f>
        <v>0</v>
      </c>
      <c r="F182" s="54">
        <f>Material_compnt_GREET2!F$42*Al_alloy_use_compnt!$D28</f>
        <v>0</v>
      </c>
      <c r="G182" s="54">
        <f>Material_compnt_GREET2!G$42*Al_alloy_use_compnt!$D28</f>
        <v>0</v>
      </c>
    </row>
    <row r="183" spans="1:7" x14ac:dyDescent="0.2">
      <c r="A183" s="142" t="s">
        <v>206</v>
      </c>
      <c r="B183" s="54">
        <v>0</v>
      </c>
      <c r="C183" s="54">
        <v>0</v>
      </c>
      <c r="D183" s="54">
        <v>0</v>
      </c>
      <c r="E183" s="54">
        <v>0</v>
      </c>
      <c r="F183" s="54">
        <v>0</v>
      </c>
      <c r="G183" s="54">
        <v>0</v>
      </c>
    </row>
    <row r="184" spans="1:7" ht="17" thickBot="1" x14ac:dyDescent="0.25">
      <c r="A184" s="149" t="s">
        <v>208</v>
      </c>
      <c r="B184" s="54">
        <v>0</v>
      </c>
      <c r="C184" s="54">
        <v>0</v>
      </c>
      <c r="D184" s="54">
        <v>0</v>
      </c>
      <c r="E184" s="54">
        <v>0</v>
      </c>
      <c r="F184" s="54">
        <v>0</v>
      </c>
      <c r="G184" s="54">
        <v>0</v>
      </c>
    </row>
    <row r="185" spans="1:7" ht="17" thickTop="1" x14ac:dyDescent="0.2">
      <c r="A185" s="150" t="s">
        <v>175</v>
      </c>
      <c r="B185" s="54"/>
      <c r="C185" s="54"/>
      <c r="D185" s="54"/>
      <c r="E185" s="54"/>
      <c r="F185" s="54"/>
      <c r="G185" s="54"/>
    </row>
    <row r="186" spans="1:7" x14ac:dyDescent="0.2">
      <c r="A186" s="142" t="s">
        <v>105</v>
      </c>
      <c r="B186" s="54">
        <f>Material_compnt_GREET2!B$48*'Alloy_compnt_G&amp;L'!$I$2</f>
        <v>58.749076941153035</v>
      </c>
      <c r="C186" s="54">
        <f>Material_compnt_GREET2!C$48*'Alloy_compnt_G&amp;L'!$I$2</f>
        <v>20.920328614886877</v>
      </c>
      <c r="D186" s="54">
        <f>Material_compnt_GREET2!D$48*'Alloy_compnt_G&amp;L'!$I$2</f>
        <v>68.602492479275284</v>
      </c>
      <c r="E186" s="54">
        <f>Material_compnt_GREET2!E$48*'Alloy_compnt_G&amp;L'!$I$2</f>
        <v>23.602406575459707</v>
      </c>
      <c r="F186" s="54">
        <f>Material_compnt_GREET2!F$48*'Alloy_compnt_G&amp;L'!$I$2</f>
        <v>65.834683520725491</v>
      </c>
      <c r="G186" s="54">
        <f>Material_compnt_GREET2!G$48*'Alloy_compnt_G&amp;L'!$I$2</f>
        <v>23.500403945470438</v>
      </c>
    </row>
    <row r="187" spans="1:7" x14ac:dyDescent="0.2">
      <c r="A187" s="142" t="s">
        <v>106</v>
      </c>
      <c r="B187" s="54">
        <f>Material_compnt_GREET2!B$48*'Alloy_compnt_G&amp;L'!$J$2</f>
        <v>53.180444055735691</v>
      </c>
      <c r="C187" s="54">
        <f>Material_compnt_GREET2!C$48*'Alloy_compnt_G&amp;L'!$J$2</f>
        <v>18.937359077930775</v>
      </c>
      <c r="D187" s="54">
        <f>Material_compnt_GREET2!D$48*'Alloy_compnt_G&amp;L'!$J$2</f>
        <v>62.099886557069098</v>
      </c>
      <c r="E187" s="54">
        <f>Material_compnt_GREET2!E$48*'Alloy_compnt_G&amp;L'!$J$2</f>
        <v>21.365211639397177</v>
      </c>
      <c r="F187" s="54">
        <f>Material_compnt_GREET2!F$48*'Alloy_compnt_G&amp;L'!$J$2</f>
        <v>59.594429158571415</v>
      </c>
      <c r="G187" s="54">
        <f>Material_compnt_GREET2!G$48*'Alloy_compnt_G&amp;L'!$J$2</f>
        <v>21.272877505141487</v>
      </c>
    </row>
    <row r="188" spans="1:7" x14ac:dyDescent="0.2">
      <c r="A188" s="142" t="s">
        <v>107</v>
      </c>
      <c r="B188" s="54">
        <f>Material_compnt_GREET2!B$48*'Alloy_compnt_G&amp;L'!$K$2</f>
        <v>166.50212327397878</v>
      </c>
      <c r="C188" s="54">
        <f>Material_compnt_GREET2!C$48*'Alloy_compnt_G&amp;L'!$K$2</f>
        <v>59.290789154987465</v>
      </c>
      <c r="D188" s="54">
        <f>Material_compnt_GREET2!D$48*'Alloy_compnt_G&amp;L'!$K$2</f>
        <v>194.42791707396506</v>
      </c>
      <c r="E188" s="54">
        <f>Material_compnt_GREET2!E$48*'Alloy_compnt_G&amp;L'!$K$2</f>
        <v>66.892128588269713</v>
      </c>
      <c r="F188" s="54">
        <f>Material_compnt_GREET2!F$48*'Alloy_compnt_G&amp;L'!$K$2</f>
        <v>186.58360542840686</v>
      </c>
      <c r="G188" s="54">
        <f>Material_compnt_GREET2!G$48*'Alloy_compnt_G&amp;L'!$K$2</f>
        <v>66.603040565835656</v>
      </c>
    </row>
    <row r="189" spans="1:7" x14ac:dyDescent="0.2">
      <c r="A189" s="142" t="s">
        <v>91</v>
      </c>
      <c r="B189" s="54">
        <v>0</v>
      </c>
      <c r="C189" s="54">
        <v>0</v>
      </c>
      <c r="D189" s="54">
        <v>0</v>
      </c>
      <c r="E189" s="54">
        <v>0</v>
      </c>
      <c r="F189" s="54">
        <v>0</v>
      </c>
      <c r="G189" s="54">
        <v>0</v>
      </c>
    </row>
    <row r="190" spans="1:7" x14ac:dyDescent="0.2">
      <c r="A190" s="142" t="s">
        <v>204</v>
      </c>
      <c r="B190" s="54">
        <f>Material_compnt_GREET2!B$49*'Alloy_compnt_G&amp;L'!$Q$2</f>
        <v>19.417379234823276</v>
      </c>
      <c r="C190" s="54">
        <f>Material_compnt_GREET2!C$49*'Alloy_compnt_G&amp;L'!$Q$2</f>
        <v>19.86999962844224</v>
      </c>
      <c r="D190" s="54">
        <f>Material_compnt_GREET2!D$49*'Alloy_compnt_G&amp;L'!$Q$2</f>
        <v>22.674068807217182</v>
      </c>
      <c r="E190" s="54">
        <f>Material_compnt_GREET2!E$49*'Alloy_compnt_G&amp;L'!$Q$2</f>
        <v>24.316637487518761</v>
      </c>
      <c r="F190" s="54">
        <f>Material_compnt_GREET2!F$49*'Alloy_compnt_G&amp;L'!$Q$2</f>
        <v>21.759269818093731</v>
      </c>
      <c r="G190" s="54">
        <f>Material_compnt_GREET2!G$49*'Alloy_compnt_G&amp;L'!$Q$2</f>
        <v>25.392502570513702</v>
      </c>
    </row>
    <row r="191" spans="1:7" x14ac:dyDescent="0.2">
      <c r="A191" s="144" t="s">
        <v>104</v>
      </c>
      <c r="B191" s="54">
        <f>Material_compnt_GREET2!B$49*'Alloy_compnt_G&amp;L'!$R$2</f>
        <v>3.4265963355570497</v>
      </c>
      <c r="C191" s="54">
        <f>Material_compnt_GREET2!C$49*'Alloy_compnt_G&amp;L'!$R$2</f>
        <v>3.5064705226662785</v>
      </c>
      <c r="D191" s="54">
        <f>Material_compnt_GREET2!D$49*'Alloy_compnt_G&amp;L'!$R$2</f>
        <v>4.0013062600971505</v>
      </c>
      <c r="E191" s="54">
        <f>Material_compnt_GREET2!E$49*'Alloy_compnt_G&amp;L'!$R$2</f>
        <v>4.291171321326841</v>
      </c>
      <c r="F191" s="54">
        <f>Material_compnt_GREET2!F$49*'Alloy_compnt_G&amp;L'!$R$2</f>
        <v>3.8398711443694826</v>
      </c>
      <c r="G191" s="54">
        <f>Material_compnt_GREET2!G$49*'Alloy_compnt_G&amp;L'!$R$2</f>
        <v>4.4810298653847722</v>
      </c>
    </row>
    <row r="192" spans="1:7" x14ac:dyDescent="0.2">
      <c r="A192" s="145" t="s">
        <v>244</v>
      </c>
      <c r="B192" s="54">
        <f>Material_compnt_GREET2!B$50*'Alloy_compnt_G&amp;L'!$M$2*Al_alloy_use_compnt!$E3</f>
        <v>0</v>
      </c>
      <c r="C192" s="54">
        <f>Material_compnt_GREET2!C$50*'Alloy_compnt_G&amp;L'!$M$2*Al_alloy_use_compnt!$E3</f>
        <v>0</v>
      </c>
      <c r="D192" s="54">
        <f>Material_compnt_GREET2!D$50*'Alloy_compnt_G&amp;L'!$M$2*Al_alloy_use_compnt!$E3</f>
        <v>0</v>
      </c>
      <c r="E192" s="54">
        <f>Material_compnt_GREET2!E$50*'Alloy_compnt_G&amp;L'!$M$2*Al_alloy_use_compnt!$E3</f>
        <v>0</v>
      </c>
      <c r="F192" s="54">
        <f>Material_compnt_GREET2!F$50*'Alloy_compnt_G&amp;L'!$M$2*Al_alloy_use_compnt!$E3</f>
        <v>0</v>
      </c>
      <c r="G192" s="54">
        <f>Material_compnt_GREET2!G$50*'Alloy_compnt_G&amp;L'!$M$2*Al_alloy_use_compnt!$E3</f>
        <v>0</v>
      </c>
    </row>
    <row r="193" spans="1:7" x14ac:dyDescent="0.2">
      <c r="A193" s="145" t="s">
        <v>245</v>
      </c>
      <c r="B193" s="54">
        <f>Material_compnt_GREET2!B$50*'Alloy_compnt_G&amp;L'!$M$2*Al_alloy_use_compnt!$E4</f>
        <v>0</v>
      </c>
      <c r="C193" s="54">
        <f>Material_compnt_GREET2!C$50*'Alloy_compnt_G&amp;L'!$M$2*Al_alloy_use_compnt!$E4</f>
        <v>0</v>
      </c>
      <c r="D193" s="54">
        <f>Material_compnt_GREET2!D$50*'Alloy_compnt_G&amp;L'!$M$2*Al_alloy_use_compnt!$E4</f>
        <v>0</v>
      </c>
      <c r="E193" s="54">
        <f>Material_compnt_GREET2!E$50*'Alloy_compnt_G&amp;L'!$M$2*Al_alloy_use_compnt!$E4</f>
        <v>0</v>
      </c>
      <c r="F193" s="54">
        <f>Material_compnt_GREET2!F$50*'Alloy_compnt_G&amp;L'!$M$2*Al_alloy_use_compnt!$E4</f>
        <v>0</v>
      </c>
      <c r="G193" s="54">
        <f>Material_compnt_GREET2!G$50*'Alloy_compnt_G&amp;L'!$M$2*Al_alloy_use_compnt!$E4</f>
        <v>0</v>
      </c>
    </row>
    <row r="194" spans="1:7" x14ac:dyDescent="0.2">
      <c r="A194" s="145" t="s">
        <v>246</v>
      </c>
      <c r="B194" s="54">
        <f>Material_compnt_GREET2!B$50*'Alloy_compnt_G&amp;L'!$M$2*Al_alloy_use_compnt!$E5</f>
        <v>0</v>
      </c>
      <c r="C194" s="54">
        <f>Material_compnt_GREET2!C$50*'Alloy_compnt_G&amp;L'!$M$2*Al_alloy_use_compnt!$E5</f>
        <v>0</v>
      </c>
      <c r="D194" s="54">
        <f>Material_compnt_GREET2!D$50*'Alloy_compnt_G&amp;L'!$M$2*Al_alloy_use_compnt!$E5</f>
        <v>0</v>
      </c>
      <c r="E194" s="54">
        <f>Material_compnt_GREET2!E$50*'Alloy_compnt_G&amp;L'!$M$2*Al_alloy_use_compnt!$E5</f>
        <v>0</v>
      </c>
      <c r="F194" s="54">
        <f>Material_compnt_GREET2!F$50*'Alloy_compnt_G&amp;L'!$M$2*Al_alloy_use_compnt!$E5</f>
        <v>0</v>
      </c>
      <c r="G194" s="54">
        <f>Material_compnt_GREET2!G$50*'Alloy_compnt_G&amp;L'!$M$2*Al_alloy_use_compnt!$E5</f>
        <v>0</v>
      </c>
    </row>
    <row r="195" spans="1:7" x14ac:dyDescent="0.2">
      <c r="A195" s="145" t="s">
        <v>247</v>
      </c>
      <c r="B195" s="54">
        <f>Material_compnt_GREET2!B$50*'Alloy_compnt_G&amp;L'!$M$2*Al_alloy_use_compnt!$E6</f>
        <v>0</v>
      </c>
      <c r="C195" s="54">
        <f>Material_compnt_GREET2!C$50*'Alloy_compnt_G&amp;L'!$M$2*Al_alloy_use_compnt!$E6</f>
        <v>0</v>
      </c>
      <c r="D195" s="54">
        <f>Material_compnt_GREET2!D$50*'Alloy_compnt_G&amp;L'!$M$2*Al_alloy_use_compnt!$E6</f>
        <v>0</v>
      </c>
      <c r="E195" s="54">
        <f>Material_compnt_GREET2!E$50*'Alloy_compnt_G&amp;L'!$M$2*Al_alloy_use_compnt!$E6</f>
        <v>0</v>
      </c>
      <c r="F195" s="54">
        <f>Material_compnt_GREET2!F$50*'Alloy_compnt_G&amp;L'!$M$2*Al_alloy_use_compnt!$E6</f>
        <v>0</v>
      </c>
      <c r="G195" s="54">
        <f>Material_compnt_GREET2!G$50*'Alloy_compnt_G&amp;L'!$M$2*Al_alloy_use_compnt!$E6</f>
        <v>0</v>
      </c>
    </row>
    <row r="196" spans="1:7" x14ac:dyDescent="0.2">
      <c r="A196" s="145" t="s">
        <v>248</v>
      </c>
      <c r="B196" s="54">
        <f>Material_compnt_GREET2!B$50*'Alloy_compnt_G&amp;L'!$M$2*Al_alloy_use_compnt!$E7</f>
        <v>0</v>
      </c>
      <c r="C196" s="54">
        <f>Material_compnt_GREET2!C$50*'Alloy_compnt_G&amp;L'!$M$2*Al_alloy_use_compnt!$E7</f>
        <v>0</v>
      </c>
      <c r="D196" s="54">
        <f>Material_compnt_GREET2!D$50*'Alloy_compnt_G&amp;L'!$M$2*Al_alloy_use_compnt!$E7</f>
        <v>0</v>
      </c>
      <c r="E196" s="54">
        <f>Material_compnt_GREET2!E$50*'Alloy_compnt_G&amp;L'!$M$2*Al_alloy_use_compnt!$E7</f>
        <v>0</v>
      </c>
      <c r="F196" s="54">
        <f>Material_compnt_GREET2!F$50*'Alloy_compnt_G&amp;L'!$M$2*Al_alloy_use_compnt!$E7</f>
        <v>0</v>
      </c>
      <c r="G196" s="54">
        <f>Material_compnt_GREET2!G$50*'Alloy_compnt_G&amp;L'!$M$2*Al_alloy_use_compnt!$E7</f>
        <v>0</v>
      </c>
    </row>
    <row r="197" spans="1:7" x14ac:dyDescent="0.2">
      <c r="A197" s="145" t="s">
        <v>249</v>
      </c>
      <c r="B197" s="54">
        <f>Material_compnt_GREET2!B$50*'Alloy_compnt_G&amp;L'!$M$2*Al_alloy_use_compnt!$E8</f>
        <v>0</v>
      </c>
      <c r="C197" s="54">
        <f>Material_compnt_GREET2!C$50*'Alloy_compnt_G&amp;L'!$M$2*Al_alloy_use_compnt!$E8</f>
        <v>0</v>
      </c>
      <c r="D197" s="54">
        <f>Material_compnt_GREET2!D$50*'Alloy_compnt_G&amp;L'!$M$2*Al_alloy_use_compnt!$E8</f>
        <v>0</v>
      </c>
      <c r="E197" s="54">
        <f>Material_compnt_GREET2!E$50*'Alloy_compnt_G&amp;L'!$M$2*Al_alloy_use_compnt!$E8</f>
        <v>0</v>
      </c>
      <c r="F197" s="54">
        <f>Material_compnt_GREET2!F$50*'Alloy_compnt_G&amp;L'!$M$2*Al_alloy_use_compnt!$E8</f>
        <v>0</v>
      </c>
      <c r="G197" s="54">
        <f>Material_compnt_GREET2!G$50*'Alloy_compnt_G&amp;L'!$M$2*Al_alloy_use_compnt!$E8</f>
        <v>0</v>
      </c>
    </row>
    <row r="198" spans="1:7" x14ac:dyDescent="0.2">
      <c r="A198" s="145" t="s">
        <v>250</v>
      </c>
      <c r="B198" s="54">
        <f>Material_compnt_GREET2!B$50*'Alloy_compnt_G&amp;L'!$M$2*Al_alloy_use_compnt!$E9</f>
        <v>0</v>
      </c>
      <c r="C198" s="54">
        <f>Material_compnt_GREET2!C$50*'Alloy_compnt_G&amp;L'!$M$2*Al_alloy_use_compnt!$E9</f>
        <v>0</v>
      </c>
      <c r="D198" s="54">
        <f>Material_compnt_GREET2!D$50*'Alloy_compnt_G&amp;L'!$M$2*Al_alloy_use_compnt!$E9</f>
        <v>0</v>
      </c>
      <c r="E198" s="54">
        <f>Material_compnt_GREET2!E$50*'Alloy_compnt_G&amp;L'!$M$2*Al_alloy_use_compnt!$E9</f>
        <v>0</v>
      </c>
      <c r="F198" s="54">
        <f>Material_compnt_GREET2!F$50*'Alloy_compnt_G&amp;L'!$M$2*Al_alloy_use_compnt!$E9</f>
        <v>0</v>
      </c>
      <c r="G198" s="54">
        <f>Material_compnt_GREET2!G$50*'Alloy_compnt_G&amp;L'!$M$2*Al_alloy_use_compnt!$E9</f>
        <v>0</v>
      </c>
    </row>
    <row r="199" spans="1:7" x14ac:dyDescent="0.2">
      <c r="A199" s="145" t="s">
        <v>251</v>
      </c>
      <c r="B199" s="54">
        <f>Material_compnt_GREET2!B$50*'Alloy_compnt_G&amp;L'!$M$2*Al_alloy_use_compnt!$E10</f>
        <v>0</v>
      </c>
      <c r="C199" s="54">
        <f>Material_compnt_GREET2!C$50*'Alloy_compnt_G&amp;L'!$M$2*Al_alloy_use_compnt!$E10</f>
        <v>0</v>
      </c>
      <c r="D199" s="54">
        <f>Material_compnt_GREET2!D$50*'Alloy_compnt_G&amp;L'!$M$2*Al_alloy_use_compnt!$E10</f>
        <v>0</v>
      </c>
      <c r="E199" s="54">
        <f>Material_compnt_GREET2!E$50*'Alloy_compnt_G&amp;L'!$M$2*Al_alloy_use_compnt!$E10</f>
        <v>0</v>
      </c>
      <c r="F199" s="54">
        <f>Material_compnt_GREET2!F$50*'Alloy_compnt_G&amp;L'!$M$2*Al_alloy_use_compnt!$E10</f>
        <v>0</v>
      </c>
      <c r="G199" s="54">
        <f>Material_compnt_GREET2!G$50*'Alloy_compnt_G&amp;L'!$M$2*Al_alloy_use_compnt!$E10</f>
        <v>0</v>
      </c>
    </row>
    <row r="200" spans="1:7" x14ac:dyDescent="0.2">
      <c r="A200" s="145" t="s">
        <v>252</v>
      </c>
      <c r="B200" s="54">
        <f>Material_compnt_GREET2!B$50*'Alloy_compnt_G&amp;L'!$M$2*Al_alloy_use_compnt!$E11</f>
        <v>0</v>
      </c>
      <c r="C200" s="54">
        <f>Material_compnt_GREET2!C$50*'Alloy_compnt_G&amp;L'!$M$2*Al_alloy_use_compnt!$E11</f>
        <v>0</v>
      </c>
      <c r="D200" s="54">
        <f>Material_compnt_GREET2!D$50*'Alloy_compnt_G&amp;L'!$M$2*Al_alloy_use_compnt!$E11</f>
        <v>0</v>
      </c>
      <c r="E200" s="54">
        <f>Material_compnt_GREET2!E$50*'Alloy_compnt_G&amp;L'!$M$2*Al_alloy_use_compnt!$E11</f>
        <v>0</v>
      </c>
      <c r="F200" s="54">
        <f>Material_compnt_GREET2!F$50*'Alloy_compnt_G&amp;L'!$M$2*Al_alloy_use_compnt!$E11</f>
        <v>0</v>
      </c>
      <c r="G200" s="54">
        <f>Material_compnt_GREET2!G$50*'Alloy_compnt_G&amp;L'!$M$2*Al_alloy_use_compnt!$E11</f>
        <v>0</v>
      </c>
    </row>
    <row r="201" spans="1:7" x14ac:dyDescent="0.2">
      <c r="A201" s="145" t="s">
        <v>253</v>
      </c>
      <c r="B201" s="54">
        <f>Material_compnt_GREET2!B$50*'Alloy_compnt_G&amp;L'!$M$2*Al_alloy_use_compnt!$E12</f>
        <v>0</v>
      </c>
      <c r="C201" s="54">
        <f>Material_compnt_GREET2!C$50*'Alloy_compnt_G&amp;L'!$M$2*Al_alloy_use_compnt!$E12</f>
        <v>0</v>
      </c>
      <c r="D201" s="54">
        <f>Material_compnt_GREET2!D$50*'Alloy_compnt_G&amp;L'!$M$2*Al_alloy_use_compnt!$E12</f>
        <v>0</v>
      </c>
      <c r="E201" s="54">
        <f>Material_compnt_GREET2!E$50*'Alloy_compnt_G&amp;L'!$M$2*Al_alloy_use_compnt!$E12</f>
        <v>0</v>
      </c>
      <c r="F201" s="54">
        <f>Material_compnt_GREET2!F$50*'Alloy_compnt_G&amp;L'!$M$2*Al_alloy_use_compnt!$E12</f>
        <v>0</v>
      </c>
      <c r="G201" s="54">
        <f>Material_compnt_GREET2!G$50*'Alloy_compnt_G&amp;L'!$M$2*Al_alloy_use_compnt!$E12</f>
        <v>0</v>
      </c>
    </row>
    <row r="202" spans="1:7" x14ac:dyDescent="0.2">
      <c r="A202" s="145" t="s">
        <v>254</v>
      </c>
      <c r="B202" s="54">
        <f>Material_compnt_GREET2!B$50*'Alloy_compnt_G&amp;L'!$M$2*Al_alloy_use_compnt!$E13</f>
        <v>0</v>
      </c>
      <c r="C202" s="54">
        <f>Material_compnt_GREET2!C$50*'Alloy_compnt_G&amp;L'!$M$2*Al_alloy_use_compnt!$E13</f>
        <v>0</v>
      </c>
      <c r="D202" s="54">
        <f>Material_compnt_GREET2!D$50*'Alloy_compnt_G&amp;L'!$M$2*Al_alloy_use_compnt!$E13</f>
        <v>0</v>
      </c>
      <c r="E202" s="54">
        <f>Material_compnt_GREET2!E$50*'Alloy_compnt_G&amp;L'!$M$2*Al_alloy_use_compnt!$E13</f>
        <v>0</v>
      </c>
      <c r="F202" s="54">
        <f>Material_compnt_GREET2!F$50*'Alloy_compnt_G&amp;L'!$M$2*Al_alloy_use_compnt!$E13</f>
        <v>0</v>
      </c>
      <c r="G202" s="54">
        <f>Material_compnt_GREET2!G$50*'Alloy_compnt_G&amp;L'!$M$2*Al_alloy_use_compnt!$E13</f>
        <v>0</v>
      </c>
    </row>
    <row r="203" spans="1:7" x14ac:dyDescent="0.2">
      <c r="A203" s="146" t="s">
        <v>255</v>
      </c>
      <c r="B203" s="54">
        <f>Material_compnt_GREET2!B$50*'Alloy_compnt_G&amp;L'!$M$2*Al_alloy_use_compnt!$E14</f>
        <v>0</v>
      </c>
      <c r="C203" s="54">
        <f>Material_compnt_GREET2!C$50*'Alloy_compnt_G&amp;L'!$M$2*Al_alloy_use_compnt!$E14</f>
        <v>0</v>
      </c>
      <c r="D203" s="54">
        <f>Material_compnt_GREET2!D$50*'Alloy_compnt_G&amp;L'!$M$2*Al_alloy_use_compnt!$E14</f>
        <v>0</v>
      </c>
      <c r="E203" s="54">
        <f>Material_compnt_GREET2!E$50*'Alloy_compnt_G&amp;L'!$M$2*Al_alloy_use_compnt!$E14</f>
        <v>0</v>
      </c>
      <c r="F203" s="54">
        <f>Material_compnt_GREET2!F$50*'Alloy_compnt_G&amp;L'!$M$2*Al_alloy_use_compnt!$E14</f>
        <v>0</v>
      </c>
      <c r="G203" s="54">
        <f>Material_compnt_GREET2!G$50*'Alloy_compnt_G&amp;L'!$M$2*Al_alloy_use_compnt!$E14</f>
        <v>0</v>
      </c>
    </row>
    <row r="204" spans="1:7" x14ac:dyDescent="0.2">
      <c r="A204" s="145" t="s">
        <v>256</v>
      </c>
      <c r="B204" s="54">
        <f>Material_compnt_GREET2!B$50*'Alloy_compnt_G&amp;L'!$M$2*Al_alloy_use_compnt!$E15</f>
        <v>0</v>
      </c>
      <c r="C204" s="54">
        <f>Material_compnt_GREET2!C$50*'Alloy_compnt_G&amp;L'!$M$2*Al_alloy_use_compnt!$E15</f>
        <v>0</v>
      </c>
      <c r="D204" s="54">
        <f>Material_compnt_GREET2!D$50*'Alloy_compnt_G&amp;L'!$M$2*Al_alloy_use_compnt!$E15</f>
        <v>0</v>
      </c>
      <c r="E204" s="54">
        <f>Material_compnt_GREET2!E$50*'Alloy_compnt_G&amp;L'!$M$2*Al_alloy_use_compnt!$E15</f>
        <v>0</v>
      </c>
      <c r="F204" s="54">
        <f>Material_compnt_GREET2!F$50*'Alloy_compnt_G&amp;L'!$M$2*Al_alloy_use_compnt!$E15</f>
        <v>0</v>
      </c>
      <c r="G204" s="54">
        <f>Material_compnt_GREET2!G$50*'Alloy_compnt_G&amp;L'!$M$2*Al_alloy_use_compnt!$E15</f>
        <v>0</v>
      </c>
    </row>
    <row r="205" spans="1:7" x14ac:dyDescent="0.2">
      <c r="A205" s="145" t="s">
        <v>257</v>
      </c>
      <c r="B205" s="54">
        <f>Material_compnt_GREET2!B$50*'Alloy_compnt_G&amp;L'!$M$2*Al_alloy_use_compnt!$E16</f>
        <v>0</v>
      </c>
      <c r="C205" s="54">
        <f>Material_compnt_GREET2!C$50*'Alloy_compnt_G&amp;L'!$M$2*Al_alloy_use_compnt!$E16</f>
        <v>0</v>
      </c>
      <c r="D205" s="54">
        <f>Material_compnt_GREET2!D$50*'Alloy_compnt_G&amp;L'!$M$2*Al_alloy_use_compnt!$E16</f>
        <v>0</v>
      </c>
      <c r="E205" s="54">
        <f>Material_compnt_GREET2!E$50*'Alloy_compnt_G&amp;L'!$M$2*Al_alloy_use_compnt!$E16</f>
        <v>0</v>
      </c>
      <c r="F205" s="54">
        <f>Material_compnt_GREET2!F$50*'Alloy_compnt_G&amp;L'!$M$2*Al_alloy_use_compnt!$E16</f>
        <v>0</v>
      </c>
      <c r="G205" s="54">
        <f>Material_compnt_GREET2!G$50*'Alloy_compnt_G&amp;L'!$M$2*Al_alloy_use_compnt!$E16</f>
        <v>0</v>
      </c>
    </row>
    <row r="206" spans="1:7" x14ac:dyDescent="0.2">
      <c r="A206" s="145" t="s">
        <v>258</v>
      </c>
      <c r="B206" s="54">
        <f>Material_compnt_GREET2!B$50*'Alloy_compnt_G&amp;L'!$M$2*Al_alloy_use_compnt!$E17</f>
        <v>0</v>
      </c>
      <c r="C206" s="54">
        <f>Material_compnt_GREET2!C$50*'Alloy_compnt_G&amp;L'!$M$2*Al_alloy_use_compnt!$E17</f>
        <v>0</v>
      </c>
      <c r="D206" s="54">
        <f>Material_compnt_GREET2!D$50*'Alloy_compnt_G&amp;L'!$M$2*Al_alloy_use_compnt!$E17</f>
        <v>0</v>
      </c>
      <c r="E206" s="54">
        <f>Material_compnt_GREET2!E$50*'Alloy_compnt_G&amp;L'!$M$2*Al_alloy_use_compnt!$E17</f>
        <v>0</v>
      </c>
      <c r="F206" s="54">
        <f>Material_compnt_GREET2!F$50*'Alloy_compnt_G&amp;L'!$M$2*Al_alloy_use_compnt!$E17</f>
        <v>0</v>
      </c>
      <c r="G206" s="54">
        <f>Material_compnt_GREET2!G$50*'Alloy_compnt_G&amp;L'!$M$2*Al_alloy_use_compnt!$E17</f>
        <v>0</v>
      </c>
    </row>
    <row r="207" spans="1:7" x14ac:dyDescent="0.2">
      <c r="A207" s="142" t="s">
        <v>259</v>
      </c>
      <c r="B207" s="54">
        <f>Material_compnt_GREET2!B$50*'Alloy_compnt_G&amp;L'!$M$2*Al_alloy_use_compnt!$E18</f>
        <v>0</v>
      </c>
      <c r="C207" s="54">
        <f>Material_compnt_GREET2!C$50*'Alloy_compnt_G&amp;L'!$M$2*Al_alloy_use_compnt!$E18</f>
        <v>0</v>
      </c>
      <c r="D207" s="54">
        <f>Material_compnt_GREET2!D$50*'Alloy_compnt_G&amp;L'!$M$2*Al_alloy_use_compnt!$E18</f>
        <v>0</v>
      </c>
      <c r="E207" s="54">
        <f>Material_compnt_GREET2!E$50*'Alloy_compnt_G&amp;L'!$M$2*Al_alloy_use_compnt!$E18</f>
        <v>0</v>
      </c>
      <c r="F207" s="54">
        <f>Material_compnt_GREET2!F$50*'Alloy_compnt_G&amp;L'!$M$2*Al_alloy_use_compnt!$E18</f>
        <v>0</v>
      </c>
      <c r="G207" s="54">
        <f>Material_compnt_GREET2!G$50*'Alloy_compnt_G&amp;L'!$M$2*Al_alloy_use_compnt!$E18</f>
        <v>0</v>
      </c>
    </row>
    <row r="208" spans="1:7" x14ac:dyDescent="0.2">
      <c r="A208" s="147" t="s">
        <v>260</v>
      </c>
      <c r="B208" s="54">
        <f>Material_compnt_GREET2!B$50*'Alloy_compnt_G&amp;L'!$M$2*Al_alloy_use_compnt!$E19</f>
        <v>0</v>
      </c>
      <c r="C208" s="54">
        <f>Material_compnt_GREET2!C$50*'Alloy_compnt_G&amp;L'!$M$2*Al_alloy_use_compnt!$E19</f>
        <v>0</v>
      </c>
      <c r="D208" s="54">
        <f>Material_compnt_GREET2!D$50*'Alloy_compnt_G&amp;L'!$M$2*Al_alloy_use_compnt!$E19</f>
        <v>0</v>
      </c>
      <c r="E208" s="54">
        <f>Material_compnt_GREET2!E$50*'Alloy_compnt_G&amp;L'!$M$2*Al_alloy_use_compnt!$E19</f>
        <v>0</v>
      </c>
      <c r="F208" s="54">
        <f>Material_compnt_GREET2!F$50*'Alloy_compnt_G&amp;L'!$M$2*Al_alloy_use_compnt!$E19</f>
        <v>0</v>
      </c>
      <c r="G208" s="54">
        <f>Material_compnt_GREET2!G$50*'Alloy_compnt_G&amp;L'!$M$2*Al_alloy_use_compnt!$E19</f>
        <v>0</v>
      </c>
    </row>
    <row r="209" spans="1:7" x14ac:dyDescent="0.2">
      <c r="A209" s="142" t="s">
        <v>261</v>
      </c>
      <c r="B209" s="54">
        <f>Material_compnt_GREET2!B$50*'Alloy_compnt_G&amp;L'!$N$2*Al_alloy_use_compnt!$E3</f>
        <v>0</v>
      </c>
      <c r="C209" s="54">
        <f>Material_compnt_GREET2!C$50*'Alloy_compnt_G&amp;L'!$N$2*Al_alloy_use_compnt!$E3</f>
        <v>0</v>
      </c>
      <c r="D209" s="54">
        <f>Material_compnt_GREET2!D$50*'Alloy_compnt_G&amp;L'!$N$2*Al_alloy_use_compnt!$E3</f>
        <v>0</v>
      </c>
      <c r="E209" s="54">
        <f>Material_compnt_GREET2!E$50*'Alloy_compnt_G&amp;L'!$N$2*Al_alloy_use_compnt!$E3</f>
        <v>0</v>
      </c>
      <c r="F209" s="54">
        <f>Material_compnt_GREET2!F$50*'Alloy_compnt_G&amp;L'!$N$2*Al_alloy_use_compnt!$E3</f>
        <v>0</v>
      </c>
      <c r="G209" s="54">
        <f>Material_compnt_GREET2!G$50*'Alloy_compnt_G&amp;L'!$N$2*Al_alloy_use_compnt!$E3</f>
        <v>0</v>
      </c>
    </row>
    <row r="210" spans="1:7" x14ac:dyDescent="0.2">
      <c r="A210" s="142" t="s">
        <v>262</v>
      </c>
      <c r="B210" s="54">
        <f>Material_compnt_GREET2!B$50*'Alloy_compnt_G&amp;L'!$N$2*Al_alloy_use_compnt!$E4</f>
        <v>0</v>
      </c>
      <c r="C210" s="54">
        <f>Material_compnt_GREET2!C$50*'Alloy_compnt_G&amp;L'!$N$2*Al_alloy_use_compnt!$E4</f>
        <v>0</v>
      </c>
      <c r="D210" s="54">
        <f>Material_compnt_GREET2!D$50*'Alloy_compnt_G&amp;L'!$N$2*Al_alloy_use_compnt!$E4</f>
        <v>0</v>
      </c>
      <c r="E210" s="54">
        <f>Material_compnt_GREET2!E$50*'Alloy_compnt_G&amp;L'!$N$2*Al_alloy_use_compnt!$E4</f>
        <v>0</v>
      </c>
      <c r="F210" s="54">
        <f>Material_compnt_GREET2!F$50*'Alloy_compnt_G&amp;L'!$N$2*Al_alloy_use_compnt!$E4</f>
        <v>0</v>
      </c>
      <c r="G210" s="54">
        <f>Material_compnt_GREET2!G$50*'Alloy_compnt_G&amp;L'!$N$2*Al_alloy_use_compnt!$E4</f>
        <v>0</v>
      </c>
    </row>
    <row r="211" spans="1:7" x14ac:dyDescent="0.2">
      <c r="A211" s="142" t="s">
        <v>263</v>
      </c>
      <c r="B211" s="54">
        <f>Material_compnt_GREET2!B$50*'Alloy_compnt_G&amp;L'!$N$2*Al_alloy_use_compnt!$E5</f>
        <v>0</v>
      </c>
      <c r="C211" s="54">
        <f>Material_compnt_GREET2!C$50*'Alloy_compnt_G&amp;L'!$N$2*Al_alloy_use_compnt!$E5</f>
        <v>0</v>
      </c>
      <c r="D211" s="54">
        <f>Material_compnt_GREET2!D$50*'Alloy_compnt_G&amp;L'!$N$2*Al_alloy_use_compnt!$E5</f>
        <v>0</v>
      </c>
      <c r="E211" s="54">
        <f>Material_compnt_GREET2!E$50*'Alloy_compnt_G&amp;L'!$N$2*Al_alloy_use_compnt!$E5</f>
        <v>0</v>
      </c>
      <c r="F211" s="54">
        <f>Material_compnt_GREET2!F$50*'Alloy_compnt_G&amp;L'!$N$2*Al_alloy_use_compnt!$E5</f>
        <v>0</v>
      </c>
      <c r="G211" s="54">
        <f>Material_compnt_GREET2!G$50*'Alloy_compnt_G&amp;L'!$N$2*Al_alloy_use_compnt!$E5</f>
        <v>0</v>
      </c>
    </row>
    <row r="212" spans="1:7" x14ac:dyDescent="0.2">
      <c r="A212" s="142" t="s">
        <v>264</v>
      </c>
      <c r="B212" s="54">
        <f>Material_compnt_GREET2!B$50*'Alloy_compnt_G&amp;L'!$N$2*Al_alloy_use_compnt!$E6</f>
        <v>0</v>
      </c>
      <c r="C212" s="54">
        <f>Material_compnt_GREET2!C$50*'Alloy_compnt_G&amp;L'!$N$2*Al_alloy_use_compnt!$E6</f>
        <v>0</v>
      </c>
      <c r="D212" s="54">
        <f>Material_compnt_GREET2!D$50*'Alloy_compnt_G&amp;L'!$N$2*Al_alloy_use_compnt!$E6</f>
        <v>0</v>
      </c>
      <c r="E212" s="54">
        <f>Material_compnt_GREET2!E$50*'Alloy_compnt_G&amp;L'!$N$2*Al_alloy_use_compnt!$E6</f>
        <v>0</v>
      </c>
      <c r="F212" s="54">
        <f>Material_compnt_GREET2!F$50*'Alloy_compnt_G&amp;L'!$N$2*Al_alloy_use_compnt!$E6</f>
        <v>0</v>
      </c>
      <c r="G212" s="54">
        <f>Material_compnt_GREET2!G$50*'Alloy_compnt_G&amp;L'!$N$2*Al_alloy_use_compnt!$E6</f>
        <v>0</v>
      </c>
    </row>
    <row r="213" spans="1:7" x14ac:dyDescent="0.2">
      <c r="A213" s="142" t="s">
        <v>265</v>
      </c>
      <c r="B213" s="54">
        <f>Material_compnt_GREET2!B$50*'Alloy_compnt_G&amp;L'!$N$2*Al_alloy_use_compnt!$E7</f>
        <v>0</v>
      </c>
      <c r="C213" s="54">
        <f>Material_compnt_GREET2!C$50*'Alloy_compnt_G&amp;L'!$N$2*Al_alloy_use_compnt!$E7</f>
        <v>0</v>
      </c>
      <c r="D213" s="54">
        <f>Material_compnt_GREET2!D$50*'Alloy_compnt_G&amp;L'!$N$2*Al_alloy_use_compnt!$E7</f>
        <v>0</v>
      </c>
      <c r="E213" s="54">
        <f>Material_compnt_GREET2!E$50*'Alloy_compnt_G&amp;L'!$N$2*Al_alloy_use_compnt!$E7</f>
        <v>0</v>
      </c>
      <c r="F213" s="54">
        <f>Material_compnt_GREET2!F$50*'Alloy_compnt_G&amp;L'!$N$2*Al_alloy_use_compnt!$E7</f>
        <v>0</v>
      </c>
      <c r="G213" s="54">
        <f>Material_compnt_GREET2!G$50*'Alloy_compnt_G&amp;L'!$N$2*Al_alloy_use_compnt!$E7</f>
        <v>0</v>
      </c>
    </row>
    <row r="214" spans="1:7" x14ac:dyDescent="0.2">
      <c r="A214" s="142" t="s">
        <v>266</v>
      </c>
      <c r="B214" s="54">
        <f>Material_compnt_GREET2!B$50*'Alloy_compnt_G&amp;L'!$N$2*Al_alloy_use_compnt!$E8</f>
        <v>0</v>
      </c>
      <c r="C214" s="54">
        <f>Material_compnt_GREET2!C$50*'Alloy_compnt_G&amp;L'!$N$2*Al_alloy_use_compnt!$E8</f>
        <v>0</v>
      </c>
      <c r="D214" s="54">
        <f>Material_compnt_GREET2!D$50*'Alloy_compnt_G&amp;L'!$N$2*Al_alloy_use_compnt!$E8</f>
        <v>0</v>
      </c>
      <c r="E214" s="54">
        <f>Material_compnt_GREET2!E$50*'Alloy_compnt_G&amp;L'!$N$2*Al_alloy_use_compnt!$E8</f>
        <v>0</v>
      </c>
      <c r="F214" s="54">
        <f>Material_compnt_GREET2!F$50*'Alloy_compnt_G&amp;L'!$N$2*Al_alloy_use_compnt!$E8</f>
        <v>0</v>
      </c>
      <c r="G214" s="54">
        <f>Material_compnt_GREET2!G$50*'Alloy_compnt_G&amp;L'!$N$2*Al_alloy_use_compnt!$E8</f>
        <v>0</v>
      </c>
    </row>
    <row r="215" spans="1:7" x14ac:dyDescent="0.2">
      <c r="A215" s="142" t="s">
        <v>267</v>
      </c>
      <c r="B215" s="54">
        <f>Material_compnt_GREET2!B$50*'Alloy_compnt_G&amp;L'!$N$2*Al_alloy_use_compnt!$E9</f>
        <v>0</v>
      </c>
      <c r="C215" s="54">
        <f>Material_compnt_GREET2!C$50*'Alloy_compnt_G&amp;L'!$N$2*Al_alloy_use_compnt!$E9</f>
        <v>0.53559881802156706</v>
      </c>
      <c r="D215" s="54">
        <f>Material_compnt_GREET2!D$50*'Alloy_compnt_G&amp;L'!$N$2*Al_alloy_use_compnt!$E9</f>
        <v>0</v>
      </c>
      <c r="E215" s="54">
        <f>Material_compnt_GREET2!E$50*'Alloy_compnt_G&amp;L'!$N$2*Al_alloy_use_compnt!$E9</f>
        <v>0.58501361833819099</v>
      </c>
      <c r="F215" s="54">
        <f>Material_compnt_GREET2!F$50*'Alloy_compnt_G&amp;L'!$N$2*Al_alloy_use_compnt!$E9</f>
        <v>0</v>
      </c>
      <c r="G215" s="54">
        <f>Material_compnt_GREET2!G$50*'Alloy_compnt_G&amp;L'!$N$2*Al_alloy_use_compnt!$E9</f>
        <v>0.5628346690821453</v>
      </c>
    </row>
    <row r="216" spans="1:7" x14ac:dyDescent="0.2">
      <c r="A216" s="142" t="s">
        <v>268</v>
      </c>
      <c r="B216" s="54">
        <f>Material_compnt_GREET2!B$50*'Alloy_compnt_G&amp;L'!$N$2*Al_alloy_use_compnt!$E10</f>
        <v>0</v>
      </c>
      <c r="C216" s="54">
        <f>Material_compnt_GREET2!C$50*'Alloy_compnt_G&amp;L'!$N$2*Al_alloy_use_compnt!$E10</f>
        <v>0</v>
      </c>
      <c r="D216" s="54">
        <f>Material_compnt_GREET2!D$50*'Alloy_compnt_G&amp;L'!$N$2*Al_alloy_use_compnt!$E10</f>
        <v>0</v>
      </c>
      <c r="E216" s="54">
        <f>Material_compnt_GREET2!E$50*'Alloy_compnt_G&amp;L'!$N$2*Al_alloy_use_compnt!$E10</f>
        <v>0</v>
      </c>
      <c r="F216" s="54">
        <f>Material_compnt_GREET2!F$50*'Alloy_compnt_G&amp;L'!$N$2*Al_alloy_use_compnt!$E10</f>
        <v>0</v>
      </c>
      <c r="G216" s="54">
        <f>Material_compnt_GREET2!G$50*'Alloy_compnt_G&amp;L'!$N$2*Al_alloy_use_compnt!$E10</f>
        <v>0</v>
      </c>
    </row>
    <row r="217" spans="1:7" x14ac:dyDescent="0.2">
      <c r="A217" s="142" t="s">
        <v>269</v>
      </c>
      <c r="B217" s="54">
        <f>Material_compnt_GREET2!B$50*'Alloy_compnt_G&amp;L'!$N$2*Al_alloy_use_compnt!$E11</f>
        <v>0</v>
      </c>
      <c r="C217" s="54">
        <f>Material_compnt_GREET2!C$50*'Alloy_compnt_G&amp;L'!$N$2*Al_alloy_use_compnt!$E11</f>
        <v>0</v>
      </c>
      <c r="D217" s="54">
        <f>Material_compnt_GREET2!D$50*'Alloy_compnt_G&amp;L'!$N$2*Al_alloy_use_compnt!$E11</f>
        <v>0</v>
      </c>
      <c r="E217" s="54">
        <f>Material_compnt_GREET2!E$50*'Alloy_compnt_G&amp;L'!$N$2*Al_alloy_use_compnt!$E11</f>
        <v>0</v>
      </c>
      <c r="F217" s="54">
        <f>Material_compnt_GREET2!F$50*'Alloy_compnt_G&amp;L'!$N$2*Al_alloy_use_compnt!$E11</f>
        <v>0</v>
      </c>
      <c r="G217" s="54">
        <f>Material_compnt_GREET2!G$50*'Alloy_compnt_G&amp;L'!$N$2*Al_alloy_use_compnt!$E11</f>
        <v>0</v>
      </c>
    </row>
    <row r="218" spans="1:7" x14ac:dyDescent="0.2">
      <c r="A218" s="142" t="s">
        <v>270</v>
      </c>
      <c r="B218" s="54">
        <f>Material_compnt_GREET2!B$50*'Alloy_compnt_G&amp;L'!$N$2*Al_alloy_use_compnt!$E12</f>
        <v>0</v>
      </c>
      <c r="C218" s="54">
        <f>Material_compnt_GREET2!C$50*'Alloy_compnt_G&amp;L'!$N$2*Al_alloy_use_compnt!$E12</f>
        <v>0</v>
      </c>
      <c r="D218" s="54">
        <f>Material_compnt_GREET2!D$50*'Alloy_compnt_G&amp;L'!$N$2*Al_alloy_use_compnt!$E12</f>
        <v>0</v>
      </c>
      <c r="E218" s="54">
        <f>Material_compnt_GREET2!E$50*'Alloy_compnt_G&amp;L'!$N$2*Al_alloy_use_compnt!$E12</f>
        <v>0</v>
      </c>
      <c r="F218" s="54">
        <f>Material_compnt_GREET2!F$50*'Alloy_compnt_G&amp;L'!$N$2*Al_alloy_use_compnt!$E12</f>
        <v>0</v>
      </c>
      <c r="G218" s="54">
        <f>Material_compnt_GREET2!G$50*'Alloy_compnt_G&amp;L'!$N$2*Al_alloy_use_compnt!$E12</f>
        <v>0</v>
      </c>
    </row>
    <row r="219" spans="1:7" x14ac:dyDescent="0.2">
      <c r="A219" s="142" t="s">
        <v>271</v>
      </c>
      <c r="B219" s="54">
        <f>Material_compnt_GREET2!B$50*'Alloy_compnt_G&amp;L'!$N$2*Al_alloy_use_compnt!$E13</f>
        <v>0</v>
      </c>
      <c r="C219" s="54">
        <f>Material_compnt_GREET2!C$50*'Alloy_compnt_G&amp;L'!$N$2*Al_alloy_use_compnt!$E13</f>
        <v>0</v>
      </c>
      <c r="D219" s="54">
        <f>Material_compnt_GREET2!D$50*'Alloy_compnt_G&amp;L'!$N$2*Al_alloy_use_compnt!$E13</f>
        <v>0</v>
      </c>
      <c r="E219" s="54">
        <f>Material_compnt_GREET2!E$50*'Alloy_compnt_G&amp;L'!$N$2*Al_alloy_use_compnt!$E13</f>
        <v>0</v>
      </c>
      <c r="F219" s="54">
        <f>Material_compnt_GREET2!F$50*'Alloy_compnt_G&amp;L'!$N$2*Al_alloy_use_compnt!$E13</f>
        <v>0</v>
      </c>
      <c r="G219" s="54">
        <f>Material_compnt_GREET2!G$50*'Alloy_compnt_G&amp;L'!$N$2*Al_alloy_use_compnt!$E13</f>
        <v>0</v>
      </c>
    </row>
    <row r="220" spans="1:7" x14ac:dyDescent="0.2">
      <c r="A220" s="142" t="s">
        <v>272</v>
      </c>
      <c r="B220" s="54">
        <f>Material_compnt_GREET2!B$50*'Alloy_compnt_G&amp;L'!$N$2*Al_alloy_use_compnt!$E14</f>
        <v>0</v>
      </c>
      <c r="C220" s="54">
        <f>Material_compnt_GREET2!C$50*'Alloy_compnt_G&amp;L'!$N$2*Al_alloy_use_compnt!$E14</f>
        <v>0</v>
      </c>
      <c r="D220" s="54">
        <f>Material_compnt_GREET2!D$50*'Alloy_compnt_G&amp;L'!$N$2*Al_alloy_use_compnt!$E14</f>
        <v>0</v>
      </c>
      <c r="E220" s="54">
        <f>Material_compnt_GREET2!E$50*'Alloy_compnt_G&amp;L'!$N$2*Al_alloy_use_compnt!$E14</f>
        <v>0</v>
      </c>
      <c r="F220" s="54">
        <f>Material_compnt_GREET2!F$50*'Alloy_compnt_G&amp;L'!$N$2*Al_alloy_use_compnt!$E14</f>
        <v>0</v>
      </c>
      <c r="G220" s="54">
        <f>Material_compnt_GREET2!G$50*'Alloy_compnt_G&amp;L'!$N$2*Al_alloy_use_compnt!$E14</f>
        <v>0</v>
      </c>
    </row>
    <row r="221" spans="1:7" x14ac:dyDescent="0.2">
      <c r="A221" s="142" t="s">
        <v>273</v>
      </c>
      <c r="B221" s="54">
        <f>Material_compnt_GREET2!B$50*'Alloy_compnt_G&amp;L'!$N$2*Al_alloy_use_compnt!$E15</f>
        <v>0</v>
      </c>
      <c r="C221" s="54">
        <f>Material_compnt_GREET2!C$50*'Alloy_compnt_G&amp;L'!$N$2*Al_alloy_use_compnt!$E15</f>
        <v>0</v>
      </c>
      <c r="D221" s="54">
        <f>Material_compnt_GREET2!D$50*'Alloy_compnt_G&amp;L'!$N$2*Al_alloy_use_compnt!$E15</f>
        <v>0</v>
      </c>
      <c r="E221" s="54">
        <f>Material_compnt_GREET2!E$50*'Alloy_compnt_G&amp;L'!$N$2*Al_alloy_use_compnt!$E15</f>
        <v>0</v>
      </c>
      <c r="F221" s="54">
        <f>Material_compnt_GREET2!F$50*'Alloy_compnt_G&amp;L'!$N$2*Al_alloy_use_compnt!$E15</f>
        <v>0</v>
      </c>
      <c r="G221" s="54">
        <f>Material_compnt_GREET2!G$50*'Alloy_compnt_G&amp;L'!$N$2*Al_alloy_use_compnt!$E15</f>
        <v>0</v>
      </c>
    </row>
    <row r="222" spans="1:7" x14ac:dyDescent="0.2">
      <c r="A222" s="142" t="s">
        <v>274</v>
      </c>
      <c r="B222" s="54">
        <f>Material_compnt_GREET2!B$50*'Alloy_compnt_G&amp;L'!$N$2*Al_alloy_use_compnt!$E16</f>
        <v>0</v>
      </c>
      <c r="C222" s="54">
        <f>Material_compnt_GREET2!C$50*'Alloy_compnt_G&amp;L'!$N$2*Al_alloy_use_compnt!$E16</f>
        <v>0.26779940901078353</v>
      </c>
      <c r="D222" s="54">
        <f>Material_compnt_GREET2!D$50*'Alloy_compnt_G&amp;L'!$N$2*Al_alloy_use_compnt!$E16</f>
        <v>0</v>
      </c>
      <c r="E222" s="54">
        <f>Material_compnt_GREET2!E$50*'Alloy_compnt_G&amp;L'!$N$2*Al_alloy_use_compnt!$E16</f>
        <v>0.29250680916909549</v>
      </c>
      <c r="F222" s="54">
        <f>Material_compnt_GREET2!F$50*'Alloy_compnt_G&amp;L'!$N$2*Al_alloy_use_compnt!$E16</f>
        <v>0</v>
      </c>
      <c r="G222" s="54">
        <f>Material_compnt_GREET2!G$50*'Alloy_compnt_G&amp;L'!$N$2*Al_alloy_use_compnt!$E16</f>
        <v>0.28141733454107265</v>
      </c>
    </row>
    <row r="223" spans="1:7" x14ac:dyDescent="0.2">
      <c r="A223" s="142" t="s">
        <v>275</v>
      </c>
      <c r="B223" s="54">
        <f>Material_compnt_GREET2!B$50*'Alloy_compnt_G&amp;L'!$N$2*Al_alloy_use_compnt!$E17</f>
        <v>0</v>
      </c>
      <c r="C223" s="54">
        <f>Material_compnt_GREET2!C$50*'Alloy_compnt_G&amp;L'!$N$2*Al_alloy_use_compnt!$E17</f>
        <v>0</v>
      </c>
      <c r="D223" s="54">
        <f>Material_compnt_GREET2!D$50*'Alloy_compnt_G&amp;L'!$N$2*Al_alloy_use_compnt!$E17</f>
        <v>0</v>
      </c>
      <c r="E223" s="54">
        <f>Material_compnt_GREET2!E$50*'Alloy_compnt_G&amp;L'!$N$2*Al_alloy_use_compnt!$E17</f>
        <v>0</v>
      </c>
      <c r="F223" s="54">
        <f>Material_compnt_GREET2!F$50*'Alloy_compnt_G&amp;L'!$N$2*Al_alloy_use_compnt!$E17</f>
        <v>0</v>
      </c>
      <c r="G223" s="54">
        <f>Material_compnt_GREET2!G$50*'Alloy_compnt_G&amp;L'!$N$2*Al_alloy_use_compnt!$E17</f>
        <v>0</v>
      </c>
    </row>
    <row r="224" spans="1:7" x14ac:dyDescent="0.2">
      <c r="A224" s="142" t="s">
        <v>276</v>
      </c>
      <c r="B224" s="54">
        <f>Material_compnt_GREET2!B$50*'Alloy_compnt_G&amp;L'!$N$2*Al_alloy_use_compnt!$E18</f>
        <v>0</v>
      </c>
      <c r="C224" s="54">
        <f>Material_compnt_GREET2!C$50*'Alloy_compnt_G&amp;L'!$N$2*Al_alloy_use_compnt!$E18</f>
        <v>0</v>
      </c>
      <c r="D224" s="54">
        <f>Material_compnt_GREET2!D$50*'Alloy_compnt_G&amp;L'!$N$2*Al_alloy_use_compnt!$E18</f>
        <v>0</v>
      </c>
      <c r="E224" s="54">
        <f>Material_compnt_GREET2!E$50*'Alloy_compnt_G&amp;L'!$N$2*Al_alloy_use_compnt!$E18</f>
        <v>0</v>
      </c>
      <c r="F224" s="54">
        <f>Material_compnt_GREET2!F$50*'Alloy_compnt_G&amp;L'!$N$2*Al_alloy_use_compnt!$E18</f>
        <v>0</v>
      </c>
      <c r="G224" s="54">
        <f>Material_compnt_GREET2!G$50*'Alloy_compnt_G&amp;L'!$N$2*Al_alloy_use_compnt!$E18</f>
        <v>0</v>
      </c>
    </row>
    <row r="225" spans="1:7" x14ac:dyDescent="0.2">
      <c r="A225" s="144" t="s">
        <v>277</v>
      </c>
      <c r="B225" s="54">
        <f>Material_compnt_GREET2!B$50*'Alloy_compnt_G&amp;L'!$N$2*Al_alloy_use_compnt!$E19</f>
        <v>0</v>
      </c>
      <c r="C225" s="54">
        <f>Material_compnt_GREET2!C$50*'Alloy_compnt_G&amp;L'!$N$2*Al_alloy_use_compnt!$E19</f>
        <v>0</v>
      </c>
      <c r="D225" s="54">
        <f>Material_compnt_GREET2!D$50*'Alloy_compnt_G&amp;L'!$N$2*Al_alloy_use_compnt!$E19</f>
        <v>0</v>
      </c>
      <c r="E225" s="54">
        <f>Material_compnt_GREET2!E$50*'Alloy_compnt_G&amp;L'!$N$2*Al_alloy_use_compnt!$E19</f>
        <v>0</v>
      </c>
      <c r="F225" s="54">
        <f>Material_compnt_GREET2!F$50*'Alloy_compnt_G&amp;L'!$N$2*Al_alloy_use_compnt!$E19</f>
        <v>0</v>
      </c>
      <c r="G225" s="54">
        <f>Material_compnt_GREET2!G$50*'Alloy_compnt_G&amp;L'!$N$2*Al_alloy_use_compnt!$E19</f>
        <v>0</v>
      </c>
    </row>
    <row r="226" spans="1:7" x14ac:dyDescent="0.2">
      <c r="A226" s="148" t="s">
        <v>278</v>
      </c>
      <c r="B226" s="54">
        <f>Material_compnt_GREET2!B$50*'Alloy_compnt_G&amp;L'!$O$2*Al_alloy_use_compnt!$E20</f>
        <v>0</v>
      </c>
      <c r="C226" s="54">
        <f>Material_compnt_GREET2!C$50*'Alloy_compnt_G&amp;L'!$O$2*Al_alloy_use_compnt!$E20</f>
        <v>0</v>
      </c>
      <c r="D226" s="54">
        <f>Material_compnt_GREET2!D$50*'Alloy_compnt_G&amp;L'!$O$2*Al_alloy_use_compnt!$E20</f>
        <v>0</v>
      </c>
      <c r="E226" s="54">
        <f>Material_compnt_GREET2!E$50*'Alloy_compnt_G&amp;L'!$O$2*Al_alloy_use_compnt!$E20</f>
        <v>0</v>
      </c>
      <c r="F226" s="54">
        <f>Material_compnt_GREET2!F$50*'Alloy_compnt_G&amp;L'!$O$2*Al_alloy_use_compnt!$E20</f>
        <v>0</v>
      </c>
      <c r="G226" s="54">
        <f>Material_compnt_GREET2!G$50*'Alloy_compnt_G&amp;L'!$O$2*Al_alloy_use_compnt!$E20</f>
        <v>0</v>
      </c>
    </row>
    <row r="227" spans="1:7" x14ac:dyDescent="0.2">
      <c r="A227" s="148" t="s">
        <v>279</v>
      </c>
      <c r="B227" s="54">
        <f>Material_compnt_GREET2!B$50*'Alloy_compnt_G&amp;L'!$O$2*Al_alloy_use_compnt!$E21</f>
        <v>0</v>
      </c>
      <c r="C227" s="54">
        <f>Material_compnt_GREET2!C$50*'Alloy_compnt_G&amp;L'!$O$2*Al_alloy_use_compnt!$E21</f>
        <v>0</v>
      </c>
      <c r="D227" s="54">
        <f>Material_compnt_GREET2!D$50*'Alloy_compnt_G&amp;L'!$O$2*Al_alloy_use_compnt!$E21</f>
        <v>0</v>
      </c>
      <c r="E227" s="54">
        <f>Material_compnt_GREET2!E$50*'Alloy_compnt_G&amp;L'!$O$2*Al_alloy_use_compnt!$E21</f>
        <v>0</v>
      </c>
      <c r="F227" s="54">
        <f>Material_compnt_GREET2!F$50*'Alloy_compnt_G&amp;L'!$O$2*Al_alloy_use_compnt!$E21</f>
        <v>0</v>
      </c>
      <c r="G227" s="54">
        <f>Material_compnt_GREET2!G$50*'Alloy_compnt_G&amp;L'!$O$2*Al_alloy_use_compnt!$E21</f>
        <v>0</v>
      </c>
    </row>
    <row r="228" spans="1:7" x14ac:dyDescent="0.2">
      <c r="A228" s="148" t="s">
        <v>280</v>
      </c>
      <c r="B228" s="54">
        <f>Material_compnt_GREET2!B$50*'Alloy_compnt_G&amp;L'!$O$2*Al_alloy_use_compnt!$E22</f>
        <v>0</v>
      </c>
      <c r="C228" s="54">
        <f>Material_compnt_GREET2!C$50*'Alloy_compnt_G&amp;L'!$O$2*Al_alloy_use_compnt!$E22</f>
        <v>0</v>
      </c>
      <c r="D228" s="54">
        <f>Material_compnt_GREET2!D$50*'Alloy_compnt_G&amp;L'!$O$2*Al_alloy_use_compnt!$E22</f>
        <v>0</v>
      </c>
      <c r="E228" s="54">
        <f>Material_compnt_GREET2!E$50*'Alloy_compnt_G&amp;L'!$O$2*Al_alloy_use_compnt!$E22</f>
        <v>0</v>
      </c>
      <c r="F228" s="54">
        <f>Material_compnt_GREET2!F$50*'Alloy_compnt_G&amp;L'!$O$2*Al_alloy_use_compnt!$E22</f>
        <v>0</v>
      </c>
      <c r="G228" s="54">
        <f>Material_compnt_GREET2!G$50*'Alloy_compnt_G&amp;L'!$O$2*Al_alloy_use_compnt!$E22</f>
        <v>0</v>
      </c>
    </row>
    <row r="229" spans="1:7" x14ac:dyDescent="0.2">
      <c r="A229" s="148" t="s">
        <v>281</v>
      </c>
      <c r="B229" s="54">
        <f>Material_compnt_GREET2!B$50*'Alloy_compnt_G&amp;L'!$O$2*Al_alloy_use_compnt!$E23</f>
        <v>0</v>
      </c>
      <c r="C229" s="54">
        <f>Material_compnt_GREET2!C$50*'Alloy_compnt_G&amp;L'!$O$2*Al_alloy_use_compnt!$E23</f>
        <v>2.68829406737748</v>
      </c>
      <c r="D229" s="54">
        <f>Material_compnt_GREET2!D$50*'Alloy_compnt_G&amp;L'!$O$2*Al_alloy_use_compnt!$E23</f>
        <v>0</v>
      </c>
      <c r="E229" s="54">
        <f>Material_compnt_GREET2!E$50*'Alloy_compnt_G&amp;L'!$O$2*Al_alloy_use_compnt!$E23</f>
        <v>2.9363183535820738</v>
      </c>
      <c r="F229" s="54">
        <f>Material_compnt_GREET2!F$50*'Alloy_compnt_G&amp;L'!$O$2*Al_alloy_use_compnt!$E23</f>
        <v>0</v>
      </c>
      <c r="G229" s="54">
        <f>Material_compnt_GREET2!G$50*'Alloy_compnt_G&amp;L'!$O$2*Al_alloy_use_compnt!$E23</f>
        <v>2.8249970890469212</v>
      </c>
    </row>
    <row r="230" spans="1:7" x14ac:dyDescent="0.2">
      <c r="A230" s="148" t="s">
        <v>282</v>
      </c>
      <c r="B230" s="54">
        <f>Material_compnt_GREET2!B$50*'Alloy_compnt_G&amp;L'!$O$2*Al_alloy_use_compnt!$E24</f>
        <v>0</v>
      </c>
      <c r="C230" s="54">
        <f>Material_compnt_GREET2!C$50*'Alloy_compnt_G&amp;L'!$O$2*Al_alloy_use_compnt!$E24</f>
        <v>0</v>
      </c>
      <c r="D230" s="54">
        <f>Material_compnt_GREET2!D$50*'Alloy_compnt_G&amp;L'!$O$2*Al_alloy_use_compnt!$E24</f>
        <v>0</v>
      </c>
      <c r="E230" s="54">
        <f>Material_compnt_GREET2!E$50*'Alloy_compnt_G&amp;L'!$O$2*Al_alloy_use_compnt!$E24</f>
        <v>0</v>
      </c>
      <c r="F230" s="54">
        <f>Material_compnt_GREET2!F$50*'Alloy_compnt_G&amp;L'!$O$2*Al_alloy_use_compnt!$E24</f>
        <v>0</v>
      </c>
      <c r="G230" s="54">
        <f>Material_compnt_GREET2!G$50*'Alloy_compnt_G&amp;L'!$O$2*Al_alloy_use_compnt!$E24</f>
        <v>0</v>
      </c>
    </row>
    <row r="231" spans="1:7" x14ac:dyDescent="0.2">
      <c r="A231" s="148" t="s">
        <v>283</v>
      </c>
      <c r="B231" s="54">
        <f>Material_compnt_GREET2!B$50*'Alloy_compnt_G&amp;L'!$O$2*Al_alloy_use_compnt!$E25</f>
        <v>0</v>
      </c>
      <c r="C231" s="54">
        <f>Material_compnt_GREET2!C$50*'Alloy_compnt_G&amp;L'!$O$2*Al_alloy_use_compnt!$E25</f>
        <v>0</v>
      </c>
      <c r="D231" s="54">
        <f>Material_compnt_GREET2!D$50*'Alloy_compnt_G&amp;L'!$O$2*Al_alloy_use_compnt!$E25</f>
        <v>0</v>
      </c>
      <c r="E231" s="54">
        <f>Material_compnt_GREET2!E$50*'Alloy_compnt_G&amp;L'!$O$2*Al_alloy_use_compnt!$E25</f>
        <v>0</v>
      </c>
      <c r="F231" s="54">
        <f>Material_compnt_GREET2!F$50*'Alloy_compnt_G&amp;L'!$O$2*Al_alloy_use_compnt!$E25</f>
        <v>0</v>
      </c>
      <c r="G231" s="54">
        <f>Material_compnt_GREET2!G$50*'Alloy_compnt_G&amp;L'!$O$2*Al_alloy_use_compnt!$E25</f>
        <v>0</v>
      </c>
    </row>
    <row r="232" spans="1:7" x14ac:dyDescent="0.2">
      <c r="A232" s="148" t="s">
        <v>284</v>
      </c>
      <c r="B232" s="54">
        <f>Material_compnt_GREET2!B$50*'Alloy_compnt_G&amp;L'!$O$2*Al_alloy_use_compnt!$E26</f>
        <v>0</v>
      </c>
      <c r="C232" s="54">
        <f>Material_compnt_GREET2!C$50*'Alloy_compnt_G&amp;L'!$O$2*Al_alloy_use_compnt!$E26</f>
        <v>0</v>
      </c>
      <c r="D232" s="54">
        <f>Material_compnt_GREET2!D$50*'Alloy_compnt_G&amp;L'!$O$2*Al_alloy_use_compnt!$E26</f>
        <v>0</v>
      </c>
      <c r="E232" s="54">
        <f>Material_compnt_GREET2!E$50*'Alloy_compnt_G&amp;L'!$O$2*Al_alloy_use_compnt!$E26</f>
        <v>0</v>
      </c>
      <c r="F232" s="54">
        <f>Material_compnt_GREET2!F$50*'Alloy_compnt_G&amp;L'!$O$2*Al_alloy_use_compnt!$E26</f>
        <v>0</v>
      </c>
      <c r="G232" s="54">
        <f>Material_compnt_GREET2!G$50*'Alloy_compnt_G&amp;L'!$O$2*Al_alloy_use_compnt!$E26</f>
        <v>0</v>
      </c>
    </row>
    <row r="233" spans="1:7" x14ac:dyDescent="0.2">
      <c r="A233" s="148" t="s">
        <v>285</v>
      </c>
      <c r="B233" s="54">
        <f>Material_compnt_GREET2!B$50*'Alloy_compnt_G&amp;L'!$O$2*Al_alloy_use_compnt!$E27</f>
        <v>0</v>
      </c>
      <c r="C233" s="54">
        <f>Material_compnt_GREET2!C$50*'Alloy_compnt_G&amp;L'!$O$2*Al_alloy_use_compnt!$E27</f>
        <v>0</v>
      </c>
      <c r="D233" s="54">
        <f>Material_compnt_GREET2!D$50*'Alloy_compnt_G&amp;L'!$O$2*Al_alloy_use_compnt!$E27</f>
        <v>0</v>
      </c>
      <c r="E233" s="54">
        <f>Material_compnt_GREET2!E$50*'Alloy_compnt_G&amp;L'!$O$2*Al_alloy_use_compnt!$E27</f>
        <v>0</v>
      </c>
      <c r="F233" s="54">
        <f>Material_compnt_GREET2!F$50*'Alloy_compnt_G&amp;L'!$O$2*Al_alloy_use_compnt!$E27</f>
        <v>0</v>
      </c>
      <c r="G233" s="54">
        <f>Material_compnt_GREET2!G$50*'Alloy_compnt_G&amp;L'!$O$2*Al_alloy_use_compnt!$E27</f>
        <v>0</v>
      </c>
    </row>
    <row r="234" spans="1:7" x14ac:dyDescent="0.2">
      <c r="A234" s="147" t="s">
        <v>286</v>
      </c>
      <c r="B234" s="54">
        <f>Material_compnt_GREET2!B$50*'Alloy_compnt_G&amp;L'!$O$2*Al_alloy_use_compnt!$E28</f>
        <v>0</v>
      </c>
      <c r="C234" s="54">
        <f>Material_compnt_GREET2!C$50*'Alloy_compnt_G&amp;L'!$O$2*Al_alloy_use_compnt!$E28</f>
        <v>2.68829406737748</v>
      </c>
      <c r="D234" s="54">
        <f>Material_compnt_GREET2!D$50*'Alloy_compnt_G&amp;L'!$O$2*Al_alloy_use_compnt!$E28</f>
        <v>0</v>
      </c>
      <c r="E234" s="54">
        <f>Material_compnt_GREET2!E$50*'Alloy_compnt_G&amp;L'!$O$2*Al_alloy_use_compnt!$E28</f>
        <v>2.9363183535820738</v>
      </c>
      <c r="F234" s="54">
        <f>Material_compnt_GREET2!F$50*'Alloy_compnt_G&amp;L'!$O$2*Al_alloy_use_compnt!$E28</f>
        <v>0</v>
      </c>
      <c r="G234" s="54">
        <f>Material_compnt_GREET2!G$50*'Alloy_compnt_G&amp;L'!$O$2*Al_alloy_use_compnt!$E28</f>
        <v>2.8249970890469212</v>
      </c>
    </row>
    <row r="235" spans="1:7" x14ac:dyDescent="0.2">
      <c r="A235" s="142" t="s">
        <v>287</v>
      </c>
      <c r="B235" s="54">
        <f>Material_compnt_GREET2!B$51*Al_alloy_use_compnt!$E20</f>
        <v>0</v>
      </c>
      <c r="C235" s="54">
        <f>Material_compnt_GREET2!C$51*Al_alloy_use_compnt!$E20</f>
        <v>0</v>
      </c>
      <c r="D235" s="54">
        <f>Material_compnt_GREET2!D$51*Al_alloy_use_compnt!$E20</f>
        <v>0</v>
      </c>
      <c r="E235" s="54">
        <f>Material_compnt_GREET2!E$51*Al_alloy_use_compnt!$E20</f>
        <v>0</v>
      </c>
      <c r="F235" s="54">
        <f>Material_compnt_GREET2!F$51*Al_alloy_use_compnt!$E20</f>
        <v>0</v>
      </c>
      <c r="G235" s="54">
        <f>Material_compnt_GREET2!G$51*Al_alloy_use_compnt!$E20</f>
        <v>0</v>
      </c>
    </row>
    <row r="236" spans="1:7" x14ac:dyDescent="0.2">
      <c r="A236" s="142" t="s">
        <v>288</v>
      </c>
      <c r="B236" s="54">
        <f>Material_compnt_GREET2!B$51*Al_alloy_use_compnt!$E21</f>
        <v>0</v>
      </c>
      <c r="C236" s="54">
        <f>Material_compnt_GREET2!C$51*Al_alloy_use_compnt!$E21</f>
        <v>0</v>
      </c>
      <c r="D236" s="54">
        <f>Material_compnt_GREET2!D$51*Al_alloy_use_compnt!$E21</f>
        <v>0</v>
      </c>
      <c r="E236" s="54">
        <f>Material_compnt_GREET2!E$51*Al_alloy_use_compnt!$E21</f>
        <v>0</v>
      </c>
      <c r="F236" s="54">
        <f>Material_compnt_GREET2!F$51*Al_alloy_use_compnt!$E21</f>
        <v>0</v>
      </c>
      <c r="G236" s="54">
        <f>Material_compnt_GREET2!G$51*Al_alloy_use_compnt!$E21</f>
        <v>0</v>
      </c>
    </row>
    <row r="237" spans="1:7" x14ac:dyDescent="0.2">
      <c r="A237" s="142" t="s">
        <v>289</v>
      </c>
      <c r="B237" s="54">
        <f>Material_compnt_GREET2!B$51*Al_alloy_use_compnt!$E22</f>
        <v>0</v>
      </c>
      <c r="C237" s="54">
        <f>Material_compnt_GREET2!C$51*Al_alloy_use_compnt!$E22</f>
        <v>0</v>
      </c>
      <c r="D237" s="54">
        <f>Material_compnt_GREET2!D$51*Al_alloy_use_compnt!$E22</f>
        <v>0</v>
      </c>
      <c r="E237" s="54">
        <f>Material_compnt_GREET2!E$51*Al_alloy_use_compnt!$E22</f>
        <v>0</v>
      </c>
      <c r="F237" s="54">
        <f>Material_compnt_GREET2!F$51*Al_alloy_use_compnt!$E22</f>
        <v>0</v>
      </c>
      <c r="G237" s="54">
        <f>Material_compnt_GREET2!G$51*Al_alloy_use_compnt!$E22</f>
        <v>0</v>
      </c>
    </row>
    <row r="238" spans="1:7" x14ac:dyDescent="0.2">
      <c r="A238" s="142" t="s">
        <v>290</v>
      </c>
      <c r="B238" s="54">
        <f>Material_compnt_GREET2!B$51*Al_alloy_use_compnt!$E23</f>
        <v>1.6553605485782845</v>
      </c>
      <c r="C238" s="54">
        <f>Material_compnt_GREET2!C$51*Al_alloy_use_compnt!$E23</f>
        <v>54.454418658510747</v>
      </c>
      <c r="D238" s="54">
        <f>Material_compnt_GREET2!D$51*Al_alloy_use_compnt!$E23</f>
        <v>1.9329981932836473</v>
      </c>
      <c r="E238" s="54">
        <f>Material_compnt_GREET2!E$51*Al_alloy_use_compnt!$E23</f>
        <v>70.678850745393305</v>
      </c>
      <c r="F238" s="54">
        <f>Material_compnt_GREET2!F$51*Al_alloy_use_compnt!$E23</f>
        <v>1.8550102146712473</v>
      </c>
      <c r="G238" s="54">
        <f>Material_compnt_GREET2!G$51*Al_alloy_use_compnt!$E23</f>
        <v>72.806283830288365</v>
      </c>
    </row>
    <row r="239" spans="1:7" x14ac:dyDescent="0.2">
      <c r="A239" s="142" t="s">
        <v>291</v>
      </c>
      <c r="B239" s="54">
        <f>Material_compnt_GREET2!B$51*Al_alloy_use_compnt!$E24</f>
        <v>0</v>
      </c>
      <c r="C239" s="54">
        <f>Material_compnt_GREET2!C$51*Al_alloy_use_compnt!$E24</f>
        <v>0</v>
      </c>
      <c r="D239" s="54">
        <f>Material_compnt_GREET2!D$51*Al_alloy_use_compnt!$E24</f>
        <v>0</v>
      </c>
      <c r="E239" s="54">
        <f>Material_compnt_GREET2!E$51*Al_alloy_use_compnt!$E24</f>
        <v>0</v>
      </c>
      <c r="F239" s="54">
        <f>Material_compnt_GREET2!F$51*Al_alloy_use_compnt!$E24</f>
        <v>0</v>
      </c>
      <c r="G239" s="54">
        <f>Material_compnt_GREET2!G$51*Al_alloy_use_compnt!$E24</f>
        <v>0</v>
      </c>
    </row>
    <row r="240" spans="1:7" x14ac:dyDescent="0.2">
      <c r="A240" s="142" t="s">
        <v>292</v>
      </c>
      <c r="B240" s="54">
        <f>Material_compnt_GREET2!B$51*Al_alloy_use_compnt!$E25</f>
        <v>0</v>
      </c>
      <c r="C240" s="54">
        <f>Material_compnt_GREET2!C$51*Al_alloy_use_compnt!$E25</f>
        <v>0</v>
      </c>
      <c r="D240" s="54">
        <f>Material_compnt_GREET2!D$51*Al_alloy_use_compnt!$E25</f>
        <v>0</v>
      </c>
      <c r="E240" s="54">
        <f>Material_compnt_GREET2!E$51*Al_alloy_use_compnt!$E25</f>
        <v>0</v>
      </c>
      <c r="F240" s="54">
        <f>Material_compnt_GREET2!F$51*Al_alloy_use_compnt!$E25</f>
        <v>0</v>
      </c>
      <c r="G240" s="54">
        <f>Material_compnt_GREET2!G$51*Al_alloy_use_compnt!$E25</f>
        <v>0</v>
      </c>
    </row>
    <row r="241" spans="1:7" x14ac:dyDescent="0.2">
      <c r="A241" s="142" t="s">
        <v>293</v>
      </c>
      <c r="B241" s="54">
        <f>Material_compnt_GREET2!B$51*Al_alloy_use_compnt!$E26</f>
        <v>0</v>
      </c>
      <c r="C241" s="54">
        <f>Material_compnt_GREET2!C$51*Al_alloy_use_compnt!$E26</f>
        <v>0</v>
      </c>
      <c r="D241" s="54">
        <f>Material_compnt_GREET2!D$51*Al_alloy_use_compnt!$E26</f>
        <v>0</v>
      </c>
      <c r="E241" s="54">
        <f>Material_compnt_GREET2!E$51*Al_alloy_use_compnt!$E26</f>
        <v>0</v>
      </c>
      <c r="F241" s="54">
        <f>Material_compnt_GREET2!F$51*Al_alloy_use_compnt!$E26</f>
        <v>0</v>
      </c>
      <c r="G241" s="54">
        <f>Material_compnt_GREET2!G$51*Al_alloy_use_compnt!$E26</f>
        <v>0</v>
      </c>
    </row>
    <row r="242" spans="1:7" x14ac:dyDescent="0.2">
      <c r="A242" s="142" t="s">
        <v>294</v>
      </c>
      <c r="B242" s="54">
        <f>Material_compnt_GREET2!B$51*Al_alloy_use_compnt!$E27</f>
        <v>0</v>
      </c>
      <c r="C242" s="54">
        <f>Material_compnt_GREET2!C$51*Al_alloy_use_compnt!$E27</f>
        <v>0</v>
      </c>
      <c r="D242" s="54">
        <f>Material_compnt_GREET2!D$51*Al_alloy_use_compnt!$E27</f>
        <v>0</v>
      </c>
      <c r="E242" s="54">
        <f>Material_compnt_GREET2!E$51*Al_alloy_use_compnt!$E27</f>
        <v>0</v>
      </c>
      <c r="F242" s="54">
        <f>Material_compnt_GREET2!F$51*Al_alloy_use_compnt!$E27</f>
        <v>0</v>
      </c>
      <c r="G242" s="54">
        <f>Material_compnt_GREET2!G$51*Al_alloy_use_compnt!$E27</f>
        <v>0</v>
      </c>
    </row>
    <row r="243" spans="1:7" x14ac:dyDescent="0.2">
      <c r="A243" s="144" t="s">
        <v>295</v>
      </c>
      <c r="B243" s="54">
        <f>Material_compnt_GREET2!B$51*Al_alloy_use_compnt!$E28</f>
        <v>1.6553605485782845</v>
      </c>
      <c r="C243" s="54">
        <f>Material_compnt_GREET2!C$51*Al_alloy_use_compnt!$E28</f>
        <v>54.454418658510747</v>
      </c>
      <c r="D243" s="54">
        <f>Material_compnt_GREET2!D$51*Al_alloy_use_compnt!$E28</f>
        <v>1.9329981932836473</v>
      </c>
      <c r="E243" s="54">
        <f>Material_compnt_GREET2!E$51*Al_alloy_use_compnt!$E28</f>
        <v>70.678850745393305</v>
      </c>
      <c r="F243" s="54">
        <f>Material_compnt_GREET2!F$51*Al_alloy_use_compnt!$E28</f>
        <v>1.8550102146712473</v>
      </c>
      <c r="G243" s="54">
        <f>Material_compnt_GREET2!G$51*Al_alloy_use_compnt!$E28</f>
        <v>72.806283830288365</v>
      </c>
    </row>
    <row r="244" spans="1:7" x14ac:dyDescent="0.2">
      <c r="A244" s="142" t="s">
        <v>206</v>
      </c>
      <c r="B244" s="54">
        <v>0</v>
      </c>
      <c r="C244" s="54">
        <v>0</v>
      </c>
      <c r="D244" s="54">
        <v>0</v>
      </c>
      <c r="E244" s="54">
        <v>0</v>
      </c>
      <c r="F244" s="54">
        <v>0</v>
      </c>
      <c r="G244" s="54">
        <v>0</v>
      </c>
    </row>
    <row r="245" spans="1:7" ht="17" thickBot="1" x14ac:dyDescent="0.25">
      <c r="A245" s="149" t="s">
        <v>208</v>
      </c>
      <c r="B245" s="54">
        <v>0</v>
      </c>
      <c r="C245" s="54">
        <v>0</v>
      </c>
      <c r="D245" s="54">
        <v>0</v>
      </c>
      <c r="E245" s="54">
        <v>0</v>
      </c>
      <c r="F245" s="54">
        <v>0</v>
      </c>
      <c r="G245" s="54">
        <v>0</v>
      </c>
    </row>
    <row r="246" spans="1:7" ht="17" thickTop="1" x14ac:dyDescent="0.2">
      <c r="A246" s="139" t="s">
        <v>176</v>
      </c>
      <c r="B246" s="54"/>
      <c r="C246" s="54"/>
      <c r="D246" s="54"/>
      <c r="E246" s="54"/>
      <c r="F246" s="54"/>
      <c r="G246" s="54"/>
    </row>
    <row r="247" spans="1:7" x14ac:dyDescent="0.2">
      <c r="A247" s="142" t="s">
        <v>105</v>
      </c>
      <c r="B247" s="54">
        <f>Material_compnt_GREET2!B$60*'Alloy_compnt_G&amp;L'!$I$2</f>
        <v>0</v>
      </c>
      <c r="C247" s="54">
        <f>Material_compnt_GREET2!C$60*'Alloy_compnt_G&amp;L'!$I$2</f>
        <v>0</v>
      </c>
      <c r="D247" s="54">
        <f>Material_compnt_GREET2!D$60*'Alloy_compnt_G&amp;L'!$I$2</f>
        <v>3.8426993153189835</v>
      </c>
      <c r="E247" s="54">
        <f>Material_compnt_GREET2!E$60*'Alloy_compnt_G&amp;L'!$I$2</f>
        <v>2.1475990407620071</v>
      </c>
      <c r="F247" s="54">
        <f>Material_compnt_GREET2!F$60*'Alloy_compnt_G&amp;L'!$I$2</f>
        <v>7.0220581098102297</v>
      </c>
      <c r="G247" s="54">
        <f>Material_compnt_GREET2!G$60*'Alloy_compnt_G&amp;L'!$I$2</f>
        <v>4.2991981390057665</v>
      </c>
    </row>
    <row r="248" spans="1:7" x14ac:dyDescent="0.2">
      <c r="A248" s="142" t="s">
        <v>106</v>
      </c>
      <c r="B248" s="54">
        <f>Material_compnt_GREET2!B$60*'Alloy_compnt_G&amp;L'!$J$2</f>
        <v>0</v>
      </c>
      <c r="C248" s="54">
        <f>Material_compnt_GREET2!C$60*'Alloy_compnt_G&amp;L'!$J$2</f>
        <v>0</v>
      </c>
      <c r="D248" s="54">
        <f>Material_compnt_GREET2!D$60*'Alloy_compnt_G&amp;L'!$J$2</f>
        <v>3.4784624133930135</v>
      </c>
      <c r="E248" s="54">
        <f>Material_compnt_GREET2!E$60*'Alloy_compnt_G&amp;L'!$J$2</f>
        <v>1.9440351506423856</v>
      </c>
      <c r="F248" s="54">
        <f>Material_compnt_GREET2!F$60*'Alloy_compnt_G&amp;L'!$J$2</f>
        <v>6.3564601847097348</v>
      </c>
      <c r="G248" s="54">
        <f>Material_compnt_GREET2!G$60*'Alloy_compnt_G&amp;L'!$J$2</f>
        <v>3.8916912063985847</v>
      </c>
    </row>
    <row r="249" spans="1:7" x14ac:dyDescent="0.2">
      <c r="A249" s="142" t="s">
        <v>107</v>
      </c>
      <c r="B249" s="54">
        <f>Material_compnt_GREET2!B$60*'Alloy_compnt_G&amp;L'!$K$2</f>
        <v>0</v>
      </c>
      <c r="C249" s="54">
        <f>Material_compnt_GREET2!C$60*'Alloy_compnt_G&amp;L'!$K$2</f>
        <v>0</v>
      </c>
      <c r="D249" s="54">
        <f>Material_compnt_GREET2!D$60*'Alloy_compnt_G&amp;L'!$K$2</f>
        <v>10.890683367586504</v>
      </c>
      <c r="E249" s="54">
        <f>Material_compnt_GREET2!E$60*'Alloy_compnt_G&amp;L'!$K$2</f>
        <v>6.0865603145766851</v>
      </c>
      <c r="F249" s="54">
        <f>Material_compnt_GREET2!F$60*'Alloy_compnt_G&amp;L'!$K$2</f>
        <v>19.901377960504828</v>
      </c>
      <c r="G249" s="54">
        <f>Material_compnt_GREET2!G$60*'Alloy_compnt_G&amp;L'!$K$2</f>
        <v>12.184457284954734</v>
      </c>
    </row>
    <row r="250" spans="1:7" x14ac:dyDescent="0.2">
      <c r="A250" s="142" t="s">
        <v>91</v>
      </c>
      <c r="B250" s="54">
        <f>Material_compnt_GREET2!B$61</f>
        <v>0</v>
      </c>
      <c r="C250" s="54">
        <f>Material_compnt_GREET2!C$61</f>
        <v>0</v>
      </c>
      <c r="D250" s="54">
        <f>Material_compnt_GREET2!D$61</f>
        <v>0</v>
      </c>
      <c r="E250" s="54">
        <f>Material_compnt_GREET2!E$61</f>
        <v>0</v>
      </c>
      <c r="F250" s="54">
        <f>Material_compnt_GREET2!F$61</f>
        <v>0</v>
      </c>
      <c r="G250" s="54">
        <f>Material_compnt_GREET2!G$61</f>
        <v>0</v>
      </c>
    </row>
    <row r="251" spans="1:7" x14ac:dyDescent="0.2">
      <c r="A251" s="142" t="s">
        <v>204</v>
      </c>
      <c r="B251" s="54">
        <v>0</v>
      </c>
      <c r="C251" s="54">
        <v>0</v>
      </c>
      <c r="D251" s="54">
        <v>0</v>
      </c>
      <c r="E251" s="54">
        <v>0</v>
      </c>
      <c r="F251" s="54">
        <v>0</v>
      </c>
      <c r="G251" s="54">
        <v>0</v>
      </c>
    </row>
    <row r="252" spans="1:7" x14ac:dyDescent="0.2">
      <c r="A252" s="144" t="s">
        <v>104</v>
      </c>
      <c r="B252" s="54">
        <v>0</v>
      </c>
      <c r="C252" s="54">
        <v>0</v>
      </c>
      <c r="D252" s="54">
        <v>0</v>
      </c>
      <c r="E252" s="54">
        <v>0</v>
      </c>
      <c r="F252" s="54">
        <v>0</v>
      </c>
      <c r="G252" s="54">
        <v>0</v>
      </c>
    </row>
    <row r="253" spans="1:7" x14ac:dyDescent="0.2">
      <c r="A253" s="145" t="s">
        <v>244</v>
      </c>
      <c r="B253" s="54">
        <v>0</v>
      </c>
      <c r="C253" s="54">
        <v>0</v>
      </c>
      <c r="D253" s="54">
        <v>0</v>
      </c>
      <c r="E253" s="54">
        <v>0</v>
      </c>
      <c r="F253" s="54">
        <v>0</v>
      </c>
      <c r="G253" s="54">
        <v>0</v>
      </c>
    </row>
    <row r="254" spans="1:7" x14ac:dyDescent="0.2">
      <c r="A254" s="145" t="s">
        <v>245</v>
      </c>
      <c r="B254" s="54">
        <v>0</v>
      </c>
      <c r="C254" s="54">
        <v>0</v>
      </c>
      <c r="D254" s="54">
        <v>0</v>
      </c>
      <c r="E254" s="54">
        <v>0</v>
      </c>
      <c r="F254" s="54">
        <v>0</v>
      </c>
      <c r="G254" s="54">
        <v>0</v>
      </c>
    </row>
    <row r="255" spans="1:7" x14ac:dyDescent="0.2">
      <c r="A255" s="145" t="s">
        <v>246</v>
      </c>
      <c r="B255" s="54">
        <v>0</v>
      </c>
      <c r="C255" s="54">
        <v>0</v>
      </c>
      <c r="D255" s="54">
        <v>0</v>
      </c>
      <c r="E255" s="54">
        <v>0</v>
      </c>
      <c r="F255" s="54">
        <v>0</v>
      </c>
      <c r="G255" s="54">
        <v>0</v>
      </c>
    </row>
    <row r="256" spans="1:7" x14ac:dyDescent="0.2">
      <c r="A256" s="145" t="s">
        <v>247</v>
      </c>
      <c r="B256" s="54">
        <v>0</v>
      </c>
      <c r="C256" s="54">
        <v>0</v>
      </c>
      <c r="D256" s="54">
        <v>0</v>
      </c>
      <c r="E256" s="54">
        <v>0</v>
      </c>
      <c r="F256" s="54">
        <v>0</v>
      </c>
      <c r="G256" s="54">
        <v>0</v>
      </c>
    </row>
    <row r="257" spans="1:7" x14ac:dyDescent="0.2">
      <c r="A257" s="145" t="s">
        <v>248</v>
      </c>
      <c r="B257" s="54">
        <v>0</v>
      </c>
      <c r="C257" s="54">
        <v>0</v>
      </c>
      <c r="D257" s="54">
        <v>0</v>
      </c>
      <c r="E257" s="54">
        <v>0</v>
      </c>
      <c r="F257" s="54">
        <v>0</v>
      </c>
      <c r="G257" s="54">
        <v>0</v>
      </c>
    </row>
    <row r="258" spans="1:7" x14ac:dyDescent="0.2">
      <c r="A258" s="145" t="s">
        <v>249</v>
      </c>
      <c r="B258" s="54">
        <v>0</v>
      </c>
      <c r="C258" s="54">
        <v>0</v>
      </c>
      <c r="D258" s="54">
        <v>0</v>
      </c>
      <c r="E258" s="54">
        <v>0</v>
      </c>
      <c r="F258" s="54">
        <v>0</v>
      </c>
      <c r="G258" s="54">
        <v>0</v>
      </c>
    </row>
    <row r="259" spans="1:7" x14ac:dyDescent="0.2">
      <c r="A259" s="145" t="s">
        <v>250</v>
      </c>
      <c r="B259" s="54">
        <v>0</v>
      </c>
      <c r="C259" s="54">
        <v>0</v>
      </c>
      <c r="D259" s="54">
        <v>0</v>
      </c>
      <c r="E259" s="54">
        <v>0</v>
      </c>
      <c r="F259" s="54">
        <v>0</v>
      </c>
      <c r="G259" s="54">
        <v>0</v>
      </c>
    </row>
    <row r="260" spans="1:7" x14ac:dyDescent="0.2">
      <c r="A260" s="145" t="s">
        <v>251</v>
      </c>
      <c r="B260" s="54">
        <v>0</v>
      </c>
      <c r="C260" s="54">
        <v>0</v>
      </c>
      <c r="D260" s="54">
        <v>0</v>
      </c>
      <c r="E260" s="54">
        <v>0</v>
      </c>
      <c r="F260" s="54">
        <v>0</v>
      </c>
      <c r="G260" s="54">
        <v>0</v>
      </c>
    </row>
    <row r="261" spans="1:7" x14ac:dyDescent="0.2">
      <c r="A261" s="145" t="s">
        <v>252</v>
      </c>
      <c r="B261" s="54">
        <v>0</v>
      </c>
      <c r="C261" s="54">
        <v>0</v>
      </c>
      <c r="D261" s="54">
        <v>0</v>
      </c>
      <c r="E261" s="54">
        <v>0</v>
      </c>
      <c r="F261" s="54">
        <v>0</v>
      </c>
      <c r="G261" s="54">
        <v>0</v>
      </c>
    </row>
    <row r="262" spans="1:7" x14ac:dyDescent="0.2">
      <c r="A262" s="145" t="s">
        <v>253</v>
      </c>
      <c r="B262" s="54">
        <v>0</v>
      </c>
      <c r="C262" s="54">
        <v>0</v>
      </c>
      <c r="D262" s="54">
        <v>0</v>
      </c>
      <c r="E262" s="54">
        <v>0</v>
      </c>
      <c r="F262" s="54">
        <v>0</v>
      </c>
      <c r="G262" s="54">
        <v>0</v>
      </c>
    </row>
    <row r="263" spans="1:7" x14ac:dyDescent="0.2">
      <c r="A263" s="145" t="s">
        <v>254</v>
      </c>
      <c r="B263" s="54">
        <v>0</v>
      </c>
      <c r="C263" s="54">
        <v>0</v>
      </c>
      <c r="D263" s="54">
        <v>0</v>
      </c>
      <c r="E263" s="54">
        <v>0</v>
      </c>
      <c r="F263" s="54">
        <v>0</v>
      </c>
      <c r="G263" s="54">
        <v>0</v>
      </c>
    </row>
    <row r="264" spans="1:7" x14ac:dyDescent="0.2">
      <c r="A264" s="146" t="s">
        <v>255</v>
      </c>
      <c r="B264" s="54">
        <v>0</v>
      </c>
      <c r="C264" s="54">
        <v>0</v>
      </c>
      <c r="D264" s="54">
        <v>0</v>
      </c>
      <c r="E264" s="54">
        <v>0</v>
      </c>
      <c r="F264" s="54">
        <v>0</v>
      </c>
      <c r="G264" s="54">
        <v>0</v>
      </c>
    </row>
    <row r="265" spans="1:7" x14ac:dyDescent="0.2">
      <c r="A265" s="145" t="s">
        <v>256</v>
      </c>
      <c r="B265" s="54">
        <v>0</v>
      </c>
      <c r="C265" s="54">
        <v>0</v>
      </c>
      <c r="D265" s="54">
        <v>0</v>
      </c>
      <c r="E265" s="54">
        <v>0</v>
      </c>
      <c r="F265" s="54">
        <v>0</v>
      </c>
      <c r="G265" s="54">
        <v>0</v>
      </c>
    </row>
    <row r="266" spans="1:7" x14ac:dyDescent="0.2">
      <c r="A266" s="145" t="s">
        <v>257</v>
      </c>
      <c r="B266" s="54">
        <v>0</v>
      </c>
      <c r="C266" s="54">
        <v>0</v>
      </c>
      <c r="D266" s="54">
        <v>0</v>
      </c>
      <c r="E266" s="54">
        <v>0</v>
      </c>
      <c r="F266" s="54">
        <v>0</v>
      </c>
      <c r="G266" s="54">
        <v>0</v>
      </c>
    </row>
    <row r="267" spans="1:7" x14ac:dyDescent="0.2">
      <c r="A267" s="145" t="s">
        <v>258</v>
      </c>
      <c r="B267" s="54">
        <v>0</v>
      </c>
      <c r="C267" s="54">
        <v>0</v>
      </c>
      <c r="D267" s="54">
        <v>0</v>
      </c>
      <c r="E267" s="54">
        <v>0</v>
      </c>
      <c r="F267" s="54">
        <v>0</v>
      </c>
      <c r="G267" s="54">
        <v>0</v>
      </c>
    </row>
    <row r="268" spans="1:7" x14ac:dyDescent="0.2">
      <c r="A268" s="142" t="s">
        <v>259</v>
      </c>
      <c r="B268" s="54">
        <v>0</v>
      </c>
      <c r="C268" s="54">
        <v>0</v>
      </c>
      <c r="D268" s="54">
        <v>0</v>
      </c>
      <c r="E268" s="54">
        <v>0</v>
      </c>
      <c r="F268" s="54">
        <v>0</v>
      </c>
      <c r="G268" s="54">
        <v>0</v>
      </c>
    </row>
    <row r="269" spans="1:7" x14ac:dyDescent="0.2">
      <c r="A269" s="147" t="s">
        <v>260</v>
      </c>
      <c r="B269" s="54">
        <v>0</v>
      </c>
      <c r="C269" s="54">
        <v>0</v>
      </c>
      <c r="D269" s="54">
        <v>0</v>
      </c>
      <c r="E269" s="54">
        <v>0</v>
      </c>
      <c r="F269" s="54">
        <v>0</v>
      </c>
      <c r="G269" s="54">
        <v>0</v>
      </c>
    </row>
    <row r="270" spans="1:7" x14ac:dyDescent="0.2">
      <c r="A270" s="142" t="s">
        <v>261</v>
      </c>
      <c r="B270" s="54">
        <v>0</v>
      </c>
      <c r="C270" s="54">
        <v>0</v>
      </c>
      <c r="D270" s="54">
        <v>0</v>
      </c>
      <c r="E270" s="54">
        <v>0</v>
      </c>
      <c r="F270" s="54">
        <v>0</v>
      </c>
      <c r="G270" s="54">
        <v>0</v>
      </c>
    </row>
    <row r="271" spans="1:7" x14ac:dyDescent="0.2">
      <c r="A271" s="142" t="s">
        <v>262</v>
      </c>
      <c r="B271" s="54">
        <v>0</v>
      </c>
      <c r="C271" s="54">
        <v>0</v>
      </c>
      <c r="D271" s="54">
        <v>0</v>
      </c>
      <c r="E271" s="54">
        <v>0</v>
      </c>
      <c r="F271" s="54">
        <v>0</v>
      </c>
      <c r="G271" s="54">
        <v>0</v>
      </c>
    </row>
    <row r="272" spans="1:7" x14ac:dyDescent="0.2">
      <c r="A272" s="142" t="s">
        <v>263</v>
      </c>
      <c r="B272" s="54">
        <v>0</v>
      </c>
      <c r="C272" s="54">
        <v>0</v>
      </c>
      <c r="D272" s="54">
        <v>0</v>
      </c>
      <c r="E272" s="54">
        <v>0</v>
      </c>
      <c r="F272" s="54">
        <v>0</v>
      </c>
      <c r="G272" s="54">
        <v>0</v>
      </c>
    </row>
    <row r="273" spans="1:7" x14ac:dyDescent="0.2">
      <c r="A273" s="142" t="s">
        <v>264</v>
      </c>
      <c r="B273" s="54">
        <v>0</v>
      </c>
      <c r="C273" s="54">
        <v>0</v>
      </c>
      <c r="D273" s="54">
        <v>0</v>
      </c>
      <c r="E273" s="54">
        <v>0</v>
      </c>
      <c r="F273" s="54">
        <v>0</v>
      </c>
      <c r="G273" s="54">
        <v>0</v>
      </c>
    </row>
    <row r="274" spans="1:7" x14ac:dyDescent="0.2">
      <c r="A274" s="142" t="s">
        <v>265</v>
      </c>
      <c r="B274" s="54">
        <v>0</v>
      </c>
      <c r="C274" s="54">
        <v>0</v>
      </c>
      <c r="D274" s="54">
        <v>0</v>
      </c>
      <c r="E274" s="54">
        <v>0</v>
      </c>
      <c r="F274" s="54">
        <v>0</v>
      </c>
      <c r="G274" s="54">
        <v>0</v>
      </c>
    </row>
    <row r="275" spans="1:7" x14ac:dyDescent="0.2">
      <c r="A275" s="142" t="s">
        <v>266</v>
      </c>
      <c r="B275" s="54">
        <v>0</v>
      </c>
      <c r="C275" s="54">
        <v>0</v>
      </c>
      <c r="D275" s="54">
        <v>0</v>
      </c>
      <c r="E275" s="54">
        <v>0</v>
      </c>
      <c r="F275" s="54">
        <v>0</v>
      </c>
      <c r="G275" s="54">
        <v>0</v>
      </c>
    </row>
    <row r="276" spans="1:7" x14ac:dyDescent="0.2">
      <c r="A276" s="142" t="s">
        <v>267</v>
      </c>
      <c r="B276" s="54">
        <v>0</v>
      </c>
      <c r="C276" s="54">
        <v>0</v>
      </c>
      <c r="D276" s="54">
        <v>0</v>
      </c>
      <c r="E276" s="54">
        <v>0</v>
      </c>
      <c r="F276" s="54">
        <v>0</v>
      </c>
      <c r="G276" s="54">
        <v>0</v>
      </c>
    </row>
    <row r="277" spans="1:7" x14ac:dyDescent="0.2">
      <c r="A277" s="142" t="s">
        <v>268</v>
      </c>
      <c r="B277" s="54">
        <v>0</v>
      </c>
      <c r="C277" s="54">
        <v>0</v>
      </c>
      <c r="D277" s="54">
        <v>0</v>
      </c>
      <c r="E277" s="54">
        <v>0</v>
      </c>
      <c r="F277" s="54">
        <v>0</v>
      </c>
      <c r="G277" s="54">
        <v>0</v>
      </c>
    </row>
    <row r="278" spans="1:7" x14ac:dyDescent="0.2">
      <c r="A278" s="142" t="s">
        <v>269</v>
      </c>
      <c r="B278" s="54">
        <v>0</v>
      </c>
      <c r="C278" s="54">
        <v>0</v>
      </c>
      <c r="D278" s="54">
        <v>0</v>
      </c>
      <c r="E278" s="54">
        <v>0</v>
      </c>
      <c r="F278" s="54">
        <v>0</v>
      </c>
      <c r="G278" s="54">
        <v>0</v>
      </c>
    </row>
    <row r="279" spans="1:7" x14ac:dyDescent="0.2">
      <c r="A279" s="142" t="s">
        <v>270</v>
      </c>
      <c r="B279" s="54">
        <v>0</v>
      </c>
      <c r="C279" s="54">
        <v>0</v>
      </c>
      <c r="D279" s="54">
        <v>0</v>
      </c>
      <c r="E279" s="54">
        <v>0</v>
      </c>
      <c r="F279" s="54">
        <v>0</v>
      </c>
      <c r="G279" s="54">
        <v>0</v>
      </c>
    </row>
    <row r="280" spans="1:7" x14ac:dyDescent="0.2">
      <c r="A280" s="142" t="s">
        <v>271</v>
      </c>
      <c r="B280" s="54">
        <v>0</v>
      </c>
      <c r="C280" s="54">
        <v>0</v>
      </c>
      <c r="D280" s="54">
        <v>0</v>
      </c>
      <c r="E280" s="54">
        <v>0</v>
      </c>
      <c r="F280" s="54">
        <v>0</v>
      </c>
      <c r="G280" s="54">
        <v>0</v>
      </c>
    </row>
    <row r="281" spans="1:7" x14ac:dyDescent="0.2">
      <c r="A281" s="142" t="s">
        <v>272</v>
      </c>
      <c r="B281" s="54">
        <v>0</v>
      </c>
      <c r="C281" s="54">
        <v>0</v>
      </c>
      <c r="D281" s="54">
        <v>0</v>
      </c>
      <c r="E281" s="54">
        <v>0</v>
      </c>
      <c r="F281" s="54">
        <v>0</v>
      </c>
      <c r="G281" s="54">
        <v>0</v>
      </c>
    </row>
    <row r="282" spans="1:7" x14ac:dyDescent="0.2">
      <c r="A282" s="142" t="s">
        <v>273</v>
      </c>
      <c r="B282" s="54">
        <v>0</v>
      </c>
      <c r="C282" s="54">
        <v>0</v>
      </c>
      <c r="D282" s="54">
        <v>0</v>
      </c>
      <c r="E282" s="54">
        <v>0</v>
      </c>
      <c r="F282" s="54">
        <v>0</v>
      </c>
      <c r="G282" s="54">
        <v>0</v>
      </c>
    </row>
    <row r="283" spans="1:7" x14ac:dyDescent="0.2">
      <c r="A283" s="142" t="s">
        <v>274</v>
      </c>
      <c r="B283" s="54">
        <v>0</v>
      </c>
      <c r="C283" s="54">
        <v>0</v>
      </c>
      <c r="D283" s="54">
        <v>0</v>
      </c>
      <c r="E283" s="54">
        <v>0</v>
      </c>
      <c r="F283" s="54">
        <v>0</v>
      </c>
      <c r="G283" s="54">
        <v>0</v>
      </c>
    </row>
    <row r="284" spans="1:7" x14ac:dyDescent="0.2">
      <c r="A284" s="142" t="s">
        <v>275</v>
      </c>
      <c r="B284" s="54">
        <v>0</v>
      </c>
      <c r="C284" s="54">
        <v>0</v>
      </c>
      <c r="D284" s="54">
        <v>0</v>
      </c>
      <c r="E284" s="54">
        <v>0</v>
      </c>
      <c r="F284" s="54">
        <v>0</v>
      </c>
      <c r="G284" s="54">
        <v>0</v>
      </c>
    </row>
    <row r="285" spans="1:7" x14ac:dyDescent="0.2">
      <c r="A285" s="142" t="s">
        <v>276</v>
      </c>
      <c r="B285" s="54">
        <v>0</v>
      </c>
      <c r="C285" s="54">
        <v>0</v>
      </c>
      <c r="D285" s="54">
        <v>0</v>
      </c>
      <c r="E285" s="54">
        <v>0</v>
      </c>
      <c r="F285" s="54">
        <v>0</v>
      </c>
      <c r="G285" s="54">
        <v>0</v>
      </c>
    </row>
    <row r="286" spans="1:7" x14ac:dyDescent="0.2">
      <c r="A286" s="144" t="s">
        <v>277</v>
      </c>
      <c r="B286" s="54">
        <v>0</v>
      </c>
      <c r="C286" s="54">
        <v>0</v>
      </c>
      <c r="D286" s="54">
        <v>0</v>
      </c>
      <c r="E286" s="54">
        <v>0</v>
      </c>
      <c r="F286" s="54">
        <v>0</v>
      </c>
      <c r="G286" s="54">
        <v>0</v>
      </c>
    </row>
    <row r="287" spans="1:7" x14ac:dyDescent="0.2">
      <c r="A287" s="148" t="s">
        <v>278</v>
      </c>
      <c r="B287" s="54">
        <v>0</v>
      </c>
      <c r="C287" s="54">
        <v>0</v>
      </c>
      <c r="D287" s="54">
        <v>0</v>
      </c>
      <c r="E287" s="54">
        <v>0</v>
      </c>
      <c r="F287" s="54">
        <v>0</v>
      </c>
      <c r="G287" s="54">
        <v>0</v>
      </c>
    </row>
    <row r="288" spans="1:7" x14ac:dyDescent="0.2">
      <c r="A288" s="148" t="s">
        <v>279</v>
      </c>
      <c r="B288" s="54">
        <v>0</v>
      </c>
      <c r="C288" s="54">
        <v>0</v>
      </c>
      <c r="D288" s="54">
        <v>0</v>
      </c>
      <c r="E288" s="54">
        <v>0</v>
      </c>
      <c r="F288" s="54">
        <v>0</v>
      </c>
      <c r="G288" s="54">
        <v>0</v>
      </c>
    </row>
    <row r="289" spans="1:7" x14ac:dyDescent="0.2">
      <c r="A289" s="148" t="s">
        <v>280</v>
      </c>
      <c r="B289" s="54">
        <v>0</v>
      </c>
      <c r="C289" s="54">
        <v>0</v>
      </c>
      <c r="D289" s="54">
        <v>0</v>
      </c>
      <c r="E289" s="54">
        <v>0</v>
      </c>
      <c r="F289" s="54">
        <v>0</v>
      </c>
      <c r="G289" s="54">
        <v>0</v>
      </c>
    </row>
    <row r="290" spans="1:7" x14ac:dyDescent="0.2">
      <c r="A290" s="148" t="s">
        <v>281</v>
      </c>
      <c r="B290" s="54">
        <v>0</v>
      </c>
      <c r="C290" s="54">
        <v>0</v>
      </c>
      <c r="D290" s="54">
        <v>0</v>
      </c>
      <c r="E290" s="54">
        <v>0</v>
      </c>
      <c r="F290" s="54">
        <v>0</v>
      </c>
      <c r="G290" s="54">
        <v>0</v>
      </c>
    </row>
    <row r="291" spans="1:7" x14ac:dyDescent="0.2">
      <c r="A291" s="148" t="s">
        <v>282</v>
      </c>
      <c r="B291" s="54">
        <v>0</v>
      </c>
      <c r="C291" s="54">
        <v>0</v>
      </c>
      <c r="D291" s="54">
        <v>0</v>
      </c>
      <c r="E291" s="54">
        <v>0</v>
      </c>
      <c r="F291" s="54">
        <v>0</v>
      </c>
      <c r="G291" s="54">
        <v>0</v>
      </c>
    </row>
    <row r="292" spans="1:7" x14ac:dyDescent="0.2">
      <c r="A292" s="148" t="s">
        <v>283</v>
      </c>
      <c r="B292" s="54">
        <v>0</v>
      </c>
      <c r="C292" s="54">
        <v>0</v>
      </c>
      <c r="D292" s="54">
        <v>0</v>
      </c>
      <c r="E292" s="54">
        <v>0</v>
      </c>
      <c r="F292" s="54">
        <v>0</v>
      </c>
      <c r="G292" s="54">
        <v>0</v>
      </c>
    </row>
    <row r="293" spans="1:7" x14ac:dyDescent="0.2">
      <c r="A293" s="148" t="s">
        <v>284</v>
      </c>
      <c r="B293" s="54">
        <v>0</v>
      </c>
      <c r="C293" s="54">
        <v>0</v>
      </c>
      <c r="D293" s="54">
        <v>0</v>
      </c>
      <c r="E293" s="54">
        <v>0</v>
      </c>
      <c r="F293" s="54">
        <v>0</v>
      </c>
      <c r="G293" s="54">
        <v>0</v>
      </c>
    </row>
    <row r="294" spans="1:7" x14ac:dyDescent="0.2">
      <c r="A294" s="148" t="s">
        <v>285</v>
      </c>
      <c r="B294" s="54">
        <v>0</v>
      </c>
      <c r="C294" s="54">
        <v>0</v>
      </c>
      <c r="D294" s="54">
        <v>0</v>
      </c>
      <c r="E294" s="54">
        <v>0</v>
      </c>
      <c r="F294" s="54">
        <v>0</v>
      </c>
      <c r="G294" s="54">
        <v>0</v>
      </c>
    </row>
    <row r="295" spans="1:7" x14ac:dyDescent="0.2">
      <c r="A295" s="147" t="s">
        <v>286</v>
      </c>
      <c r="B295" s="54">
        <v>0</v>
      </c>
      <c r="C295" s="54">
        <v>0</v>
      </c>
      <c r="D295" s="54">
        <v>0</v>
      </c>
      <c r="E295" s="54">
        <v>0</v>
      </c>
      <c r="F295" s="54">
        <v>0</v>
      </c>
      <c r="G295" s="54">
        <v>0</v>
      </c>
    </row>
    <row r="296" spans="1:7" x14ac:dyDescent="0.2">
      <c r="A296" s="142" t="s">
        <v>287</v>
      </c>
      <c r="B296" s="54">
        <f>Material_compnt_GREET2!B$62*Al_alloy_use_compnt!$F20</f>
        <v>0</v>
      </c>
      <c r="C296" s="54">
        <f>Material_compnt_GREET2!C$62*Al_alloy_use_compnt!$F20</f>
        <v>0</v>
      </c>
      <c r="D296" s="54">
        <f>Material_compnt_GREET2!D$62*Al_alloy_use_compnt!$F20</f>
        <v>0</v>
      </c>
      <c r="E296" s="54">
        <f>Material_compnt_GREET2!E$62*Al_alloy_use_compnt!$F20</f>
        <v>0</v>
      </c>
      <c r="F296" s="54">
        <f>Material_compnt_GREET2!F$62*Al_alloy_use_compnt!$F20</f>
        <v>0</v>
      </c>
      <c r="G296" s="54">
        <f>Material_compnt_GREET2!G$62*Al_alloy_use_compnt!$F20</f>
        <v>0</v>
      </c>
    </row>
    <row r="297" spans="1:7" x14ac:dyDescent="0.2">
      <c r="A297" s="142" t="s">
        <v>288</v>
      </c>
      <c r="B297" s="54">
        <f>Material_compnt_GREET2!B$62*Al_alloy_use_compnt!$F21</f>
        <v>0</v>
      </c>
      <c r="C297" s="54">
        <f>Material_compnt_GREET2!C$62*Al_alloy_use_compnt!$F21</f>
        <v>0</v>
      </c>
      <c r="D297" s="54">
        <f>Material_compnt_GREET2!D$62*Al_alloy_use_compnt!$F21</f>
        <v>0</v>
      </c>
      <c r="E297" s="54">
        <f>Material_compnt_GREET2!E$62*Al_alloy_use_compnt!$F21</f>
        <v>0</v>
      </c>
      <c r="F297" s="54">
        <f>Material_compnt_GREET2!F$62*Al_alloy_use_compnt!$F21</f>
        <v>0</v>
      </c>
      <c r="G297" s="54">
        <f>Material_compnt_GREET2!G$62*Al_alloy_use_compnt!$F21</f>
        <v>0</v>
      </c>
    </row>
    <row r="298" spans="1:7" x14ac:dyDescent="0.2">
      <c r="A298" s="142" t="s">
        <v>289</v>
      </c>
      <c r="B298" s="54">
        <f>Material_compnt_GREET2!B$62*Al_alloy_use_compnt!$F22</f>
        <v>0</v>
      </c>
      <c r="C298" s="54">
        <f>Material_compnt_GREET2!C$62*Al_alloy_use_compnt!$F22</f>
        <v>0</v>
      </c>
      <c r="D298" s="54">
        <f>Material_compnt_GREET2!D$62*Al_alloy_use_compnt!$F22</f>
        <v>9.1059225481492501</v>
      </c>
      <c r="E298" s="54">
        <f>Material_compnt_GREET2!E$62*Al_alloy_use_compnt!$F22</f>
        <v>5.0890972529905385</v>
      </c>
      <c r="F298" s="54">
        <f>Material_compnt_GREET2!F$62*Al_alloy_use_compnt!$F22</f>
        <v>16.639948127512394</v>
      </c>
      <c r="G298" s="54">
        <f>Material_compnt_GREET2!G$62*Al_alloy_use_compnt!$F22</f>
        <v>10.187673315179541</v>
      </c>
    </row>
    <row r="299" spans="1:7" x14ac:dyDescent="0.2">
      <c r="A299" s="142" t="s">
        <v>290</v>
      </c>
      <c r="B299" s="54">
        <f>Material_compnt_GREET2!B$62*Al_alloy_use_compnt!$F23</f>
        <v>0</v>
      </c>
      <c r="C299" s="54">
        <f>Material_compnt_GREET2!C$62*Al_alloy_use_compnt!$F23</f>
        <v>0</v>
      </c>
      <c r="D299" s="54">
        <f>Material_compnt_GREET2!D$62*Al_alloy_use_compnt!$F23</f>
        <v>9.1059225481492501</v>
      </c>
      <c r="E299" s="54">
        <f>Material_compnt_GREET2!E$62*Al_alloy_use_compnt!$F23</f>
        <v>5.0890972529905385</v>
      </c>
      <c r="F299" s="54">
        <f>Material_compnt_GREET2!F$62*Al_alloy_use_compnt!$F23</f>
        <v>16.639948127512394</v>
      </c>
      <c r="G299" s="54">
        <f>Material_compnt_GREET2!G$62*Al_alloy_use_compnt!$F23</f>
        <v>10.187673315179541</v>
      </c>
    </row>
    <row r="300" spans="1:7" x14ac:dyDescent="0.2">
      <c r="A300" s="142" t="s">
        <v>291</v>
      </c>
      <c r="B300" s="54">
        <f>Material_compnt_GREET2!B$62*Al_alloy_use_compnt!$F24</f>
        <v>0</v>
      </c>
      <c r="C300" s="54">
        <f>Material_compnt_GREET2!C$62*Al_alloy_use_compnt!$F24</f>
        <v>0</v>
      </c>
      <c r="D300" s="54">
        <f>Material_compnt_GREET2!D$62*Al_alloy_use_compnt!$F24</f>
        <v>0</v>
      </c>
      <c r="E300" s="54">
        <f>Material_compnt_GREET2!E$62*Al_alloy_use_compnt!$F24</f>
        <v>0</v>
      </c>
      <c r="F300" s="54">
        <f>Material_compnt_GREET2!F$62*Al_alloy_use_compnt!$F24</f>
        <v>0</v>
      </c>
      <c r="G300" s="54">
        <f>Material_compnt_GREET2!G$62*Al_alloy_use_compnt!$F24</f>
        <v>0</v>
      </c>
    </row>
    <row r="301" spans="1:7" x14ac:dyDescent="0.2">
      <c r="A301" s="142" t="s">
        <v>292</v>
      </c>
      <c r="B301" s="54">
        <f>Material_compnt_GREET2!B$62*Al_alloy_use_compnt!$F25</f>
        <v>0</v>
      </c>
      <c r="C301" s="54">
        <f>Material_compnt_GREET2!C$62*Al_alloy_use_compnt!$F25</f>
        <v>0</v>
      </c>
      <c r="D301" s="54">
        <f>Material_compnt_GREET2!D$62*Al_alloy_use_compnt!$F25</f>
        <v>0</v>
      </c>
      <c r="E301" s="54">
        <f>Material_compnt_GREET2!E$62*Al_alloy_use_compnt!$F25</f>
        <v>0</v>
      </c>
      <c r="F301" s="54">
        <f>Material_compnt_GREET2!F$62*Al_alloy_use_compnt!$F25</f>
        <v>0</v>
      </c>
      <c r="G301" s="54">
        <f>Material_compnt_GREET2!G$62*Al_alloy_use_compnt!$F25</f>
        <v>0</v>
      </c>
    </row>
    <row r="302" spans="1:7" x14ac:dyDescent="0.2">
      <c r="A302" s="142" t="s">
        <v>293</v>
      </c>
      <c r="B302" s="54">
        <f>Material_compnt_GREET2!B$62*Al_alloy_use_compnt!$F26</f>
        <v>0</v>
      </c>
      <c r="C302" s="54">
        <f>Material_compnt_GREET2!C$62*Al_alloy_use_compnt!$F26</f>
        <v>0</v>
      </c>
      <c r="D302" s="54">
        <f>Material_compnt_GREET2!D$62*Al_alloy_use_compnt!$F26</f>
        <v>0</v>
      </c>
      <c r="E302" s="54">
        <f>Material_compnt_GREET2!E$62*Al_alloy_use_compnt!$F26</f>
        <v>0</v>
      </c>
      <c r="F302" s="54">
        <f>Material_compnt_GREET2!F$62*Al_alloy_use_compnt!$F26</f>
        <v>0</v>
      </c>
      <c r="G302" s="54">
        <f>Material_compnt_GREET2!G$62*Al_alloy_use_compnt!$F26</f>
        <v>0</v>
      </c>
    </row>
    <row r="303" spans="1:7" x14ac:dyDescent="0.2">
      <c r="A303" s="142" t="s">
        <v>294</v>
      </c>
      <c r="B303" s="54">
        <f>Material_compnt_GREET2!B$62*Al_alloy_use_compnt!$F27</f>
        <v>0</v>
      </c>
      <c r="C303" s="54">
        <f>Material_compnt_GREET2!C$62*Al_alloy_use_compnt!$F27</f>
        <v>0</v>
      </c>
      <c r="D303" s="54">
        <f>Material_compnt_GREET2!D$62*Al_alloy_use_compnt!$F27</f>
        <v>0</v>
      </c>
      <c r="E303" s="54">
        <f>Material_compnt_GREET2!E$62*Al_alloy_use_compnt!$F27</f>
        <v>0</v>
      </c>
      <c r="F303" s="54">
        <f>Material_compnt_GREET2!F$62*Al_alloy_use_compnt!$F27</f>
        <v>0</v>
      </c>
      <c r="G303" s="54">
        <f>Material_compnt_GREET2!G$62*Al_alloy_use_compnt!$F27</f>
        <v>0</v>
      </c>
    </row>
    <row r="304" spans="1:7" x14ac:dyDescent="0.2">
      <c r="A304" s="144" t="s">
        <v>295</v>
      </c>
      <c r="B304" s="54">
        <f>Material_compnt_GREET2!B$62*Al_alloy_use_compnt!$F28</f>
        <v>0</v>
      </c>
      <c r="C304" s="54">
        <f>Material_compnt_GREET2!C$62*Al_alloy_use_compnt!$F28</f>
        <v>0</v>
      </c>
      <c r="D304" s="54">
        <f>Material_compnt_GREET2!D$62*Al_alloy_use_compnt!$F28</f>
        <v>0</v>
      </c>
      <c r="E304" s="54">
        <f>Material_compnt_GREET2!E$62*Al_alloy_use_compnt!$F28</f>
        <v>0</v>
      </c>
      <c r="F304" s="54">
        <f>Material_compnt_GREET2!F$62*Al_alloy_use_compnt!$F28</f>
        <v>0</v>
      </c>
      <c r="G304" s="54">
        <f>Material_compnt_GREET2!G$62*Al_alloy_use_compnt!$F28</f>
        <v>0</v>
      </c>
    </row>
    <row r="305" spans="1:7" x14ac:dyDescent="0.2">
      <c r="A305" s="142" t="s">
        <v>206</v>
      </c>
      <c r="B305" s="54">
        <v>0</v>
      </c>
      <c r="C305" s="54">
        <v>0</v>
      </c>
      <c r="D305" s="54">
        <v>0</v>
      </c>
      <c r="E305" s="54">
        <v>0</v>
      </c>
      <c r="F305" s="54">
        <v>0</v>
      </c>
      <c r="G305" s="54">
        <v>0</v>
      </c>
    </row>
    <row r="306" spans="1:7" ht="17" thickBot="1" x14ac:dyDescent="0.25">
      <c r="A306" s="149" t="s">
        <v>208</v>
      </c>
      <c r="B306" s="54">
        <v>0</v>
      </c>
      <c r="C306" s="54">
        <v>0</v>
      </c>
      <c r="D306" s="54">
        <v>0</v>
      </c>
      <c r="E306" s="54">
        <v>0</v>
      </c>
      <c r="F306" s="54">
        <v>0</v>
      </c>
      <c r="G306" s="54">
        <v>0</v>
      </c>
    </row>
    <row r="307" spans="1:7" ht="17" thickTop="1" x14ac:dyDescent="0.2">
      <c r="A307" s="150" t="s">
        <v>177</v>
      </c>
      <c r="B307" s="54"/>
      <c r="C307" s="54"/>
      <c r="D307" s="54"/>
      <c r="E307" s="54"/>
      <c r="F307" s="54"/>
      <c r="G307" s="54"/>
    </row>
    <row r="308" spans="1:7" x14ac:dyDescent="0.2">
      <c r="A308" s="142" t="s">
        <v>105</v>
      </c>
      <c r="B308" s="54">
        <f>Material_compnt_GREET2!B$66*'Alloy_compnt_G&amp;L'!$I$2</f>
        <v>0</v>
      </c>
      <c r="C308" s="54">
        <f>Material_compnt_GREET2!C$66*'Alloy_compnt_G&amp;L'!$I$2</f>
        <v>0</v>
      </c>
      <c r="D308" s="54">
        <f>Material_compnt_GREET2!D$66*'Alloy_compnt_G&amp;L'!$I$2</f>
        <v>3.8426993153189835</v>
      </c>
      <c r="E308" s="54">
        <f>Material_compnt_GREET2!E$66*'Alloy_compnt_G&amp;L'!$I$2</f>
        <v>2.1475990407620071</v>
      </c>
      <c r="F308" s="54">
        <f>Material_compnt_GREET2!F$66*'Alloy_compnt_G&amp;L'!$I$2</f>
        <v>0</v>
      </c>
      <c r="G308" s="54">
        <f>Material_compnt_GREET2!G$66*'Alloy_compnt_G&amp;L'!$I$2</f>
        <v>0</v>
      </c>
    </row>
    <row r="309" spans="1:7" x14ac:dyDescent="0.2">
      <c r="A309" s="142" t="s">
        <v>106</v>
      </c>
      <c r="B309" s="54">
        <f>Material_compnt_GREET2!B$66*'Alloy_compnt_G&amp;L'!$J$2</f>
        <v>0</v>
      </c>
      <c r="C309" s="54">
        <f>Material_compnt_GREET2!C$66*'Alloy_compnt_G&amp;L'!$J$2</f>
        <v>0</v>
      </c>
      <c r="D309" s="54">
        <f>Material_compnt_GREET2!D$66*'Alloy_compnt_G&amp;L'!$J$2</f>
        <v>3.4784624133930135</v>
      </c>
      <c r="E309" s="54">
        <f>Material_compnt_GREET2!E$66*'Alloy_compnt_G&amp;L'!$J$2</f>
        <v>1.9440351506423856</v>
      </c>
      <c r="F309" s="54">
        <f>Material_compnt_GREET2!F$66*'Alloy_compnt_G&amp;L'!$J$2</f>
        <v>0</v>
      </c>
      <c r="G309" s="54">
        <f>Material_compnt_GREET2!G$66*'Alloy_compnt_G&amp;L'!$J$2</f>
        <v>0</v>
      </c>
    </row>
    <row r="310" spans="1:7" x14ac:dyDescent="0.2">
      <c r="A310" s="142" t="s">
        <v>107</v>
      </c>
      <c r="B310" s="54">
        <f>Material_compnt_GREET2!B$66*'Alloy_compnt_G&amp;L'!$K$2</f>
        <v>0</v>
      </c>
      <c r="C310" s="54">
        <f>Material_compnt_GREET2!C$66*'Alloy_compnt_G&amp;L'!$K$2</f>
        <v>0</v>
      </c>
      <c r="D310" s="54">
        <f>Material_compnt_GREET2!D$66*'Alloy_compnt_G&amp;L'!$K$2</f>
        <v>10.890683367586504</v>
      </c>
      <c r="E310" s="54">
        <f>Material_compnt_GREET2!E$66*'Alloy_compnt_G&amp;L'!$K$2</f>
        <v>6.0865603145766851</v>
      </c>
      <c r="F310" s="54">
        <f>Material_compnt_GREET2!F$66*'Alloy_compnt_G&amp;L'!$K$2</f>
        <v>0</v>
      </c>
      <c r="G310" s="54">
        <f>Material_compnt_GREET2!G$66*'Alloy_compnt_G&amp;L'!$K$2</f>
        <v>0</v>
      </c>
    </row>
    <row r="311" spans="1:7" x14ac:dyDescent="0.2">
      <c r="A311" s="142" t="s">
        <v>91</v>
      </c>
      <c r="B311" s="54">
        <v>0</v>
      </c>
      <c r="C311" s="54">
        <v>0</v>
      </c>
      <c r="D311" s="54">
        <v>0</v>
      </c>
      <c r="E311" s="54">
        <v>0</v>
      </c>
      <c r="F311" s="54">
        <v>0</v>
      </c>
      <c r="G311" s="54">
        <v>0</v>
      </c>
    </row>
    <row r="312" spans="1:7" x14ac:dyDescent="0.2">
      <c r="A312" s="142" t="s">
        <v>204</v>
      </c>
      <c r="B312" s="54">
        <v>0</v>
      </c>
      <c r="C312" s="54">
        <v>0</v>
      </c>
      <c r="D312" s="54">
        <v>0</v>
      </c>
      <c r="E312" s="54">
        <v>0</v>
      </c>
      <c r="F312" s="54">
        <v>0</v>
      </c>
      <c r="G312" s="54">
        <v>0</v>
      </c>
    </row>
    <row r="313" spans="1:7" x14ac:dyDescent="0.2">
      <c r="A313" s="144" t="s">
        <v>104</v>
      </c>
      <c r="B313" s="54">
        <v>0</v>
      </c>
      <c r="C313" s="54">
        <v>0</v>
      </c>
      <c r="D313" s="54">
        <v>0</v>
      </c>
      <c r="E313" s="54">
        <v>0</v>
      </c>
      <c r="F313" s="54">
        <v>0</v>
      </c>
      <c r="G313" s="54">
        <v>0</v>
      </c>
    </row>
    <row r="314" spans="1:7" x14ac:dyDescent="0.2">
      <c r="A314" s="145" t="s">
        <v>244</v>
      </c>
      <c r="B314" s="54">
        <v>0</v>
      </c>
      <c r="C314" s="54">
        <v>0</v>
      </c>
      <c r="D314" s="54">
        <v>0</v>
      </c>
      <c r="E314" s="54">
        <v>0</v>
      </c>
      <c r="F314" s="54">
        <v>0</v>
      </c>
      <c r="G314" s="54">
        <v>0</v>
      </c>
    </row>
    <row r="315" spans="1:7" x14ac:dyDescent="0.2">
      <c r="A315" s="145" t="s">
        <v>245</v>
      </c>
      <c r="B315" s="54">
        <v>0</v>
      </c>
      <c r="C315" s="54">
        <v>0</v>
      </c>
      <c r="D315" s="54">
        <v>0</v>
      </c>
      <c r="E315" s="54">
        <v>0</v>
      </c>
      <c r="F315" s="54">
        <v>0</v>
      </c>
      <c r="G315" s="54">
        <v>0</v>
      </c>
    </row>
    <row r="316" spans="1:7" x14ac:dyDescent="0.2">
      <c r="A316" s="145" t="s">
        <v>246</v>
      </c>
      <c r="B316" s="54">
        <v>0</v>
      </c>
      <c r="C316" s="54">
        <v>0</v>
      </c>
      <c r="D316" s="54">
        <v>0</v>
      </c>
      <c r="E316" s="54">
        <v>0</v>
      </c>
      <c r="F316" s="54">
        <v>0</v>
      </c>
      <c r="G316" s="54">
        <v>0</v>
      </c>
    </row>
    <row r="317" spans="1:7" x14ac:dyDescent="0.2">
      <c r="A317" s="145" t="s">
        <v>247</v>
      </c>
      <c r="B317" s="54">
        <v>0</v>
      </c>
      <c r="C317" s="54">
        <v>0</v>
      </c>
      <c r="D317" s="54">
        <v>0</v>
      </c>
      <c r="E317" s="54">
        <v>0</v>
      </c>
      <c r="F317" s="54">
        <v>0</v>
      </c>
      <c r="G317" s="54">
        <v>0</v>
      </c>
    </row>
    <row r="318" spans="1:7" x14ac:dyDescent="0.2">
      <c r="A318" s="145" t="s">
        <v>248</v>
      </c>
      <c r="B318" s="54">
        <v>0</v>
      </c>
      <c r="C318" s="54">
        <v>0</v>
      </c>
      <c r="D318" s="54">
        <v>0</v>
      </c>
      <c r="E318" s="54">
        <v>0</v>
      </c>
      <c r="F318" s="54">
        <v>0</v>
      </c>
      <c r="G318" s="54">
        <v>0</v>
      </c>
    </row>
    <row r="319" spans="1:7" x14ac:dyDescent="0.2">
      <c r="A319" s="145" t="s">
        <v>249</v>
      </c>
      <c r="B319" s="54">
        <v>0</v>
      </c>
      <c r="C319" s="54">
        <v>0</v>
      </c>
      <c r="D319" s="54">
        <v>0</v>
      </c>
      <c r="E319" s="54">
        <v>0</v>
      </c>
      <c r="F319" s="54">
        <v>0</v>
      </c>
      <c r="G319" s="54">
        <v>0</v>
      </c>
    </row>
    <row r="320" spans="1:7" x14ac:dyDescent="0.2">
      <c r="A320" s="145" t="s">
        <v>250</v>
      </c>
      <c r="B320" s="54">
        <v>0</v>
      </c>
      <c r="C320" s="54">
        <v>0</v>
      </c>
      <c r="D320" s="54">
        <v>0</v>
      </c>
      <c r="E320" s="54">
        <v>0</v>
      </c>
      <c r="F320" s="54">
        <v>0</v>
      </c>
      <c r="G320" s="54">
        <v>0</v>
      </c>
    </row>
    <row r="321" spans="1:7" x14ac:dyDescent="0.2">
      <c r="A321" s="145" t="s">
        <v>251</v>
      </c>
      <c r="B321" s="54">
        <v>0</v>
      </c>
      <c r="C321" s="54">
        <v>0</v>
      </c>
      <c r="D321" s="54">
        <v>0</v>
      </c>
      <c r="E321" s="54">
        <v>0</v>
      </c>
      <c r="F321" s="54">
        <v>0</v>
      </c>
      <c r="G321" s="54">
        <v>0</v>
      </c>
    </row>
    <row r="322" spans="1:7" x14ac:dyDescent="0.2">
      <c r="A322" s="145" t="s">
        <v>252</v>
      </c>
      <c r="B322" s="54">
        <v>0</v>
      </c>
      <c r="C322" s="54">
        <v>0</v>
      </c>
      <c r="D322" s="54">
        <v>0</v>
      </c>
      <c r="E322" s="54">
        <v>0</v>
      </c>
      <c r="F322" s="54">
        <v>0</v>
      </c>
      <c r="G322" s="54">
        <v>0</v>
      </c>
    </row>
    <row r="323" spans="1:7" x14ac:dyDescent="0.2">
      <c r="A323" s="145" t="s">
        <v>253</v>
      </c>
      <c r="B323" s="54">
        <v>0</v>
      </c>
      <c r="C323" s="54">
        <v>0</v>
      </c>
      <c r="D323" s="54">
        <v>0</v>
      </c>
      <c r="E323" s="54">
        <v>0</v>
      </c>
      <c r="F323" s="54">
        <v>0</v>
      </c>
      <c r="G323" s="54">
        <v>0</v>
      </c>
    </row>
    <row r="324" spans="1:7" x14ac:dyDescent="0.2">
      <c r="A324" s="145" t="s">
        <v>254</v>
      </c>
      <c r="B324" s="54">
        <v>0</v>
      </c>
      <c r="C324" s="54">
        <v>0</v>
      </c>
      <c r="D324" s="54">
        <v>0</v>
      </c>
      <c r="E324" s="54">
        <v>0</v>
      </c>
      <c r="F324" s="54">
        <v>0</v>
      </c>
      <c r="G324" s="54">
        <v>0</v>
      </c>
    </row>
    <row r="325" spans="1:7" x14ac:dyDescent="0.2">
      <c r="A325" s="146" t="s">
        <v>255</v>
      </c>
      <c r="B325" s="54">
        <v>0</v>
      </c>
      <c r="C325" s="54">
        <v>0</v>
      </c>
      <c r="D325" s="54">
        <v>0</v>
      </c>
      <c r="E325" s="54">
        <v>0</v>
      </c>
      <c r="F325" s="54">
        <v>0</v>
      </c>
      <c r="G325" s="54">
        <v>0</v>
      </c>
    </row>
    <row r="326" spans="1:7" x14ac:dyDescent="0.2">
      <c r="A326" s="145" t="s">
        <v>256</v>
      </c>
      <c r="B326" s="54">
        <v>0</v>
      </c>
      <c r="C326" s="54">
        <v>0</v>
      </c>
      <c r="D326" s="54">
        <v>0</v>
      </c>
      <c r="E326" s="54">
        <v>0</v>
      </c>
      <c r="F326" s="54">
        <v>0</v>
      </c>
      <c r="G326" s="54">
        <v>0</v>
      </c>
    </row>
    <row r="327" spans="1:7" x14ac:dyDescent="0.2">
      <c r="A327" s="145" t="s">
        <v>257</v>
      </c>
      <c r="B327" s="54">
        <v>0</v>
      </c>
      <c r="C327" s="54">
        <v>0</v>
      </c>
      <c r="D327" s="54">
        <v>0</v>
      </c>
      <c r="E327" s="54">
        <v>0</v>
      </c>
      <c r="F327" s="54">
        <v>0</v>
      </c>
      <c r="G327" s="54">
        <v>0</v>
      </c>
    </row>
    <row r="328" spans="1:7" x14ac:dyDescent="0.2">
      <c r="A328" s="145" t="s">
        <v>258</v>
      </c>
      <c r="B328" s="54">
        <v>0</v>
      </c>
      <c r="C328" s="54">
        <v>0</v>
      </c>
      <c r="D328" s="54">
        <v>0</v>
      </c>
      <c r="E328" s="54">
        <v>0</v>
      </c>
      <c r="F328" s="54">
        <v>0</v>
      </c>
      <c r="G328" s="54">
        <v>0</v>
      </c>
    </row>
    <row r="329" spans="1:7" x14ac:dyDescent="0.2">
      <c r="A329" s="142" t="s">
        <v>259</v>
      </c>
      <c r="B329" s="54">
        <v>0</v>
      </c>
      <c r="C329" s="54">
        <v>0</v>
      </c>
      <c r="D329" s="54">
        <v>0</v>
      </c>
      <c r="E329" s="54">
        <v>0</v>
      </c>
      <c r="F329" s="54">
        <v>0</v>
      </c>
      <c r="G329" s="54">
        <v>0</v>
      </c>
    </row>
    <row r="330" spans="1:7" x14ac:dyDescent="0.2">
      <c r="A330" s="147" t="s">
        <v>260</v>
      </c>
      <c r="B330" s="54">
        <v>0</v>
      </c>
      <c r="C330" s="54">
        <v>0</v>
      </c>
      <c r="D330" s="54">
        <v>0</v>
      </c>
      <c r="E330" s="54">
        <v>0</v>
      </c>
      <c r="F330" s="54">
        <v>0</v>
      </c>
      <c r="G330" s="54">
        <v>0</v>
      </c>
    </row>
    <row r="331" spans="1:7" x14ac:dyDescent="0.2">
      <c r="A331" s="142" t="s">
        <v>261</v>
      </c>
      <c r="B331" s="54">
        <v>0</v>
      </c>
      <c r="C331" s="54">
        <v>0</v>
      </c>
      <c r="D331" s="54">
        <v>0</v>
      </c>
      <c r="E331" s="54">
        <v>0</v>
      </c>
      <c r="F331" s="54">
        <v>0</v>
      </c>
      <c r="G331" s="54">
        <v>0</v>
      </c>
    </row>
    <row r="332" spans="1:7" x14ac:dyDescent="0.2">
      <c r="A332" s="142" t="s">
        <v>262</v>
      </c>
      <c r="B332" s="54">
        <v>0</v>
      </c>
      <c r="C332" s="54">
        <v>0</v>
      </c>
      <c r="D332" s="54">
        <v>0</v>
      </c>
      <c r="E332" s="54">
        <v>0</v>
      </c>
      <c r="F332" s="54">
        <v>0</v>
      </c>
      <c r="G332" s="54">
        <v>0</v>
      </c>
    </row>
    <row r="333" spans="1:7" x14ac:dyDescent="0.2">
      <c r="A333" s="142" t="s">
        <v>263</v>
      </c>
      <c r="B333" s="54">
        <v>0</v>
      </c>
      <c r="C333" s="54">
        <v>0</v>
      </c>
      <c r="D333" s="54">
        <v>0</v>
      </c>
      <c r="E333" s="54">
        <v>0</v>
      </c>
      <c r="F333" s="54">
        <v>0</v>
      </c>
      <c r="G333" s="54">
        <v>0</v>
      </c>
    </row>
    <row r="334" spans="1:7" x14ac:dyDescent="0.2">
      <c r="A334" s="142" t="s">
        <v>264</v>
      </c>
      <c r="B334" s="54">
        <v>0</v>
      </c>
      <c r="C334" s="54">
        <v>0</v>
      </c>
      <c r="D334" s="54">
        <v>0</v>
      </c>
      <c r="E334" s="54">
        <v>0</v>
      </c>
      <c r="F334" s="54">
        <v>0</v>
      </c>
      <c r="G334" s="54">
        <v>0</v>
      </c>
    </row>
    <row r="335" spans="1:7" x14ac:dyDescent="0.2">
      <c r="A335" s="142" t="s">
        <v>265</v>
      </c>
      <c r="B335" s="54">
        <v>0</v>
      </c>
      <c r="C335" s="54">
        <v>0</v>
      </c>
      <c r="D335" s="54">
        <v>0</v>
      </c>
      <c r="E335" s="54">
        <v>0</v>
      </c>
      <c r="F335" s="54">
        <v>0</v>
      </c>
      <c r="G335" s="54">
        <v>0</v>
      </c>
    </row>
    <row r="336" spans="1:7" x14ac:dyDescent="0.2">
      <c r="A336" s="142" t="s">
        <v>266</v>
      </c>
      <c r="B336" s="54">
        <v>0</v>
      </c>
      <c r="C336" s="54">
        <v>0</v>
      </c>
      <c r="D336" s="54">
        <v>0</v>
      </c>
      <c r="E336" s="54">
        <v>0</v>
      </c>
      <c r="F336" s="54">
        <v>0</v>
      </c>
      <c r="G336" s="54">
        <v>0</v>
      </c>
    </row>
    <row r="337" spans="1:7" x14ac:dyDescent="0.2">
      <c r="A337" s="142" t="s">
        <v>267</v>
      </c>
      <c r="B337" s="54">
        <v>0</v>
      </c>
      <c r="C337" s="54">
        <v>0</v>
      </c>
      <c r="D337" s="54">
        <v>0</v>
      </c>
      <c r="E337" s="54">
        <v>0</v>
      </c>
      <c r="F337" s="54">
        <v>0</v>
      </c>
      <c r="G337" s="54">
        <v>0</v>
      </c>
    </row>
    <row r="338" spans="1:7" x14ac:dyDescent="0.2">
      <c r="A338" s="142" t="s">
        <v>268</v>
      </c>
      <c r="B338" s="54">
        <v>0</v>
      </c>
      <c r="C338" s="54">
        <v>0</v>
      </c>
      <c r="D338" s="54">
        <v>0</v>
      </c>
      <c r="E338" s="54">
        <v>0</v>
      </c>
      <c r="F338" s="54">
        <v>0</v>
      </c>
      <c r="G338" s="54">
        <v>0</v>
      </c>
    </row>
    <row r="339" spans="1:7" x14ac:dyDescent="0.2">
      <c r="A339" s="142" t="s">
        <v>269</v>
      </c>
      <c r="B339" s="54">
        <v>0</v>
      </c>
      <c r="C339" s="54">
        <v>0</v>
      </c>
      <c r="D339" s="54">
        <v>0</v>
      </c>
      <c r="E339" s="54">
        <v>0</v>
      </c>
      <c r="F339" s="54">
        <v>0</v>
      </c>
      <c r="G339" s="54">
        <v>0</v>
      </c>
    </row>
    <row r="340" spans="1:7" x14ac:dyDescent="0.2">
      <c r="A340" s="142" t="s">
        <v>270</v>
      </c>
      <c r="B340" s="54">
        <v>0</v>
      </c>
      <c r="C340" s="54">
        <v>0</v>
      </c>
      <c r="D340" s="54">
        <v>0</v>
      </c>
      <c r="E340" s="54">
        <v>0</v>
      </c>
      <c r="F340" s="54">
        <v>0</v>
      </c>
      <c r="G340" s="54">
        <v>0</v>
      </c>
    </row>
    <row r="341" spans="1:7" x14ac:dyDescent="0.2">
      <c r="A341" s="142" t="s">
        <v>271</v>
      </c>
      <c r="B341" s="54">
        <v>0</v>
      </c>
      <c r="C341" s="54">
        <v>0</v>
      </c>
      <c r="D341" s="54">
        <v>0</v>
      </c>
      <c r="E341" s="54">
        <v>0</v>
      </c>
      <c r="F341" s="54">
        <v>0</v>
      </c>
      <c r="G341" s="54">
        <v>0</v>
      </c>
    </row>
    <row r="342" spans="1:7" x14ac:dyDescent="0.2">
      <c r="A342" s="142" t="s">
        <v>272</v>
      </c>
      <c r="B342" s="54">
        <v>0</v>
      </c>
      <c r="C342" s="54">
        <v>0</v>
      </c>
      <c r="D342" s="54">
        <v>0</v>
      </c>
      <c r="E342" s="54">
        <v>0</v>
      </c>
      <c r="F342" s="54">
        <v>0</v>
      </c>
      <c r="G342" s="54">
        <v>0</v>
      </c>
    </row>
    <row r="343" spans="1:7" x14ac:dyDescent="0.2">
      <c r="A343" s="142" t="s">
        <v>273</v>
      </c>
      <c r="B343" s="54">
        <v>0</v>
      </c>
      <c r="C343" s="54">
        <v>0</v>
      </c>
      <c r="D343" s="54">
        <v>0</v>
      </c>
      <c r="E343" s="54">
        <v>0</v>
      </c>
      <c r="F343" s="54">
        <v>0</v>
      </c>
      <c r="G343" s="54">
        <v>0</v>
      </c>
    </row>
    <row r="344" spans="1:7" x14ac:dyDescent="0.2">
      <c r="A344" s="142" t="s">
        <v>274</v>
      </c>
      <c r="B344" s="54">
        <v>0</v>
      </c>
      <c r="C344" s="54">
        <v>0</v>
      </c>
      <c r="D344" s="54">
        <v>0</v>
      </c>
      <c r="E344" s="54">
        <v>0</v>
      </c>
      <c r="F344" s="54">
        <v>0</v>
      </c>
      <c r="G344" s="54">
        <v>0</v>
      </c>
    </row>
    <row r="345" spans="1:7" x14ac:dyDescent="0.2">
      <c r="A345" s="142" t="s">
        <v>275</v>
      </c>
      <c r="B345" s="54">
        <v>0</v>
      </c>
      <c r="C345" s="54">
        <v>0</v>
      </c>
      <c r="D345" s="54">
        <v>0</v>
      </c>
      <c r="E345" s="54">
        <v>0</v>
      </c>
      <c r="F345" s="54">
        <v>0</v>
      </c>
      <c r="G345" s="54">
        <v>0</v>
      </c>
    </row>
    <row r="346" spans="1:7" x14ac:dyDescent="0.2">
      <c r="A346" s="142" t="s">
        <v>276</v>
      </c>
      <c r="B346" s="54">
        <v>0</v>
      </c>
      <c r="C346" s="54">
        <v>0</v>
      </c>
      <c r="D346" s="54">
        <v>0</v>
      </c>
      <c r="E346" s="54">
        <v>0</v>
      </c>
      <c r="F346" s="54">
        <v>0</v>
      </c>
      <c r="G346" s="54">
        <v>0</v>
      </c>
    </row>
    <row r="347" spans="1:7" x14ac:dyDescent="0.2">
      <c r="A347" s="144" t="s">
        <v>277</v>
      </c>
      <c r="B347" s="54">
        <v>0</v>
      </c>
      <c r="C347" s="54">
        <v>0</v>
      </c>
      <c r="D347" s="54">
        <v>0</v>
      </c>
      <c r="E347" s="54">
        <v>0</v>
      </c>
      <c r="F347" s="54">
        <v>0</v>
      </c>
      <c r="G347" s="54">
        <v>0</v>
      </c>
    </row>
    <row r="348" spans="1:7" x14ac:dyDescent="0.2">
      <c r="A348" s="148" t="s">
        <v>278</v>
      </c>
      <c r="B348" s="54">
        <v>0</v>
      </c>
      <c r="C348" s="54">
        <v>0</v>
      </c>
      <c r="D348" s="54">
        <v>0</v>
      </c>
      <c r="E348" s="54">
        <v>0</v>
      </c>
      <c r="F348" s="54">
        <v>0</v>
      </c>
      <c r="G348" s="54">
        <v>0</v>
      </c>
    </row>
    <row r="349" spans="1:7" x14ac:dyDescent="0.2">
      <c r="A349" s="148" t="s">
        <v>279</v>
      </c>
      <c r="B349" s="54">
        <v>0</v>
      </c>
      <c r="C349" s="54">
        <v>0</v>
      </c>
      <c r="D349" s="54">
        <v>0</v>
      </c>
      <c r="E349" s="54">
        <v>0</v>
      </c>
      <c r="F349" s="54">
        <v>0</v>
      </c>
      <c r="G349" s="54">
        <v>0</v>
      </c>
    </row>
    <row r="350" spans="1:7" x14ac:dyDescent="0.2">
      <c r="A350" s="148" t="s">
        <v>280</v>
      </c>
      <c r="B350" s="54">
        <v>0</v>
      </c>
      <c r="C350" s="54">
        <v>0</v>
      </c>
      <c r="D350" s="54">
        <v>0</v>
      </c>
      <c r="E350" s="54">
        <v>0</v>
      </c>
      <c r="F350" s="54">
        <v>0</v>
      </c>
      <c r="G350" s="54">
        <v>0</v>
      </c>
    </row>
    <row r="351" spans="1:7" x14ac:dyDescent="0.2">
      <c r="A351" s="148" t="s">
        <v>281</v>
      </c>
      <c r="B351" s="54">
        <v>0</v>
      </c>
      <c r="C351" s="54">
        <v>0</v>
      </c>
      <c r="D351" s="54">
        <v>0</v>
      </c>
      <c r="E351" s="54">
        <v>0</v>
      </c>
      <c r="F351" s="54">
        <v>0</v>
      </c>
      <c r="G351" s="54">
        <v>0</v>
      </c>
    </row>
    <row r="352" spans="1:7" x14ac:dyDescent="0.2">
      <c r="A352" s="148" t="s">
        <v>282</v>
      </c>
      <c r="B352" s="54">
        <v>0</v>
      </c>
      <c r="C352" s="54">
        <v>0</v>
      </c>
      <c r="D352" s="54">
        <v>0</v>
      </c>
      <c r="E352" s="54">
        <v>0</v>
      </c>
      <c r="F352" s="54">
        <v>0</v>
      </c>
      <c r="G352" s="54">
        <v>0</v>
      </c>
    </row>
    <row r="353" spans="1:7" x14ac:dyDescent="0.2">
      <c r="A353" s="148" t="s">
        <v>283</v>
      </c>
      <c r="B353" s="54">
        <v>0</v>
      </c>
      <c r="C353" s="54">
        <v>0</v>
      </c>
      <c r="D353" s="54">
        <v>0</v>
      </c>
      <c r="E353" s="54">
        <v>0</v>
      </c>
      <c r="F353" s="54">
        <v>0</v>
      </c>
      <c r="G353" s="54">
        <v>0</v>
      </c>
    </row>
    <row r="354" spans="1:7" x14ac:dyDescent="0.2">
      <c r="A354" s="148" t="s">
        <v>284</v>
      </c>
      <c r="B354" s="54">
        <v>0</v>
      </c>
      <c r="C354" s="54">
        <v>0</v>
      </c>
      <c r="D354" s="54">
        <v>0</v>
      </c>
      <c r="E354" s="54">
        <v>0</v>
      </c>
      <c r="F354" s="54">
        <v>0</v>
      </c>
      <c r="G354" s="54">
        <v>0</v>
      </c>
    </row>
    <row r="355" spans="1:7" x14ac:dyDescent="0.2">
      <c r="A355" s="148" t="s">
        <v>285</v>
      </c>
      <c r="B355" s="54">
        <v>0</v>
      </c>
      <c r="C355" s="54">
        <v>0</v>
      </c>
      <c r="D355" s="54">
        <v>0</v>
      </c>
      <c r="E355" s="54">
        <v>0</v>
      </c>
      <c r="F355" s="54">
        <v>0</v>
      </c>
      <c r="G355" s="54">
        <v>0</v>
      </c>
    </row>
    <row r="356" spans="1:7" x14ac:dyDescent="0.2">
      <c r="A356" s="147" t="s">
        <v>286</v>
      </c>
      <c r="B356" s="54">
        <v>0</v>
      </c>
      <c r="C356" s="54">
        <v>0</v>
      </c>
      <c r="D356" s="54">
        <v>0</v>
      </c>
      <c r="E356" s="54">
        <v>0</v>
      </c>
      <c r="F356" s="54">
        <v>0</v>
      </c>
      <c r="G356" s="54">
        <v>0</v>
      </c>
    </row>
    <row r="357" spans="1:7" x14ac:dyDescent="0.2">
      <c r="A357" s="142" t="s">
        <v>287</v>
      </c>
      <c r="B357" s="54">
        <f>Material_compnt_GREET2!B$67*Al_alloy_use_compnt!$G20</f>
        <v>0</v>
      </c>
      <c r="C357" s="54">
        <f>Material_compnt_GREET2!C$67*Al_alloy_use_compnt!$G20</f>
        <v>0</v>
      </c>
      <c r="D357" s="54">
        <f>Material_compnt_GREET2!D$67*Al_alloy_use_compnt!$G20</f>
        <v>0</v>
      </c>
      <c r="E357" s="54">
        <f>Material_compnt_GREET2!E$67*Al_alloy_use_compnt!$G20</f>
        <v>0</v>
      </c>
      <c r="F357" s="54">
        <f>Material_compnt_GREET2!F$67*Al_alloy_use_compnt!$G20</f>
        <v>0</v>
      </c>
      <c r="G357" s="54">
        <f>Material_compnt_GREET2!G$67*Al_alloy_use_compnt!$G20</f>
        <v>0</v>
      </c>
    </row>
    <row r="358" spans="1:7" x14ac:dyDescent="0.2">
      <c r="A358" s="142" t="s">
        <v>288</v>
      </c>
      <c r="B358" s="54">
        <f>Material_compnt_GREET2!B$67*Al_alloy_use_compnt!$G21</f>
        <v>0</v>
      </c>
      <c r="C358" s="54">
        <f>Material_compnt_GREET2!C$67*Al_alloy_use_compnt!$G21</f>
        <v>0</v>
      </c>
      <c r="D358" s="54">
        <f>Material_compnt_GREET2!D$67*Al_alloy_use_compnt!$G21</f>
        <v>0</v>
      </c>
      <c r="E358" s="54">
        <f>Material_compnt_GREET2!E$67*Al_alloy_use_compnt!$G21</f>
        <v>0</v>
      </c>
      <c r="F358" s="54">
        <f>Material_compnt_GREET2!F$67*Al_alloy_use_compnt!$G21</f>
        <v>0</v>
      </c>
      <c r="G358" s="54">
        <f>Material_compnt_GREET2!G$67*Al_alloy_use_compnt!$G21</f>
        <v>0</v>
      </c>
    </row>
    <row r="359" spans="1:7" x14ac:dyDescent="0.2">
      <c r="A359" s="142" t="s">
        <v>289</v>
      </c>
      <c r="B359" s="54">
        <f>Material_compnt_GREET2!B$67*Al_alloy_use_compnt!$G22</f>
        <v>0</v>
      </c>
      <c r="C359" s="54">
        <f>Material_compnt_GREET2!C$67*Al_alloy_use_compnt!$G22</f>
        <v>0</v>
      </c>
      <c r="D359" s="54">
        <f>Material_compnt_GREET2!D$67*Al_alloy_use_compnt!$G22</f>
        <v>9.1059225481492501</v>
      </c>
      <c r="E359" s="54">
        <f>Material_compnt_GREET2!E$67*Al_alloy_use_compnt!$G22</f>
        <v>5.0890972529905385</v>
      </c>
      <c r="F359" s="54">
        <f>Material_compnt_GREET2!F$67*Al_alloy_use_compnt!$G22</f>
        <v>0</v>
      </c>
      <c r="G359" s="54">
        <f>Material_compnt_GREET2!G$67*Al_alloy_use_compnt!$G22</f>
        <v>0</v>
      </c>
    </row>
    <row r="360" spans="1:7" x14ac:dyDescent="0.2">
      <c r="A360" s="142" t="s">
        <v>290</v>
      </c>
      <c r="B360" s="54">
        <f>Material_compnt_GREET2!B$67*Al_alloy_use_compnt!$G23</f>
        <v>0</v>
      </c>
      <c r="C360" s="54">
        <f>Material_compnt_GREET2!C$67*Al_alloy_use_compnt!$G23</f>
        <v>0</v>
      </c>
      <c r="D360" s="54">
        <f>Material_compnt_GREET2!D$67*Al_alloy_use_compnt!$G23</f>
        <v>9.1059225481492501</v>
      </c>
      <c r="E360" s="54">
        <f>Material_compnt_GREET2!E$67*Al_alloy_use_compnt!$G23</f>
        <v>5.0890972529905385</v>
      </c>
      <c r="F360" s="54">
        <f>Material_compnt_GREET2!F$67*Al_alloy_use_compnt!$G23</f>
        <v>0</v>
      </c>
      <c r="G360" s="54">
        <f>Material_compnt_GREET2!G$67*Al_alloy_use_compnt!$G23</f>
        <v>0</v>
      </c>
    </row>
    <row r="361" spans="1:7" x14ac:dyDescent="0.2">
      <c r="A361" s="142" t="s">
        <v>291</v>
      </c>
      <c r="B361" s="54">
        <f>Material_compnt_GREET2!B$67*Al_alloy_use_compnt!$G24</f>
        <v>0</v>
      </c>
      <c r="C361" s="54">
        <f>Material_compnt_GREET2!C$67*Al_alloy_use_compnt!$G24</f>
        <v>0</v>
      </c>
      <c r="D361" s="54">
        <f>Material_compnt_GREET2!D$67*Al_alloy_use_compnt!$G24</f>
        <v>0</v>
      </c>
      <c r="E361" s="54">
        <f>Material_compnt_GREET2!E$67*Al_alloy_use_compnt!$G24</f>
        <v>0</v>
      </c>
      <c r="F361" s="54">
        <f>Material_compnt_GREET2!F$67*Al_alloy_use_compnt!$G24</f>
        <v>0</v>
      </c>
      <c r="G361" s="54">
        <f>Material_compnt_GREET2!G$67*Al_alloy_use_compnt!$G24</f>
        <v>0</v>
      </c>
    </row>
    <row r="362" spans="1:7" x14ac:dyDescent="0.2">
      <c r="A362" s="142" t="s">
        <v>292</v>
      </c>
      <c r="B362" s="54">
        <f>Material_compnt_GREET2!B$67*Al_alloy_use_compnt!$G25</f>
        <v>0</v>
      </c>
      <c r="C362" s="54">
        <f>Material_compnt_GREET2!C$67*Al_alloy_use_compnt!$G25</f>
        <v>0</v>
      </c>
      <c r="D362" s="54">
        <f>Material_compnt_GREET2!D$67*Al_alloy_use_compnt!$G25</f>
        <v>0</v>
      </c>
      <c r="E362" s="54">
        <f>Material_compnt_GREET2!E$67*Al_alloy_use_compnt!$G25</f>
        <v>0</v>
      </c>
      <c r="F362" s="54">
        <f>Material_compnt_GREET2!F$67*Al_alloy_use_compnt!$G25</f>
        <v>0</v>
      </c>
      <c r="G362" s="54">
        <f>Material_compnt_GREET2!G$67*Al_alloy_use_compnt!$G25</f>
        <v>0</v>
      </c>
    </row>
    <row r="363" spans="1:7" x14ac:dyDescent="0.2">
      <c r="A363" s="142" t="s">
        <v>293</v>
      </c>
      <c r="B363" s="54">
        <f>Material_compnt_GREET2!B$67*Al_alloy_use_compnt!$G26</f>
        <v>0</v>
      </c>
      <c r="C363" s="54">
        <f>Material_compnt_GREET2!C$67*Al_alloy_use_compnt!$G26</f>
        <v>0</v>
      </c>
      <c r="D363" s="54">
        <f>Material_compnt_GREET2!D$67*Al_alloy_use_compnt!$G26</f>
        <v>0</v>
      </c>
      <c r="E363" s="54">
        <f>Material_compnt_GREET2!E$67*Al_alloy_use_compnt!$G26</f>
        <v>0</v>
      </c>
      <c r="F363" s="54">
        <f>Material_compnt_GREET2!F$67*Al_alloy_use_compnt!$G26</f>
        <v>0</v>
      </c>
      <c r="G363" s="54">
        <f>Material_compnt_GREET2!G$67*Al_alloy_use_compnt!$G26</f>
        <v>0</v>
      </c>
    </row>
    <row r="364" spans="1:7" x14ac:dyDescent="0.2">
      <c r="A364" s="142" t="s">
        <v>294</v>
      </c>
      <c r="B364" s="54">
        <f>Material_compnt_GREET2!B$67*Al_alloy_use_compnt!$G27</f>
        <v>0</v>
      </c>
      <c r="C364" s="54">
        <f>Material_compnt_GREET2!C$67*Al_alloy_use_compnt!$G27</f>
        <v>0</v>
      </c>
      <c r="D364" s="54">
        <f>Material_compnt_GREET2!D$67*Al_alloy_use_compnt!$G27</f>
        <v>0</v>
      </c>
      <c r="E364" s="54">
        <f>Material_compnt_GREET2!E$67*Al_alloy_use_compnt!$G27</f>
        <v>0</v>
      </c>
      <c r="F364" s="54">
        <f>Material_compnt_GREET2!F$67*Al_alloy_use_compnt!$G27</f>
        <v>0</v>
      </c>
      <c r="G364" s="54">
        <f>Material_compnt_GREET2!G$67*Al_alloy_use_compnt!$G27</f>
        <v>0</v>
      </c>
    </row>
    <row r="365" spans="1:7" x14ac:dyDescent="0.2">
      <c r="A365" s="144" t="s">
        <v>295</v>
      </c>
      <c r="B365" s="54">
        <f>Material_compnt_GREET2!B$67*Al_alloy_use_compnt!$G28</f>
        <v>0</v>
      </c>
      <c r="C365" s="54">
        <f>Material_compnt_GREET2!C$67*Al_alloy_use_compnt!$G28</f>
        <v>0</v>
      </c>
      <c r="D365" s="54">
        <f>Material_compnt_GREET2!D$67*Al_alloy_use_compnt!$G28</f>
        <v>0</v>
      </c>
      <c r="E365" s="54">
        <f>Material_compnt_GREET2!E$67*Al_alloy_use_compnt!$G28</f>
        <v>0</v>
      </c>
      <c r="F365" s="54">
        <f>Material_compnt_GREET2!F$67*Al_alloy_use_compnt!$G28</f>
        <v>0</v>
      </c>
      <c r="G365" s="54">
        <f>Material_compnt_GREET2!G$67*Al_alloy_use_compnt!$G28</f>
        <v>0</v>
      </c>
    </row>
    <row r="366" spans="1:7" x14ac:dyDescent="0.2">
      <c r="A366" s="142" t="s">
        <v>206</v>
      </c>
      <c r="B366" s="54">
        <v>0</v>
      </c>
      <c r="C366" s="54">
        <v>0</v>
      </c>
      <c r="D366" s="54">
        <v>0</v>
      </c>
      <c r="E366" s="54">
        <v>0</v>
      </c>
      <c r="F366" s="54">
        <v>0</v>
      </c>
      <c r="G366" s="54">
        <v>0</v>
      </c>
    </row>
    <row r="367" spans="1:7" ht="17" thickBot="1" x14ac:dyDescent="0.25">
      <c r="A367" s="149" t="s">
        <v>208</v>
      </c>
      <c r="B367" s="54">
        <v>0</v>
      </c>
      <c r="C367" s="54">
        <v>0</v>
      </c>
      <c r="D367" s="54">
        <v>0</v>
      </c>
      <c r="E367" s="54">
        <v>0</v>
      </c>
      <c r="F367" s="54">
        <v>0</v>
      </c>
      <c r="G367" s="54">
        <v>0</v>
      </c>
    </row>
    <row r="368" spans="1:7" ht="17" thickTop="1" x14ac:dyDescent="0.2">
      <c r="A368" s="139" t="s">
        <v>178</v>
      </c>
      <c r="B368" s="54"/>
      <c r="C368" s="54"/>
      <c r="D368" s="54"/>
      <c r="E368" s="54"/>
      <c r="F368" s="54"/>
      <c r="G368" s="54"/>
    </row>
    <row r="369" spans="1:7" x14ac:dyDescent="0.2">
      <c r="A369" s="142" t="s">
        <v>105</v>
      </c>
      <c r="B369" s="54">
        <f>Material_compnt_GREET2!B$71*'Alloy_compnt_G&amp;L'!$I$2</f>
        <v>0</v>
      </c>
      <c r="C369" s="54">
        <f>Material_compnt_GREET2!C$71*'Alloy_compnt_G&amp;L'!$I$2</f>
        <v>0</v>
      </c>
      <c r="D369" s="54">
        <f>Material_compnt_GREET2!D$71*'Alloy_compnt_G&amp;L'!$I$2</f>
        <v>0.29484044731290326</v>
      </c>
      <c r="E369" s="54">
        <f>Material_compnt_GREET2!E$71*'Alloy_compnt_G&amp;L'!$I$2</f>
        <v>0.22519357926029049</v>
      </c>
      <c r="F369" s="54">
        <f>Material_compnt_GREET2!F$71*'Alloy_compnt_G&amp;L'!$I$2</f>
        <v>0.79906651081115432</v>
      </c>
      <c r="G369" s="54">
        <f>Material_compnt_GREET2!G$71*'Alloy_compnt_G&amp;L'!$I$2</f>
        <v>0.72467045133487007</v>
      </c>
    </row>
    <row r="370" spans="1:7" x14ac:dyDescent="0.2">
      <c r="A370" s="142" t="s">
        <v>106</v>
      </c>
      <c r="B370" s="54">
        <f>Material_compnt_GREET2!B$71*'Alloy_compnt_G&amp;L'!$J$2</f>
        <v>0</v>
      </c>
      <c r="C370" s="54">
        <f>Material_compnt_GREET2!C$71*'Alloy_compnt_G&amp;L'!$J$2</f>
        <v>0</v>
      </c>
      <c r="D370" s="54">
        <f>Material_compnt_GREET2!D$71*'Alloy_compnt_G&amp;L'!$J$2</f>
        <v>0.26689348548229636</v>
      </c>
      <c r="E370" s="54">
        <f>Material_compnt_GREET2!E$71*'Alloy_compnt_G&amp;L'!$J$2</f>
        <v>0.2038482162972298</v>
      </c>
      <c r="F370" s="54">
        <f>Material_compnt_GREET2!F$71*'Alloy_compnt_G&amp;L'!$J$2</f>
        <v>0.72332560931246681</v>
      </c>
      <c r="G370" s="54">
        <f>Material_compnt_GREET2!G$71*'Alloy_compnt_G&amp;L'!$J$2</f>
        <v>0.65598130902824736</v>
      </c>
    </row>
    <row r="371" spans="1:7" x14ac:dyDescent="0.2">
      <c r="A371" s="142" t="s">
        <v>107</v>
      </c>
      <c r="B371" s="54">
        <f>Material_compnt_GREET2!B$71*'Alloy_compnt_G&amp;L'!$K$2</f>
        <v>0</v>
      </c>
      <c r="C371" s="54">
        <f>Material_compnt_GREET2!C$71*'Alloy_compnt_G&amp;L'!$K$2</f>
        <v>0</v>
      </c>
      <c r="D371" s="54">
        <f>Material_compnt_GREET2!D$71*'Alloy_compnt_G&amp;L'!$K$2</f>
        <v>0.83561415873514788</v>
      </c>
      <c r="E371" s="54">
        <f>Material_compnt_GREET2!E$71*'Alloy_compnt_G&amp;L'!$K$2</f>
        <v>0.6382263525955153</v>
      </c>
      <c r="F371" s="54">
        <f>Material_compnt_GREET2!F$71*'Alloy_compnt_G&amp;L'!$K$2</f>
        <v>2.2646529548107601</v>
      </c>
      <c r="G371" s="54">
        <f>Material_compnt_GREET2!G$71*'Alloy_compnt_G&amp;L'!$K$2</f>
        <v>2.0538053549680209</v>
      </c>
    </row>
    <row r="372" spans="1:7" x14ac:dyDescent="0.2">
      <c r="A372" s="142" t="s">
        <v>91</v>
      </c>
      <c r="B372" s="54">
        <v>0</v>
      </c>
      <c r="C372" s="54">
        <v>0</v>
      </c>
      <c r="D372" s="54">
        <v>0</v>
      </c>
      <c r="E372" s="54">
        <v>0</v>
      </c>
      <c r="F372" s="54">
        <v>0</v>
      </c>
      <c r="G372" s="54">
        <v>0</v>
      </c>
    </row>
    <row r="373" spans="1:7" x14ac:dyDescent="0.2">
      <c r="A373" s="142" t="s">
        <v>204</v>
      </c>
      <c r="B373" s="54">
        <v>0</v>
      </c>
      <c r="C373" s="54">
        <v>0</v>
      </c>
      <c r="D373" s="54">
        <v>0</v>
      </c>
      <c r="E373" s="54">
        <v>0</v>
      </c>
      <c r="F373" s="54">
        <v>0</v>
      </c>
      <c r="G373" s="54">
        <v>0</v>
      </c>
    </row>
    <row r="374" spans="1:7" x14ac:dyDescent="0.2">
      <c r="A374" s="144" t="s">
        <v>104</v>
      </c>
      <c r="B374" s="54">
        <v>0</v>
      </c>
      <c r="C374" s="54">
        <v>0</v>
      </c>
      <c r="D374" s="54">
        <v>0</v>
      </c>
      <c r="E374" s="54">
        <v>0</v>
      </c>
      <c r="F374" s="54">
        <v>0</v>
      </c>
      <c r="G374" s="54">
        <v>0</v>
      </c>
    </row>
    <row r="375" spans="1:7" x14ac:dyDescent="0.2">
      <c r="A375" s="145" t="s">
        <v>244</v>
      </c>
      <c r="B375" s="54">
        <v>0</v>
      </c>
      <c r="C375" s="54">
        <v>0</v>
      </c>
      <c r="D375" s="54">
        <v>0</v>
      </c>
      <c r="E375" s="54">
        <v>0</v>
      </c>
      <c r="F375" s="54">
        <v>0</v>
      </c>
      <c r="G375" s="54">
        <v>0</v>
      </c>
    </row>
    <row r="376" spans="1:7" x14ac:dyDescent="0.2">
      <c r="A376" s="145" t="s">
        <v>245</v>
      </c>
      <c r="B376" s="54">
        <v>0</v>
      </c>
      <c r="C376" s="54">
        <v>0</v>
      </c>
      <c r="D376" s="54">
        <v>0</v>
      </c>
      <c r="E376" s="54">
        <v>0</v>
      </c>
      <c r="F376" s="54">
        <v>0</v>
      </c>
      <c r="G376" s="54">
        <v>0</v>
      </c>
    </row>
    <row r="377" spans="1:7" x14ac:dyDescent="0.2">
      <c r="A377" s="145" t="s">
        <v>246</v>
      </c>
      <c r="B377" s="54">
        <v>0</v>
      </c>
      <c r="C377" s="54">
        <v>0</v>
      </c>
      <c r="D377" s="54">
        <v>0</v>
      </c>
      <c r="E377" s="54">
        <v>0</v>
      </c>
      <c r="F377" s="54">
        <v>0</v>
      </c>
      <c r="G377" s="54">
        <v>0</v>
      </c>
    </row>
    <row r="378" spans="1:7" x14ac:dyDescent="0.2">
      <c r="A378" s="145" t="s">
        <v>247</v>
      </c>
      <c r="B378" s="54">
        <v>0</v>
      </c>
      <c r="C378" s="54">
        <v>0</v>
      </c>
      <c r="D378" s="54">
        <v>0</v>
      </c>
      <c r="E378" s="54">
        <v>0</v>
      </c>
      <c r="F378" s="54">
        <v>0</v>
      </c>
      <c r="G378" s="54">
        <v>0</v>
      </c>
    </row>
    <row r="379" spans="1:7" x14ac:dyDescent="0.2">
      <c r="A379" s="145" t="s">
        <v>248</v>
      </c>
      <c r="B379" s="54">
        <v>0</v>
      </c>
      <c r="C379" s="54">
        <v>0</v>
      </c>
      <c r="D379" s="54">
        <v>0</v>
      </c>
      <c r="E379" s="54">
        <v>0</v>
      </c>
      <c r="F379" s="54">
        <v>0</v>
      </c>
      <c r="G379" s="54">
        <v>0</v>
      </c>
    </row>
    <row r="380" spans="1:7" x14ac:dyDescent="0.2">
      <c r="A380" s="145" t="s">
        <v>249</v>
      </c>
      <c r="B380" s="54">
        <v>0</v>
      </c>
      <c r="C380" s="54">
        <v>0</v>
      </c>
      <c r="D380" s="54">
        <v>0</v>
      </c>
      <c r="E380" s="54">
        <v>0</v>
      </c>
      <c r="F380" s="54">
        <v>0</v>
      </c>
      <c r="G380" s="54">
        <v>0</v>
      </c>
    </row>
    <row r="381" spans="1:7" x14ac:dyDescent="0.2">
      <c r="A381" s="145" t="s">
        <v>250</v>
      </c>
      <c r="B381" s="54">
        <v>0</v>
      </c>
      <c r="C381" s="54">
        <v>0</v>
      </c>
      <c r="D381" s="54">
        <v>0</v>
      </c>
      <c r="E381" s="54">
        <v>0</v>
      </c>
      <c r="F381" s="54">
        <v>0</v>
      </c>
      <c r="G381" s="54">
        <v>0</v>
      </c>
    </row>
    <row r="382" spans="1:7" x14ac:dyDescent="0.2">
      <c r="A382" s="145" t="s">
        <v>251</v>
      </c>
      <c r="B382" s="54">
        <v>0</v>
      </c>
      <c r="C382" s="54">
        <v>0</v>
      </c>
      <c r="D382" s="54">
        <v>0</v>
      </c>
      <c r="E382" s="54">
        <v>0</v>
      </c>
      <c r="F382" s="54">
        <v>0</v>
      </c>
      <c r="G382" s="54">
        <v>0</v>
      </c>
    </row>
    <row r="383" spans="1:7" x14ac:dyDescent="0.2">
      <c r="A383" s="145" t="s">
        <v>252</v>
      </c>
      <c r="B383" s="54">
        <v>0</v>
      </c>
      <c r="C383" s="54">
        <v>0</v>
      </c>
      <c r="D383" s="54">
        <v>0</v>
      </c>
      <c r="E383" s="54">
        <v>0</v>
      </c>
      <c r="F383" s="54">
        <v>0</v>
      </c>
      <c r="G383" s="54">
        <v>0</v>
      </c>
    </row>
    <row r="384" spans="1:7" x14ac:dyDescent="0.2">
      <c r="A384" s="145" t="s">
        <v>253</v>
      </c>
      <c r="B384" s="54">
        <v>0</v>
      </c>
      <c r="C384" s="54">
        <v>0</v>
      </c>
      <c r="D384" s="54">
        <v>0</v>
      </c>
      <c r="E384" s="54">
        <v>0</v>
      </c>
      <c r="F384" s="54">
        <v>0</v>
      </c>
      <c r="G384" s="54">
        <v>0</v>
      </c>
    </row>
    <row r="385" spans="1:7" x14ac:dyDescent="0.2">
      <c r="A385" s="145" t="s">
        <v>254</v>
      </c>
      <c r="B385" s="54">
        <v>0</v>
      </c>
      <c r="C385" s="54">
        <v>0</v>
      </c>
      <c r="D385" s="54">
        <v>0</v>
      </c>
      <c r="E385" s="54">
        <v>0</v>
      </c>
      <c r="F385" s="54">
        <v>0</v>
      </c>
      <c r="G385" s="54">
        <v>0</v>
      </c>
    </row>
    <row r="386" spans="1:7" x14ac:dyDescent="0.2">
      <c r="A386" s="146" t="s">
        <v>255</v>
      </c>
      <c r="B386" s="54">
        <v>0</v>
      </c>
      <c r="C386" s="54">
        <v>0</v>
      </c>
      <c r="D386" s="54">
        <v>0</v>
      </c>
      <c r="E386" s="54">
        <v>0</v>
      </c>
      <c r="F386" s="54">
        <v>0</v>
      </c>
      <c r="G386" s="54">
        <v>0</v>
      </c>
    </row>
    <row r="387" spans="1:7" x14ac:dyDescent="0.2">
      <c r="A387" s="145" t="s">
        <v>256</v>
      </c>
      <c r="B387" s="54">
        <v>0</v>
      </c>
      <c r="C387" s="54">
        <v>0</v>
      </c>
      <c r="D387" s="54">
        <v>0</v>
      </c>
      <c r="E387" s="54">
        <v>0</v>
      </c>
      <c r="F387" s="54">
        <v>0</v>
      </c>
      <c r="G387" s="54">
        <v>0</v>
      </c>
    </row>
    <row r="388" spans="1:7" x14ac:dyDescent="0.2">
      <c r="A388" s="145" t="s">
        <v>257</v>
      </c>
      <c r="B388" s="54">
        <v>0</v>
      </c>
      <c r="C388" s="54">
        <v>0</v>
      </c>
      <c r="D388" s="54">
        <v>0</v>
      </c>
      <c r="E388" s="54">
        <v>0</v>
      </c>
      <c r="F388" s="54">
        <v>0</v>
      </c>
      <c r="G388" s="54">
        <v>0</v>
      </c>
    </row>
    <row r="389" spans="1:7" x14ac:dyDescent="0.2">
      <c r="A389" s="145" t="s">
        <v>258</v>
      </c>
      <c r="B389" s="54">
        <v>0</v>
      </c>
      <c r="C389" s="54">
        <v>0</v>
      </c>
      <c r="D389" s="54">
        <v>0</v>
      </c>
      <c r="E389" s="54">
        <v>0</v>
      </c>
      <c r="F389" s="54">
        <v>0</v>
      </c>
      <c r="G389" s="54">
        <v>0</v>
      </c>
    </row>
    <row r="390" spans="1:7" x14ac:dyDescent="0.2">
      <c r="A390" s="142" t="s">
        <v>259</v>
      </c>
      <c r="B390" s="54">
        <v>0</v>
      </c>
      <c r="C390" s="54">
        <v>0</v>
      </c>
      <c r="D390" s="54">
        <v>0</v>
      </c>
      <c r="E390" s="54">
        <v>0</v>
      </c>
      <c r="F390" s="54">
        <v>0</v>
      </c>
      <c r="G390" s="54">
        <v>0</v>
      </c>
    </row>
    <row r="391" spans="1:7" x14ac:dyDescent="0.2">
      <c r="A391" s="147" t="s">
        <v>260</v>
      </c>
      <c r="B391" s="54">
        <v>0</v>
      </c>
      <c r="C391" s="54">
        <v>0</v>
      </c>
      <c r="D391" s="54">
        <v>0</v>
      </c>
      <c r="E391" s="54">
        <v>0</v>
      </c>
      <c r="F391" s="54">
        <v>0</v>
      </c>
      <c r="G391" s="54">
        <v>0</v>
      </c>
    </row>
    <row r="392" spans="1:7" x14ac:dyDescent="0.2">
      <c r="A392" s="142" t="s">
        <v>261</v>
      </c>
      <c r="B392" s="54">
        <v>0</v>
      </c>
      <c r="C392" s="54">
        <v>0</v>
      </c>
      <c r="D392" s="54">
        <v>0</v>
      </c>
      <c r="E392" s="54">
        <v>0</v>
      </c>
      <c r="F392" s="54">
        <v>0</v>
      </c>
      <c r="G392" s="54">
        <v>0</v>
      </c>
    </row>
    <row r="393" spans="1:7" x14ac:dyDescent="0.2">
      <c r="A393" s="142" t="s">
        <v>262</v>
      </c>
      <c r="B393" s="54">
        <v>0</v>
      </c>
      <c r="C393" s="54">
        <v>0</v>
      </c>
      <c r="D393" s="54">
        <v>0</v>
      </c>
      <c r="E393" s="54">
        <v>0</v>
      </c>
      <c r="F393" s="54">
        <v>0</v>
      </c>
      <c r="G393" s="54">
        <v>0</v>
      </c>
    </row>
    <row r="394" spans="1:7" x14ac:dyDescent="0.2">
      <c r="A394" s="142" t="s">
        <v>263</v>
      </c>
      <c r="B394" s="54">
        <v>0</v>
      </c>
      <c r="C394" s="54">
        <v>0</v>
      </c>
      <c r="D394" s="54">
        <v>0</v>
      </c>
      <c r="E394" s="54">
        <v>0</v>
      </c>
      <c r="F394" s="54">
        <v>0</v>
      </c>
      <c r="G394" s="54">
        <v>0</v>
      </c>
    </row>
    <row r="395" spans="1:7" x14ac:dyDescent="0.2">
      <c r="A395" s="142" t="s">
        <v>264</v>
      </c>
      <c r="B395" s="54">
        <v>0</v>
      </c>
      <c r="C395" s="54">
        <v>0</v>
      </c>
      <c r="D395" s="54">
        <v>0</v>
      </c>
      <c r="E395" s="54">
        <v>0</v>
      </c>
      <c r="F395" s="54">
        <v>0</v>
      </c>
      <c r="G395" s="54">
        <v>0</v>
      </c>
    </row>
    <row r="396" spans="1:7" x14ac:dyDescent="0.2">
      <c r="A396" s="142" t="s">
        <v>265</v>
      </c>
      <c r="B396" s="54">
        <v>0</v>
      </c>
      <c r="C396" s="54">
        <v>0</v>
      </c>
      <c r="D396" s="54">
        <v>0</v>
      </c>
      <c r="E396" s="54">
        <v>0</v>
      </c>
      <c r="F396" s="54">
        <v>0</v>
      </c>
      <c r="G396" s="54">
        <v>0</v>
      </c>
    </row>
    <row r="397" spans="1:7" x14ac:dyDescent="0.2">
      <c r="A397" s="142" t="s">
        <v>266</v>
      </c>
      <c r="B397" s="54">
        <v>0</v>
      </c>
      <c r="C397" s="54">
        <v>0</v>
      </c>
      <c r="D397" s="54">
        <v>0</v>
      </c>
      <c r="E397" s="54">
        <v>0</v>
      </c>
      <c r="F397" s="54">
        <v>0</v>
      </c>
      <c r="G397" s="54">
        <v>0</v>
      </c>
    </row>
    <row r="398" spans="1:7" x14ac:dyDescent="0.2">
      <c r="A398" s="142" t="s">
        <v>267</v>
      </c>
      <c r="B398" s="54">
        <v>0</v>
      </c>
      <c r="C398" s="54">
        <v>0</v>
      </c>
      <c r="D398" s="54">
        <v>0</v>
      </c>
      <c r="E398" s="54">
        <v>0</v>
      </c>
      <c r="F398" s="54">
        <v>0</v>
      </c>
      <c r="G398" s="54">
        <v>0</v>
      </c>
    </row>
    <row r="399" spans="1:7" x14ac:dyDescent="0.2">
      <c r="A399" s="142" t="s">
        <v>268</v>
      </c>
      <c r="B399" s="54">
        <v>0</v>
      </c>
      <c r="C399" s="54">
        <v>0</v>
      </c>
      <c r="D399" s="54">
        <v>0</v>
      </c>
      <c r="E399" s="54">
        <v>0</v>
      </c>
      <c r="F399" s="54">
        <v>0</v>
      </c>
      <c r="G399" s="54">
        <v>0</v>
      </c>
    </row>
    <row r="400" spans="1:7" x14ac:dyDescent="0.2">
      <c r="A400" s="142" t="s">
        <v>269</v>
      </c>
      <c r="B400" s="54">
        <v>0</v>
      </c>
      <c r="C400" s="54">
        <v>0</v>
      </c>
      <c r="D400" s="54">
        <v>0</v>
      </c>
      <c r="E400" s="54">
        <v>0</v>
      </c>
      <c r="F400" s="54">
        <v>0</v>
      </c>
      <c r="G400" s="54">
        <v>0</v>
      </c>
    </row>
    <row r="401" spans="1:7" x14ac:dyDescent="0.2">
      <c r="A401" s="142" t="s">
        <v>270</v>
      </c>
      <c r="B401" s="54">
        <v>0</v>
      </c>
      <c r="C401" s="54">
        <v>0</v>
      </c>
      <c r="D401" s="54">
        <v>0</v>
      </c>
      <c r="E401" s="54">
        <v>0</v>
      </c>
      <c r="F401" s="54">
        <v>0</v>
      </c>
      <c r="G401" s="54">
        <v>0</v>
      </c>
    </row>
    <row r="402" spans="1:7" x14ac:dyDescent="0.2">
      <c r="A402" s="142" t="s">
        <v>271</v>
      </c>
      <c r="B402" s="54">
        <v>0</v>
      </c>
      <c r="C402" s="54">
        <v>0</v>
      </c>
      <c r="D402" s="54">
        <v>0</v>
      </c>
      <c r="E402" s="54">
        <v>0</v>
      </c>
      <c r="F402" s="54">
        <v>0</v>
      </c>
      <c r="G402" s="54">
        <v>0</v>
      </c>
    </row>
    <row r="403" spans="1:7" x14ac:dyDescent="0.2">
      <c r="A403" s="142" t="s">
        <v>272</v>
      </c>
      <c r="B403" s="54">
        <v>0</v>
      </c>
      <c r="C403" s="54">
        <v>0</v>
      </c>
      <c r="D403" s="54">
        <v>0</v>
      </c>
      <c r="E403" s="54">
        <v>0</v>
      </c>
      <c r="F403" s="54">
        <v>0</v>
      </c>
      <c r="G403" s="54">
        <v>0</v>
      </c>
    </row>
    <row r="404" spans="1:7" x14ac:dyDescent="0.2">
      <c r="A404" s="142" t="s">
        <v>273</v>
      </c>
      <c r="B404" s="54">
        <v>0</v>
      </c>
      <c r="C404" s="54">
        <v>0</v>
      </c>
      <c r="D404" s="54">
        <v>0</v>
      </c>
      <c r="E404" s="54">
        <v>0</v>
      </c>
      <c r="F404" s="54">
        <v>0</v>
      </c>
      <c r="G404" s="54">
        <v>0</v>
      </c>
    </row>
    <row r="405" spans="1:7" x14ac:dyDescent="0.2">
      <c r="A405" s="142" t="s">
        <v>274</v>
      </c>
      <c r="B405" s="54">
        <v>0</v>
      </c>
      <c r="C405" s="54">
        <v>0</v>
      </c>
      <c r="D405" s="54">
        <v>0</v>
      </c>
      <c r="E405" s="54">
        <v>0</v>
      </c>
      <c r="F405" s="54">
        <v>0</v>
      </c>
      <c r="G405" s="54">
        <v>0</v>
      </c>
    </row>
    <row r="406" spans="1:7" x14ac:dyDescent="0.2">
      <c r="A406" s="142" t="s">
        <v>275</v>
      </c>
      <c r="B406" s="54">
        <v>0</v>
      </c>
      <c r="C406" s="54">
        <v>0</v>
      </c>
      <c r="D406" s="54">
        <v>0</v>
      </c>
      <c r="E406" s="54">
        <v>0</v>
      </c>
      <c r="F406" s="54">
        <v>0</v>
      </c>
      <c r="G406" s="54">
        <v>0</v>
      </c>
    </row>
    <row r="407" spans="1:7" x14ac:dyDescent="0.2">
      <c r="A407" s="142" t="s">
        <v>276</v>
      </c>
      <c r="B407" s="54">
        <v>0</v>
      </c>
      <c r="C407" s="54">
        <v>0</v>
      </c>
      <c r="D407" s="54">
        <v>0</v>
      </c>
      <c r="E407" s="54">
        <v>0</v>
      </c>
      <c r="F407" s="54">
        <v>0</v>
      </c>
      <c r="G407" s="54">
        <v>0</v>
      </c>
    </row>
    <row r="408" spans="1:7" x14ac:dyDescent="0.2">
      <c r="A408" s="144" t="s">
        <v>277</v>
      </c>
      <c r="B408" s="54">
        <v>0</v>
      </c>
      <c r="C408" s="54">
        <v>0</v>
      </c>
      <c r="D408" s="54">
        <v>0</v>
      </c>
      <c r="E408" s="54">
        <v>0</v>
      </c>
      <c r="F408" s="54">
        <v>0</v>
      </c>
      <c r="G408" s="54">
        <v>0</v>
      </c>
    </row>
    <row r="409" spans="1:7" x14ac:dyDescent="0.2">
      <c r="A409" s="148" t="s">
        <v>278</v>
      </c>
      <c r="B409" s="54">
        <v>0</v>
      </c>
      <c r="C409" s="54">
        <v>0</v>
      </c>
      <c r="D409" s="54">
        <v>0</v>
      </c>
      <c r="E409" s="54">
        <v>0</v>
      </c>
      <c r="F409" s="54">
        <v>0</v>
      </c>
      <c r="G409" s="54">
        <v>0</v>
      </c>
    </row>
    <row r="410" spans="1:7" x14ac:dyDescent="0.2">
      <c r="A410" s="148" t="s">
        <v>279</v>
      </c>
      <c r="B410" s="54">
        <v>0</v>
      </c>
      <c r="C410" s="54">
        <v>0</v>
      </c>
      <c r="D410" s="54">
        <v>0</v>
      </c>
      <c r="E410" s="54">
        <v>0</v>
      </c>
      <c r="F410" s="54">
        <v>0</v>
      </c>
      <c r="G410" s="54">
        <v>0</v>
      </c>
    </row>
    <row r="411" spans="1:7" x14ac:dyDescent="0.2">
      <c r="A411" s="148" t="s">
        <v>280</v>
      </c>
      <c r="B411" s="54">
        <v>0</v>
      </c>
      <c r="C411" s="54">
        <v>0</v>
      </c>
      <c r="D411" s="54">
        <v>0</v>
      </c>
      <c r="E411" s="54">
        <v>0</v>
      </c>
      <c r="F411" s="54">
        <v>0</v>
      </c>
      <c r="G411" s="54">
        <v>0</v>
      </c>
    </row>
    <row r="412" spans="1:7" x14ac:dyDescent="0.2">
      <c r="A412" s="148" t="s">
        <v>281</v>
      </c>
      <c r="B412" s="54">
        <v>0</v>
      </c>
      <c r="C412" s="54">
        <v>0</v>
      </c>
      <c r="D412" s="54">
        <v>0</v>
      </c>
      <c r="E412" s="54">
        <v>0</v>
      </c>
      <c r="F412" s="54">
        <v>0</v>
      </c>
      <c r="G412" s="54">
        <v>0</v>
      </c>
    </row>
    <row r="413" spans="1:7" x14ac:dyDescent="0.2">
      <c r="A413" s="148" t="s">
        <v>282</v>
      </c>
      <c r="B413" s="54">
        <v>0</v>
      </c>
      <c r="C413" s="54">
        <v>0</v>
      </c>
      <c r="D413" s="54">
        <v>0</v>
      </c>
      <c r="E413" s="54">
        <v>0</v>
      </c>
      <c r="F413" s="54">
        <v>0</v>
      </c>
      <c r="G413" s="54">
        <v>0</v>
      </c>
    </row>
    <row r="414" spans="1:7" x14ac:dyDescent="0.2">
      <c r="A414" s="148" t="s">
        <v>283</v>
      </c>
      <c r="B414" s="54">
        <v>0</v>
      </c>
      <c r="C414" s="54">
        <v>0</v>
      </c>
      <c r="D414" s="54">
        <v>0</v>
      </c>
      <c r="E414" s="54">
        <v>0</v>
      </c>
      <c r="F414" s="54">
        <v>0</v>
      </c>
      <c r="G414" s="54">
        <v>0</v>
      </c>
    </row>
    <row r="415" spans="1:7" x14ac:dyDescent="0.2">
      <c r="A415" s="148" t="s">
        <v>284</v>
      </c>
      <c r="B415" s="54">
        <v>0</v>
      </c>
      <c r="C415" s="54">
        <v>0</v>
      </c>
      <c r="D415" s="54">
        <v>0</v>
      </c>
      <c r="E415" s="54">
        <v>0</v>
      </c>
      <c r="F415" s="54">
        <v>0</v>
      </c>
      <c r="G415" s="54">
        <v>0</v>
      </c>
    </row>
    <row r="416" spans="1:7" x14ac:dyDescent="0.2">
      <c r="A416" s="148" t="s">
        <v>285</v>
      </c>
      <c r="B416" s="54">
        <v>0</v>
      </c>
      <c r="C416" s="54">
        <v>0</v>
      </c>
      <c r="D416" s="54">
        <v>0</v>
      </c>
      <c r="E416" s="54">
        <v>0</v>
      </c>
      <c r="F416" s="54">
        <v>0</v>
      </c>
      <c r="G416" s="54">
        <v>0</v>
      </c>
    </row>
    <row r="417" spans="1:7" x14ac:dyDescent="0.2">
      <c r="A417" s="147" t="s">
        <v>286</v>
      </c>
      <c r="B417" s="54">
        <v>0</v>
      </c>
      <c r="C417" s="54">
        <v>0</v>
      </c>
      <c r="D417" s="54">
        <v>0</v>
      </c>
      <c r="E417" s="54">
        <v>0</v>
      </c>
      <c r="F417" s="54">
        <v>0</v>
      </c>
      <c r="G417" s="54">
        <v>0</v>
      </c>
    </row>
    <row r="418" spans="1:7" x14ac:dyDescent="0.2">
      <c r="A418" s="142" t="s">
        <v>287</v>
      </c>
      <c r="B418" s="54">
        <f>Material_compnt_GREET2!B$72*Al_alloy_use_compnt!$H20</f>
        <v>0</v>
      </c>
      <c r="C418" s="54">
        <f>Material_compnt_GREET2!C$72*Al_alloy_use_compnt!$H20</f>
        <v>0</v>
      </c>
      <c r="D418" s="54">
        <f>Material_compnt_GREET2!D$72*Al_alloy_use_compnt!$H20</f>
        <v>0</v>
      </c>
      <c r="E418" s="54">
        <f>Material_compnt_GREET2!E$72*Al_alloy_use_compnt!$H20</f>
        <v>0</v>
      </c>
      <c r="F418" s="54">
        <f>Material_compnt_GREET2!F$72*Al_alloy_use_compnt!$H20</f>
        <v>0</v>
      </c>
      <c r="G418" s="54">
        <f>Material_compnt_GREET2!G$72*Al_alloy_use_compnt!$H20</f>
        <v>0</v>
      </c>
    </row>
    <row r="419" spans="1:7" x14ac:dyDescent="0.2">
      <c r="A419" s="142" t="s">
        <v>288</v>
      </c>
      <c r="B419" s="54">
        <f>Material_compnt_GREET2!B$72*Al_alloy_use_compnt!$H21</f>
        <v>0</v>
      </c>
      <c r="C419" s="54">
        <f>Material_compnt_GREET2!C$72*Al_alloy_use_compnt!$H21</f>
        <v>0</v>
      </c>
      <c r="D419" s="54">
        <f>Material_compnt_GREET2!D$72*Al_alloy_use_compnt!$H21</f>
        <v>0</v>
      </c>
      <c r="E419" s="54">
        <f>Material_compnt_GREET2!E$72*Al_alloy_use_compnt!$H21</f>
        <v>0</v>
      </c>
      <c r="F419" s="54">
        <f>Material_compnt_GREET2!F$72*Al_alloy_use_compnt!$H21</f>
        <v>0</v>
      </c>
      <c r="G419" s="54">
        <f>Material_compnt_GREET2!G$72*Al_alloy_use_compnt!$H21</f>
        <v>0</v>
      </c>
    </row>
    <row r="420" spans="1:7" x14ac:dyDescent="0.2">
      <c r="A420" s="142" t="s">
        <v>289</v>
      </c>
      <c r="B420" s="54">
        <f>Material_compnt_GREET2!B$72*Al_alloy_use_compnt!$H22</f>
        <v>0</v>
      </c>
      <c r="C420" s="54">
        <f>Material_compnt_GREET2!C$72*Al_alloy_use_compnt!$H22</f>
        <v>0</v>
      </c>
      <c r="D420" s="54">
        <f>Material_compnt_GREET2!D$72*Al_alloy_use_compnt!$H22</f>
        <v>6.553562549277328</v>
      </c>
      <c r="E420" s="54">
        <f>Material_compnt_GREET2!E$72*Al_alloy_use_compnt!$H22</f>
        <v>5.0054876148377367</v>
      </c>
      <c r="F420" s="54">
        <f>Material_compnt_GREET2!F$72*Al_alloy_use_compnt!$H22</f>
        <v>17.761241401442241</v>
      </c>
      <c r="G420" s="54">
        <f>Material_compnt_GREET2!G$72*Al_alloy_use_compnt!$H22</f>
        <v>16.107603870903034</v>
      </c>
    </row>
    <row r="421" spans="1:7" x14ac:dyDescent="0.2">
      <c r="A421" s="142" t="s">
        <v>290</v>
      </c>
      <c r="B421" s="54">
        <f>Material_compnt_GREET2!B$72*Al_alloy_use_compnt!$H23</f>
        <v>0</v>
      </c>
      <c r="C421" s="54">
        <f>Material_compnt_GREET2!C$72*Al_alloy_use_compnt!$H23</f>
        <v>0</v>
      </c>
      <c r="D421" s="54">
        <f>Material_compnt_GREET2!D$72*Al_alloy_use_compnt!$H23</f>
        <v>6.553562549277328</v>
      </c>
      <c r="E421" s="54">
        <f>Material_compnt_GREET2!E$72*Al_alloy_use_compnt!$H23</f>
        <v>5.0054876148377367</v>
      </c>
      <c r="F421" s="54">
        <f>Material_compnt_GREET2!F$72*Al_alloy_use_compnt!$H23</f>
        <v>17.761241401442241</v>
      </c>
      <c r="G421" s="54">
        <f>Material_compnt_GREET2!G$72*Al_alloy_use_compnt!$H23</f>
        <v>16.107603870903034</v>
      </c>
    </row>
    <row r="422" spans="1:7" x14ac:dyDescent="0.2">
      <c r="A422" s="142" t="s">
        <v>291</v>
      </c>
      <c r="B422" s="54">
        <f>Material_compnt_GREET2!B$72*Al_alloy_use_compnt!$H24</f>
        <v>0</v>
      </c>
      <c r="C422" s="54">
        <f>Material_compnt_GREET2!C$72*Al_alloy_use_compnt!$H24</f>
        <v>0</v>
      </c>
      <c r="D422" s="54">
        <f>Material_compnt_GREET2!D$72*Al_alloy_use_compnt!$H24</f>
        <v>0</v>
      </c>
      <c r="E422" s="54">
        <f>Material_compnt_GREET2!E$72*Al_alloy_use_compnt!$H24</f>
        <v>0</v>
      </c>
      <c r="F422" s="54">
        <f>Material_compnt_GREET2!F$72*Al_alloy_use_compnt!$H24</f>
        <v>0</v>
      </c>
      <c r="G422" s="54">
        <f>Material_compnt_GREET2!G$72*Al_alloy_use_compnt!$H24</f>
        <v>0</v>
      </c>
    </row>
    <row r="423" spans="1:7" x14ac:dyDescent="0.2">
      <c r="A423" s="142" t="s">
        <v>292</v>
      </c>
      <c r="B423" s="54">
        <f>Material_compnt_GREET2!B$72*Al_alloy_use_compnt!$H25</f>
        <v>0</v>
      </c>
      <c r="C423" s="54">
        <f>Material_compnt_GREET2!C$72*Al_alloy_use_compnt!$H25</f>
        <v>0</v>
      </c>
      <c r="D423" s="54">
        <f>Material_compnt_GREET2!D$72*Al_alloy_use_compnt!$H25</f>
        <v>0</v>
      </c>
      <c r="E423" s="54">
        <f>Material_compnt_GREET2!E$72*Al_alloy_use_compnt!$H25</f>
        <v>0</v>
      </c>
      <c r="F423" s="54">
        <f>Material_compnt_GREET2!F$72*Al_alloy_use_compnt!$H25</f>
        <v>0</v>
      </c>
      <c r="G423" s="54">
        <f>Material_compnt_GREET2!G$72*Al_alloy_use_compnt!$H25</f>
        <v>0</v>
      </c>
    </row>
    <row r="424" spans="1:7" x14ac:dyDescent="0.2">
      <c r="A424" s="142" t="s">
        <v>293</v>
      </c>
      <c r="B424" s="54">
        <f>Material_compnt_GREET2!B$72*Al_alloy_use_compnt!$H26</f>
        <v>0</v>
      </c>
      <c r="C424" s="54">
        <f>Material_compnt_GREET2!C$72*Al_alloy_use_compnt!$H26</f>
        <v>0</v>
      </c>
      <c r="D424" s="54">
        <f>Material_compnt_GREET2!D$72*Al_alloy_use_compnt!$H26</f>
        <v>0</v>
      </c>
      <c r="E424" s="54">
        <f>Material_compnt_GREET2!E$72*Al_alloy_use_compnt!$H26</f>
        <v>0</v>
      </c>
      <c r="F424" s="54">
        <f>Material_compnt_GREET2!F$72*Al_alloy_use_compnt!$H26</f>
        <v>0</v>
      </c>
      <c r="G424" s="54">
        <f>Material_compnt_GREET2!G$72*Al_alloy_use_compnt!$H26</f>
        <v>0</v>
      </c>
    </row>
    <row r="425" spans="1:7" x14ac:dyDescent="0.2">
      <c r="A425" s="142" t="s">
        <v>294</v>
      </c>
      <c r="B425" s="54">
        <f>Material_compnt_GREET2!B$72*Al_alloy_use_compnt!$H27</f>
        <v>0</v>
      </c>
      <c r="C425" s="54">
        <f>Material_compnt_GREET2!C$72*Al_alloy_use_compnt!$H27</f>
        <v>0</v>
      </c>
      <c r="D425" s="54">
        <f>Material_compnt_GREET2!D$72*Al_alloy_use_compnt!$H27</f>
        <v>0</v>
      </c>
      <c r="E425" s="54">
        <f>Material_compnt_GREET2!E$72*Al_alloy_use_compnt!$H27</f>
        <v>0</v>
      </c>
      <c r="F425" s="54">
        <f>Material_compnt_GREET2!F$72*Al_alloy_use_compnt!$H27</f>
        <v>0</v>
      </c>
      <c r="G425" s="54">
        <f>Material_compnt_GREET2!G$72*Al_alloy_use_compnt!$H27</f>
        <v>0</v>
      </c>
    </row>
    <row r="426" spans="1:7" x14ac:dyDescent="0.2">
      <c r="A426" s="144" t="s">
        <v>295</v>
      </c>
      <c r="B426" s="54">
        <f>Material_compnt_GREET2!B$72*Al_alloy_use_compnt!$H28</f>
        <v>0</v>
      </c>
      <c r="C426" s="54">
        <f>Material_compnt_GREET2!C$72*Al_alloy_use_compnt!$H28</f>
        <v>0</v>
      </c>
      <c r="D426" s="54">
        <f>Material_compnt_GREET2!D$72*Al_alloy_use_compnt!$H28</f>
        <v>0</v>
      </c>
      <c r="E426" s="54">
        <f>Material_compnt_GREET2!E$72*Al_alloy_use_compnt!$H28</f>
        <v>0</v>
      </c>
      <c r="F426" s="54">
        <f>Material_compnt_GREET2!F$72*Al_alloy_use_compnt!$H28</f>
        <v>0</v>
      </c>
      <c r="G426" s="54">
        <f>Material_compnt_GREET2!G$72*Al_alloy_use_compnt!$H28</f>
        <v>0</v>
      </c>
    </row>
    <row r="427" spans="1:7" x14ac:dyDescent="0.2">
      <c r="A427" s="142" t="s">
        <v>206</v>
      </c>
      <c r="B427" s="54">
        <v>0</v>
      </c>
      <c r="C427" s="54">
        <v>0</v>
      </c>
      <c r="D427" s="54">
        <v>0</v>
      </c>
      <c r="E427" s="54">
        <v>0</v>
      </c>
      <c r="F427" s="54">
        <v>0</v>
      </c>
      <c r="G427" s="54">
        <v>0</v>
      </c>
    </row>
    <row r="428" spans="1:7" ht="17" thickBot="1" x14ac:dyDescent="0.25">
      <c r="A428" s="149" t="s">
        <v>208</v>
      </c>
      <c r="B428" s="151">
        <v>0</v>
      </c>
      <c r="C428" s="151">
        <v>0</v>
      </c>
      <c r="D428" s="151">
        <v>0</v>
      </c>
      <c r="E428" s="151">
        <v>0</v>
      </c>
      <c r="F428" s="151">
        <v>0</v>
      </c>
      <c r="G428" s="151">
        <v>0</v>
      </c>
    </row>
    <row r="429" spans="1:7" s="1" customFormat="1" ht="17" thickTop="1" x14ac:dyDescent="0.2">
      <c r="A429" s="133"/>
      <c r="B429" s="134">
        <f>SUM(B2:B428)</f>
        <v>1102.9336514209854</v>
      </c>
      <c r="C429" s="134">
        <f t="shared" ref="C429:G429" si="0">SUM(C2:C428)</f>
        <v>903.13633061652058</v>
      </c>
      <c r="D429" s="134">
        <f t="shared" si="0"/>
        <v>1232.9710006965718</v>
      </c>
      <c r="E429" s="134">
        <f t="shared" si="0"/>
        <v>981.61159139062909</v>
      </c>
      <c r="F429" s="134">
        <f t="shared" si="0"/>
        <v>958.12290778611828</v>
      </c>
      <c r="G429" s="134">
        <f t="shared" si="0"/>
        <v>750.51574409613249</v>
      </c>
    </row>
    <row r="431" spans="1:7" x14ac:dyDescent="0.2">
      <c r="B431" s="36"/>
      <c r="C431" s="36"/>
      <c r="D431" s="36"/>
      <c r="E431" s="36"/>
      <c r="F431" s="36"/>
      <c r="G431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29"/>
  <sheetViews>
    <sheetView topLeftCell="A468" zoomScale="70" zoomScaleNormal="70" zoomScalePageLayoutView="70" workbookViewId="0">
      <selection activeCell="B5" sqref="B5"/>
    </sheetView>
  </sheetViews>
  <sheetFormatPr baseColWidth="10" defaultRowHeight="16" x14ac:dyDescent="0.2"/>
  <cols>
    <col min="1" max="1" width="29.1640625" bestFit="1" customWidth="1"/>
    <col min="2" max="2" width="16.6640625" bestFit="1" customWidth="1"/>
    <col min="3" max="3" width="15.1640625" bestFit="1" customWidth="1"/>
    <col min="4" max="4" width="17.33203125" bestFit="1" customWidth="1"/>
    <col min="5" max="5" width="16" bestFit="1" customWidth="1"/>
    <col min="6" max="6" width="15" bestFit="1" customWidth="1"/>
    <col min="7" max="7" width="13.6640625" bestFit="1" customWidth="1"/>
  </cols>
  <sheetData>
    <row r="1" spans="1:7" ht="17" thickTop="1" x14ac:dyDescent="0.2">
      <c r="A1" s="135"/>
      <c r="B1" s="136" t="s">
        <v>92</v>
      </c>
      <c r="C1" s="136" t="s">
        <v>93</v>
      </c>
      <c r="D1" s="136" t="s">
        <v>94</v>
      </c>
      <c r="E1" s="136" t="s">
        <v>95</v>
      </c>
      <c r="F1" s="136" t="s">
        <v>96</v>
      </c>
      <c r="G1" s="136" t="s">
        <v>97</v>
      </c>
    </row>
    <row r="2" spans="1:7" x14ac:dyDescent="0.2">
      <c r="A2" s="139" t="s">
        <v>155</v>
      </c>
      <c r="B2" s="159"/>
      <c r="C2" s="54"/>
      <c r="D2" s="54"/>
      <c r="E2" s="54"/>
      <c r="F2" s="54"/>
      <c r="G2" s="54"/>
    </row>
    <row r="3" spans="1:7" x14ac:dyDescent="0.2">
      <c r="A3" s="142" t="s">
        <v>105</v>
      </c>
      <c r="B3" s="73">
        <f>IFERROR('Alloy_compnt_G&amp;L'!B3/SUM('Alloy_compnt_G&amp;L'!B$3:B$62),0)</f>
        <v>0.20873841251448433</v>
      </c>
      <c r="C3" s="73">
        <f>IFERROR('Alloy_compnt_G&amp;L'!C3/SUM('Alloy_compnt_G&amp;L'!C$3:C$62),0)</f>
        <v>3.5849748802948292E-2</v>
      </c>
      <c r="D3" s="73">
        <f>IFERROR('Alloy_compnt_G&amp;L'!D3/SUM('Alloy_compnt_G&amp;L'!D$3:D$62),0)</f>
        <v>0.20873841251448436</v>
      </c>
      <c r="E3" s="73">
        <f>IFERROR('Alloy_compnt_G&amp;L'!E3/SUM('Alloy_compnt_G&amp;L'!E$3:E$62),0)</f>
        <v>3.3603898889265703E-2</v>
      </c>
      <c r="F3" s="73">
        <f>IFERROR('Alloy_compnt_G&amp;L'!F3/SUM('Alloy_compnt_G&amp;L'!F$3:F$62),0)</f>
        <v>0.2087384125144843</v>
      </c>
      <c r="G3" s="73">
        <f>IFERROR('Alloy_compnt_G&amp;L'!G3/SUM('Alloy_compnt_G&amp;L'!G$3:G$62),0)</f>
        <v>3.2314260843601138E-2</v>
      </c>
    </row>
    <row r="4" spans="1:7" x14ac:dyDescent="0.2">
      <c r="A4" s="142" t="s">
        <v>106</v>
      </c>
      <c r="B4" s="73">
        <f>IFERROR('Alloy_compnt_G&amp;L'!B4/SUM('Alloy_compnt_G&amp;L'!B$3:B$62),0)</f>
        <v>0.18895278099652371</v>
      </c>
      <c r="C4" s="73">
        <f>IFERROR('Alloy_compnt_G&amp;L'!C4/SUM('Alloy_compnt_G&amp;L'!C$3:C$62),0)</f>
        <v>3.2451668347692531E-2</v>
      </c>
      <c r="D4" s="73">
        <f>IFERROR('Alloy_compnt_G&amp;L'!D4/SUM('Alloy_compnt_G&amp;L'!D$3:D$62),0)</f>
        <v>0.18895278099652377</v>
      </c>
      <c r="E4" s="73">
        <f>IFERROR('Alloy_compnt_G&amp;L'!E4/SUM('Alloy_compnt_G&amp;L'!E$3:E$62),0)</f>
        <v>3.0418695203079386E-2</v>
      </c>
      <c r="F4" s="73">
        <f>IFERROR('Alloy_compnt_G&amp;L'!F4/SUM('Alloy_compnt_G&amp;L'!F$3:F$62),0)</f>
        <v>0.18895278099652374</v>
      </c>
      <c r="G4" s="73">
        <f>IFERROR('Alloy_compnt_G&amp;L'!G4/SUM('Alloy_compnt_G&amp;L'!G$3:G$62),0)</f>
        <v>2.9251297730463591E-2</v>
      </c>
    </row>
    <row r="5" spans="1:7" x14ac:dyDescent="0.2">
      <c r="A5" s="142" t="s">
        <v>107</v>
      </c>
      <c r="B5" s="73">
        <f>IFERROR('Alloy_compnt_G&amp;L'!B5/SUM('Alloy_compnt_G&amp;L'!B$3:B$62),0)</f>
        <v>0.591590382387022</v>
      </c>
      <c r="C5" s="73">
        <f>IFERROR('Alloy_compnt_G&amp;L'!C5/SUM('Alloy_compnt_G&amp;L'!C$3:C$62),0)</f>
        <v>0.10160260561214732</v>
      </c>
      <c r="D5" s="73">
        <f>IFERROR('Alloy_compnt_G&amp;L'!D5/SUM('Alloy_compnt_G&amp;L'!D$3:D$62),0)</f>
        <v>0.59159038238702211</v>
      </c>
      <c r="E5" s="73">
        <f>IFERROR('Alloy_compnt_G&amp;L'!E5/SUM('Alloy_compnt_G&amp;L'!E$3:E$62),0)</f>
        <v>9.5237590216971077E-2</v>
      </c>
      <c r="F5" s="73">
        <f>IFERROR('Alloy_compnt_G&amp;L'!F5/SUM('Alloy_compnt_G&amp;L'!F$3:F$62),0)</f>
        <v>0.591590382387022</v>
      </c>
      <c r="G5" s="73">
        <f>IFERROR('Alloy_compnt_G&amp;L'!G5/SUM('Alloy_compnt_G&amp;L'!G$3:G$62),0)</f>
        <v>9.1582597082812717E-2</v>
      </c>
    </row>
    <row r="6" spans="1:7" x14ac:dyDescent="0.2">
      <c r="A6" s="142" t="s">
        <v>91</v>
      </c>
      <c r="B6" s="73">
        <f>IFERROR('Alloy_compnt_G&amp;L'!B6/SUM('Alloy_compnt_G&amp;L'!B$3:B$62),0)</f>
        <v>0</v>
      </c>
      <c r="C6" s="73">
        <f>IFERROR('Alloy_compnt_G&amp;L'!C6/SUM('Alloy_compnt_G&amp;L'!C$3:C$62),0)</f>
        <v>0</v>
      </c>
      <c r="D6" s="73">
        <f>IFERROR('Alloy_compnt_G&amp;L'!D6/SUM('Alloy_compnt_G&amp;L'!D$3:D$62),0)</f>
        <v>0</v>
      </c>
      <c r="E6" s="73">
        <f>IFERROR('Alloy_compnt_G&amp;L'!E6/SUM('Alloy_compnt_G&amp;L'!E$3:E$62),0)</f>
        <v>0</v>
      </c>
      <c r="F6" s="73">
        <f>IFERROR('Alloy_compnt_G&amp;L'!F6/SUM('Alloy_compnt_G&amp;L'!F$3:F$62),0)</f>
        <v>0</v>
      </c>
      <c r="G6" s="73">
        <f>IFERROR('Alloy_compnt_G&amp;L'!G6/SUM('Alloy_compnt_G&amp;L'!G$3:G$62),0)</f>
        <v>0</v>
      </c>
    </row>
    <row r="7" spans="1:7" x14ac:dyDescent="0.2">
      <c r="A7" s="142" t="s">
        <v>204</v>
      </c>
      <c r="B7" s="73">
        <f>IFERROR('Alloy_compnt_G&amp;L'!B7/SUM('Alloy_compnt_G&amp;L'!B$3:B$62),0)</f>
        <v>0</v>
      </c>
      <c r="C7" s="73">
        <f>IFERROR('Alloy_compnt_G&amp;L'!C7/SUM('Alloy_compnt_G&amp;L'!C$3:C$62),0)</f>
        <v>0</v>
      </c>
      <c r="D7" s="73">
        <f>IFERROR('Alloy_compnt_G&amp;L'!D7/SUM('Alloy_compnt_G&amp;L'!D$3:D$62),0)</f>
        <v>0</v>
      </c>
      <c r="E7" s="73">
        <f>IFERROR('Alloy_compnt_G&amp;L'!E7/SUM('Alloy_compnt_G&amp;L'!E$3:E$62),0)</f>
        <v>0</v>
      </c>
      <c r="F7" s="73">
        <f>IFERROR('Alloy_compnt_G&amp;L'!F7/SUM('Alloy_compnt_G&amp;L'!F$3:F$62),0)</f>
        <v>0</v>
      </c>
      <c r="G7" s="73">
        <f>IFERROR('Alloy_compnt_G&amp;L'!G7/SUM('Alloy_compnt_G&amp;L'!G$3:G$62),0)</f>
        <v>0</v>
      </c>
    </row>
    <row r="8" spans="1:7" x14ac:dyDescent="0.2">
      <c r="A8" s="144" t="s">
        <v>104</v>
      </c>
      <c r="B8" s="73">
        <f>IFERROR('Alloy_compnt_G&amp;L'!B8/SUM('Alloy_compnt_G&amp;L'!B$3:B$62),0)</f>
        <v>0</v>
      </c>
      <c r="C8" s="73">
        <f>IFERROR('Alloy_compnt_G&amp;L'!C8/SUM('Alloy_compnt_G&amp;L'!C$3:C$62),0)</f>
        <v>0</v>
      </c>
      <c r="D8" s="73">
        <f>IFERROR('Alloy_compnt_G&amp;L'!D8/SUM('Alloy_compnt_G&amp;L'!D$3:D$62),0)</f>
        <v>0</v>
      </c>
      <c r="E8" s="73">
        <f>IFERROR('Alloy_compnt_G&amp;L'!E8/SUM('Alloy_compnt_G&amp;L'!E$3:E$62),0)</f>
        <v>0</v>
      </c>
      <c r="F8" s="73">
        <f>IFERROR('Alloy_compnt_G&amp;L'!F8/SUM('Alloy_compnt_G&amp;L'!F$3:F$62),0)</f>
        <v>0</v>
      </c>
      <c r="G8" s="73">
        <f>IFERROR('Alloy_compnt_G&amp;L'!G8/SUM('Alloy_compnt_G&amp;L'!G$3:G$62),0)</f>
        <v>0</v>
      </c>
    </row>
    <row r="9" spans="1:7" x14ac:dyDescent="0.2">
      <c r="A9" s="145" t="s">
        <v>244</v>
      </c>
      <c r="B9" s="73">
        <f>IFERROR('Alloy_compnt_G&amp;L'!B9/SUM('Alloy_compnt_G&amp;L'!B$3:B$62),0)</f>
        <v>0</v>
      </c>
      <c r="C9" s="73">
        <f>IFERROR('Alloy_compnt_G&amp;L'!C9/SUM('Alloy_compnt_G&amp;L'!C$3:C$62),0)</f>
        <v>0</v>
      </c>
      <c r="D9" s="73">
        <f>IFERROR('Alloy_compnt_G&amp;L'!D9/SUM('Alloy_compnt_G&amp;L'!D$3:D$62),0)</f>
        <v>0</v>
      </c>
      <c r="E9" s="73">
        <f>IFERROR('Alloy_compnt_G&amp;L'!E9/SUM('Alloy_compnt_G&amp;L'!E$3:E$62),0)</f>
        <v>0</v>
      </c>
      <c r="F9" s="73">
        <f>IFERROR('Alloy_compnt_G&amp;L'!F9/SUM('Alloy_compnt_G&amp;L'!F$3:F$62),0)</f>
        <v>0</v>
      </c>
      <c r="G9" s="73">
        <f>IFERROR('Alloy_compnt_G&amp;L'!G9/SUM('Alloy_compnt_G&amp;L'!G$3:G$62),0)</f>
        <v>0</v>
      </c>
    </row>
    <row r="10" spans="1:7" x14ac:dyDescent="0.2">
      <c r="A10" s="145" t="s">
        <v>245</v>
      </c>
      <c r="B10" s="73">
        <f>IFERROR('Alloy_compnt_G&amp;L'!B10/SUM('Alloy_compnt_G&amp;L'!B$3:B$62),0)</f>
        <v>0</v>
      </c>
      <c r="C10" s="73">
        <f>IFERROR('Alloy_compnt_G&amp;L'!C10/SUM('Alloy_compnt_G&amp;L'!C$3:C$62),0)</f>
        <v>0</v>
      </c>
      <c r="D10" s="73">
        <f>IFERROR('Alloy_compnt_G&amp;L'!D10/SUM('Alloy_compnt_G&amp;L'!D$3:D$62),0)</f>
        <v>0</v>
      </c>
      <c r="E10" s="73">
        <f>IFERROR('Alloy_compnt_G&amp;L'!E10/SUM('Alloy_compnt_G&amp;L'!E$3:E$62),0)</f>
        <v>0</v>
      </c>
      <c r="F10" s="73">
        <f>IFERROR('Alloy_compnt_G&amp;L'!F10/SUM('Alloy_compnt_G&amp;L'!F$3:F$62),0)</f>
        <v>0</v>
      </c>
      <c r="G10" s="73">
        <f>IFERROR('Alloy_compnt_G&amp;L'!G10/SUM('Alloy_compnt_G&amp;L'!G$3:G$62),0)</f>
        <v>0</v>
      </c>
    </row>
    <row r="11" spans="1:7" x14ac:dyDescent="0.2">
      <c r="A11" s="145" t="s">
        <v>246</v>
      </c>
      <c r="B11" s="73">
        <f>IFERROR('Alloy_compnt_G&amp;L'!B11/SUM('Alloy_compnt_G&amp;L'!B$3:B$62),0)</f>
        <v>0</v>
      </c>
      <c r="C11" s="73">
        <f>IFERROR('Alloy_compnt_G&amp;L'!C11/SUM('Alloy_compnt_G&amp;L'!C$3:C$62),0)</f>
        <v>0</v>
      </c>
      <c r="D11" s="73">
        <f>IFERROR('Alloy_compnt_G&amp;L'!D11/SUM('Alloy_compnt_G&amp;L'!D$3:D$62),0)</f>
        <v>0</v>
      </c>
      <c r="E11" s="73">
        <f>IFERROR('Alloy_compnt_G&amp;L'!E11/SUM('Alloy_compnt_G&amp;L'!E$3:E$62),0)</f>
        <v>0</v>
      </c>
      <c r="F11" s="73">
        <f>IFERROR('Alloy_compnt_G&amp;L'!F11/SUM('Alloy_compnt_G&amp;L'!F$3:F$62),0)</f>
        <v>0</v>
      </c>
      <c r="G11" s="73">
        <f>IFERROR('Alloy_compnt_G&amp;L'!G11/SUM('Alloy_compnt_G&amp;L'!G$3:G$62),0)</f>
        <v>0</v>
      </c>
    </row>
    <row r="12" spans="1:7" x14ac:dyDescent="0.2">
      <c r="A12" s="145" t="s">
        <v>247</v>
      </c>
      <c r="B12" s="73">
        <f>IFERROR('Alloy_compnt_G&amp;L'!B12/SUM('Alloy_compnt_G&amp;L'!B$3:B$62),0)</f>
        <v>0</v>
      </c>
      <c r="C12" s="73">
        <f>IFERROR('Alloy_compnt_G&amp;L'!C12/SUM('Alloy_compnt_G&amp;L'!C$3:C$62),0)</f>
        <v>0</v>
      </c>
      <c r="D12" s="73">
        <f>IFERROR('Alloy_compnt_G&amp;L'!D12/SUM('Alloy_compnt_G&amp;L'!D$3:D$62),0)</f>
        <v>0</v>
      </c>
      <c r="E12" s="73">
        <f>IFERROR('Alloy_compnt_G&amp;L'!E12/SUM('Alloy_compnt_G&amp;L'!E$3:E$62),0)</f>
        <v>0</v>
      </c>
      <c r="F12" s="73">
        <f>IFERROR('Alloy_compnt_G&amp;L'!F12/SUM('Alloy_compnt_G&amp;L'!F$3:F$62),0)</f>
        <v>0</v>
      </c>
      <c r="G12" s="73">
        <f>IFERROR('Alloy_compnt_G&amp;L'!G12/SUM('Alloy_compnt_G&amp;L'!G$3:G$62),0)</f>
        <v>0</v>
      </c>
    </row>
    <row r="13" spans="1:7" x14ac:dyDescent="0.2">
      <c r="A13" s="145" t="s">
        <v>248</v>
      </c>
      <c r="B13" s="73">
        <f>IFERROR('Alloy_compnt_G&amp;L'!B13/SUM('Alloy_compnt_G&amp;L'!B$3:B$62),0)</f>
        <v>0</v>
      </c>
      <c r="C13" s="73">
        <f>IFERROR('Alloy_compnt_G&amp;L'!C13/SUM('Alloy_compnt_G&amp;L'!C$3:C$62),0)</f>
        <v>0</v>
      </c>
      <c r="D13" s="73">
        <f>IFERROR('Alloy_compnt_G&amp;L'!D13/SUM('Alloy_compnt_G&amp;L'!D$3:D$62),0)</f>
        <v>0</v>
      </c>
      <c r="E13" s="73">
        <f>IFERROR('Alloy_compnt_G&amp;L'!E13/SUM('Alloy_compnt_G&amp;L'!E$3:E$62),0)</f>
        <v>0</v>
      </c>
      <c r="F13" s="73">
        <f>IFERROR('Alloy_compnt_G&amp;L'!F13/SUM('Alloy_compnt_G&amp;L'!F$3:F$62),0)</f>
        <v>0</v>
      </c>
      <c r="G13" s="73">
        <f>IFERROR('Alloy_compnt_G&amp;L'!G13/SUM('Alloy_compnt_G&amp;L'!G$3:G$62),0)</f>
        <v>0</v>
      </c>
    </row>
    <row r="14" spans="1:7" x14ac:dyDescent="0.2">
      <c r="A14" s="145" t="s">
        <v>249</v>
      </c>
      <c r="B14" s="73">
        <f>IFERROR('Alloy_compnt_G&amp;L'!B14/SUM('Alloy_compnt_G&amp;L'!B$3:B$62),0)</f>
        <v>0</v>
      </c>
      <c r="C14" s="73">
        <f>IFERROR('Alloy_compnt_G&amp;L'!C14/SUM('Alloy_compnt_G&amp;L'!C$3:C$62),0)</f>
        <v>0</v>
      </c>
      <c r="D14" s="73">
        <f>IFERROR('Alloy_compnt_G&amp;L'!D14/SUM('Alloy_compnt_G&amp;L'!D$3:D$62),0)</f>
        <v>0</v>
      </c>
      <c r="E14" s="73">
        <f>IFERROR('Alloy_compnt_G&amp;L'!E14/SUM('Alloy_compnt_G&amp;L'!E$3:E$62),0)</f>
        <v>0</v>
      </c>
      <c r="F14" s="73">
        <f>IFERROR('Alloy_compnt_G&amp;L'!F14/SUM('Alloy_compnt_G&amp;L'!F$3:F$62),0)</f>
        <v>0</v>
      </c>
      <c r="G14" s="73">
        <f>IFERROR('Alloy_compnt_G&amp;L'!G14/SUM('Alloy_compnt_G&amp;L'!G$3:G$62),0)</f>
        <v>0</v>
      </c>
    </row>
    <row r="15" spans="1:7" x14ac:dyDescent="0.2">
      <c r="A15" s="145" t="s">
        <v>250</v>
      </c>
      <c r="B15" s="73">
        <f>IFERROR('Alloy_compnt_G&amp;L'!B15/SUM('Alloy_compnt_G&amp;L'!B$3:B$62),0)</f>
        <v>0</v>
      </c>
      <c r="C15" s="73">
        <f>IFERROR('Alloy_compnt_G&amp;L'!C15/SUM('Alloy_compnt_G&amp;L'!C$3:C$62),0)</f>
        <v>0</v>
      </c>
      <c r="D15" s="73">
        <f>IFERROR('Alloy_compnt_G&amp;L'!D15/SUM('Alloy_compnt_G&amp;L'!D$3:D$62),0)</f>
        <v>0</v>
      </c>
      <c r="E15" s="73">
        <f>IFERROR('Alloy_compnt_G&amp;L'!E15/SUM('Alloy_compnt_G&amp;L'!E$3:E$62),0)</f>
        <v>0</v>
      </c>
      <c r="F15" s="73">
        <f>IFERROR('Alloy_compnt_G&amp;L'!F15/SUM('Alloy_compnt_G&amp;L'!F$3:F$62),0)</f>
        <v>0</v>
      </c>
      <c r="G15" s="73">
        <f>IFERROR('Alloy_compnt_G&amp;L'!G15/SUM('Alloy_compnt_G&amp;L'!G$3:G$62),0)</f>
        <v>0</v>
      </c>
    </row>
    <row r="16" spans="1:7" x14ac:dyDescent="0.2">
      <c r="A16" s="145" t="s">
        <v>251</v>
      </c>
      <c r="B16" s="73">
        <f>IFERROR('Alloy_compnt_G&amp;L'!B16/SUM('Alloy_compnt_G&amp;L'!B$3:B$62),0)</f>
        <v>0</v>
      </c>
      <c r="C16" s="73">
        <f>IFERROR('Alloy_compnt_G&amp;L'!C16/SUM('Alloy_compnt_G&amp;L'!C$3:C$62),0)</f>
        <v>0</v>
      </c>
      <c r="D16" s="73">
        <f>IFERROR('Alloy_compnt_G&amp;L'!D16/SUM('Alloy_compnt_G&amp;L'!D$3:D$62),0)</f>
        <v>0</v>
      </c>
      <c r="E16" s="73">
        <f>IFERROR('Alloy_compnt_G&amp;L'!E16/SUM('Alloy_compnt_G&amp;L'!E$3:E$62),0)</f>
        <v>0</v>
      </c>
      <c r="F16" s="73">
        <f>IFERROR('Alloy_compnt_G&amp;L'!F16/SUM('Alloy_compnt_G&amp;L'!F$3:F$62),0)</f>
        <v>0</v>
      </c>
      <c r="G16" s="73">
        <f>IFERROR('Alloy_compnt_G&amp;L'!G16/SUM('Alloy_compnt_G&amp;L'!G$3:G$62),0)</f>
        <v>0</v>
      </c>
    </row>
    <row r="17" spans="1:7" x14ac:dyDescent="0.2">
      <c r="A17" s="145" t="s">
        <v>252</v>
      </c>
      <c r="B17" s="73">
        <f>IFERROR('Alloy_compnt_G&amp;L'!B17/SUM('Alloy_compnt_G&amp;L'!B$3:B$62),0)</f>
        <v>0</v>
      </c>
      <c r="C17" s="73">
        <f>IFERROR('Alloy_compnt_G&amp;L'!C17/SUM('Alloy_compnt_G&amp;L'!C$3:C$62),0)</f>
        <v>0</v>
      </c>
      <c r="D17" s="73">
        <f>IFERROR('Alloy_compnt_G&amp;L'!D17/SUM('Alloy_compnt_G&amp;L'!D$3:D$62),0)</f>
        <v>0</v>
      </c>
      <c r="E17" s="73">
        <f>IFERROR('Alloy_compnt_G&amp;L'!E17/SUM('Alloy_compnt_G&amp;L'!E$3:E$62),0)</f>
        <v>0</v>
      </c>
      <c r="F17" s="73">
        <f>IFERROR('Alloy_compnt_G&amp;L'!F17/SUM('Alloy_compnt_G&amp;L'!F$3:F$62),0)</f>
        <v>0</v>
      </c>
      <c r="G17" s="73">
        <f>IFERROR('Alloy_compnt_G&amp;L'!G17/SUM('Alloy_compnt_G&amp;L'!G$3:G$62),0)</f>
        <v>0</v>
      </c>
    </row>
    <row r="18" spans="1:7" x14ac:dyDescent="0.2">
      <c r="A18" s="145" t="s">
        <v>253</v>
      </c>
      <c r="B18" s="73">
        <f>IFERROR('Alloy_compnt_G&amp;L'!B18/SUM('Alloy_compnt_G&amp;L'!B$3:B$62),0)</f>
        <v>0</v>
      </c>
      <c r="C18" s="73">
        <f>IFERROR('Alloy_compnt_G&amp;L'!C18/SUM('Alloy_compnt_G&amp;L'!C$3:C$62),0)</f>
        <v>0</v>
      </c>
      <c r="D18" s="73">
        <f>IFERROR('Alloy_compnt_G&amp;L'!D18/SUM('Alloy_compnt_G&amp;L'!D$3:D$62),0)</f>
        <v>0</v>
      </c>
      <c r="E18" s="73">
        <f>IFERROR('Alloy_compnt_G&amp;L'!E18/SUM('Alloy_compnt_G&amp;L'!E$3:E$62),0)</f>
        <v>0</v>
      </c>
      <c r="F18" s="73">
        <f>IFERROR('Alloy_compnt_G&amp;L'!F18/SUM('Alloy_compnt_G&amp;L'!F$3:F$62),0)</f>
        <v>0</v>
      </c>
      <c r="G18" s="73">
        <f>IFERROR('Alloy_compnt_G&amp;L'!G18/SUM('Alloy_compnt_G&amp;L'!G$3:G$62),0)</f>
        <v>0</v>
      </c>
    </row>
    <row r="19" spans="1:7" x14ac:dyDescent="0.2">
      <c r="A19" s="145" t="s">
        <v>254</v>
      </c>
      <c r="B19" s="73">
        <f>IFERROR('Alloy_compnt_G&amp;L'!B19/SUM('Alloy_compnt_G&amp;L'!B$3:B$62),0)</f>
        <v>0</v>
      </c>
      <c r="C19" s="73">
        <f>IFERROR('Alloy_compnt_G&amp;L'!C19/SUM('Alloy_compnt_G&amp;L'!C$3:C$62),0)</f>
        <v>0</v>
      </c>
      <c r="D19" s="73">
        <f>IFERROR('Alloy_compnt_G&amp;L'!D19/SUM('Alloy_compnt_G&amp;L'!D$3:D$62),0)</f>
        <v>0</v>
      </c>
      <c r="E19" s="73">
        <f>IFERROR('Alloy_compnt_G&amp;L'!E19/SUM('Alloy_compnt_G&amp;L'!E$3:E$62),0)</f>
        <v>0</v>
      </c>
      <c r="F19" s="73">
        <f>IFERROR('Alloy_compnt_G&amp;L'!F19/SUM('Alloy_compnt_G&amp;L'!F$3:F$62),0)</f>
        <v>0</v>
      </c>
      <c r="G19" s="73">
        <f>IFERROR('Alloy_compnt_G&amp;L'!G19/SUM('Alloy_compnt_G&amp;L'!G$3:G$62),0)</f>
        <v>0</v>
      </c>
    </row>
    <row r="20" spans="1:7" x14ac:dyDescent="0.2">
      <c r="A20" s="146" t="s">
        <v>255</v>
      </c>
      <c r="B20" s="73">
        <f>IFERROR('Alloy_compnt_G&amp;L'!B20/SUM('Alloy_compnt_G&amp;L'!B$3:B$62),0)</f>
        <v>0</v>
      </c>
      <c r="C20" s="73">
        <f>IFERROR('Alloy_compnt_G&amp;L'!C20/SUM('Alloy_compnt_G&amp;L'!C$3:C$62),0)</f>
        <v>0</v>
      </c>
      <c r="D20" s="73">
        <f>IFERROR('Alloy_compnt_G&amp;L'!D20/SUM('Alloy_compnt_G&amp;L'!D$3:D$62),0)</f>
        <v>0</v>
      </c>
      <c r="E20" s="73">
        <f>IFERROR('Alloy_compnt_G&amp;L'!E20/SUM('Alloy_compnt_G&amp;L'!E$3:E$62),0)</f>
        <v>0</v>
      </c>
      <c r="F20" s="73">
        <f>IFERROR('Alloy_compnt_G&amp;L'!F20/SUM('Alloy_compnt_G&amp;L'!F$3:F$62),0)</f>
        <v>0</v>
      </c>
      <c r="G20" s="73">
        <f>IFERROR('Alloy_compnt_G&amp;L'!G20/SUM('Alloy_compnt_G&amp;L'!G$3:G$62),0)</f>
        <v>0</v>
      </c>
    </row>
    <row r="21" spans="1:7" x14ac:dyDescent="0.2">
      <c r="A21" s="145" t="s">
        <v>256</v>
      </c>
      <c r="B21" s="73">
        <f>IFERROR('Alloy_compnt_G&amp;L'!B21/SUM('Alloy_compnt_G&amp;L'!B$3:B$62),0)</f>
        <v>0</v>
      </c>
      <c r="C21" s="73">
        <f>IFERROR('Alloy_compnt_G&amp;L'!C21/SUM('Alloy_compnt_G&amp;L'!C$3:C$62),0)</f>
        <v>0</v>
      </c>
      <c r="D21" s="73">
        <f>IFERROR('Alloy_compnt_G&amp;L'!D21/SUM('Alloy_compnt_G&amp;L'!D$3:D$62),0)</f>
        <v>0</v>
      </c>
      <c r="E21" s="73">
        <f>IFERROR('Alloy_compnt_G&amp;L'!E21/SUM('Alloy_compnt_G&amp;L'!E$3:E$62),0)</f>
        <v>0</v>
      </c>
      <c r="F21" s="73">
        <f>IFERROR('Alloy_compnt_G&amp;L'!F21/SUM('Alloy_compnt_G&amp;L'!F$3:F$62),0)</f>
        <v>0</v>
      </c>
      <c r="G21" s="73">
        <f>IFERROR('Alloy_compnt_G&amp;L'!G21/SUM('Alloy_compnt_G&amp;L'!G$3:G$62),0)</f>
        <v>0</v>
      </c>
    </row>
    <row r="22" spans="1:7" x14ac:dyDescent="0.2">
      <c r="A22" s="145" t="s">
        <v>257</v>
      </c>
      <c r="B22" s="73">
        <f>IFERROR('Alloy_compnt_G&amp;L'!B22/SUM('Alloy_compnt_G&amp;L'!B$3:B$62),0)</f>
        <v>0</v>
      </c>
      <c r="C22" s="73">
        <f>IFERROR('Alloy_compnt_G&amp;L'!C22/SUM('Alloy_compnt_G&amp;L'!C$3:C$62),0)</f>
        <v>0</v>
      </c>
      <c r="D22" s="73">
        <f>IFERROR('Alloy_compnt_G&amp;L'!D22/SUM('Alloy_compnt_G&amp;L'!D$3:D$62),0)</f>
        <v>0</v>
      </c>
      <c r="E22" s="73">
        <f>IFERROR('Alloy_compnt_G&amp;L'!E22/SUM('Alloy_compnt_G&amp;L'!E$3:E$62),0)</f>
        <v>0</v>
      </c>
      <c r="F22" s="73">
        <f>IFERROR('Alloy_compnt_G&amp;L'!F22/SUM('Alloy_compnt_G&amp;L'!F$3:F$62),0)</f>
        <v>0</v>
      </c>
      <c r="G22" s="73">
        <f>IFERROR('Alloy_compnt_G&amp;L'!G22/SUM('Alloy_compnt_G&amp;L'!G$3:G$62),0)</f>
        <v>0</v>
      </c>
    </row>
    <row r="23" spans="1:7" x14ac:dyDescent="0.2">
      <c r="A23" s="145" t="s">
        <v>258</v>
      </c>
      <c r="B23" s="73">
        <f>IFERROR('Alloy_compnt_G&amp;L'!B23/SUM('Alloy_compnt_G&amp;L'!B$3:B$62),0)</f>
        <v>0</v>
      </c>
      <c r="C23" s="73">
        <f>IFERROR('Alloy_compnt_G&amp;L'!C23/SUM('Alloy_compnt_G&amp;L'!C$3:C$62),0)</f>
        <v>0</v>
      </c>
      <c r="D23" s="73">
        <f>IFERROR('Alloy_compnt_G&amp;L'!D23/SUM('Alloy_compnt_G&amp;L'!D$3:D$62),0)</f>
        <v>0</v>
      </c>
      <c r="E23" s="73">
        <f>IFERROR('Alloy_compnt_G&amp;L'!E23/SUM('Alloy_compnt_G&amp;L'!E$3:E$62),0)</f>
        <v>0</v>
      </c>
      <c r="F23" s="73">
        <f>IFERROR('Alloy_compnt_G&amp;L'!F23/SUM('Alloy_compnt_G&amp;L'!F$3:F$62),0)</f>
        <v>0</v>
      </c>
      <c r="G23" s="73">
        <f>IFERROR('Alloy_compnt_G&amp;L'!G23/SUM('Alloy_compnt_G&amp;L'!G$3:G$62),0)</f>
        <v>0</v>
      </c>
    </row>
    <row r="24" spans="1:7" x14ac:dyDescent="0.2">
      <c r="A24" s="142" t="s">
        <v>259</v>
      </c>
      <c r="B24" s="73">
        <f>IFERROR('Alloy_compnt_G&amp;L'!B24/SUM('Alloy_compnt_G&amp;L'!B$3:B$62),0)</f>
        <v>0</v>
      </c>
      <c r="C24" s="73">
        <f>IFERROR('Alloy_compnt_G&amp;L'!C24/SUM('Alloy_compnt_G&amp;L'!C$3:C$62),0)</f>
        <v>0</v>
      </c>
      <c r="D24" s="73">
        <f>IFERROR('Alloy_compnt_G&amp;L'!D24/SUM('Alloy_compnt_G&amp;L'!D$3:D$62),0)</f>
        <v>0</v>
      </c>
      <c r="E24" s="73">
        <f>IFERROR('Alloy_compnt_G&amp;L'!E24/SUM('Alloy_compnt_G&amp;L'!E$3:E$62),0)</f>
        <v>0</v>
      </c>
      <c r="F24" s="73">
        <f>IFERROR('Alloy_compnt_G&amp;L'!F24/SUM('Alloy_compnt_G&amp;L'!F$3:F$62),0)</f>
        <v>0</v>
      </c>
      <c r="G24" s="73">
        <f>IFERROR('Alloy_compnt_G&amp;L'!G24/SUM('Alloy_compnt_G&amp;L'!G$3:G$62),0)</f>
        <v>0</v>
      </c>
    </row>
    <row r="25" spans="1:7" x14ac:dyDescent="0.2">
      <c r="A25" s="147" t="s">
        <v>260</v>
      </c>
      <c r="B25" s="73">
        <f>IFERROR('Alloy_compnt_G&amp;L'!B25/SUM('Alloy_compnt_G&amp;L'!B$3:B$62),0)</f>
        <v>0</v>
      </c>
      <c r="C25" s="73">
        <f>IFERROR('Alloy_compnt_G&amp;L'!C25/SUM('Alloy_compnt_G&amp;L'!C$3:C$62),0)</f>
        <v>0</v>
      </c>
      <c r="D25" s="73">
        <f>IFERROR('Alloy_compnt_G&amp;L'!D25/SUM('Alloy_compnt_G&amp;L'!D$3:D$62),0)</f>
        <v>0</v>
      </c>
      <c r="E25" s="73">
        <f>IFERROR('Alloy_compnt_G&amp;L'!E25/SUM('Alloy_compnt_G&amp;L'!E$3:E$62),0)</f>
        <v>0</v>
      </c>
      <c r="F25" s="73">
        <f>IFERROR('Alloy_compnt_G&amp;L'!F25/SUM('Alloy_compnt_G&amp;L'!F$3:F$62),0)</f>
        <v>0</v>
      </c>
      <c r="G25" s="73">
        <f>IFERROR('Alloy_compnt_G&amp;L'!G25/SUM('Alloy_compnt_G&amp;L'!G$3:G$62),0)</f>
        <v>0</v>
      </c>
    </row>
    <row r="26" spans="1:7" x14ac:dyDescent="0.2">
      <c r="A26" s="142" t="s">
        <v>261</v>
      </c>
      <c r="B26" s="73">
        <f>IFERROR('Alloy_compnt_G&amp;L'!B26/SUM('Alloy_compnt_G&amp;L'!B$3:B$62),0)</f>
        <v>0</v>
      </c>
      <c r="C26" s="73">
        <f>IFERROR('Alloy_compnt_G&amp;L'!C26/SUM('Alloy_compnt_G&amp;L'!C$3:C$62),0)</f>
        <v>0</v>
      </c>
      <c r="D26" s="73">
        <f>IFERROR('Alloy_compnt_G&amp;L'!D26/SUM('Alloy_compnt_G&amp;L'!D$3:D$62),0)</f>
        <v>0</v>
      </c>
      <c r="E26" s="73">
        <f>IFERROR('Alloy_compnt_G&amp;L'!E26/SUM('Alloy_compnt_G&amp;L'!E$3:E$62),0)</f>
        <v>0</v>
      </c>
      <c r="F26" s="73">
        <f>IFERROR('Alloy_compnt_G&amp;L'!F26/SUM('Alloy_compnt_G&amp;L'!F$3:F$62),0)</f>
        <v>0</v>
      </c>
      <c r="G26" s="73">
        <f>IFERROR('Alloy_compnt_G&amp;L'!G26/SUM('Alloy_compnt_G&amp;L'!G$3:G$62),0)</f>
        <v>0</v>
      </c>
    </row>
    <row r="27" spans="1:7" x14ac:dyDescent="0.2">
      <c r="A27" s="142" t="s">
        <v>262</v>
      </c>
      <c r="B27" s="73">
        <f>IFERROR('Alloy_compnt_G&amp;L'!B27/SUM('Alloy_compnt_G&amp;L'!B$3:B$62),0)</f>
        <v>0</v>
      </c>
      <c r="C27" s="73">
        <f>IFERROR('Alloy_compnt_G&amp;L'!C27/SUM('Alloy_compnt_G&amp;L'!C$3:C$62),0)</f>
        <v>0</v>
      </c>
      <c r="D27" s="73">
        <f>IFERROR('Alloy_compnt_G&amp;L'!D27/SUM('Alloy_compnt_G&amp;L'!D$3:D$62),0)</f>
        <v>0</v>
      </c>
      <c r="E27" s="73">
        <f>IFERROR('Alloy_compnt_G&amp;L'!E27/SUM('Alloy_compnt_G&amp;L'!E$3:E$62),0)</f>
        <v>0</v>
      </c>
      <c r="F27" s="73">
        <f>IFERROR('Alloy_compnt_G&amp;L'!F27/SUM('Alloy_compnt_G&amp;L'!F$3:F$62),0)</f>
        <v>0</v>
      </c>
      <c r="G27" s="73">
        <f>IFERROR('Alloy_compnt_G&amp;L'!G27/SUM('Alloy_compnt_G&amp;L'!G$3:G$62),0)</f>
        <v>0</v>
      </c>
    </row>
    <row r="28" spans="1:7" x14ac:dyDescent="0.2">
      <c r="A28" s="142" t="s">
        <v>263</v>
      </c>
      <c r="B28" s="73">
        <f>IFERROR('Alloy_compnt_G&amp;L'!B28/SUM('Alloy_compnt_G&amp;L'!B$3:B$62),0)</f>
        <v>0</v>
      </c>
      <c r="C28" s="73">
        <f>IFERROR('Alloy_compnt_G&amp;L'!C28/SUM('Alloy_compnt_G&amp;L'!C$3:C$62),0)</f>
        <v>0</v>
      </c>
      <c r="D28" s="73">
        <f>IFERROR('Alloy_compnt_G&amp;L'!D28/SUM('Alloy_compnt_G&amp;L'!D$3:D$62),0)</f>
        <v>0</v>
      </c>
      <c r="E28" s="73">
        <f>IFERROR('Alloy_compnt_G&amp;L'!E28/SUM('Alloy_compnt_G&amp;L'!E$3:E$62),0)</f>
        <v>0</v>
      </c>
      <c r="F28" s="73">
        <f>IFERROR('Alloy_compnt_G&amp;L'!F28/SUM('Alloy_compnt_G&amp;L'!F$3:F$62),0)</f>
        <v>0</v>
      </c>
      <c r="G28" s="73">
        <f>IFERROR('Alloy_compnt_G&amp;L'!G28/SUM('Alloy_compnt_G&amp;L'!G$3:G$62),0)</f>
        <v>0</v>
      </c>
    </row>
    <row r="29" spans="1:7" x14ac:dyDescent="0.2">
      <c r="A29" s="142" t="s">
        <v>264</v>
      </c>
      <c r="B29" s="73">
        <f>IFERROR('Alloy_compnt_G&amp;L'!B29/SUM('Alloy_compnt_G&amp;L'!B$3:B$62),0)</f>
        <v>7.3226470966911283E-5</v>
      </c>
      <c r="C29" s="73">
        <f>IFERROR('Alloy_compnt_G&amp;L'!C29/SUM('Alloy_compnt_G&amp;L'!C$3:C$62),0)</f>
        <v>5.8956442667169699E-3</v>
      </c>
      <c r="D29" s="73">
        <f>IFERROR('Alloy_compnt_G&amp;L'!D29/SUM('Alloy_compnt_G&amp;L'!D$3:D$62),0)</f>
        <v>7.322647096691131E-5</v>
      </c>
      <c r="E29" s="73">
        <f>IFERROR('Alloy_compnt_G&amp;L'!E29/SUM('Alloy_compnt_G&amp;L'!E$3:E$62),0)</f>
        <v>5.9734201420825047E-3</v>
      </c>
      <c r="F29" s="73">
        <f>IFERROR('Alloy_compnt_G&amp;L'!F29/SUM('Alloy_compnt_G&amp;L'!F$3:F$62),0)</f>
        <v>7.3226470966911283E-5</v>
      </c>
      <c r="G29" s="73">
        <f>IFERROR('Alloy_compnt_G&amp;L'!G29/SUM('Alloy_compnt_G&amp;L'!G$3:G$62),0)</f>
        <v>6.0195053147982019E-3</v>
      </c>
    </row>
    <row r="30" spans="1:7" x14ac:dyDescent="0.2">
      <c r="A30" s="142" t="s">
        <v>265</v>
      </c>
      <c r="B30" s="73">
        <f>IFERROR('Alloy_compnt_G&amp;L'!B30/SUM('Alloy_compnt_G&amp;L'!B$3:B$62),0)</f>
        <v>0</v>
      </c>
      <c r="C30" s="73">
        <f>IFERROR('Alloy_compnt_G&amp;L'!C30/SUM('Alloy_compnt_G&amp;L'!C$3:C$62),0)</f>
        <v>0</v>
      </c>
      <c r="D30" s="73">
        <f>IFERROR('Alloy_compnt_G&amp;L'!D30/SUM('Alloy_compnt_G&amp;L'!D$3:D$62),0)</f>
        <v>0</v>
      </c>
      <c r="E30" s="73">
        <f>IFERROR('Alloy_compnt_G&amp;L'!E30/SUM('Alloy_compnt_G&amp;L'!E$3:E$62),0)</f>
        <v>0</v>
      </c>
      <c r="F30" s="73">
        <f>IFERROR('Alloy_compnt_G&amp;L'!F30/SUM('Alloy_compnt_G&amp;L'!F$3:F$62),0)</f>
        <v>0</v>
      </c>
      <c r="G30" s="73">
        <f>IFERROR('Alloy_compnt_G&amp;L'!G30/SUM('Alloy_compnt_G&amp;L'!G$3:G$62),0)</f>
        <v>0</v>
      </c>
    </row>
    <row r="31" spans="1:7" x14ac:dyDescent="0.2">
      <c r="A31" s="142" t="s">
        <v>266</v>
      </c>
      <c r="B31" s="73">
        <f>IFERROR('Alloy_compnt_G&amp;L'!B31/SUM('Alloy_compnt_G&amp;L'!B$3:B$62),0)</f>
        <v>1.4645294193382257E-4</v>
      </c>
      <c r="C31" s="73">
        <f>IFERROR('Alloy_compnt_G&amp;L'!C31/SUM('Alloy_compnt_G&amp;L'!C$3:C$62),0)</f>
        <v>1.179128853343394E-2</v>
      </c>
      <c r="D31" s="73">
        <f>IFERROR('Alloy_compnt_G&amp;L'!D31/SUM('Alloy_compnt_G&amp;L'!D$3:D$62),0)</f>
        <v>1.4645294193382262E-4</v>
      </c>
      <c r="E31" s="73">
        <f>IFERROR('Alloy_compnt_G&amp;L'!E31/SUM('Alloy_compnt_G&amp;L'!E$3:E$62),0)</f>
        <v>1.1946840284165009E-2</v>
      </c>
      <c r="F31" s="73">
        <f>IFERROR('Alloy_compnt_G&amp;L'!F31/SUM('Alloy_compnt_G&amp;L'!F$3:F$62),0)</f>
        <v>1.4645294193382257E-4</v>
      </c>
      <c r="G31" s="73">
        <f>IFERROR('Alloy_compnt_G&amp;L'!G31/SUM('Alloy_compnt_G&amp;L'!G$3:G$62),0)</f>
        <v>1.2039010629596404E-2</v>
      </c>
    </row>
    <row r="32" spans="1:7" x14ac:dyDescent="0.2">
      <c r="A32" s="142" t="s">
        <v>267</v>
      </c>
      <c r="B32" s="73">
        <f>IFERROR('Alloy_compnt_G&amp;L'!B32/SUM('Alloy_compnt_G&amp;L'!B$3:B$62),0)</f>
        <v>4.3935882580146762E-4</v>
      </c>
      <c r="C32" s="73">
        <f>IFERROR('Alloy_compnt_G&amp;L'!C32/SUM('Alloy_compnt_G&amp;L'!C$3:C$62),0)</f>
        <v>3.537386560030182E-2</v>
      </c>
      <c r="D32" s="73">
        <f>IFERROR('Alloy_compnt_G&amp;L'!D32/SUM('Alloy_compnt_G&amp;L'!D$3:D$62),0)</f>
        <v>4.3935882580146783E-4</v>
      </c>
      <c r="E32" s="73">
        <f>IFERROR('Alloy_compnt_G&amp;L'!E32/SUM('Alloy_compnt_G&amp;L'!E$3:E$62),0)</f>
        <v>3.584052085249502E-2</v>
      </c>
      <c r="F32" s="73">
        <f>IFERROR('Alloy_compnt_G&amp;L'!F32/SUM('Alloy_compnt_G&amp;L'!F$3:F$62),0)</f>
        <v>4.3935882580146762E-4</v>
      </c>
      <c r="G32" s="73">
        <f>IFERROR('Alloy_compnt_G&amp;L'!G32/SUM('Alloy_compnt_G&amp;L'!G$3:G$62),0)</f>
        <v>3.611703188878921E-2</v>
      </c>
    </row>
    <row r="33" spans="1:7" x14ac:dyDescent="0.2">
      <c r="A33" s="142" t="s">
        <v>268</v>
      </c>
      <c r="B33" s="73">
        <f>IFERROR('Alloy_compnt_G&amp;L'!B33/SUM('Alloy_compnt_G&amp;L'!B$3:B$62),0)</f>
        <v>1.4645294193382257E-4</v>
      </c>
      <c r="C33" s="73">
        <f>IFERROR('Alloy_compnt_G&amp;L'!C33/SUM('Alloy_compnt_G&amp;L'!C$3:C$62),0)</f>
        <v>1.179128853343394E-2</v>
      </c>
      <c r="D33" s="73">
        <f>IFERROR('Alloy_compnt_G&amp;L'!D33/SUM('Alloy_compnt_G&amp;L'!D$3:D$62),0)</f>
        <v>1.4645294193382262E-4</v>
      </c>
      <c r="E33" s="73">
        <f>IFERROR('Alloy_compnt_G&amp;L'!E33/SUM('Alloy_compnt_G&amp;L'!E$3:E$62),0)</f>
        <v>1.1946840284165009E-2</v>
      </c>
      <c r="F33" s="73">
        <f>IFERROR('Alloy_compnt_G&amp;L'!F33/SUM('Alloy_compnt_G&amp;L'!F$3:F$62),0)</f>
        <v>1.4645294193382257E-4</v>
      </c>
      <c r="G33" s="73">
        <f>IFERROR('Alloy_compnt_G&amp;L'!G33/SUM('Alloy_compnt_G&amp;L'!G$3:G$62),0)</f>
        <v>1.2039010629596404E-2</v>
      </c>
    </row>
    <row r="34" spans="1:7" x14ac:dyDescent="0.2">
      <c r="A34" s="142" t="s">
        <v>269</v>
      </c>
      <c r="B34" s="73">
        <f>IFERROR('Alloy_compnt_G&amp;L'!B34/SUM('Alloy_compnt_G&amp;L'!B$3:B$62),0)</f>
        <v>3.2951911935110074E-4</v>
      </c>
      <c r="C34" s="73">
        <f>IFERROR('Alloy_compnt_G&amp;L'!C34/SUM('Alloy_compnt_G&amp;L'!C$3:C$62),0)</f>
        <v>2.6530399200226366E-2</v>
      </c>
      <c r="D34" s="73">
        <f>IFERROR('Alloy_compnt_G&amp;L'!D34/SUM('Alloy_compnt_G&amp;L'!D$3:D$62),0)</f>
        <v>3.2951911935110085E-4</v>
      </c>
      <c r="E34" s="73">
        <f>IFERROR('Alloy_compnt_G&amp;L'!E34/SUM('Alloy_compnt_G&amp;L'!E$3:E$62),0)</f>
        <v>2.6880390639371268E-2</v>
      </c>
      <c r="F34" s="73">
        <f>IFERROR('Alloy_compnt_G&amp;L'!F34/SUM('Alloy_compnt_G&amp;L'!F$3:F$62),0)</f>
        <v>3.2951911935110074E-4</v>
      </c>
      <c r="G34" s="73">
        <f>IFERROR('Alloy_compnt_G&amp;L'!G34/SUM('Alloy_compnt_G&amp;L'!G$3:G$62),0)</f>
        <v>2.7087773916591906E-2</v>
      </c>
    </row>
    <row r="35" spans="1:7" x14ac:dyDescent="0.2">
      <c r="A35" s="142" t="s">
        <v>270</v>
      </c>
      <c r="B35" s="73">
        <f>IFERROR('Alloy_compnt_G&amp;L'!B35/SUM('Alloy_compnt_G&amp;L'!B$3:B$62),0)</f>
        <v>0</v>
      </c>
      <c r="C35" s="73">
        <f>IFERROR('Alloy_compnt_G&amp;L'!C35/SUM('Alloy_compnt_G&amp;L'!C$3:C$62),0)</f>
        <v>0</v>
      </c>
      <c r="D35" s="73">
        <f>IFERROR('Alloy_compnt_G&amp;L'!D35/SUM('Alloy_compnt_G&amp;L'!D$3:D$62),0)</f>
        <v>0</v>
      </c>
      <c r="E35" s="73">
        <f>IFERROR('Alloy_compnt_G&amp;L'!E35/SUM('Alloy_compnt_G&amp;L'!E$3:E$62),0)</f>
        <v>0</v>
      </c>
      <c r="F35" s="73">
        <f>IFERROR('Alloy_compnt_G&amp;L'!F35/SUM('Alloy_compnt_G&amp;L'!F$3:F$62),0)</f>
        <v>0</v>
      </c>
      <c r="G35" s="73">
        <f>IFERROR('Alloy_compnt_G&amp;L'!G35/SUM('Alloy_compnt_G&amp;L'!G$3:G$62),0)</f>
        <v>0</v>
      </c>
    </row>
    <row r="36" spans="1:7" x14ac:dyDescent="0.2">
      <c r="A36" s="142" t="s">
        <v>271</v>
      </c>
      <c r="B36" s="73">
        <f>IFERROR('Alloy_compnt_G&amp;L'!B36/SUM('Alloy_compnt_G&amp;L'!B$3:B$62),0)</f>
        <v>0</v>
      </c>
      <c r="C36" s="73">
        <f>IFERROR('Alloy_compnt_G&amp;L'!C36/SUM('Alloy_compnt_G&amp;L'!C$3:C$62),0)</f>
        <v>0</v>
      </c>
      <c r="D36" s="73">
        <f>IFERROR('Alloy_compnt_G&amp;L'!D36/SUM('Alloy_compnt_G&amp;L'!D$3:D$62),0)</f>
        <v>0</v>
      </c>
      <c r="E36" s="73">
        <f>IFERROR('Alloy_compnt_G&amp;L'!E36/SUM('Alloy_compnt_G&amp;L'!E$3:E$62),0)</f>
        <v>0</v>
      </c>
      <c r="F36" s="73">
        <f>IFERROR('Alloy_compnt_G&amp;L'!F36/SUM('Alloy_compnt_G&amp;L'!F$3:F$62),0)</f>
        <v>0</v>
      </c>
      <c r="G36" s="73">
        <f>IFERROR('Alloy_compnt_G&amp;L'!G36/SUM('Alloy_compnt_G&amp;L'!G$3:G$62),0)</f>
        <v>0</v>
      </c>
    </row>
    <row r="37" spans="1:7" x14ac:dyDescent="0.2">
      <c r="A37" s="142" t="s">
        <v>272</v>
      </c>
      <c r="B37" s="73">
        <f>IFERROR('Alloy_compnt_G&amp;L'!B37/SUM('Alloy_compnt_G&amp;L'!B$3:B$62),0)</f>
        <v>0</v>
      </c>
      <c r="C37" s="73">
        <f>IFERROR('Alloy_compnt_G&amp;L'!C37/SUM('Alloy_compnt_G&amp;L'!C$3:C$62),0)</f>
        <v>0</v>
      </c>
      <c r="D37" s="73">
        <f>IFERROR('Alloy_compnt_G&amp;L'!D37/SUM('Alloy_compnt_G&amp;L'!D$3:D$62),0)</f>
        <v>0</v>
      </c>
      <c r="E37" s="73">
        <f>IFERROR('Alloy_compnt_G&amp;L'!E37/SUM('Alloy_compnt_G&amp;L'!E$3:E$62),0)</f>
        <v>0</v>
      </c>
      <c r="F37" s="73">
        <f>IFERROR('Alloy_compnt_G&amp;L'!F37/SUM('Alloy_compnt_G&amp;L'!F$3:F$62),0)</f>
        <v>0</v>
      </c>
      <c r="G37" s="73">
        <f>IFERROR('Alloy_compnt_G&amp;L'!G37/SUM('Alloy_compnt_G&amp;L'!G$3:G$62),0)</f>
        <v>0</v>
      </c>
    </row>
    <row r="38" spans="1:7" x14ac:dyDescent="0.2">
      <c r="A38" s="142" t="s">
        <v>273</v>
      </c>
      <c r="B38" s="73">
        <f>IFERROR('Alloy_compnt_G&amp;L'!B38/SUM('Alloy_compnt_G&amp;L'!B$3:B$62),0)</f>
        <v>0</v>
      </c>
      <c r="C38" s="73">
        <f>IFERROR('Alloy_compnt_G&amp;L'!C38/SUM('Alloy_compnt_G&amp;L'!C$3:C$62),0)</f>
        <v>0</v>
      </c>
      <c r="D38" s="73">
        <f>IFERROR('Alloy_compnt_G&amp;L'!D38/SUM('Alloy_compnt_G&amp;L'!D$3:D$62),0)</f>
        <v>0</v>
      </c>
      <c r="E38" s="73">
        <f>IFERROR('Alloy_compnt_G&amp;L'!E38/SUM('Alloy_compnt_G&amp;L'!E$3:E$62),0)</f>
        <v>0</v>
      </c>
      <c r="F38" s="73">
        <f>IFERROR('Alloy_compnt_G&amp;L'!F38/SUM('Alloy_compnt_G&amp;L'!F$3:F$62),0)</f>
        <v>0</v>
      </c>
      <c r="G38" s="73">
        <f>IFERROR('Alloy_compnt_G&amp;L'!G38/SUM('Alloy_compnt_G&amp;L'!G$3:G$62),0)</f>
        <v>0</v>
      </c>
    </row>
    <row r="39" spans="1:7" x14ac:dyDescent="0.2">
      <c r="A39" s="142" t="s">
        <v>274</v>
      </c>
      <c r="B39" s="73">
        <f>IFERROR('Alloy_compnt_G&amp;L'!B39/SUM('Alloy_compnt_G&amp;L'!B$3:B$62),0)</f>
        <v>0</v>
      </c>
      <c r="C39" s="73">
        <f>IFERROR('Alloy_compnt_G&amp;L'!C39/SUM('Alloy_compnt_G&amp;L'!C$3:C$62),0)</f>
        <v>0</v>
      </c>
      <c r="D39" s="73">
        <f>IFERROR('Alloy_compnt_G&amp;L'!D39/SUM('Alloy_compnt_G&amp;L'!D$3:D$62),0)</f>
        <v>0</v>
      </c>
      <c r="E39" s="73">
        <f>IFERROR('Alloy_compnt_G&amp;L'!E39/SUM('Alloy_compnt_G&amp;L'!E$3:E$62),0)</f>
        <v>0</v>
      </c>
      <c r="F39" s="73">
        <f>IFERROR('Alloy_compnt_G&amp;L'!F39/SUM('Alloy_compnt_G&amp;L'!F$3:F$62),0)</f>
        <v>0</v>
      </c>
      <c r="G39" s="73">
        <f>IFERROR('Alloy_compnt_G&amp;L'!G39/SUM('Alloy_compnt_G&amp;L'!G$3:G$62),0)</f>
        <v>0</v>
      </c>
    </row>
    <row r="40" spans="1:7" x14ac:dyDescent="0.2">
      <c r="A40" s="142" t="s">
        <v>275</v>
      </c>
      <c r="B40" s="73">
        <f>IFERROR('Alloy_compnt_G&amp;L'!B40/SUM('Alloy_compnt_G&amp;L'!B$3:B$62),0)</f>
        <v>0</v>
      </c>
      <c r="C40" s="73">
        <f>IFERROR('Alloy_compnt_G&amp;L'!C40/SUM('Alloy_compnt_G&amp;L'!C$3:C$62),0)</f>
        <v>0</v>
      </c>
      <c r="D40" s="73">
        <f>IFERROR('Alloy_compnt_G&amp;L'!D40/SUM('Alloy_compnt_G&amp;L'!D$3:D$62),0)</f>
        <v>0</v>
      </c>
      <c r="E40" s="73">
        <f>IFERROR('Alloy_compnt_G&amp;L'!E40/SUM('Alloy_compnt_G&amp;L'!E$3:E$62),0)</f>
        <v>0</v>
      </c>
      <c r="F40" s="73">
        <f>IFERROR('Alloy_compnt_G&amp;L'!F40/SUM('Alloy_compnt_G&amp;L'!F$3:F$62),0)</f>
        <v>0</v>
      </c>
      <c r="G40" s="73">
        <f>IFERROR('Alloy_compnt_G&amp;L'!G40/SUM('Alloy_compnt_G&amp;L'!G$3:G$62),0)</f>
        <v>0</v>
      </c>
    </row>
    <row r="41" spans="1:7" x14ac:dyDescent="0.2">
      <c r="A41" s="142" t="s">
        <v>276</v>
      </c>
      <c r="B41" s="73">
        <f>IFERROR('Alloy_compnt_G&amp;L'!B41/SUM('Alloy_compnt_G&amp;L'!B$3:B$62),0)</f>
        <v>1.830661774172782E-4</v>
      </c>
      <c r="C41" s="73">
        <f>IFERROR('Alloy_compnt_G&amp;L'!C41/SUM('Alloy_compnt_G&amp;L'!C$3:C$62),0)</f>
        <v>1.4739110666792427E-2</v>
      </c>
      <c r="D41" s="73">
        <f>IFERROR('Alloy_compnt_G&amp;L'!D41/SUM('Alloy_compnt_G&amp;L'!D$3:D$62),0)</f>
        <v>1.8306617741727825E-4</v>
      </c>
      <c r="E41" s="73">
        <f>IFERROR('Alloy_compnt_G&amp;L'!E41/SUM('Alloy_compnt_G&amp;L'!E$3:E$62),0)</f>
        <v>1.4933550355206261E-2</v>
      </c>
      <c r="F41" s="73">
        <f>IFERROR('Alloy_compnt_G&amp;L'!F41/SUM('Alloy_compnt_G&amp;L'!F$3:F$62),0)</f>
        <v>1.830661774172782E-4</v>
      </c>
      <c r="G41" s="73">
        <f>IFERROR('Alloy_compnt_G&amp;L'!G41/SUM('Alloy_compnt_G&amp;L'!G$3:G$62),0)</f>
        <v>1.5048763286995505E-2</v>
      </c>
    </row>
    <row r="42" spans="1:7" x14ac:dyDescent="0.2">
      <c r="A42" s="144" t="s">
        <v>277</v>
      </c>
      <c r="B42" s="73">
        <f>IFERROR('Alloy_compnt_G&amp;L'!B42/SUM('Alloy_compnt_G&amp;L'!B$3:B$62),0)</f>
        <v>0</v>
      </c>
      <c r="C42" s="73">
        <f>IFERROR('Alloy_compnt_G&amp;L'!C42/SUM('Alloy_compnt_G&amp;L'!C$3:C$62),0)</f>
        <v>0</v>
      </c>
      <c r="D42" s="73">
        <f>IFERROR('Alloy_compnt_G&amp;L'!D42/SUM('Alloy_compnt_G&amp;L'!D$3:D$62),0)</f>
        <v>0</v>
      </c>
      <c r="E42" s="73">
        <f>IFERROR('Alloy_compnt_G&amp;L'!E42/SUM('Alloy_compnt_G&amp;L'!E$3:E$62),0)</f>
        <v>0</v>
      </c>
      <c r="F42" s="73">
        <f>IFERROR('Alloy_compnt_G&amp;L'!F42/SUM('Alloy_compnt_G&amp;L'!F$3:F$62),0)</f>
        <v>0</v>
      </c>
      <c r="G42" s="73">
        <f>IFERROR('Alloy_compnt_G&amp;L'!G42/SUM('Alloy_compnt_G&amp;L'!G$3:G$62),0)</f>
        <v>0</v>
      </c>
    </row>
    <row r="43" spans="1:7" x14ac:dyDescent="0.2">
      <c r="A43" s="148" t="s">
        <v>278</v>
      </c>
      <c r="B43" s="73">
        <f>IFERROR('Alloy_compnt_G&amp;L'!B43/SUM('Alloy_compnt_G&amp;L'!B$3:B$62),0)</f>
        <v>0</v>
      </c>
      <c r="C43" s="73">
        <f>IFERROR('Alloy_compnt_G&amp;L'!C43/SUM('Alloy_compnt_G&amp;L'!C$3:C$62),0)</f>
        <v>0</v>
      </c>
      <c r="D43" s="73">
        <f>IFERROR('Alloy_compnt_G&amp;L'!D43/SUM('Alloy_compnt_G&amp;L'!D$3:D$62),0)</f>
        <v>0</v>
      </c>
      <c r="E43" s="73">
        <f>IFERROR('Alloy_compnt_G&amp;L'!E43/SUM('Alloy_compnt_G&amp;L'!E$3:E$62),0)</f>
        <v>0</v>
      </c>
      <c r="F43" s="73">
        <f>IFERROR('Alloy_compnt_G&amp;L'!F43/SUM('Alloy_compnt_G&amp;L'!F$3:F$62),0)</f>
        <v>0</v>
      </c>
      <c r="G43" s="73">
        <f>IFERROR('Alloy_compnt_G&amp;L'!G43/SUM('Alloy_compnt_G&amp;L'!G$3:G$62),0)</f>
        <v>0</v>
      </c>
    </row>
    <row r="44" spans="1:7" x14ac:dyDescent="0.2">
      <c r="A44" s="148" t="s">
        <v>279</v>
      </c>
      <c r="B44" s="73">
        <f>IFERROR('Alloy_compnt_G&amp;L'!B44/SUM('Alloy_compnt_G&amp;L'!B$3:B$62),0)</f>
        <v>0</v>
      </c>
      <c r="C44" s="73">
        <f>IFERROR('Alloy_compnt_G&amp;L'!C44/SUM('Alloy_compnt_G&amp;L'!C$3:C$62),0)</f>
        <v>0</v>
      </c>
      <c r="D44" s="73">
        <f>IFERROR('Alloy_compnt_G&amp;L'!D44/SUM('Alloy_compnt_G&amp;L'!D$3:D$62),0)</f>
        <v>0</v>
      </c>
      <c r="E44" s="73">
        <f>IFERROR('Alloy_compnt_G&amp;L'!E44/SUM('Alloy_compnt_G&amp;L'!E$3:E$62),0)</f>
        <v>0</v>
      </c>
      <c r="F44" s="73">
        <f>IFERROR('Alloy_compnt_G&amp;L'!F44/SUM('Alloy_compnt_G&amp;L'!F$3:F$62),0)</f>
        <v>0</v>
      </c>
      <c r="G44" s="73">
        <f>IFERROR('Alloy_compnt_G&amp;L'!G44/SUM('Alloy_compnt_G&amp;L'!G$3:G$62),0)</f>
        <v>0</v>
      </c>
    </row>
    <row r="45" spans="1:7" x14ac:dyDescent="0.2">
      <c r="A45" s="148" t="s">
        <v>280</v>
      </c>
      <c r="B45" s="73">
        <f>IFERROR('Alloy_compnt_G&amp;L'!B45/SUM('Alloy_compnt_G&amp;L'!B$3:B$62),0)</f>
        <v>0</v>
      </c>
      <c r="C45" s="73">
        <f>IFERROR('Alloy_compnt_G&amp;L'!C45/SUM('Alloy_compnt_G&amp;L'!C$3:C$62),0)</f>
        <v>0</v>
      </c>
      <c r="D45" s="73">
        <f>IFERROR('Alloy_compnt_G&amp;L'!D45/SUM('Alloy_compnt_G&amp;L'!D$3:D$62),0)</f>
        <v>0</v>
      </c>
      <c r="E45" s="73">
        <f>IFERROR('Alloy_compnt_G&amp;L'!E45/SUM('Alloy_compnt_G&amp;L'!E$3:E$62),0)</f>
        <v>0</v>
      </c>
      <c r="F45" s="73">
        <f>IFERROR('Alloy_compnt_G&amp;L'!F45/SUM('Alloy_compnt_G&amp;L'!F$3:F$62),0)</f>
        <v>0</v>
      </c>
      <c r="G45" s="73">
        <f>IFERROR('Alloy_compnt_G&amp;L'!G45/SUM('Alloy_compnt_G&amp;L'!G$3:G$62),0)</f>
        <v>0</v>
      </c>
    </row>
    <row r="46" spans="1:7" x14ac:dyDescent="0.2">
      <c r="A46" s="148" t="s">
        <v>281</v>
      </c>
      <c r="B46" s="73">
        <f>IFERROR('Alloy_compnt_G&amp;L'!B46/SUM('Alloy_compnt_G&amp;L'!B$3:B$62),0)</f>
        <v>0</v>
      </c>
      <c r="C46" s="73">
        <f>IFERROR('Alloy_compnt_G&amp;L'!C46/SUM('Alloy_compnt_G&amp;L'!C$3:C$62),0)</f>
        <v>0</v>
      </c>
      <c r="D46" s="73">
        <f>IFERROR('Alloy_compnt_G&amp;L'!D46/SUM('Alloy_compnt_G&amp;L'!D$3:D$62),0)</f>
        <v>0</v>
      </c>
      <c r="E46" s="73">
        <f>IFERROR('Alloy_compnt_G&amp;L'!E46/SUM('Alloy_compnt_G&amp;L'!E$3:E$62),0)</f>
        <v>0</v>
      </c>
      <c r="F46" s="73">
        <f>IFERROR('Alloy_compnt_G&amp;L'!F46/SUM('Alloy_compnt_G&amp;L'!F$3:F$62),0)</f>
        <v>0</v>
      </c>
      <c r="G46" s="73">
        <f>IFERROR('Alloy_compnt_G&amp;L'!G46/SUM('Alloy_compnt_G&amp;L'!G$3:G$62),0)</f>
        <v>0</v>
      </c>
    </row>
    <row r="47" spans="1:7" x14ac:dyDescent="0.2">
      <c r="A47" s="148" t="s">
        <v>282</v>
      </c>
      <c r="B47" s="73">
        <f>IFERROR('Alloy_compnt_G&amp;L'!B47/SUM('Alloy_compnt_G&amp;L'!B$3:B$62),0)</f>
        <v>0</v>
      </c>
      <c r="C47" s="73">
        <f>IFERROR('Alloy_compnt_G&amp;L'!C47/SUM('Alloy_compnt_G&amp;L'!C$3:C$62),0)</f>
        <v>0</v>
      </c>
      <c r="D47" s="73">
        <f>IFERROR('Alloy_compnt_G&amp;L'!D47/SUM('Alloy_compnt_G&amp;L'!D$3:D$62),0)</f>
        <v>0</v>
      </c>
      <c r="E47" s="73">
        <f>IFERROR('Alloy_compnt_G&amp;L'!E47/SUM('Alloy_compnt_G&amp;L'!E$3:E$62),0)</f>
        <v>0</v>
      </c>
      <c r="F47" s="73">
        <f>IFERROR('Alloy_compnt_G&amp;L'!F47/SUM('Alloy_compnt_G&amp;L'!F$3:F$62),0)</f>
        <v>0</v>
      </c>
      <c r="G47" s="73">
        <f>IFERROR('Alloy_compnt_G&amp;L'!G47/SUM('Alloy_compnt_G&amp;L'!G$3:G$62),0)</f>
        <v>0</v>
      </c>
    </row>
    <row r="48" spans="1:7" x14ac:dyDescent="0.2">
      <c r="A48" s="148" t="s">
        <v>283</v>
      </c>
      <c r="B48" s="73">
        <f>IFERROR('Alloy_compnt_G&amp;L'!B48/SUM('Alloy_compnt_G&amp;L'!B$3:B$62),0)</f>
        <v>0</v>
      </c>
      <c r="C48" s="73">
        <f>IFERROR('Alloy_compnt_G&amp;L'!C48/SUM('Alloy_compnt_G&amp;L'!C$3:C$62),0)</f>
        <v>0</v>
      </c>
      <c r="D48" s="73">
        <f>IFERROR('Alloy_compnt_G&amp;L'!D48/SUM('Alloy_compnt_G&amp;L'!D$3:D$62),0)</f>
        <v>0</v>
      </c>
      <c r="E48" s="73">
        <f>IFERROR('Alloy_compnt_G&amp;L'!E48/SUM('Alloy_compnt_G&amp;L'!E$3:E$62),0)</f>
        <v>0</v>
      </c>
      <c r="F48" s="73">
        <f>IFERROR('Alloy_compnt_G&amp;L'!F48/SUM('Alloy_compnt_G&amp;L'!F$3:F$62),0)</f>
        <v>0</v>
      </c>
      <c r="G48" s="73">
        <f>IFERROR('Alloy_compnt_G&amp;L'!G48/SUM('Alloy_compnt_G&amp;L'!G$3:G$62),0)</f>
        <v>0</v>
      </c>
    </row>
    <row r="49" spans="1:7" x14ac:dyDescent="0.2">
      <c r="A49" s="148" t="s">
        <v>284</v>
      </c>
      <c r="B49" s="73">
        <f>IFERROR('Alloy_compnt_G&amp;L'!B49/SUM('Alloy_compnt_G&amp;L'!B$3:B$62),0)</f>
        <v>0</v>
      </c>
      <c r="C49" s="73">
        <f>IFERROR('Alloy_compnt_G&amp;L'!C49/SUM('Alloy_compnt_G&amp;L'!C$3:C$62),0)</f>
        <v>0</v>
      </c>
      <c r="D49" s="73">
        <f>IFERROR('Alloy_compnt_G&amp;L'!D49/SUM('Alloy_compnt_G&amp;L'!D$3:D$62),0)</f>
        <v>0</v>
      </c>
      <c r="E49" s="73">
        <f>IFERROR('Alloy_compnt_G&amp;L'!E49/SUM('Alloy_compnt_G&amp;L'!E$3:E$62),0)</f>
        <v>0</v>
      </c>
      <c r="F49" s="73">
        <f>IFERROR('Alloy_compnt_G&amp;L'!F49/SUM('Alloy_compnt_G&amp;L'!F$3:F$62),0)</f>
        <v>0</v>
      </c>
      <c r="G49" s="73">
        <f>IFERROR('Alloy_compnt_G&amp;L'!G49/SUM('Alloy_compnt_G&amp;L'!G$3:G$62),0)</f>
        <v>0</v>
      </c>
    </row>
    <row r="50" spans="1:7" x14ac:dyDescent="0.2">
      <c r="A50" s="148" t="s">
        <v>285</v>
      </c>
      <c r="B50" s="73">
        <f>IFERROR('Alloy_compnt_G&amp;L'!B50/SUM('Alloy_compnt_G&amp;L'!B$3:B$62),0)</f>
        <v>0</v>
      </c>
      <c r="C50" s="73">
        <f>IFERROR('Alloy_compnt_G&amp;L'!C50/SUM('Alloy_compnt_G&amp;L'!C$3:C$62),0)</f>
        <v>0</v>
      </c>
      <c r="D50" s="73">
        <f>IFERROR('Alloy_compnt_G&amp;L'!D50/SUM('Alloy_compnt_G&amp;L'!D$3:D$62),0)</f>
        <v>0</v>
      </c>
      <c r="E50" s="73">
        <f>IFERROR('Alloy_compnt_G&amp;L'!E50/SUM('Alloy_compnt_G&amp;L'!E$3:E$62),0)</f>
        <v>0</v>
      </c>
      <c r="F50" s="73">
        <f>IFERROR('Alloy_compnt_G&amp;L'!F50/SUM('Alloy_compnt_G&amp;L'!F$3:F$62),0)</f>
        <v>0</v>
      </c>
      <c r="G50" s="73">
        <f>IFERROR('Alloy_compnt_G&amp;L'!G50/SUM('Alloy_compnt_G&amp;L'!G$3:G$62),0)</f>
        <v>0</v>
      </c>
    </row>
    <row r="51" spans="1:7" x14ac:dyDescent="0.2">
      <c r="A51" s="147" t="s">
        <v>286</v>
      </c>
      <c r="B51" s="73">
        <f>IFERROR('Alloy_compnt_G&amp;L'!B51/SUM('Alloy_compnt_G&amp;L'!B$3:B$62),0)</f>
        <v>8.8209733487833123E-3</v>
      </c>
      <c r="C51" s="73">
        <f>IFERROR('Alloy_compnt_G&amp;L'!C51/SUM('Alloy_compnt_G&amp;L'!C$3:C$62),0)</f>
        <v>0.71019837859067492</v>
      </c>
      <c r="D51" s="73">
        <f>IFERROR('Alloy_compnt_G&amp;L'!D51/SUM('Alloy_compnt_G&amp;L'!D$3:D$62),0)</f>
        <v>8.820973348783314E-3</v>
      </c>
      <c r="E51" s="73">
        <f>IFERROR('Alloy_compnt_G&amp;L'!E51/SUM('Alloy_compnt_G&amp;L'!E$3:E$62),0)</f>
        <v>0.71956738019240019</v>
      </c>
      <c r="F51" s="73">
        <f>IFERROR('Alloy_compnt_G&amp;L'!F51/SUM('Alloy_compnt_G&amp;L'!F$3:F$62),0)</f>
        <v>8.8209733487833106E-3</v>
      </c>
      <c r="G51" s="73">
        <f>IFERROR('Alloy_compnt_G&amp;L'!G51/SUM('Alloy_compnt_G&amp;L'!G$3:G$62),0)</f>
        <v>0.72511887099799865</v>
      </c>
    </row>
    <row r="52" spans="1:7" x14ac:dyDescent="0.2">
      <c r="A52" s="142" t="s">
        <v>287</v>
      </c>
      <c r="B52" s="73">
        <f>IFERROR('Alloy_compnt_G&amp;L'!B52/SUM('Alloy_compnt_G&amp;L'!B$3:B$62),0)</f>
        <v>0</v>
      </c>
      <c r="C52" s="73">
        <f>IFERROR('Alloy_compnt_G&amp;L'!C52/SUM('Alloy_compnt_G&amp;L'!C$3:C$62),0)</f>
        <v>0</v>
      </c>
      <c r="D52" s="73">
        <f>IFERROR('Alloy_compnt_G&amp;L'!D52/SUM('Alloy_compnt_G&amp;L'!D$3:D$62),0)</f>
        <v>0</v>
      </c>
      <c r="E52" s="73">
        <f>IFERROR('Alloy_compnt_G&amp;L'!E52/SUM('Alloy_compnt_G&amp;L'!E$3:E$62),0)</f>
        <v>0</v>
      </c>
      <c r="F52" s="73">
        <f>IFERROR('Alloy_compnt_G&amp;L'!F52/SUM('Alloy_compnt_G&amp;L'!F$3:F$62),0)</f>
        <v>0</v>
      </c>
      <c r="G52" s="73">
        <f>IFERROR('Alloy_compnt_G&amp;L'!G52/SUM('Alloy_compnt_G&amp;L'!G$3:G$62),0)</f>
        <v>0</v>
      </c>
    </row>
    <row r="53" spans="1:7" x14ac:dyDescent="0.2">
      <c r="A53" s="142" t="s">
        <v>288</v>
      </c>
      <c r="B53" s="73">
        <f>IFERROR('Alloy_compnt_G&amp;L'!B53/SUM('Alloy_compnt_G&amp;L'!B$3:B$62),0)</f>
        <v>0</v>
      </c>
      <c r="C53" s="73">
        <f>IFERROR('Alloy_compnt_G&amp;L'!C53/SUM('Alloy_compnt_G&amp;L'!C$3:C$62),0)</f>
        <v>0</v>
      </c>
      <c r="D53" s="73">
        <f>IFERROR('Alloy_compnt_G&amp;L'!D53/SUM('Alloy_compnt_G&amp;L'!D$3:D$62),0)</f>
        <v>0</v>
      </c>
      <c r="E53" s="73">
        <f>IFERROR('Alloy_compnt_G&amp;L'!E53/SUM('Alloy_compnt_G&amp;L'!E$3:E$62),0)</f>
        <v>0</v>
      </c>
      <c r="F53" s="73">
        <f>IFERROR('Alloy_compnt_G&amp;L'!F53/SUM('Alloy_compnt_G&amp;L'!F$3:F$62),0)</f>
        <v>0</v>
      </c>
      <c r="G53" s="73">
        <f>IFERROR('Alloy_compnt_G&amp;L'!G53/SUM('Alloy_compnt_G&amp;L'!G$3:G$62),0)</f>
        <v>0</v>
      </c>
    </row>
    <row r="54" spans="1:7" x14ac:dyDescent="0.2">
      <c r="A54" s="142" t="s">
        <v>289</v>
      </c>
      <c r="B54" s="73">
        <f>IFERROR('Alloy_compnt_G&amp;L'!B54/SUM('Alloy_compnt_G&amp;L'!B$3:B$62),0)</f>
        <v>0</v>
      </c>
      <c r="C54" s="73">
        <f>IFERROR('Alloy_compnt_G&amp;L'!C54/SUM('Alloy_compnt_G&amp;L'!C$3:C$62),0)</f>
        <v>0</v>
      </c>
      <c r="D54" s="73">
        <f>IFERROR('Alloy_compnt_G&amp;L'!D54/SUM('Alloy_compnt_G&amp;L'!D$3:D$62),0)</f>
        <v>0</v>
      </c>
      <c r="E54" s="73">
        <f>IFERROR('Alloy_compnt_G&amp;L'!E54/SUM('Alloy_compnt_G&amp;L'!E$3:E$62),0)</f>
        <v>0</v>
      </c>
      <c r="F54" s="73">
        <f>IFERROR('Alloy_compnt_G&amp;L'!F54/SUM('Alloy_compnt_G&amp;L'!F$3:F$62),0)</f>
        <v>0</v>
      </c>
      <c r="G54" s="73">
        <f>IFERROR('Alloy_compnt_G&amp;L'!G54/SUM('Alloy_compnt_G&amp;L'!G$3:G$62),0)</f>
        <v>0</v>
      </c>
    </row>
    <row r="55" spans="1:7" x14ac:dyDescent="0.2">
      <c r="A55" s="142" t="s">
        <v>290</v>
      </c>
      <c r="B55" s="73">
        <f>IFERROR('Alloy_compnt_G&amp;L'!B55/SUM('Alloy_compnt_G&amp;L'!B$3:B$62),0)</f>
        <v>0</v>
      </c>
      <c r="C55" s="73">
        <f>IFERROR('Alloy_compnt_G&amp;L'!C55/SUM('Alloy_compnt_G&amp;L'!C$3:C$62),0)</f>
        <v>0</v>
      </c>
      <c r="D55" s="73">
        <f>IFERROR('Alloy_compnt_G&amp;L'!D55/SUM('Alloy_compnt_G&amp;L'!D$3:D$62),0)</f>
        <v>0</v>
      </c>
      <c r="E55" s="73">
        <f>IFERROR('Alloy_compnt_G&amp;L'!E55/SUM('Alloy_compnt_G&amp;L'!E$3:E$62),0)</f>
        <v>0</v>
      </c>
      <c r="F55" s="73">
        <f>IFERROR('Alloy_compnt_G&amp;L'!F55/SUM('Alloy_compnt_G&amp;L'!F$3:F$62),0)</f>
        <v>0</v>
      </c>
      <c r="G55" s="73">
        <f>IFERROR('Alloy_compnt_G&amp;L'!G55/SUM('Alloy_compnt_G&amp;L'!G$3:G$62),0)</f>
        <v>0</v>
      </c>
    </row>
    <row r="56" spans="1:7" x14ac:dyDescent="0.2">
      <c r="A56" s="142" t="s">
        <v>291</v>
      </c>
      <c r="B56" s="73">
        <f>IFERROR('Alloy_compnt_G&amp;L'!B56/SUM('Alloy_compnt_G&amp;L'!B$3:B$62),0)</f>
        <v>0</v>
      </c>
      <c r="C56" s="73">
        <f>IFERROR('Alloy_compnt_G&amp;L'!C56/SUM('Alloy_compnt_G&amp;L'!C$3:C$62),0)</f>
        <v>0</v>
      </c>
      <c r="D56" s="73">
        <f>IFERROR('Alloy_compnt_G&amp;L'!D56/SUM('Alloy_compnt_G&amp;L'!D$3:D$62),0)</f>
        <v>0</v>
      </c>
      <c r="E56" s="73">
        <f>IFERROR('Alloy_compnt_G&amp;L'!E56/SUM('Alloy_compnt_G&amp;L'!E$3:E$62),0)</f>
        <v>0</v>
      </c>
      <c r="F56" s="73">
        <f>IFERROR('Alloy_compnt_G&amp;L'!F56/SUM('Alloy_compnt_G&amp;L'!F$3:F$62),0)</f>
        <v>0</v>
      </c>
      <c r="G56" s="73">
        <f>IFERROR('Alloy_compnt_G&amp;L'!G56/SUM('Alloy_compnt_G&amp;L'!G$3:G$62),0)</f>
        <v>0</v>
      </c>
    </row>
    <row r="57" spans="1:7" x14ac:dyDescent="0.2">
      <c r="A57" s="142" t="s">
        <v>292</v>
      </c>
      <c r="B57" s="73">
        <f>IFERROR('Alloy_compnt_G&amp;L'!B57/SUM('Alloy_compnt_G&amp;L'!B$3:B$62),0)</f>
        <v>0</v>
      </c>
      <c r="C57" s="73">
        <f>IFERROR('Alloy_compnt_G&amp;L'!C57/SUM('Alloy_compnt_G&amp;L'!C$3:C$62),0)</f>
        <v>0</v>
      </c>
      <c r="D57" s="73">
        <f>IFERROR('Alloy_compnt_G&amp;L'!D57/SUM('Alloy_compnt_G&amp;L'!D$3:D$62),0)</f>
        <v>0</v>
      </c>
      <c r="E57" s="73">
        <f>IFERROR('Alloy_compnt_G&amp;L'!E57/SUM('Alloy_compnt_G&amp;L'!E$3:E$62),0)</f>
        <v>0</v>
      </c>
      <c r="F57" s="73">
        <f>IFERROR('Alloy_compnt_G&amp;L'!F57/SUM('Alloy_compnt_G&amp;L'!F$3:F$62),0)</f>
        <v>0</v>
      </c>
      <c r="G57" s="73">
        <f>IFERROR('Alloy_compnt_G&amp;L'!G57/SUM('Alloy_compnt_G&amp;L'!G$3:G$62),0)</f>
        <v>0</v>
      </c>
    </row>
    <row r="58" spans="1:7" x14ac:dyDescent="0.2">
      <c r="A58" s="142" t="s">
        <v>293</v>
      </c>
      <c r="B58" s="73">
        <f>IFERROR('Alloy_compnt_G&amp;L'!B58/SUM('Alloy_compnt_G&amp;L'!B$3:B$62),0)</f>
        <v>0</v>
      </c>
      <c r="C58" s="73">
        <f>IFERROR('Alloy_compnt_G&amp;L'!C58/SUM('Alloy_compnt_G&amp;L'!C$3:C$62),0)</f>
        <v>0</v>
      </c>
      <c r="D58" s="73">
        <f>IFERROR('Alloy_compnt_G&amp;L'!D58/SUM('Alloy_compnt_G&amp;L'!D$3:D$62),0)</f>
        <v>0</v>
      </c>
      <c r="E58" s="73">
        <f>IFERROR('Alloy_compnt_G&amp;L'!E58/SUM('Alloy_compnt_G&amp;L'!E$3:E$62),0)</f>
        <v>0</v>
      </c>
      <c r="F58" s="73">
        <f>IFERROR('Alloy_compnt_G&amp;L'!F58/SUM('Alloy_compnt_G&amp;L'!F$3:F$62),0)</f>
        <v>0</v>
      </c>
      <c r="G58" s="73">
        <f>IFERROR('Alloy_compnt_G&amp;L'!G58/SUM('Alloy_compnt_G&amp;L'!G$3:G$62),0)</f>
        <v>0</v>
      </c>
    </row>
    <row r="59" spans="1:7" x14ac:dyDescent="0.2">
      <c r="A59" s="142" t="s">
        <v>294</v>
      </c>
      <c r="B59" s="73">
        <f>IFERROR('Alloy_compnt_G&amp;L'!B59/SUM('Alloy_compnt_G&amp;L'!B$3:B$62),0)</f>
        <v>0</v>
      </c>
      <c r="C59" s="73">
        <f>IFERROR('Alloy_compnt_G&amp;L'!C59/SUM('Alloy_compnt_G&amp;L'!C$3:C$62),0)</f>
        <v>0</v>
      </c>
      <c r="D59" s="73">
        <f>IFERROR('Alloy_compnt_G&amp;L'!D59/SUM('Alloy_compnt_G&amp;L'!D$3:D$62),0)</f>
        <v>0</v>
      </c>
      <c r="E59" s="73">
        <f>IFERROR('Alloy_compnt_G&amp;L'!E59/SUM('Alloy_compnt_G&amp;L'!E$3:E$62),0)</f>
        <v>0</v>
      </c>
      <c r="F59" s="73">
        <f>IFERROR('Alloy_compnt_G&amp;L'!F59/SUM('Alloy_compnt_G&amp;L'!F$3:F$62),0)</f>
        <v>0</v>
      </c>
      <c r="G59" s="73">
        <f>IFERROR('Alloy_compnt_G&amp;L'!G59/SUM('Alloy_compnt_G&amp;L'!G$3:G$62),0)</f>
        <v>0</v>
      </c>
    </row>
    <row r="60" spans="1:7" x14ac:dyDescent="0.2">
      <c r="A60" s="144" t="s">
        <v>295</v>
      </c>
      <c r="B60" s="73">
        <f>IFERROR('Alloy_compnt_G&amp;L'!B60/SUM('Alloy_compnt_G&amp;L'!B$3:B$62),0)</f>
        <v>0</v>
      </c>
      <c r="C60" s="73">
        <f>IFERROR('Alloy_compnt_G&amp;L'!C60/SUM('Alloy_compnt_G&amp;L'!C$3:C$62),0)</f>
        <v>0</v>
      </c>
      <c r="D60" s="73">
        <f>IFERROR('Alloy_compnt_G&amp;L'!D60/SUM('Alloy_compnt_G&amp;L'!D$3:D$62),0)</f>
        <v>0</v>
      </c>
      <c r="E60" s="73">
        <f>IFERROR('Alloy_compnt_G&amp;L'!E60/SUM('Alloy_compnt_G&amp;L'!E$3:E$62),0)</f>
        <v>0</v>
      </c>
      <c r="F60" s="73">
        <f>IFERROR('Alloy_compnt_G&amp;L'!F60/SUM('Alloy_compnt_G&amp;L'!F$3:F$62),0)</f>
        <v>0</v>
      </c>
      <c r="G60" s="73">
        <f>IFERROR('Alloy_compnt_G&amp;L'!G60/SUM('Alloy_compnt_G&amp;L'!G$3:G$62),0)</f>
        <v>0</v>
      </c>
    </row>
    <row r="61" spans="1:7" x14ac:dyDescent="0.2">
      <c r="A61" s="142" t="s">
        <v>206</v>
      </c>
      <c r="B61" s="73">
        <f>IFERROR('Alloy_compnt_G&amp;L'!B61/SUM('Alloy_compnt_G&amp;L'!B$3:B$62),0)</f>
        <v>5.7937427578215526E-4</v>
      </c>
      <c r="C61" s="73">
        <f>IFERROR('Alloy_compnt_G&amp;L'!C61/SUM('Alloy_compnt_G&amp;L'!C$3:C$62),0)</f>
        <v>1.3776001845631486E-2</v>
      </c>
      <c r="D61" s="73">
        <f>IFERROR('Alloy_compnt_G&amp;L'!D61/SUM('Alloy_compnt_G&amp;L'!D$3:D$62),0)</f>
        <v>5.7937427578215526E-4</v>
      </c>
      <c r="E61" s="73">
        <f>IFERROR('Alloy_compnt_G&amp;L'!E61/SUM('Alloy_compnt_G&amp;L'!E$3:E$62),0)</f>
        <v>1.3650872940798532E-2</v>
      </c>
      <c r="F61" s="73">
        <f>IFERROR('Alloy_compnt_G&amp;L'!F61/SUM('Alloy_compnt_G&amp;L'!F$3:F$62),0)</f>
        <v>5.7937427578215505E-4</v>
      </c>
      <c r="G61" s="73">
        <f>IFERROR('Alloy_compnt_G&amp;L'!G61/SUM('Alloy_compnt_G&amp;L'!G$3:G$62),0)</f>
        <v>1.3381877678756265E-2</v>
      </c>
    </row>
    <row r="62" spans="1:7" ht="17" thickBot="1" x14ac:dyDescent="0.25">
      <c r="A62" s="149" t="s">
        <v>208</v>
      </c>
      <c r="B62" s="73">
        <f>IFERROR('Alloy_compnt_G&amp;L'!B62/SUM('Alloy_compnt_G&amp;L'!B$3:B$62),0)</f>
        <v>0</v>
      </c>
      <c r="C62" s="73">
        <f>IFERROR('Alloy_compnt_G&amp;L'!C62/SUM('Alloy_compnt_G&amp;L'!C$3:C$62),0)</f>
        <v>0</v>
      </c>
      <c r="D62" s="73">
        <f>IFERROR('Alloy_compnt_G&amp;L'!D62/SUM('Alloy_compnt_G&amp;L'!D$3:D$62),0)</f>
        <v>0</v>
      </c>
      <c r="E62" s="73">
        <f>IFERROR('Alloy_compnt_G&amp;L'!E62/SUM('Alloy_compnt_G&amp;L'!E$3:E$62),0)</f>
        <v>0</v>
      </c>
      <c r="F62" s="73">
        <f>IFERROR('Alloy_compnt_G&amp;L'!F62/SUM('Alloy_compnt_G&amp;L'!F$3:F$62),0)</f>
        <v>0</v>
      </c>
      <c r="G62" s="73">
        <f>IFERROR('Alloy_compnt_G&amp;L'!G62/SUM('Alloy_compnt_G&amp;L'!G$3:G$62),0)</f>
        <v>0</v>
      </c>
    </row>
    <row r="63" spans="1:7" ht="17" thickTop="1" x14ac:dyDescent="0.2">
      <c r="A63" s="150" t="s">
        <v>164</v>
      </c>
      <c r="B63" s="54"/>
      <c r="C63" s="54"/>
      <c r="D63" s="54"/>
      <c r="E63" s="54"/>
      <c r="F63" s="54"/>
      <c r="G63" s="54"/>
    </row>
    <row r="64" spans="1:7" x14ac:dyDescent="0.2">
      <c r="A64" s="142" t="s">
        <v>105</v>
      </c>
      <c r="B64" s="73">
        <f>IFERROR('Alloy_compnt_G&amp;L'!B64/SUM('Alloy_compnt_G&amp;L'!B$64:B$123),0)</f>
        <v>9.7822769953051641E-2</v>
      </c>
      <c r="C64" s="73">
        <f>IFERROR('Alloy_compnt_G&amp;L'!C64/SUM('Alloy_compnt_G&amp;L'!C$64:C$123),0)</f>
        <v>0.13880912364945977</v>
      </c>
      <c r="D64" s="73">
        <f>IFERROR('Alloy_compnt_G&amp;L'!D64/SUM('Alloy_compnt_G&amp;L'!D$64:D$123),0)</f>
        <v>0.12217070357554784</v>
      </c>
      <c r="E64" s="73">
        <f>IFERROR('Alloy_compnt_G&amp;L'!E64/SUM('Alloy_compnt_G&amp;L'!E$64:E$123),0)</f>
        <v>0.1494480746791132</v>
      </c>
      <c r="F64" s="73">
        <f>IFERROR('Alloy_compnt_G&amp;L'!F64/SUM('Alloy_compnt_G&amp;L'!F$64:F$123),0)</f>
        <v>0.21099999999999997</v>
      </c>
      <c r="G64" s="73">
        <f>IFERROR('Alloy_compnt_G&amp;L'!G64/SUM('Alloy_compnt_G&amp;L'!G$64:G$123),0)</f>
        <v>0</v>
      </c>
    </row>
    <row r="65" spans="1:7" x14ac:dyDescent="0.2">
      <c r="A65" s="142" t="s">
        <v>106</v>
      </c>
      <c r="B65" s="73">
        <f>IFERROR('Alloy_compnt_G&amp;L'!B65/SUM('Alloy_compnt_G&amp;L'!B$64:B$123),0)</f>
        <v>8.8550469483568067E-2</v>
      </c>
      <c r="C65" s="73">
        <f>IFERROR('Alloy_compnt_G&amp;L'!C65/SUM('Alloy_compnt_G&amp;L'!C$64:C$123),0)</f>
        <v>0.12565186074429771</v>
      </c>
      <c r="D65" s="73">
        <f>IFERROR('Alloy_compnt_G&amp;L'!D65/SUM('Alloy_compnt_G&amp;L'!D$64:D$123),0)</f>
        <v>0.1105905420991926</v>
      </c>
      <c r="E65" s="73">
        <f>IFERROR('Alloy_compnt_G&amp;L'!E65/SUM('Alloy_compnt_G&amp;L'!E$64:E$123),0)</f>
        <v>0.13528238039673279</v>
      </c>
      <c r="F65" s="73">
        <f>IFERROR('Alloy_compnt_G&amp;L'!F65/SUM('Alloy_compnt_G&amp;L'!F$64:F$123),0)</f>
        <v>0.19099999999999998</v>
      </c>
      <c r="G65" s="73">
        <f>IFERROR('Alloy_compnt_G&amp;L'!G65/SUM('Alloy_compnt_G&amp;L'!G$64:G$123),0)</f>
        <v>0</v>
      </c>
    </row>
    <row r="66" spans="1:7" x14ac:dyDescent="0.2">
      <c r="A66" s="142" t="s">
        <v>107</v>
      </c>
      <c r="B66" s="73">
        <f>IFERROR('Alloy_compnt_G&amp;L'!B66/SUM('Alloy_compnt_G&amp;L'!B$64:B$123),0)</f>
        <v>0.27724178403755873</v>
      </c>
      <c r="C66" s="73">
        <f>IFERROR('Alloy_compnt_G&amp;L'!C66/SUM('Alloy_compnt_G&amp;L'!C$64:C$123),0)</f>
        <v>0.39340216086434576</v>
      </c>
      <c r="D66" s="73">
        <f>IFERROR('Alloy_compnt_G&amp;L'!D66/SUM('Alloy_compnt_G&amp;L'!D$64:D$123),0)</f>
        <v>0.34624682814302188</v>
      </c>
      <c r="E66" s="73">
        <f>IFERROR('Alloy_compnt_G&amp;L'!E66/SUM('Alloy_compnt_G&amp;L'!E$64:E$123),0)</f>
        <v>0.4235542590431739</v>
      </c>
      <c r="F66" s="73">
        <f>IFERROR('Alloy_compnt_G&amp;L'!F66/SUM('Alloy_compnt_G&amp;L'!F$64:F$123),0)</f>
        <v>0.59800000000000009</v>
      </c>
      <c r="G66" s="73">
        <f>IFERROR('Alloy_compnt_G&amp;L'!G66/SUM('Alloy_compnt_G&amp;L'!G$64:G$123),0)</f>
        <v>0</v>
      </c>
    </row>
    <row r="67" spans="1:7" x14ac:dyDescent="0.2">
      <c r="A67" s="142" t="s">
        <v>91</v>
      </c>
      <c r="B67" s="73">
        <f>IFERROR('Alloy_compnt_G&amp;L'!B67/SUM('Alloy_compnt_G&amp;L'!B$64:B$123),0)</f>
        <v>0</v>
      </c>
      <c r="C67" s="73">
        <f>IFERROR('Alloy_compnt_G&amp;L'!C67/SUM('Alloy_compnt_G&amp;L'!C$64:C$123),0)</f>
        <v>4.3217286914765903E-2</v>
      </c>
      <c r="D67" s="73">
        <f>IFERROR('Alloy_compnt_G&amp;L'!D67/SUM('Alloy_compnt_G&amp;L'!D$64:D$123),0)</f>
        <v>0</v>
      </c>
      <c r="E67" s="73">
        <f>IFERROR('Alloy_compnt_G&amp;L'!E67/SUM('Alloy_compnt_G&amp;L'!E$64:E$123),0)</f>
        <v>3.5005834305717617E-2</v>
      </c>
      <c r="F67" s="73">
        <f>IFERROR('Alloy_compnt_G&amp;L'!F67/SUM('Alloy_compnt_G&amp;L'!F$64:F$123),0)</f>
        <v>0</v>
      </c>
      <c r="G67" s="73">
        <f>IFERROR('Alloy_compnt_G&amp;L'!G67/SUM('Alloy_compnt_G&amp;L'!G$64:G$123),0)</f>
        <v>0</v>
      </c>
    </row>
    <row r="68" spans="1:7" x14ac:dyDescent="0.2">
      <c r="A68" s="142" t="s">
        <v>204</v>
      </c>
      <c r="B68" s="73">
        <f>IFERROR('Alloy_compnt_G&amp;L'!B68/SUM('Alloy_compnt_G&amp;L'!B$64:B$123),0)</f>
        <v>0.2853286384976525</v>
      </c>
      <c r="C68" s="73">
        <f>IFERROR('Alloy_compnt_G&amp;L'!C68/SUM('Alloy_compnt_G&amp;L'!C$64:C$123),0)</f>
        <v>5.4081632653061214E-2</v>
      </c>
      <c r="D68" s="73">
        <f>IFERROR('Alloy_compnt_G&amp;L'!D68/SUM('Alloy_compnt_G&amp;L'!D$64:D$123),0)</f>
        <v>0.22352941176470581</v>
      </c>
      <c r="E68" s="73">
        <f>IFERROR('Alloy_compnt_G&amp;L'!E68/SUM('Alloy_compnt_G&amp;L'!E$64:E$123),0)</f>
        <v>4.3640606767794632E-2</v>
      </c>
      <c r="F68" s="73">
        <f>IFERROR('Alloy_compnt_G&amp;L'!F68/SUM('Alloy_compnt_G&amp;L'!F$64:F$123),0)</f>
        <v>0</v>
      </c>
      <c r="G68" s="73">
        <f>IFERROR('Alloy_compnt_G&amp;L'!G68/SUM('Alloy_compnt_G&amp;L'!G$64:G$123),0)</f>
        <v>0</v>
      </c>
    </row>
    <row r="69" spans="1:7" x14ac:dyDescent="0.2">
      <c r="A69" s="144" t="s">
        <v>104</v>
      </c>
      <c r="B69" s="73">
        <f>IFERROR('Alloy_compnt_G&amp;L'!B69/SUM('Alloy_compnt_G&amp;L'!B$64:B$123),0)</f>
        <v>5.0352112676056333E-2</v>
      </c>
      <c r="C69" s="73">
        <f>IFERROR('Alloy_compnt_G&amp;L'!C69/SUM('Alloy_compnt_G&amp;L'!C$64:C$123),0)</f>
        <v>9.5438175270108044E-3</v>
      </c>
      <c r="D69" s="73">
        <f>IFERROR('Alloy_compnt_G&amp;L'!D69/SUM('Alloy_compnt_G&amp;L'!D$64:D$123),0)</f>
        <v>3.9446366782006914E-2</v>
      </c>
      <c r="E69" s="73">
        <f>IFERROR('Alloy_compnt_G&amp;L'!E69/SUM('Alloy_compnt_G&amp;L'!E$64:E$123),0)</f>
        <v>7.7012835472578776E-3</v>
      </c>
      <c r="F69" s="73">
        <f>IFERROR('Alloy_compnt_G&amp;L'!F69/SUM('Alloy_compnt_G&amp;L'!F$64:F$123),0)</f>
        <v>0</v>
      </c>
      <c r="G69" s="73">
        <f>IFERROR('Alloy_compnt_G&amp;L'!G69/SUM('Alloy_compnt_G&amp;L'!G$64:G$123),0)</f>
        <v>0</v>
      </c>
    </row>
    <row r="70" spans="1:7" x14ac:dyDescent="0.2">
      <c r="A70" s="145" t="s">
        <v>244</v>
      </c>
      <c r="B70" s="73">
        <f>IFERROR('Alloy_compnt_G&amp;L'!B70/SUM('Alloy_compnt_G&amp;L'!B$64:B$123),0)</f>
        <v>0</v>
      </c>
      <c r="C70" s="73">
        <f>IFERROR('Alloy_compnt_G&amp;L'!C70/SUM('Alloy_compnt_G&amp;L'!C$64:C$123),0)</f>
        <v>0</v>
      </c>
      <c r="D70" s="73">
        <f>IFERROR('Alloy_compnt_G&amp;L'!D70/SUM('Alloy_compnt_G&amp;L'!D$64:D$123),0)</f>
        <v>0</v>
      </c>
      <c r="E70" s="73">
        <f>IFERROR('Alloy_compnt_G&amp;L'!E70/SUM('Alloy_compnt_G&amp;L'!E$64:E$123),0)</f>
        <v>0</v>
      </c>
      <c r="F70" s="73">
        <f>IFERROR('Alloy_compnt_G&amp;L'!F70/SUM('Alloy_compnt_G&amp;L'!F$64:F$123),0)</f>
        <v>0</v>
      </c>
      <c r="G70" s="73">
        <f>IFERROR('Alloy_compnt_G&amp;L'!G70/SUM('Alloy_compnt_G&amp;L'!G$64:G$123),0)</f>
        <v>0</v>
      </c>
    </row>
    <row r="71" spans="1:7" x14ac:dyDescent="0.2">
      <c r="A71" s="145" t="s">
        <v>245</v>
      </c>
      <c r="B71" s="73">
        <f>IFERROR('Alloy_compnt_G&amp;L'!B71/SUM('Alloy_compnt_G&amp;L'!B$64:B$123),0)</f>
        <v>0</v>
      </c>
      <c r="C71" s="73">
        <f>IFERROR('Alloy_compnt_G&amp;L'!C71/SUM('Alloy_compnt_G&amp;L'!C$64:C$123),0)</f>
        <v>0</v>
      </c>
      <c r="D71" s="73">
        <f>IFERROR('Alloy_compnt_G&amp;L'!D71/SUM('Alloy_compnt_G&amp;L'!D$64:D$123),0)</f>
        <v>0</v>
      </c>
      <c r="E71" s="73">
        <f>IFERROR('Alloy_compnt_G&amp;L'!E71/SUM('Alloy_compnt_G&amp;L'!E$64:E$123),0)</f>
        <v>0</v>
      </c>
      <c r="F71" s="73">
        <f>IFERROR('Alloy_compnt_G&amp;L'!F71/SUM('Alloy_compnt_G&amp;L'!F$64:F$123),0)</f>
        <v>0</v>
      </c>
      <c r="G71" s="73">
        <f>IFERROR('Alloy_compnt_G&amp;L'!G71/SUM('Alloy_compnt_G&amp;L'!G$64:G$123),0)</f>
        <v>0</v>
      </c>
    </row>
    <row r="72" spans="1:7" x14ac:dyDescent="0.2">
      <c r="A72" s="145" t="s">
        <v>246</v>
      </c>
      <c r="B72" s="73">
        <f>IFERROR('Alloy_compnt_G&amp;L'!B72/SUM('Alloy_compnt_G&amp;L'!B$64:B$123),0)</f>
        <v>0</v>
      </c>
      <c r="C72" s="73">
        <f>IFERROR('Alloy_compnt_G&amp;L'!C72/SUM('Alloy_compnt_G&amp;L'!C$64:C$123),0)</f>
        <v>0</v>
      </c>
      <c r="D72" s="73">
        <f>IFERROR('Alloy_compnt_G&amp;L'!D72/SUM('Alloy_compnt_G&amp;L'!D$64:D$123),0)</f>
        <v>0</v>
      </c>
      <c r="E72" s="73">
        <f>IFERROR('Alloy_compnt_G&amp;L'!E72/SUM('Alloy_compnt_G&amp;L'!E$64:E$123),0)</f>
        <v>0</v>
      </c>
      <c r="F72" s="73">
        <f>IFERROR('Alloy_compnt_G&amp;L'!F72/SUM('Alloy_compnt_G&amp;L'!F$64:F$123),0)</f>
        <v>0</v>
      </c>
      <c r="G72" s="73">
        <f>IFERROR('Alloy_compnt_G&amp;L'!G72/SUM('Alloy_compnt_G&amp;L'!G$64:G$123),0)</f>
        <v>0</v>
      </c>
    </row>
    <row r="73" spans="1:7" x14ac:dyDescent="0.2">
      <c r="A73" s="145" t="s">
        <v>247</v>
      </c>
      <c r="B73" s="73">
        <f>IFERROR('Alloy_compnt_G&amp;L'!B73/SUM('Alloy_compnt_G&amp;L'!B$64:B$123),0)</f>
        <v>0</v>
      </c>
      <c r="C73" s="73">
        <f>IFERROR('Alloy_compnt_G&amp;L'!C73/SUM('Alloy_compnt_G&amp;L'!C$64:C$123),0)</f>
        <v>0</v>
      </c>
      <c r="D73" s="73">
        <f>IFERROR('Alloy_compnt_G&amp;L'!D73/SUM('Alloy_compnt_G&amp;L'!D$64:D$123),0)</f>
        <v>0</v>
      </c>
      <c r="E73" s="73">
        <f>IFERROR('Alloy_compnt_G&amp;L'!E73/SUM('Alloy_compnt_G&amp;L'!E$64:E$123),0)</f>
        <v>0</v>
      </c>
      <c r="F73" s="73">
        <f>IFERROR('Alloy_compnt_G&amp;L'!F73/SUM('Alloy_compnt_G&amp;L'!F$64:F$123),0)</f>
        <v>0</v>
      </c>
      <c r="G73" s="73">
        <f>IFERROR('Alloy_compnt_G&amp;L'!G73/SUM('Alloy_compnt_G&amp;L'!G$64:G$123),0)</f>
        <v>0</v>
      </c>
    </row>
    <row r="74" spans="1:7" x14ac:dyDescent="0.2">
      <c r="A74" s="145" t="s">
        <v>248</v>
      </c>
      <c r="B74" s="73">
        <f>IFERROR('Alloy_compnt_G&amp;L'!B74/SUM('Alloy_compnt_G&amp;L'!B$64:B$123),0)</f>
        <v>0</v>
      </c>
      <c r="C74" s="73">
        <f>IFERROR('Alloy_compnt_G&amp;L'!C74/SUM('Alloy_compnt_G&amp;L'!C$64:C$123),0)</f>
        <v>0</v>
      </c>
      <c r="D74" s="73">
        <f>IFERROR('Alloy_compnt_G&amp;L'!D74/SUM('Alloy_compnt_G&amp;L'!D$64:D$123),0)</f>
        <v>0</v>
      </c>
      <c r="E74" s="73">
        <f>IFERROR('Alloy_compnt_G&amp;L'!E74/SUM('Alloy_compnt_G&amp;L'!E$64:E$123),0)</f>
        <v>0</v>
      </c>
      <c r="F74" s="73">
        <f>IFERROR('Alloy_compnt_G&amp;L'!F74/SUM('Alloy_compnt_G&amp;L'!F$64:F$123),0)</f>
        <v>0</v>
      </c>
      <c r="G74" s="73">
        <f>IFERROR('Alloy_compnt_G&amp;L'!G74/SUM('Alloy_compnt_G&amp;L'!G$64:G$123),0)</f>
        <v>0</v>
      </c>
    </row>
    <row r="75" spans="1:7" x14ac:dyDescent="0.2">
      <c r="A75" s="145" t="s">
        <v>249</v>
      </c>
      <c r="B75" s="73">
        <f>IFERROR('Alloy_compnt_G&amp;L'!B75/SUM('Alloy_compnt_G&amp;L'!B$64:B$123),0)</f>
        <v>0</v>
      </c>
      <c r="C75" s="73">
        <f>IFERROR('Alloy_compnt_G&amp;L'!C75/SUM('Alloy_compnt_G&amp;L'!C$64:C$123),0)</f>
        <v>0</v>
      </c>
      <c r="D75" s="73">
        <f>IFERROR('Alloy_compnt_G&amp;L'!D75/SUM('Alloy_compnt_G&amp;L'!D$64:D$123),0)</f>
        <v>0</v>
      </c>
      <c r="E75" s="73">
        <f>IFERROR('Alloy_compnt_G&amp;L'!E75/SUM('Alloy_compnt_G&amp;L'!E$64:E$123),0)</f>
        <v>0</v>
      </c>
      <c r="F75" s="73">
        <f>IFERROR('Alloy_compnt_G&amp;L'!F75/SUM('Alloy_compnt_G&amp;L'!F$64:F$123),0)</f>
        <v>0</v>
      </c>
      <c r="G75" s="73">
        <f>IFERROR('Alloy_compnt_G&amp;L'!G75/SUM('Alloy_compnt_G&amp;L'!G$64:G$123),0)</f>
        <v>0</v>
      </c>
    </row>
    <row r="76" spans="1:7" x14ac:dyDescent="0.2">
      <c r="A76" s="145" t="s">
        <v>250</v>
      </c>
      <c r="B76" s="73">
        <f>IFERROR('Alloy_compnt_G&amp;L'!B76/SUM('Alloy_compnt_G&amp;L'!B$64:B$123),0)</f>
        <v>0</v>
      </c>
      <c r="C76" s="73">
        <f>IFERROR('Alloy_compnt_G&amp;L'!C76/SUM('Alloy_compnt_G&amp;L'!C$64:C$123),0)</f>
        <v>0</v>
      </c>
      <c r="D76" s="73">
        <f>IFERROR('Alloy_compnt_G&amp;L'!D76/SUM('Alloy_compnt_G&amp;L'!D$64:D$123),0)</f>
        <v>0</v>
      </c>
      <c r="E76" s="73">
        <f>IFERROR('Alloy_compnt_G&amp;L'!E76/SUM('Alloy_compnt_G&amp;L'!E$64:E$123),0)</f>
        <v>0</v>
      </c>
      <c r="F76" s="73">
        <f>IFERROR('Alloy_compnt_G&amp;L'!F76/SUM('Alloy_compnt_G&amp;L'!F$64:F$123),0)</f>
        <v>0</v>
      </c>
      <c r="G76" s="73">
        <f>IFERROR('Alloy_compnt_G&amp;L'!G76/SUM('Alloy_compnt_G&amp;L'!G$64:G$123),0)</f>
        <v>0</v>
      </c>
    </row>
    <row r="77" spans="1:7" x14ac:dyDescent="0.2">
      <c r="A77" s="145" t="s">
        <v>251</v>
      </c>
      <c r="B77" s="73">
        <f>IFERROR('Alloy_compnt_G&amp;L'!B77/SUM('Alloy_compnt_G&amp;L'!B$64:B$123),0)</f>
        <v>0</v>
      </c>
      <c r="C77" s="73">
        <f>IFERROR('Alloy_compnt_G&amp;L'!C77/SUM('Alloy_compnt_G&amp;L'!C$64:C$123),0)</f>
        <v>0</v>
      </c>
      <c r="D77" s="73">
        <f>IFERROR('Alloy_compnt_G&amp;L'!D77/SUM('Alloy_compnt_G&amp;L'!D$64:D$123),0)</f>
        <v>0</v>
      </c>
      <c r="E77" s="73">
        <f>IFERROR('Alloy_compnt_G&amp;L'!E77/SUM('Alloy_compnt_G&amp;L'!E$64:E$123),0)</f>
        <v>0</v>
      </c>
      <c r="F77" s="73">
        <f>IFERROR('Alloy_compnt_G&amp;L'!F77/SUM('Alloy_compnt_G&amp;L'!F$64:F$123),0)</f>
        <v>0</v>
      </c>
      <c r="G77" s="73">
        <f>IFERROR('Alloy_compnt_G&amp;L'!G77/SUM('Alloy_compnt_G&amp;L'!G$64:G$123),0)</f>
        <v>0</v>
      </c>
    </row>
    <row r="78" spans="1:7" x14ac:dyDescent="0.2">
      <c r="A78" s="145" t="s">
        <v>252</v>
      </c>
      <c r="B78" s="73">
        <f>IFERROR('Alloy_compnt_G&amp;L'!B78/SUM('Alloy_compnt_G&amp;L'!B$64:B$123),0)</f>
        <v>0</v>
      </c>
      <c r="C78" s="73">
        <f>IFERROR('Alloy_compnt_G&amp;L'!C78/SUM('Alloy_compnt_G&amp;L'!C$64:C$123),0)</f>
        <v>0</v>
      </c>
      <c r="D78" s="73">
        <f>IFERROR('Alloy_compnt_G&amp;L'!D78/SUM('Alloy_compnt_G&amp;L'!D$64:D$123),0)</f>
        <v>0</v>
      </c>
      <c r="E78" s="73">
        <f>IFERROR('Alloy_compnt_G&amp;L'!E78/SUM('Alloy_compnt_G&amp;L'!E$64:E$123),0)</f>
        <v>0</v>
      </c>
      <c r="F78" s="73">
        <f>IFERROR('Alloy_compnt_G&amp;L'!F78/SUM('Alloy_compnt_G&amp;L'!F$64:F$123),0)</f>
        <v>0</v>
      </c>
      <c r="G78" s="73">
        <f>IFERROR('Alloy_compnt_G&amp;L'!G78/SUM('Alloy_compnt_G&amp;L'!G$64:G$123),0)</f>
        <v>0</v>
      </c>
    </row>
    <row r="79" spans="1:7" x14ac:dyDescent="0.2">
      <c r="A79" s="145" t="s">
        <v>253</v>
      </c>
      <c r="B79" s="73">
        <f>IFERROR('Alloy_compnt_G&amp;L'!B79/SUM('Alloy_compnt_G&amp;L'!B$64:B$123),0)</f>
        <v>0</v>
      </c>
      <c r="C79" s="73">
        <f>IFERROR('Alloy_compnt_G&amp;L'!C79/SUM('Alloy_compnt_G&amp;L'!C$64:C$123),0)</f>
        <v>0</v>
      </c>
      <c r="D79" s="73">
        <f>IFERROR('Alloy_compnt_G&amp;L'!D79/SUM('Alloy_compnt_G&amp;L'!D$64:D$123),0)</f>
        <v>0</v>
      </c>
      <c r="E79" s="73">
        <f>IFERROR('Alloy_compnt_G&amp;L'!E79/SUM('Alloy_compnt_G&amp;L'!E$64:E$123),0)</f>
        <v>0</v>
      </c>
      <c r="F79" s="73">
        <f>IFERROR('Alloy_compnt_G&amp;L'!F79/SUM('Alloy_compnt_G&amp;L'!F$64:F$123),0)</f>
        <v>0</v>
      </c>
      <c r="G79" s="73">
        <f>IFERROR('Alloy_compnt_G&amp;L'!G79/SUM('Alloy_compnt_G&amp;L'!G$64:G$123),0)</f>
        <v>0</v>
      </c>
    </row>
    <row r="80" spans="1:7" x14ac:dyDescent="0.2">
      <c r="A80" s="145" t="s">
        <v>254</v>
      </c>
      <c r="B80" s="73">
        <f>IFERROR('Alloy_compnt_G&amp;L'!B80/SUM('Alloy_compnt_G&amp;L'!B$64:B$123),0)</f>
        <v>0</v>
      </c>
      <c r="C80" s="73">
        <f>IFERROR('Alloy_compnt_G&amp;L'!C80/SUM('Alloy_compnt_G&amp;L'!C$64:C$123),0)</f>
        <v>0</v>
      </c>
      <c r="D80" s="73">
        <f>IFERROR('Alloy_compnt_G&amp;L'!D80/SUM('Alloy_compnt_G&amp;L'!D$64:D$123),0)</f>
        <v>0</v>
      </c>
      <c r="E80" s="73">
        <f>IFERROR('Alloy_compnt_G&amp;L'!E80/SUM('Alloy_compnt_G&amp;L'!E$64:E$123),0)</f>
        <v>0</v>
      </c>
      <c r="F80" s="73">
        <f>IFERROR('Alloy_compnt_G&amp;L'!F80/SUM('Alloy_compnt_G&amp;L'!F$64:F$123),0)</f>
        <v>0</v>
      </c>
      <c r="G80" s="73">
        <f>IFERROR('Alloy_compnt_G&amp;L'!G80/SUM('Alloy_compnt_G&amp;L'!G$64:G$123),0)</f>
        <v>0</v>
      </c>
    </row>
    <row r="81" spans="1:7" x14ac:dyDescent="0.2">
      <c r="A81" s="146" t="s">
        <v>255</v>
      </c>
      <c r="B81" s="73">
        <f>IFERROR('Alloy_compnt_G&amp;L'!B81/SUM('Alloy_compnt_G&amp;L'!B$64:B$123),0)</f>
        <v>0</v>
      </c>
      <c r="C81" s="73">
        <f>IFERROR('Alloy_compnt_G&amp;L'!C81/SUM('Alloy_compnt_G&amp;L'!C$64:C$123),0)</f>
        <v>0</v>
      </c>
      <c r="D81" s="73">
        <f>IFERROR('Alloy_compnt_G&amp;L'!D81/SUM('Alloy_compnt_G&amp;L'!D$64:D$123),0)</f>
        <v>0</v>
      </c>
      <c r="E81" s="73">
        <f>IFERROR('Alloy_compnt_G&amp;L'!E81/SUM('Alloy_compnt_G&amp;L'!E$64:E$123),0)</f>
        <v>0</v>
      </c>
      <c r="F81" s="73">
        <f>IFERROR('Alloy_compnt_G&amp;L'!F81/SUM('Alloy_compnt_G&amp;L'!F$64:F$123),0)</f>
        <v>0</v>
      </c>
      <c r="G81" s="73">
        <f>IFERROR('Alloy_compnt_G&amp;L'!G81/SUM('Alloy_compnt_G&amp;L'!G$64:G$123),0)</f>
        <v>0</v>
      </c>
    </row>
    <row r="82" spans="1:7" x14ac:dyDescent="0.2">
      <c r="A82" s="145" t="s">
        <v>256</v>
      </c>
      <c r="B82" s="73">
        <f>IFERROR('Alloy_compnt_G&amp;L'!B82/SUM('Alloy_compnt_G&amp;L'!B$64:B$123),0)</f>
        <v>0</v>
      </c>
      <c r="C82" s="73">
        <f>IFERROR('Alloy_compnt_G&amp;L'!C82/SUM('Alloy_compnt_G&amp;L'!C$64:C$123),0)</f>
        <v>0</v>
      </c>
      <c r="D82" s="73">
        <f>IFERROR('Alloy_compnt_G&amp;L'!D82/SUM('Alloy_compnt_G&amp;L'!D$64:D$123),0)</f>
        <v>0</v>
      </c>
      <c r="E82" s="73">
        <f>IFERROR('Alloy_compnt_G&amp;L'!E82/SUM('Alloy_compnt_G&amp;L'!E$64:E$123),0)</f>
        <v>0</v>
      </c>
      <c r="F82" s="73">
        <f>IFERROR('Alloy_compnt_G&amp;L'!F82/SUM('Alloy_compnt_G&amp;L'!F$64:F$123),0)</f>
        <v>0</v>
      </c>
      <c r="G82" s="73">
        <f>IFERROR('Alloy_compnt_G&amp;L'!G82/SUM('Alloy_compnt_G&amp;L'!G$64:G$123),0)</f>
        <v>0</v>
      </c>
    </row>
    <row r="83" spans="1:7" x14ac:dyDescent="0.2">
      <c r="A83" s="145" t="s">
        <v>257</v>
      </c>
      <c r="B83" s="73">
        <f>IFERROR('Alloy_compnt_G&amp;L'!B83/SUM('Alloy_compnt_G&amp;L'!B$64:B$123),0)</f>
        <v>0</v>
      </c>
      <c r="C83" s="73">
        <f>IFERROR('Alloy_compnt_G&amp;L'!C83/SUM('Alloy_compnt_G&amp;L'!C$64:C$123),0)</f>
        <v>0</v>
      </c>
      <c r="D83" s="73">
        <f>IFERROR('Alloy_compnt_G&amp;L'!D83/SUM('Alloy_compnt_G&amp;L'!D$64:D$123),0)</f>
        <v>0</v>
      </c>
      <c r="E83" s="73">
        <f>IFERROR('Alloy_compnt_G&amp;L'!E83/SUM('Alloy_compnt_G&amp;L'!E$64:E$123),0)</f>
        <v>0</v>
      </c>
      <c r="F83" s="73">
        <f>IFERROR('Alloy_compnt_G&amp;L'!F83/SUM('Alloy_compnt_G&amp;L'!F$64:F$123),0)</f>
        <v>0</v>
      </c>
      <c r="G83" s="73">
        <f>IFERROR('Alloy_compnt_G&amp;L'!G83/SUM('Alloy_compnt_G&amp;L'!G$64:G$123),0)</f>
        <v>0</v>
      </c>
    </row>
    <row r="84" spans="1:7" x14ac:dyDescent="0.2">
      <c r="A84" s="145" t="s">
        <v>258</v>
      </c>
      <c r="B84" s="73">
        <f>IFERROR('Alloy_compnt_G&amp;L'!B84/SUM('Alloy_compnt_G&amp;L'!B$64:B$123),0)</f>
        <v>0</v>
      </c>
      <c r="C84" s="73">
        <f>IFERROR('Alloy_compnt_G&amp;L'!C84/SUM('Alloy_compnt_G&amp;L'!C$64:C$123),0)</f>
        <v>0</v>
      </c>
      <c r="D84" s="73">
        <f>IFERROR('Alloy_compnt_G&amp;L'!D84/SUM('Alloy_compnt_G&amp;L'!D$64:D$123),0)</f>
        <v>0</v>
      </c>
      <c r="E84" s="73">
        <f>IFERROR('Alloy_compnt_G&amp;L'!E84/SUM('Alloy_compnt_G&amp;L'!E$64:E$123),0)</f>
        <v>0</v>
      </c>
      <c r="F84" s="73">
        <f>IFERROR('Alloy_compnt_G&amp;L'!F84/SUM('Alloy_compnt_G&amp;L'!F$64:F$123),0)</f>
        <v>0</v>
      </c>
      <c r="G84" s="73">
        <f>IFERROR('Alloy_compnt_G&amp;L'!G84/SUM('Alloy_compnt_G&amp;L'!G$64:G$123),0)</f>
        <v>0</v>
      </c>
    </row>
    <row r="85" spans="1:7" x14ac:dyDescent="0.2">
      <c r="A85" s="142" t="s">
        <v>259</v>
      </c>
      <c r="B85" s="73">
        <f>IFERROR('Alloy_compnt_G&amp;L'!B85/SUM('Alloy_compnt_G&amp;L'!B$64:B$123),0)</f>
        <v>0</v>
      </c>
      <c r="C85" s="73">
        <f>IFERROR('Alloy_compnt_G&amp;L'!C85/SUM('Alloy_compnt_G&amp;L'!C$64:C$123),0)</f>
        <v>0</v>
      </c>
      <c r="D85" s="73">
        <f>IFERROR('Alloy_compnt_G&amp;L'!D85/SUM('Alloy_compnt_G&amp;L'!D$64:D$123),0)</f>
        <v>0</v>
      </c>
      <c r="E85" s="73">
        <f>IFERROR('Alloy_compnt_G&amp;L'!E85/SUM('Alloy_compnt_G&amp;L'!E$64:E$123),0)</f>
        <v>0</v>
      </c>
      <c r="F85" s="73">
        <f>IFERROR('Alloy_compnt_G&amp;L'!F85/SUM('Alloy_compnt_G&amp;L'!F$64:F$123),0)</f>
        <v>0</v>
      </c>
      <c r="G85" s="73">
        <f>IFERROR('Alloy_compnt_G&amp;L'!G85/SUM('Alloy_compnt_G&amp;L'!G$64:G$123),0)</f>
        <v>0</v>
      </c>
    </row>
    <row r="86" spans="1:7" x14ac:dyDescent="0.2">
      <c r="A86" s="147" t="s">
        <v>260</v>
      </c>
      <c r="B86" s="73">
        <f>IFERROR('Alloy_compnt_G&amp;L'!B86/SUM('Alloy_compnt_G&amp;L'!B$64:B$123),0)</f>
        <v>0</v>
      </c>
      <c r="C86" s="73">
        <f>IFERROR('Alloy_compnt_G&amp;L'!C86/SUM('Alloy_compnt_G&amp;L'!C$64:C$123),0)</f>
        <v>0</v>
      </c>
      <c r="D86" s="73">
        <f>IFERROR('Alloy_compnt_G&amp;L'!D86/SUM('Alloy_compnt_G&amp;L'!D$64:D$123),0)</f>
        <v>0</v>
      </c>
      <c r="E86" s="73">
        <f>IFERROR('Alloy_compnt_G&amp;L'!E86/SUM('Alloy_compnt_G&amp;L'!E$64:E$123),0)</f>
        <v>0</v>
      </c>
      <c r="F86" s="73">
        <f>IFERROR('Alloy_compnt_G&amp;L'!F86/SUM('Alloy_compnt_G&amp;L'!F$64:F$123),0)</f>
        <v>0</v>
      </c>
      <c r="G86" s="73">
        <f>IFERROR('Alloy_compnt_G&amp;L'!G86/SUM('Alloy_compnt_G&amp;L'!G$64:G$123),0)</f>
        <v>0</v>
      </c>
    </row>
    <row r="87" spans="1:7" x14ac:dyDescent="0.2">
      <c r="A87" s="142" t="s">
        <v>261</v>
      </c>
      <c r="B87" s="73">
        <f>IFERROR('Alloy_compnt_G&amp;L'!B87/SUM('Alloy_compnt_G&amp;L'!B$64:B$123),0)</f>
        <v>0</v>
      </c>
      <c r="C87" s="73">
        <f>IFERROR('Alloy_compnt_G&amp;L'!C87/SUM('Alloy_compnt_G&amp;L'!C$64:C$123),0)</f>
        <v>0</v>
      </c>
      <c r="D87" s="73">
        <f>IFERROR('Alloy_compnt_G&amp;L'!D87/SUM('Alloy_compnt_G&amp;L'!D$64:D$123),0)</f>
        <v>0</v>
      </c>
      <c r="E87" s="73">
        <f>IFERROR('Alloy_compnt_G&amp;L'!E87/SUM('Alloy_compnt_G&amp;L'!E$64:E$123),0)</f>
        <v>0</v>
      </c>
      <c r="F87" s="73">
        <f>IFERROR('Alloy_compnt_G&amp;L'!F87/SUM('Alloy_compnt_G&amp;L'!F$64:F$123),0)</f>
        <v>0</v>
      </c>
      <c r="G87" s="73">
        <f>IFERROR('Alloy_compnt_G&amp;L'!G87/SUM('Alloy_compnt_G&amp;L'!G$64:G$123),0)</f>
        <v>0</v>
      </c>
    </row>
    <row r="88" spans="1:7" x14ac:dyDescent="0.2">
      <c r="A88" s="142" t="s">
        <v>262</v>
      </c>
      <c r="B88" s="73">
        <f>IFERROR('Alloy_compnt_G&amp;L'!B88/SUM('Alloy_compnt_G&amp;L'!B$64:B$123),0)</f>
        <v>0</v>
      </c>
      <c r="C88" s="73">
        <f>IFERROR('Alloy_compnt_G&amp;L'!C88/SUM('Alloy_compnt_G&amp;L'!C$64:C$123),0)</f>
        <v>0</v>
      </c>
      <c r="D88" s="73">
        <f>IFERROR('Alloy_compnt_G&amp;L'!D88/SUM('Alloy_compnt_G&amp;L'!D$64:D$123),0)</f>
        <v>0</v>
      </c>
      <c r="E88" s="73">
        <f>IFERROR('Alloy_compnt_G&amp;L'!E88/SUM('Alloy_compnt_G&amp;L'!E$64:E$123),0)</f>
        <v>0</v>
      </c>
      <c r="F88" s="73">
        <f>IFERROR('Alloy_compnt_G&amp;L'!F88/SUM('Alloy_compnt_G&amp;L'!F$64:F$123),0)</f>
        <v>0</v>
      </c>
      <c r="G88" s="73">
        <f>IFERROR('Alloy_compnt_G&amp;L'!G88/SUM('Alloy_compnt_G&amp;L'!G$64:G$123),0)</f>
        <v>0</v>
      </c>
    </row>
    <row r="89" spans="1:7" x14ac:dyDescent="0.2">
      <c r="A89" s="142" t="s">
        <v>263</v>
      </c>
      <c r="B89" s="73">
        <f>IFERROR('Alloy_compnt_G&amp;L'!B89/SUM('Alloy_compnt_G&amp;L'!B$64:B$123),0)</f>
        <v>0</v>
      </c>
      <c r="C89" s="73">
        <f>IFERROR('Alloy_compnt_G&amp;L'!C89/SUM('Alloy_compnt_G&amp;L'!C$64:C$123),0)</f>
        <v>0</v>
      </c>
      <c r="D89" s="73">
        <f>IFERROR('Alloy_compnt_G&amp;L'!D89/SUM('Alloy_compnt_G&amp;L'!D$64:D$123),0)</f>
        <v>0</v>
      </c>
      <c r="E89" s="73">
        <f>IFERROR('Alloy_compnt_G&amp;L'!E89/SUM('Alloy_compnt_G&amp;L'!E$64:E$123),0)</f>
        <v>0</v>
      </c>
      <c r="F89" s="73">
        <f>IFERROR('Alloy_compnt_G&amp;L'!F89/SUM('Alloy_compnt_G&amp;L'!F$64:F$123),0)</f>
        <v>0</v>
      </c>
      <c r="G89" s="73">
        <f>IFERROR('Alloy_compnt_G&amp;L'!G89/SUM('Alloy_compnt_G&amp;L'!G$64:G$123),0)</f>
        <v>0</v>
      </c>
    </row>
    <row r="90" spans="1:7" x14ac:dyDescent="0.2">
      <c r="A90" s="142" t="s">
        <v>264</v>
      </c>
      <c r="B90" s="73">
        <f>IFERROR('Alloy_compnt_G&amp;L'!B90/SUM('Alloy_compnt_G&amp;L'!B$64:B$123),0)</f>
        <v>0</v>
      </c>
      <c r="C90" s="73">
        <f>IFERROR('Alloy_compnt_G&amp;L'!C90/SUM('Alloy_compnt_G&amp;L'!C$64:C$123),0)</f>
        <v>0</v>
      </c>
      <c r="D90" s="73">
        <f>IFERROR('Alloy_compnt_G&amp;L'!D90/SUM('Alloy_compnt_G&amp;L'!D$64:D$123),0)</f>
        <v>0</v>
      </c>
      <c r="E90" s="73">
        <f>IFERROR('Alloy_compnt_G&amp;L'!E90/SUM('Alloy_compnt_G&amp;L'!E$64:E$123),0)</f>
        <v>0</v>
      </c>
      <c r="F90" s="73">
        <f>IFERROR('Alloy_compnt_G&amp;L'!F90/SUM('Alloy_compnt_G&amp;L'!F$64:F$123),0)</f>
        <v>0</v>
      </c>
      <c r="G90" s="73">
        <f>IFERROR('Alloy_compnt_G&amp;L'!G90/SUM('Alloy_compnt_G&amp;L'!G$64:G$123),0)</f>
        <v>0</v>
      </c>
    </row>
    <row r="91" spans="1:7" x14ac:dyDescent="0.2">
      <c r="A91" s="142" t="s">
        <v>265</v>
      </c>
      <c r="B91" s="73">
        <f>IFERROR('Alloy_compnt_G&amp;L'!B91/SUM('Alloy_compnt_G&amp;L'!B$64:B$123),0)</f>
        <v>0</v>
      </c>
      <c r="C91" s="73">
        <f>IFERROR('Alloy_compnt_G&amp;L'!C91/SUM('Alloy_compnt_G&amp;L'!C$64:C$123),0)</f>
        <v>0</v>
      </c>
      <c r="D91" s="73">
        <f>IFERROR('Alloy_compnt_G&amp;L'!D91/SUM('Alloy_compnt_G&amp;L'!D$64:D$123),0)</f>
        <v>0</v>
      </c>
      <c r="E91" s="73">
        <f>IFERROR('Alloy_compnt_G&amp;L'!E91/SUM('Alloy_compnt_G&amp;L'!E$64:E$123),0)</f>
        <v>0</v>
      </c>
      <c r="F91" s="73">
        <f>IFERROR('Alloy_compnt_G&amp;L'!F91/SUM('Alloy_compnt_G&amp;L'!F$64:F$123),0)</f>
        <v>0</v>
      </c>
      <c r="G91" s="73">
        <f>IFERROR('Alloy_compnt_G&amp;L'!G91/SUM('Alloy_compnt_G&amp;L'!G$64:G$123),0)</f>
        <v>0</v>
      </c>
    </row>
    <row r="92" spans="1:7" x14ac:dyDescent="0.2">
      <c r="A92" s="142" t="s">
        <v>266</v>
      </c>
      <c r="B92" s="73">
        <f>IFERROR('Alloy_compnt_G&amp;L'!B92/SUM('Alloy_compnt_G&amp;L'!B$64:B$123),0)</f>
        <v>0</v>
      </c>
      <c r="C92" s="73">
        <f>IFERROR('Alloy_compnt_G&amp;L'!C92/SUM('Alloy_compnt_G&amp;L'!C$64:C$123),0)</f>
        <v>3.5114045618247298E-4</v>
      </c>
      <c r="D92" s="73">
        <f>IFERROR('Alloy_compnt_G&amp;L'!D92/SUM('Alloy_compnt_G&amp;L'!D$64:D$123),0)</f>
        <v>0</v>
      </c>
      <c r="E92" s="73">
        <f>IFERROR('Alloy_compnt_G&amp;L'!E92/SUM('Alloy_compnt_G&amp;L'!E$64:E$123),0)</f>
        <v>5.1196032672112032E-4</v>
      </c>
      <c r="F92" s="73">
        <f>IFERROR('Alloy_compnt_G&amp;L'!F92/SUM('Alloy_compnt_G&amp;L'!F$64:F$123),0)</f>
        <v>0</v>
      </c>
      <c r="G92" s="73">
        <f>IFERROR('Alloy_compnt_G&amp;L'!G92/SUM('Alloy_compnt_G&amp;L'!G$64:G$123),0)</f>
        <v>1.6250000000000001E-2</v>
      </c>
    </row>
    <row r="93" spans="1:7" x14ac:dyDescent="0.2">
      <c r="A93" s="142" t="s">
        <v>267</v>
      </c>
      <c r="B93" s="73">
        <f>IFERROR('Alloy_compnt_G&amp;L'!B93/SUM('Alloy_compnt_G&amp;L'!B$64:B$123),0)</f>
        <v>0</v>
      </c>
      <c r="C93" s="73">
        <f>IFERROR('Alloy_compnt_G&amp;L'!C93/SUM('Alloy_compnt_G&amp;L'!C$64:C$123),0)</f>
        <v>3.5114045618247298E-4</v>
      </c>
      <c r="D93" s="73">
        <f>IFERROR('Alloy_compnt_G&amp;L'!D93/SUM('Alloy_compnt_G&amp;L'!D$64:D$123),0)</f>
        <v>0</v>
      </c>
      <c r="E93" s="73">
        <f>IFERROR('Alloy_compnt_G&amp;L'!E93/SUM('Alloy_compnt_G&amp;L'!E$64:E$123),0)</f>
        <v>5.1196032672112032E-4</v>
      </c>
      <c r="F93" s="73">
        <f>IFERROR('Alloy_compnt_G&amp;L'!F93/SUM('Alloy_compnt_G&amp;L'!F$64:F$123),0)</f>
        <v>0</v>
      </c>
      <c r="G93" s="73">
        <f>IFERROR('Alloy_compnt_G&amp;L'!G93/SUM('Alloy_compnt_G&amp;L'!G$64:G$123),0)</f>
        <v>1.6250000000000001E-2</v>
      </c>
    </row>
    <row r="94" spans="1:7" x14ac:dyDescent="0.2">
      <c r="A94" s="142" t="s">
        <v>268</v>
      </c>
      <c r="B94" s="73">
        <f>IFERROR('Alloy_compnt_G&amp;L'!B94/SUM('Alloy_compnt_G&amp;L'!B$64:B$123),0)</f>
        <v>0</v>
      </c>
      <c r="C94" s="73">
        <f>IFERROR('Alloy_compnt_G&amp;L'!C94/SUM('Alloy_compnt_G&amp;L'!C$64:C$123),0)</f>
        <v>0</v>
      </c>
      <c r="D94" s="73">
        <f>IFERROR('Alloy_compnt_G&amp;L'!D94/SUM('Alloy_compnt_G&amp;L'!D$64:D$123),0)</f>
        <v>0</v>
      </c>
      <c r="E94" s="73">
        <f>IFERROR('Alloy_compnt_G&amp;L'!E94/SUM('Alloy_compnt_G&amp;L'!E$64:E$123),0)</f>
        <v>0</v>
      </c>
      <c r="F94" s="73">
        <f>IFERROR('Alloy_compnt_G&amp;L'!F94/SUM('Alloy_compnt_G&amp;L'!F$64:F$123),0)</f>
        <v>0</v>
      </c>
      <c r="G94" s="73">
        <f>IFERROR('Alloy_compnt_G&amp;L'!G94/SUM('Alloy_compnt_G&amp;L'!G$64:G$123),0)</f>
        <v>0</v>
      </c>
    </row>
    <row r="95" spans="1:7" x14ac:dyDescent="0.2">
      <c r="A95" s="142" t="s">
        <v>269</v>
      </c>
      <c r="B95" s="73">
        <f>IFERROR('Alloy_compnt_G&amp;L'!B95/SUM('Alloy_compnt_G&amp;L'!B$64:B$123),0)</f>
        <v>0</v>
      </c>
      <c r="C95" s="73">
        <f>IFERROR('Alloy_compnt_G&amp;L'!C95/SUM('Alloy_compnt_G&amp;L'!C$64:C$123),0)</f>
        <v>0</v>
      </c>
      <c r="D95" s="73">
        <f>IFERROR('Alloy_compnt_G&amp;L'!D95/SUM('Alloy_compnt_G&amp;L'!D$64:D$123),0)</f>
        <v>0</v>
      </c>
      <c r="E95" s="73">
        <f>IFERROR('Alloy_compnt_G&amp;L'!E95/SUM('Alloy_compnt_G&amp;L'!E$64:E$123),0)</f>
        <v>0</v>
      </c>
      <c r="F95" s="73">
        <f>IFERROR('Alloy_compnt_G&amp;L'!F95/SUM('Alloy_compnt_G&amp;L'!F$64:F$123),0)</f>
        <v>0</v>
      </c>
      <c r="G95" s="73">
        <f>IFERROR('Alloy_compnt_G&amp;L'!G95/SUM('Alloy_compnt_G&amp;L'!G$64:G$123),0)</f>
        <v>0</v>
      </c>
    </row>
    <row r="96" spans="1:7" x14ac:dyDescent="0.2">
      <c r="A96" s="142" t="s">
        <v>270</v>
      </c>
      <c r="B96" s="73">
        <f>IFERROR('Alloy_compnt_G&amp;L'!B96/SUM('Alloy_compnt_G&amp;L'!B$64:B$123),0)</f>
        <v>0</v>
      </c>
      <c r="C96" s="73">
        <f>IFERROR('Alloy_compnt_G&amp;L'!C96/SUM('Alloy_compnt_G&amp;L'!C$64:C$123),0)</f>
        <v>0</v>
      </c>
      <c r="D96" s="73">
        <f>IFERROR('Alloy_compnt_G&amp;L'!D96/SUM('Alloy_compnt_G&amp;L'!D$64:D$123),0)</f>
        <v>0</v>
      </c>
      <c r="E96" s="73">
        <f>IFERROR('Alloy_compnt_G&amp;L'!E96/SUM('Alloy_compnt_G&amp;L'!E$64:E$123),0)</f>
        <v>0</v>
      </c>
      <c r="F96" s="73">
        <f>IFERROR('Alloy_compnt_G&amp;L'!F96/SUM('Alloy_compnt_G&amp;L'!F$64:F$123),0)</f>
        <v>0</v>
      </c>
      <c r="G96" s="73">
        <f>IFERROR('Alloy_compnt_G&amp;L'!G96/SUM('Alloy_compnt_G&amp;L'!G$64:G$123),0)</f>
        <v>0</v>
      </c>
    </row>
    <row r="97" spans="1:7" x14ac:dyDescent="0.2">
      <c r="A97" s="142" t="s">
        <v>271</v>
      </c>
      <c r="B97" s="73">
        <f>IFERROR('Alloy_compnt_G&amp;L'!B97/SUM('Alloy_compnt_G&amp;L'!B$64:B$123),0)</f>
        <v>0</v>
      </c>
      <c r="C97" s="73">
        <f>IFERROR('Alloy_compnt_G&amp;L'!C97/SUM('Alloy_compnt_G&amp;L'!C$64:C$123),0)</f>
        <v>0</v>
      </c>
      <c r="D97" s="73">
        <f>IFERROR('Alloy_compnt_G&amp;L'!D97/SUM('Alloy_compnt_G&amp;L'!D$64:D$123),0)</f>
        <v>0</v>
      </c>
      <c r="E97" s="73">
        <f>IFERROR('Alloy_compnt_G&amp;L'!E97/SUM('Alloy_compnt_G&amp;L'!E$64:E$123),0)</f>
        <v>0</v>
      </c>
      <c r="F97" s="73">
        <f>IFERROR('Alloy_compnt_G&amp;L'!F97/SUM('Alloy_compnt_G&amp;L'!F$64:F$123),0)</f>
        <v>0</v>
      </c>
      <c r="G97" s="73">
        <f>IFERROR('Alloy_compnt_G&amp;L'!G97/SUM('Alloy_compnt_G&amp;L'!G$64:G$123),0)</f>
        <v>0</v>
      </c>
    </row>
    <row r="98" spans="1:7" x14ac:dyDescent="0.2">
      <c r="A98" s="142" t="s">
        <v>272</v>
      </c>
      <c r="B98" s="73">
        <f>IFERROR('Alloy_compnt_G&amp;L'!B98/SUM('Alloy_compnt_G&amp;L'!B$64:B$123),0)</f>
        <v>0</v>
      </c>
      <c r="C98" s="73">
        <f>IFERROR('Alloy_compnt_G&amp;L'!C98/SUM('Alloy_compnt_G&amp;L'!C$64:C$123),0)</f>
        <v>0</v>
      </c>
      <c r="D98" s="73">
        <f>IFERROR('Alloy_compnt_G&amp;L'!D98/SUM('Alloy_compnt_G&amp;L'!D$64:D$123),0)</f>
        <v>0</v>
      </c>
      <c r="E98" s="73">
        <f>IFERROR('Alloy_compnt_G&amp;L'!E98/SUM('Alloy_compnt_G&amp;L'!E$64:E$123),0)</f>
        <v>0</v>
      </c>
      <c r="F98" s="73">
        <f>IFERROR('Alloy_compnt_G&amp;L'!F98/SUM('Alloy_compnt_G&amp;L'!F$64:F$123),0)</f>
        <v>0</v>
      </c>
      <c r="G98" s="73">
        <f>IFERROR('Alloy_compnt_G&amp;L'!G98/SUM('Alloy_compnt_G&amp;L'!G$64:G$123),0)</f>
        <v>0</v>
      </c>
    </row>
    <row r="99" spans="1:7" x14ac:dyDescent="0.2">
      <c r="A99" s="142" t="s">
        <v>273</v>
      </c>
      <c r="B99" s="73">
        <f>IFERROR('Alloy_compnt_G&amp;L'!B99/SUM('Alloy_compnt_G&amp;L'!B$64:B$123),0)</f>
        <v>0</v>
      </c>
      <c r="C99" s="73">
        <f>IFERROR('Alloy_compnt_G&amp;L'!C99/SUM('Alloy_compnt_G&amp;L'!C$64:C$123),0)</f>
        <v>0</v>
      </c>
      <c r="D99" s="73">
        <f>IFERROR('Alloy_compnt_G&amp;L'!D99/SUM('Alloy_compnt_G&amp;L'!D$64:D$123),0)</f>
        <v>0</v>
      </c>
      <c r="E99" s="73">
        <f>IFERROR('Alloy_compnt_G&amp;L'!E99/SUM('Alloy_compnt_G&amp;L'!E$64:E$123),0)</f>
        <v>0</v>
      </c>
      <c r="F99" s="73">
        <f>IFERROR('Alloy_compnt_G&amp;L'!F99/SUM('Alloy_compnt_G&amp;L'!F$64:F$123),0)</f>
        <v>0</v>
      </c>
      <c r="G99" s="73">
        <f>IFERROR('Alloy_compnt_G&amp;L'!G99/SUM('Alloy_compnt_G&amp;L'!G$64:G$123),0)</f>
        <v>0</v>
      </c>
    </row>
    <row r="100" spans="1:7" x14ac:dyDescent="0.2">
      <c r="A100" s="142" t="s">
        <v>274</v>
      </c>
      <c r="B100" s="73">
        <f>IFERROR('Alloy_compnt_G&amp;L'!B100/SUM('Alloy_compnt_G&amp;L'!B$64:B$123),0)</f>
        <v>0</v>
      </c>
      <c r="C100" s="73">
        <f>IFERROR('Alloy_compnt_G&amp;L'!C100/SUM('Alloy_compnt_G&amp;L'!C$64:C$123),0)</f>
        <v>1.4045618247298919E-3</v>
      </c>
      <c r="D100" s="73">
        <f>IFERROR('Alloy_compnt_G&amp;L'!D100/SUM('Alloy_compnt_G&amp;L'!D$64:D$123),0)</f>
        <v>0</v>
      </c>
      <c r="E100" s="73">
        <f>IFERROR('Alloy_compnt_G&amp;L'!E100/SUM('Alloy_compnt_G&amp;L'!E$64:E$123),0)</f>
        <v>2.0478413068844813E-3</v>
      </c>
      <c r="F100" s="73">
        <f>IFERROR('Alloy_compnt_G&amp;L'!F100/SUM('Alloy_compnt_G&amp;L'!F$64:F$123),0)</f>
        <v>0</v>
      </c>
      <c r="G100" s="73">
        <f>IFERROR('Alloy_compnt_G&amp;L'!G100/SUM('Alloy_compnt_G&amp;L'!G$64:G$123),0)</f>
        <v>6.5000000000000002E-2</v>
      </c>
    </row>
    <row r="101" spans="1:7" x14ac:dyDescent="0.2">
      <c r="A101" s="142" t="s">
        <v>275</v>
      </c>
      <c r="B101" s="73">
        <f>IFERROR('Alloy_compnt_G&amp;L'!B101/SUM('Alloy_compnt_G&amp;L'!B$64:B$123),0)</f>
        <v>0</v>
      </c>
      <c r="C101" s="73">
        <f>IFERROR('Alloy_compnt_G&amp;L'!C101/SUM('Alloy_compnt_G&amp;L'!C$64:C$123),0)</f>
        <v>0</v>
      </c>
      <c r="D101" s="73">
        <f>IFERROR('Alloy_compnt_G&amp;L'!D101/SUM('Alloy_compnt_G&amp;L'!D$64:D$123),0)</f>
        <v>0</v>
      </c>
      <c r="E101" s="73">
        <f>IFERROR('Alloy_compnt_G&amp;L'!E101/SUM('Alloy_compnt_G&amp;L'!E$64:E$123),0)</f>
        <v>0</v>
      </c>
      <c r="F101" s="73">
        <f>IFERROR('Alloy_compnt_G&amp;L'!F101/SUM('Alloy_compnt_G&amp;L'!F$64:F$123),0)</f>
        <v>0</v>
      </c>
      <c r="G101" s="73">
        <f>IFERROR('Alloy_compnt_G&amp;L'!G101/SUM('Alloy_compnt_G&amp;L'!G$64:G$123),0)</f>
        <v>0</v>
      </c>
    </row>
    <row r="102" spans="1:7" x14ac:dyDescent="0.2">
      <c r="A102" s="142" t="s">
        <v>276</v>
      </c>
      <c r="B102" s="73">
        <f>IFERROR('Alloy_compnt_G&amp;L'!B102/SUM('Alloy_compnt_G&amp;L'!B$64:B$123),0)</f>
        <v>0</v>
      </c>
      <c r="C102" s="73">
        <f>IFERROR('Alloy_compnt_G&amp;L'!C102/SUM('Alloy_compnt_G&amp;L'!C$64:C$123),0)</f>
        <v>0</v>
      </c>
      <c r="D102" s="73">
        <f>IFERROR('Alloy_compnt_G&amp;L'!D102/SUM('Alloy_compnt_G&amp;L'!D$64:D$123),0)</f>
        <v>0</v>
      </c>
      <c r="E102" s="73">
        <f>IFERROR('Alloy_compnt_G&amp;L'!E102/SUM('Alloy_compnt_G&amp;L'!E$64:E$123),0)</f>
        <v>0</v>
      </c>
      <c r="F102" s="73">
        <f>IFERROR('Alloy_compnt_G&amp;L'!F102/SUM('Alloy_compnt_G&amp;L'!F$64:F$123),0)</f>
        <v>0</v>
      </c>
      <c r="G102" s="73">
        <f>IFERROR('Alloy_compnt_G&amp;L'!G102/SUM('Alloy_compnt_G&amp;L'!G$64:G$123),0)</f>
        <v>0</v>
      </c>
    </row>
    <row r="103" spans="1:7" x14ac:dyDescent="0.2">
      <c r="A103" s="144" t="s">
        <v>277</v>
      </c>
      <c r="B103" s="73">
        <f>IFERROR('Alloy_compnt_G&amp;L'!B103/SUM('Alloy_compnt_G&amp;L'!B$64:B$123),0)</f>
        <v>0</v>
      </c>
      <c r="C103" s="73">
        <f>IFERROR('Alloy_compnt_G&amp;L'!C103/SUM('Alloy_compnt_G&amp;L'!C$64:C$123),0)</f>
        <v>7.0228091236494597E-4</v>
      </c>
      <c r="D103" s="73">
        <f>IFERROR('Alloy_compnt_G&amp;L'!D103/SUM('Alloy_compnt_G&amp;L'!D$64:D$123),0)</f>
        <v>0</v>
      </c>
      <c r="E103" s="73">
        <f>IFERROR('Alloy_compnt_G&amp;L'!E103/SUM('Alloy_compnt_G&amp;L'!E$64:E$123),0)</f>
        <v>1.0239206534422406E-3</v>
      </c>
      <c r="F103" s="73">
        <f>IFERROR('Alloy_compnt_G&amp;L'!F103/SUM('Alloy_compnt_G&amp;L'!F$64:F$123),0)</f>
        <v>0</v>
      </c>
      <c r="G103" s="73">
        <f>IFERROR('Alloy_compnt_G&amp;L'!G103/SUM('Alloy_compnt_G&amp;L'!G$64:G$123),0)</f>
        <v>3.2500000000000001E-2</v>
      </c>
    </row>
    <row r="104" spans="1:7" x14ac:dyDescent="0.2">
      <c r="A104" s="148" t="s">
        <v>278</v>
      </c>
      <c r="B104" s="73">
        <f>IFERROR('Alloy_compnt_G&amp;L'!B104/SUM('Alloy_compnt_G&amp;L'!B$64:B$123),0)</f>
        <v>0</v>
      </c>
      <c r="C104" s="73">
        <f>IFERROR('Alloy_compnt_G&amp;L'!C104/SUM('Alloy_compnt_G&amp;L'!C$64:C$123),0)</f>
        <v>0</v>
      </c>
      <c r="D104" s="73">
        <f>IFERROR('Alloy_compnt_G&amp;L'!D104/SUM('Alloy_compnt_G&amp;L'!D$64:D$123),0)</f>
        <v>0</v>
      </c>
      <c r="E104" s="73">
        <f>IFERROR('Alloy_compnt_G&amp;L'!E104/SUM('Alloy_compnt_G&amp;L'!E$64:E$123),0)</f>
        <v>0</v>
      </c>
      <c r="F104" s="73">
        <f>IFERROR('Alloy_compnt_G&amp;L'!F104/SUM('Alloy_compnt_G&amp;L'!F$64:F$123),0)</f>
        <v>0</v>
      </c>
      <c r="G104" s="73">
        <f>IFERROR('Alloy_compnt_G&amp;L'!G104/SUM('Alloy_compnt_G&amp;L'!G$64:G$123),0)</f>
        <v>0</v>
      </c>
    </row>
    <row r="105" spans="1:7" x14ac:dyDescent="0.2">
      <c r="A105" s="148" t="s">
        <v>279</v>
      </c>
      <c r="B105" s="73">
        <f>IFERROR('Alloy_compnt_G&amp;L'!B105/SUM('Alloy_compnt_G&amp;L'!B$64:B$123),0)</f>
        <v>0</v>
      </c>
      <c r="C105" s="73">
        <f>IFERROR('Alloy_compnt_G&amp;L'!C105/SUM('Alloy_compnt_G&amp;L'!C$64:C$123),0)</f>
        <v>0</v>
      </c>
      <c r="D105" s="73">
        <f>IFERROR('Alloy_compnt_G&amp;L'!D105/SUM('Alloy_compnt_G&amp;L'!D$64:D$123),0)</f>
        <v>0</v>
      </c>
      <c r="E105" s="73">
        <f>IFERROR('Alloy_compnt_G&amp;L'!E105/SUM('Alloy_compnt_G&amp;L'!E$64:E$123),0)</f>
        <v>0</v>
      </c>
      <c r="F105" s="73">
        <f>IFERROR('Alloy_compnt_G&amp;L'!F105/SUM('Alloy_compnt_G&amp;L'!F$64:F$123),0)</f>
        <v>0</v>
      </c>
      <c r="G105" s="73">
        <f>IFERROR('Alloy_compnt_G&amp;L'!G105/SUM('Alloy_compnt_G&amp;L'!G$64:G$123),0)</f>
        <v>0</v>
      </c>
    </row>
    <row r="106" spans="1:7" x14ac:dyDescent="0.2">
      <c r="A106" s="148" t="s">
        <v>280</v>
      </c>
      <c r="B106" s="73">
        <f>IFERROR('Alloy_compnt_G&amp;L'!B106/SUM('Alloy_compnt_G&amp;L'!B$64:B$123),0)</f>
        <v>0</v>
      </c>
      <c r="C106" s="73">
        <f>IFERROR('Alloy_compnt_G&amp;L'!C106/SUM('Alloy_compnt_G&amp;L'!C$64:C$123),0)</f>
        <v>9.399759903961585E-3</v>
      </c>
      <c r="D106" s="73">
        <f>IFERROR('Alloy_compnt_G&amp;L'!D106/SUM('Alloy_compnt_G&amp;L'!D$64:D$123),0)</f>
        <v>0</v>
      </c>
      <c r="E106" s="73">
        <f>IFERROR('Alloy_compnt_G&amp;L'!E106/SUM('Alloy_compnt_G&amp;L'!E$64:E$123),0)</f>
        <v>1.3704784130688451E-2</v>
      </c>
      <c r="F106" s="73">
        <f>IFERROR('Alloy_compnt_G&amp;L'!F106/SUM('Alloy_compnt_G&amp;L'!F$64:F$123),0)</f>
        <v>0</v>
      </c>
      <c r="G106" s="73">
        <f>IFERROR('Alloy_compnt_G&amp;L'!G106/SUM('Alloy_compnt_G&amp;L'!G$64:G$123),0)</f>
        <v>0.435</v>
      </c>
    </row>
    <row r="107" spans="1:7" x14ac:dyDescent="0.2">
      <c r="A107" s="148" t="s">
        <v>281</v>
      </c>
      <c r="B107" s="73">
        <f>IFERROR('Alloy_compnt_G&amp;L'!B107/SUM('Alloy_compnt_G&amp;L'!B$64:B$123),0)</f>
        <v>0</v>
      </c>
      <c r="C107" s="73">
        <f>IFERROR('Alloy_compnt_G&amp;L'!C107/SUM('Alloy_compnt_G&amp;L'!C$64:C$123),0)</f>
        <v>9.399759903961585E-3</v>
      </c>
      <c r="D107" s="73">
        <f>IFERROR('Alloy_compnt_G&amp;L'!D107/SUM('Alloy_compnt_G&amp;L'!D$64:D$123),0)</f>
        <v>0</v>
      </c>
      <c r="E107" s="73">
        <f>IFERROR('Alloy_compnt_G&amp;L'!E107/SUM('Alloy_compnt_G&amp;L'!E$64:E$123),0)</f>
        <v>1.3704784130688451E-2</v>
      </c>
      <c r="F107" s="73">
        <f>IFERROR('Alloy_compnt_G&amp;L'!F107/SUM('Alloy_compnt_G&amp;L'!F$64:F$123),0)</f>
        <v>0</v>
      </c>
      <c r="G107" s="73">
        <f>IFERROR('Alloy_compnt_G&amp;L'!G107/SUM('Alloy_compnt_G&amp;L'!G$64:G$123),0)</f>
        <v>0.435</v>
      </c>
    </row>
    <row r="108" spans="1:7" x14ac:dyDescent="0.2">
      <c r="A108" s="148" t="s">
        <v>282</v>
      </c>
      <c r="B108" s="73">
        <f>IFERROR('Alloy_compnt_G&amp;L'!B108/SUM('Alloy_compnt_G&amp;L'!B$64:B$123),0)</f>
        <v>0</v>
      </c>
      <c r="C108" s="73">
        <f>IFERROR('Alloy_compnt_G&amp;L'!C108/SUM('Alloy_compnt_G&amp;L'!C$64:C$123),0)</f>
        <v>0</v>
      </c>
      <c r="D108" s="73">
        <f>IFERROR('Alloy_compnt_G&amp;L'!D108/SUM('Alloy_compnt_G&amp;L'!D$64:D$123),0)</f>
        <v>0</v>
      </c>
      <c r="E108" s="73">
        <f>IFERROR('Alloy_compnt_G&amp;L'!E108/SUM('Alloy_compnt_G&amp;L'!E$64:E$123),0)</f>
        <v>0</v>
      </c>
      <c r="F108" s="73">
        <f>IFERROR('Alloy_compnt_G&amp;L'!F108/SUM('Alloy_compnt_G&amp;L'!F$64:F$123),0)</f>
        <v>0</v>
      </c>
      <c r="G108" s="73">
        <f>IFERROR('Alloy_compnt_G&amp;L'!G108/SUM('Alloy_compnt_G&amp;L'!G$64:G$123),0)</f>
        <v>0</v>
      </c>
    </row>
    <row r="109" spans="1:7" x14ac:dyDescent="0.2">
      <c r="A109" s="148" t="s">
        <v>283</v>
      </c>
      <c r="B109" s="73">
        <f>IFERROR('Alloy_compnt_G&amp;L'!B109/SUM('Alloy_compnt_G&amp;L'!B$64:B$123),0)</f>
        <v>0</v>
      </c>
      <c r="C109" s="73">
        <f>IFERROR('Alloy_compnt_G&amp;L'!C109/SUM('Alloy_compnt_G&amp;L'!C$64:C$123),0)</f>
        <v>0</v>
      </c>
      <c r="D109" s="73">
        <f>IFERROR('Alloy_compnt_G&amp;L'!D109/SUM('Alloy_compnt_G&amp;L'!D$64:D$123),0)</f>
        <v>0</v>
      </c>
      <c r="E109" s="73">
        <f>IFERROR('Alloy_compnt_G&amp;L'!E109/SUM('Alloy_compnt_G&amp;L'!E$64:E$123),0)</f>
        <v>0</v>
      </c>
      <c r="F109" s="73">
        <f>IFERROR('Alloy_compnt_G&amp;L'!F109/SUM('Alloy_compnt_G&amp;L'!F$64:F$123),0)</f>
        <v>0</v>
      </c>
      <c r="G109" s="73">
        <f>IFERROR('Alloy_compnt_G&amp;L'!G109/SUM('Alloy_compnt_G&amp;L'!G$64:G$123),0)</f>
        <v>0</v>
      </c>
    </row>
    <row r="110" spans="1:7" x14ac:dyDescent="0.2">
      <c r="A110" s="148" t="s">
        <v>284</v>
      </c>
      <c r="B110" s="73">
        <f>IFERROR('Alloy_compnt_G&amp;L'!B110/SUM('Alloy_compnt_G&amp;L'!B$64:B$123),0)</f>
        <v>0</v>
      </c>
      <c r="C110" s="73">
        <f>IFERROR('Alloy_compnt_G&amp;L'!C110/SUM('Alloy_compnt_G&amp;L'!C$64:C$123),0)</f>
        <v>0</v>
      </c>
      <c r="D110" s="73">
        <f>IFERROR('Alloy_compnt_G&amp;L'!D110/SUM('Alloy_compnt_G&amp;L'!D$64:D$123),0)</f>
        <v>0</v>
      </c>
      <c r="E110" s="73">
        <f>IFERROR('Alloy_compnt_G&amp;L'!E110/SUM('Alloy_compnt_G&amp;L'!E$64:E$123),0)</f>
        <v>0</v>
      </c>
      <c r="F110" s="73">
        <f>IFERROR('Alloy_compnt_G&amp;L'!F110/SUM('Alloy_compnt_G&amp;L'!F$64:F$123),0)</f>
        <v>0</v>
      </c>
      <c r="G110" s="73">
        <f>IFERROR('Alloy_compnt_G&amp;L'!G110/SUM('Alloy_compnt_G&amp;L'!G$64:G$123),0)</f>
        <v>0</v>
      </c>
    </row>
    <row r="111" spans="1:7" x14ac:dyDescent="0.2">
      <c r="A111" s="148" t="s">
        <v>285</v>
      </c>
      <c r="B111" s="73">
        <f>IFERROR('Alloy_compnt_G&amp;L'!B111/SUM('Alloy_compnt_G&amp;L'!B$64:B$123),0)</f>
        <v>0</v>
      </c>
      <c r="C111" s="73">
        <f>IFERROR('Alloy_compnt_G&amp;L'!C111/SUM('Alloy_compnt_G&amp;L'!C$64:C$123),0)</f>
        <v>0</v>
      </c>
      <c r="D111" s="73">
        <f>IFERROR('Alloy_compnt_G&amp;L'!D111/SUM('Alloy_compnt_G&amp;L'!D$64:D$123),0)</f>
        <v>0</v>
      </c>
      <c r="E111" s="73">
        <f>IFERROR('Alloy_compnt_G&amp;L'!E111/SUM('Alloy_compnt_G&amp;L'!E$64:E$123),0)</f>
        <v>0</v>
      </c>
      <c r="F111" s="73">
        <f>IFERROR('Alloy_compnt_G&amp;L'!F111/SUM('Alloy_compnt_G&amp;L'!F$64:F$123),0)</f>
        <v>0</v>
      </c>
      <c r="G111" s="73">
        <f>IFERROR('Alloy_compnt_G&amp;L'!G111/SUM('Alloy_compnt_G&amp;L'!G$64:G$123),0)</f>
        <v>0</v>
      </c>
    </row>
    <row r="112" spans="1:7" x14ac:dyDescent="0.2">
      <c r="A112" s="147" t="s">
        <v>286</v>
      </c>
      <c r="B112" s="73">
        <f>IFERROR('Alloy_compnt_G&amp;L'!B112/SUM('Alloy_compnt_G&amp;L'!B$64:B$123),0)</f>
        <v>0</v>
      </c>
      <c r="C112" s="73">
        <f>IFERROR('Alloy_compnt_G&amp;L'!C112/SUM('Alloy_compnt_G&amp;L'!C$64:C$123),0)</f>
        <v>0</v>
      </c>
      <c r="D112" s="73">
        <f>IFERROR('Alloy_compnt_G&amp;L'!D112/SUM('Alloy_compnt_G&amp;L'!D$64:D$123),0)</f>
        <v>0</v>
      </c>
      <c r="E112" s="73">
        <f>IFERROR('Alloy_compnt_G&amp;L'!E112/SUM('Alloy_compnt_G&amp;L'!E$64:E$123),0)</f>
        <v>0</v>
      </c>
      <c r="F112" s="73">
        <f>IFERROR('Alloy_compnt_G&amp;L'!F112/SUM('Alloy_compnt_G&amp;L'!F$64:F$123),0)</f>
        <v>0</v>
      </c>
      <c r="G112" s="73">
        <f>IFERROR('Alloy_compnt_G&amp;L'!G112/SUM('Alloy_compnt_G&amp;L'!G$64:G$123),0)</f>
        <v>0</v>
      </c>
    </row>
    <row r="113" spans="1:7" x14ac:dyDescent="0.2">
      <c r="A113" s="142" t="s">
        <v>287</v>
      </c>
      <c r="B113" s="73">
        <f>IFERROR('Alloy_compnt_G&amp;L'!B113/SUM('Alloy_compnt_G&amp;L'!B$64:B$123),0)</f>
        <v>0</v>
      </c>
      <c r="C113" s="73">
        <f>IFERROR('Alloy_compnt_G&amp;L'!C113/SUM('Alloy_compnt_G&amp;L'!C$64:C$123),0)</f>
        <v>0</v>
      </c>
      <c r="D113" s="73">
        <f>IFERROR('Alloy_compnt_G&amp;L'!D113/SUM('Alloy_compnt_G&amp;L'!D$64:D$123),0)</f>
        <v>0</v>
      </c>
      <c r="E113" s="73">
        <f>IFERROR('Alloy_compnt_G&amp;L'!E113/SUM('Alloy_compnt_G&amp;L'!E$64:E$123),0)</f>
        <v>0</v>
      </c>
      <c r="F113" s="73">
        <f>IFERROR('Alloy_compnt_G&amp;L'!F113/SUM('Alloy_compnt_G&amp;L'!F$64:F$123),0)</f>
        <v>0</v>
      </c>
      <c r="G113" s="73">
        <f>IFERROR('Alloy_compnt_G&amp;L'!G113/SUM('Alloy_compnt_G&amp;L'!G$64:G$123),0)</f>
        <v>0</v>
      </c>
    </row>
    <row r="114" spans="1:7" x14ac:dyDescent="0.2">
      <c r="A114" s="142" t="s">
        <v>288</v>
      </c>
      <c r="B114" s="73">
        <f>IFERROR('Alloy_compnt_G&amp;L'!B114/SUM('Alloy_compnt_G&amp;L'!B$64:B$123),0)</f>
        <v>0</v>
      </c>
      <c r="C114" s="73">
        <f>IFERROR('Alloy_compnt_G&amp;L'!C114/SUM('Alloy_compnt_G&amp;L'!C$64:C$123),0)</f>
        <v>0</v>
      </c>
      <c r="D114" s="73">
        <f>IFERROR('Alloy_compnt_G&amp;L'!D114/SUM('Alloy_compnt_G&amp;L'!D$64:D$123),0)</f>
        <v>0</v>
      </c>
      <c r="E114" s="73">
        <f>IFERROR('Alloy_compnt_G&amp;L'!E114/SUM('Alloy_compnt_G&amp;L'!E$64:E$123),0)</f>
        <v>0</v>
      </c>
      <c r="F114" s="73">
        <f>IFERROR('Alloy_compnt_G&amp;L'!F114/SUM('Alloy_compnt_G&amp;L'!F$64:F$123),0)</f>
        <v>0</v>
      </c>
      <c r="G114" s="73">
        <f>IFERROR('Alloy_compnt_G&amp;L'!G114/SUM('Alloy_compnt_G&amp;L'!G$64:G$123),0)</f>
        <v>0</v>
      </c>
    </row>
    <row r="115" spans="1:7" x14ac:dyDescent="0.2">
      <c r="A115" s="142" t="s">
        <v>289</v>
      </c>
      <c r="B115" s="73">
        <f>IFERROR('Alloy_compnt_G&amp;L'!B115/SUM('Alloy_compnt_G&amp;L'!B$64:B$123),0)</f>
        <v>0.10035211267605633</v>
      </c>
      <c r="C115" s="73">
        <f>IFERROR('Alloy_compnt_G&amp;L'!C115/SUM('Alloy_compnt_G&amp;L'!C$64:C$123),0)</f>
        <v>0.10684273709483791</v>
      </c>
      <c r="D115" s="73">
        <f>IFERROR('Alloy_compnt_G&amp;L'!D115/SUM('Alloy_compnt_G&amp;L'!D$64:D$123),0)</f>
        <v>7.9008073817762384E-2</v>
      </c>
      <c r="E115" s="73">
        <f>IFERROR('Alloy_compnt_G&amp;L'!E115/SUM('Alloy_compnt_G&amp;L'!E$64:E$123),0)</f>
        <v>8.693115519253207E-2</v>
      </c>
      <c r="F115" s="73">
        <f>IFERROR('Alloy_compnt_G&amp;L'!F115/SUM('Alloy_compnt_G&amp;L'!F$64:F$123),0)</f>
        <v>0</v>
      </c>
      <c r="G115" s="73">
        <f>IFERROR('Alloy_compnt_G&amp;L'!G115/SUM('Alloy_compnt_G&amp;L'!G$64:G$123),0)</f>
        <v>0</v>
      </c>
    </row>
    <row r="116" spans="1:7" x14ac:dyDescent="0.2">
      <c r="A116" s="142" t="s">
        <v>290</v>
      </c>
      <c r="B116" s="73">
        <f>IFERROR('Alloy_compnt_G&amp;L'!B116/SUM('Alloy_compnt_G&amp;L'!B$64:B$123),0)</f>
        <v>0.10035211267605633</v>
      </c>
      <c r="C116" s="73">
        <f>IFERROR('Alloy_compnt_G&amp;L'!C116/SUM('Alloy_compnt_G&amp;L'!C$64:C$123),0)</f>
        <v>0.10684273709483791</v>
      </c>
      <c r="D116" s="73">
        <f>IFERROR('Alloy_compnt_G&amp;L'!D116/SUM('Alloy_compnt_G&amp;L'!D$64:D$123),0)</f>
        <v>7.9008073817762384E-2</v>
      </c>
      <c r="E116" s="73">
        <f>IFERROR('Alloy_compnt_G&amp;L'!E116/SUM('Alloy_compnt_G&amp;L'!E$64:E$123),0)</f>
        <v>8.693115519253207E-2</v>
      </c>
      <c r="F116" s="73">
        <f>IFERROR('Alloy_compnt_G&amp;L'!F116/SUM('Alloy_compnt_G&amp;L'!F$64:F$123),0)</f>
        <v>0</v>
      </c>
      <c r="G116" s="73">
        <f>IFERROR('Alloy_compnt_G&amp;L'!G116/SUM('Alloy_compnt_G&amp;L'!G$64:G$123),0)</f>
        <v>0</v>
      </c>
    </row>
    <row r="117" spans="1:7" x14ac:dyDescent="0.2">
      <c r="A117" s="142" t="s">
        <v>291</v>
      </c>
      <c r="B117" s="73">
        <f>IFERROR('Alloy_compnt_G&amp;L'!B117/SUM('Alloy_compnt_G&amp;L'!B$64:B$123),0)</f>
        <v>0</v>
      </c>
      <c r="C117" s="73">
        <f>IFERROR('Alloy_compnt_G&amp;L'!C117/SUM('Alloy_compnt_G&amp;L'!C$64:C$123),0)</f>
        <v>0</v>
      </c>
      <c r="D117" s="73">
        <f>IFERROR('Alloy_compnt_G&amp;L'!D117/SUM('Alloy_compnt_G&amp;L'!D$64:D$123),0)</f>
        <v>0</v>
      </c>
      <c r="E117" s="73">
        <f>IFERROR('Alloy_compnt_G&amp;L'!E117/SUM('Alloy_compnt_G&amp;L'!E$64:E$123),0)</f>
        <v>0</v>
      </c>
      <c r="F117" s="73">
        <f>IFERROR('Alloy_compnt_G&amp;L'!F117/SUM('Alloy_compnt_G&amp;L'!F$64:F$123),0)</f>
        <v>0</v>
      </c>
      <c r="G117" s="73">
        <f>IFERROR('Alloy_compnt_G&amp;L'!G117/SUM('Alloy_compnt_G&amp;L'!G$64:G$123),0)</f>
        <v>0</v>
      </c>
    </row>
    <row r="118" spans="1:7" x14ac:dyDescent="0.2">
      <c r="A118" s="142" t="s">
        <v>292</v>
      </c>
      <c r="B118" s="73">
        <f>IFERROR('Alloy_compnt_G&amp;L'!B118/SUM('Alloy_compnt_G&amp;L'!B$64:B$123),0)</f>
        <v>0</v>
      </c>
      <c r="C118" s="73">
        <f>IFERROR('Alloy_compnt_G&amp;L'!C118/SUM('Alloy_compnt_G&amp;L'!C$64:C$123),0)</f>
        <v>0</v>
      </c>
      <c r="D118" s="73">
        <f>IFERROR('Alloy_compnt_G&amp;L'!D118/SUM('Alloy_compnt_G&amp;L'!D$64:D$123),0)</f>
        <v>0</v>
      </c>
      <c r="E118" s="73">
        <f>IFERROR('Alloy_compnt_G&amp;L'!E118/SUM('Alloy_compnt_G&amp;L'!E$64:E$123),0)</f>
        <v>0</v>
      </c>
      <c r="F118" s="73">
        <f>IFERROR('Alloy_compnt_G&amp;L'!F118/SUM('Alloy_compnt_G&amp;L'!F$64:F$123),0)</f>
        <v>0</v>
      </c>
      <c r="G118" s="73">
        <f>IFERROR('Alloy_compnt_G&amp;L'!G118/SUM('Alloy_compnt_G&amp;L'!G$64:G$123),0)</f>
        <v>0</v>
      </c>
    </row>
    <row r="119" spans="1:7" x14ac:dyDescent="0.2">
      <c r="A119" s="142" t="s">
        <v>293</v>
      </c>
      <c r="B119" s="73">
        <f>IFERROR('Alloy_compnt_G&amp;L'!B119/SUM('Alloy_compnt_G&amp;L'!B$64:B$123),0)</f>
        <v>0</v>
      </c>
      <c r="C119" s="73">
        <f>IFERROR('Alloy_compnt_G&amp;L'!C119/SUM('Alloy_compnt_G&amp;L'!C$64:C$123),0)</f>
        <v>0</v>
      </c>
      <c r="D119" s="73">
        <f>IFERROR('Alloy_compnt_G&amp;L'!D119/SUM('Alloy_compnt_G&amp;L'!D$64:D$123),0)</f>
        <v>0</v>
      </c>
      <c r="E119" s="73">
        <f>IFERROR('Alloy_compnt_G&amp;L'!E119/SUM('Alloy_compnt_G&amp;L'!E$64:E$123),0)</f>
        <v>0</v>
      </c>
      <c r="F119" s="73">
        <f>IFERROR('Alloy_compnt_G&amp;L'!F119/SUM('Alloy_compnt_G&amp;L'!F$64:F$123),0)</f>
        <v>0</v>
      </c>
      <c r="G119" s="73">
        <f>IFERROR('Alloy_compnt_G&amp;L'!G119/SUM('Alloy_compnt_G&amp;L'!G$64:G$123),0)</f>
        <v>0</v>
      </c>
    </row>
    <row r="120" spans="1:7" x14ac:dyDescent="0.2">
      <c r="A120" s="142" t="s">
        <v>294</v>
      </c>
      <c r="B120" s="73">
        <f>IFERROR('Alloy_compnt_G&amp;L'!B120/SUM('Alloy_compnt_G&amp;L'!B$64:B$123),0)</f>
        <v>0</v>
      </c>
      <c r="C120" s="73">
        <f>IFERROR('Alloy_compnt_G&amp;L'!C120/SUM('Alloy_compnt_G&amp;L'!C$64:C$123),0)</f>
        <v>0</v>
      </c>
      <c r="D120" s="73">
        <f>IFERROR('Alloy_compnt_G&amp;L'!D120/SUM('Alloy_compnt_G&amp;L'!D$64:D$123),0)</f>
        <v>0</v>
      </c>
      <c r="E120" s="73">
        <f>IFERROR('Alloy_compnt_G&amp;L'!E120/SUM('Alloy_compnt_G&amp;L'!E$64:E$123),0)</f>
        <v>0</v>
      </c>
      <c r="F120" s="73">
        <f>IFERROR('Alloy_compnt_G&amp;L'!F120/SUM('Alloy_compnt_G&amp;L'!F$64:F$123),0)</f>
        <v>0</v>
      </c>
      <c r="G120" s="73">
        <f>IFERROR('Alloy_compnt_G&amp;L'!G120/SUM('Alloy_compnt_G&amp;L'!G$64:G$123),0)</f>
        <v>0</v>
      </c>
    </row>
    <row r="121" spans="1:7" x14ac:dyDescent="0.2">
      <c r="A121" s="144" t="s">
        <v>295</v>
      </c>
      <c r="B121" s="73">
        <f>IFERROR('Alloy_compnt_G&amp;L'!B121/SUM('Alloy_compnt_G&amp;L'!B$64:B$123),0)</f>
        <v>0</v>
      </c>
      <c r="C121" s="73">
        <f>IFERROR('Alloy_compnt_G&amp;L'!C121/SUM('Alloy_compnt_G&amp;L'!C$64:C$123),0)</f>
        <v>0</v>
      </c>
      <c r="D121" s="73">
        <f>IFERROR('Alloy_compnt_G&amp;L'!D121/SUM('Alloy_compnt_G&amp;L'!D$64:D$123),0)</f>
        <v>0</v>
      </c>
      <c r="E121" s="73">
        <f>IFERROR('Alloy_compnt_G&amp;L'!E121/SUM('Alloy_compnt_G&amp;L'!E$64:E$123),0)</f>
        <v>0</v>
      </c>
      <c r="F121" s="73">
        <f>IFERROR('Alloy_compnt_G&amp;L'!F121/SUM('Alloy_compnt_G&amp;L'!F$64:F$123),0)</f>
        <v>0</v>
      </c>
      <c r="G121" s="73">
        <f>IFERROR('Alloy_compnt_G&amp;L'!G121/SUM('Alloy_compnt_G&amp;L'!G$64:G$123),0)</f>
        <v>0</v>
      </c>
    </row>
    <row r="122" spans="1:7" x14ac:dyDescent="0.2">
      <c r="A122" s="142" t="s">
        <v>206</v>
      </c>
      <c r="B122" s="73">
        <f>IFERROR('Alloy_compnt_G&amp;L'!B122/SUM('Alloy_compnt_G&amp;L'!B$64:B$123),0)</f>
        <v>0</v>
      </c>
      <c r="C122" s="73">
        <f>IFERROR('Alloy_compnt_G&amp;L'!C122/SUM('Alloy_compnt_G&amp;L'!C$64:C$123),0)</f>
        <v>0</v>
      </c>
      <c r="D122" s="73">
        <f>IFERROR('Alloy_compnt_G&amp;L'!D122/SUM('Alloy_compnt_G&amp;L'!D$64:D$123),0)</f>
        <v>0</v>
      </c>
      <c r="E122" s="73">
        <f>IFERROR('Alloy_compnt_G&amp;L'!E122/SUM('Alloy_compnt_G&amp;L'!E$64:E$123),0)</f>
        <v>0</v>
      </c>
      <c r="F122" s="73">
        <f>IFERROR('Alloy_compnt_G&amp;L'!F122/SUM('Alloy_compnt_G&amp;L'!F$64:F$123),0)</f>
        <v>0</v>
      </c>
      <c r="G122" s="73">
        <f>IFERROR('Alloy_compnt_G&amp;L'!G122/SUM('Alloy_compnt_G&amp;L'!G$64:G$123),0)</f>
        <v>0</v>
      </c>
    </row>
    <row r="123" spans="1:7" ht="17" thickBot="1" x14ac:dyDescent="0.25">
      <c r="A123" s="149" t="s">
        <v>208</v>
      </c>
      <c r="B123" s="73">
        <f>IFERROR('Alloy_compnt_G&amp;L'!B123/SUM('Alloy_compnt_G&amp;L'!B$64:B$123),0)</f>
        <v>0</v>
      </c>
      <c r="C123" s="73">
        <f>IFERROR('Alloy_compnt_G&amp;L'!C123/SUM('Alloy_compnt_G&amp;L'!C$64:C$123),0)</f>
        <v>0</v>
      </c>
      <c r="D123" s="73">
        <f>IFERROR('Alloy_compnt_G&amp;L'!D123/SUM('Alloy_compnt_G&amp;L'!D$64:D$123),0)</f>
        <v>0</v>
      </c>
      <c r="E123" s="73">
        <f>IFERROR('Alloy_compnt_G&amp;L'!E123/SUM('Alloy_compnt_G&amp;L'!E$64:E$123),0)</f>
        <v>0</v>
      </c>
      <c r="F123" s="73">
        <f>IFERROR('Alloy_compnt_G&amp;L'!F123/SUM('Alloy_compnt_G&amp;L'!F$64:F$123),0)</f>
        <v>0</v>
      </c>
      <c r="G123" s="73">
        <f>IFERROR('Alloy_compnt_G&amp;L'!G123/SUM('Alloy_compnt_G&amp;L'!G$64:G$123),0)</f>
        <v>0</v>
      </c>
    </row>
    <row r="124" spans="1:7" ht="17" thickTop="1" x14ac:dyDescent="0.2">
      <c r="A124" s="139" t="s">
        <v>173</v>
      </c>
      <c r="B124" s="54"/>
      <c r="C124" s="54"/>
      <c r="D124" s="54"/>
      <c r="E124" s="54"/>
      <c r="F124" s="54"/>
      <c r="G124" s="54"/>
    </row>
    <row r="125" spans="1:7" x14ac:dyDescent="0.2">
      <c r="A125" s="142" t="s">
        <v>105</v>
      </c>
      <c r="B125" s="73">
        <f>IFERROR('Alloy_compnt_G&amp;L'!B125/SUM('Alloy_compnt_G&amp;L'!B$125:B$184),0)</f>
        <v>7.0333333333333317E-2</v>
      </c>
      <c r="C125" s="73">
        <f>IFERROR('Alloy_compnt_G&amp;L'!C125/SUM('Alloy_compnt_G&amp;L'!C$125:C$184),0)</f>
        <v>7.0333333333333345E-2</v>
      </c>
      <c r="D125" s="73">
        <f>IFERROR('Alloy_compnt_G&amp;L'!D125/SUM('Alloy_compnt_G&amp;L'!D$125:D$184),0)</f>
        <v>0.15857763975155278</v>
      </c>
      <c r="E125" s="73">
        <f>IFERROR('Alloy_compnt_G&amp;L'!E125/SUM('Alloy_compnt_G&amp;L'!E$125:E$184),0)</f>
        <v>0.15857763975155276</v>
      </c>
      <c r="F125" s="73">
        <f>IFERROR('Alloy_compnt_G&amp;L'!F125/SUM('Alloy_compnt_G&amp;L'!F$125:F$184),0)</f>
        <v>0.15857763975155276</v>
      </c>
      <c r="G125" s="73">
        <f>IFERROR('Alloy_compnt_G&amp;L'!G125/SUM('Alloy_compnt_G&amp;L'!G$125:G$184),0)</f>
        <v>0.15857763975155276</v>
      </c>
    </row>
    <row r="126" spans="1:7" x14ac:dyDescent="0.2">
      <c r="A126" s="142" t="s">
        <v>106</v>
      </c>
      <c r="B126" s="73">
        <f>IFERROR('Alloy_compnt_G&amp;L'!B126/SUM('Alloy_compnt_G&amp;L'!B$125:B$184),0)</f>
        <v>6.3666666666666649E-2</v>
      </c>
      <c r="C126" s="73">
        <f>IFERROR('Alloy_compnt_G&amp;L'!C126/SUM('Alloy_compnt_G&amp;L'!C$125:C$184),0)</f>
        <v>6.3666666666666677E-2</v>
      </c>
      <c r="D126" s="73">
        <f>IFERROR('Alloy_compnt_G&amp;L'!D126/SUM('Alloy_compnt_G&amp;L'!D$125:D$184),0)</f>
        <v>0.14354658385093169</v>
      </c>
      <c r="E126" s="73">
        <f>IFERROR('Alloy_compnt_G&amp;L'!E126/SUM('Alloy_compnt_G&amp;L'!E$125:E$184),0)</f>
        <v>0.14354658385093166</v>
      </c>
      <c r="F126" s="73">
        <f>IFERROR('Alloy_compnt_G&amp;L'!F126/SUM('Alloy_compnt_G&amp;L'!F$125:F$184),0)</f>
        <v>0.14354658385093166</v>
      </c>
      <c r="G126" s="73">
        <f>IFERROR('Alloy_compnt_G&amp;L'!G126/SUM('Alloy_compnt_G&amp;L'!G$125:G$184),0)</f>
        <v>0.14354658385093166</v>
      </c>
    </row>
    <row r="127" spans="1:7" x14ac:dyDescent="0.2">
      <c r="A127" s="142" t="s">
        <v>107</v>
      </c>
      <c r="B127" s="73">
        <f>IFERROR('Alloy_compnt_G&amp;L'!B127/SUM('Alloy_compnt_G&amp;L'!B$125:B$184),0)</f>
        <v>0.19933333333333331</v>
      </c>
      <c r="C127" s="73">
        <f>IFERROR('Alloy_compnt_G&amp;L'!C127/SUM('Alloy_compnt_G&amp;L'!C$125:C$184),0)</f>
        <v>0.19933333333333339</v>
      </c>
      <c r="D127" s="73">
        <f>IFERROR('Alloy_compnt_G&amp;L'!D127/SUM('Alloy_compnt_G&amp;L'!D$125:D$184),0)</f>
        <v>0.44942857142857151</v>
      </c>
      <c r="E127" s="73">
        <f>IFERROR('Alloy_compnt_G&amp;L'!E127/SUM('Alloy_compnt_G&amp;L'!E$125:E$184),0)</f>
        <v>0.44942857142857146</v>
      </c>
      <c r="F127" s="73">
        <f>IFERROR('Alloy_compnt_G&amp;L'!F127/SUM('Alloy_compnt_G&amp;L'!F$125:F$184),0)</f>
        <v>0.4494285714285714</v>
      </c>
      <c r="G127" s="73">
        <f>IFERROR('Alloy_compnt_G&amp;L'!G127/SUM('Alloy_compnt_G&amp;L'!G$125:G$184),0)</f>
        <v>0.44942857142857146</v>
      </c>
    </row>
    <row r="128" spans="1:7" x14ac:dyDescent="0.2">
      <c r="A128" s="142" t="s">
        <v>91</v>
      </c>
      <c r="B128" s="73">
        <f>IFERROR('Alloy_compnt_G&amp;L'!B128/SUM('Alloy_compnt_G&amp;L'!B$125:B$184),0)</f>
        <v>0</v>
      </c>
      <c r="C128" s="73">
        <f>IFERROR('Alloy_compnt_G&amp;L'!C128/SUM('Alloy_compnt_G&amp;L'!C$125:C$184),0)</f>
        <v>0</v>
      </c>
      <c r="D128" s="73">
        <f>IFERROR('Alloy_compnt_G&amp;L'!D128/SUM('Alloy_compnt_G&amp;L'!D$125:D$184),0)</f>
        <v>0</v>
      </c>
      <c r="E128" s="73">
        <f>IFERROR('Alloy_compnt_G&amp;L'!E128/SUM('Alloy_compnt_G&amp;L'!E$125:E$184),0)</f>
        <v>0</v>
      </c>
      <c r="F128" s="73">
        <f>IFERROR('Alloy_compnt_G&amp;L'!F128/SUM('Alloy_compnt_G&amp;L'!F$125:F$184),0)</f>
        <v>0</v>
      </c>
      <c r="G128" s="73">
        <f>IFERROR('Alloy_compnt_G&amp;L'!G128/SUM('Alloy_compnt_G&amp;L'!G$125:G$184),0)</f>
        <v>0</v>
      </c>
    </row>
    <row r="129" spans="1:7" x14ac:dyDescent="0.2">
      <c r="A129" s="142" t="s">
        <v>204</v>
      </c>
      <c r="B129" s="73">
        <f>IFERROR('Alloy_compnt_G&amp;L'!B129/SUM('Alloy_compnt_G&amp;L'!B$125:B$184),0)</f>
        <v>0.28333333333333327</v>
      </c>
      <c r="C129" s="73">
        <f>IFERROR('Alloy_compnt_G&amp;L'!C129/SUM('Alloy_compnt_G&amp;L'!C$125:C$184),0)</f>
        <v>0</v>
      </c>
      <c r="D129" s="73">
        <f>IFERROR('Alloy_compnt_G&amp;L'!D129/SUM('Alloy_compnt_G&amp;L'!D$125:D$184),0)</f>
        <v>0</v>
      </c>
      <c r="E129" s="73">
        <f>IFERROR('Alloy_compnt_G&amp;L'!E129/SUM('Alloy_compnt_G&amp;L'!E$125:E$184),0)</f>
        <v>0</v>
      </c>
      <c r="F129" s="73">
        <f>IFERROR('Alloy_compnt_G&amp;L'!F129/SUM('Alloy_compnt_G&amp;L'!F$125:F$184),0)</f>
        <v>0</v>
      </c>
      <c r="G129" s="73">
        <f>IFERROR('Alloy_compnt_G&amp;L'!G129/SUM('Alloy_compnt_G&amp;L'!G$125:G$184),0)</f>
        <v>0</v>
      </c>
    </row>
    <row r="130" spans="1:7" x14ac:dyDescent="0.2">
      <c r="A130" s="144" t="s">
        <v>104</v>
      </c>
      <c r="B130" s="73">
        <f>IFERROR('Alloy_compnt_G&amp;L'!B130/SUM('Alloy_compnt_G&amp;L'!B$125:B$184),0)</f>
        <v>4.9999999999999996E-2</v>
      </c>
      <c r="C130" s="73">
        <f>IFERROR('Alloy_compnt_G&amp;L'!C130/SUM('Alloy_compnt_G&amp;L'!C$125:C$184),0)</f>
        <v>0</v>
      </c>
      <c r="D130" s="73">
        <f>IFERROR('Alloy_compnt_G&amp;L'!D130/SUM('Alloy_compnt_G&amp;L'!D$125:D$184),0)</f>
        <v>0</v>
      </c>
      <c r="E130" s="73">
        <f>IFERROR('Alloy_compnt_G&amp;L'!E130/SUM('Alloy_compnt_G&amp;L'!E$125:E$184),0)</f>
        <v>0</v>
      </c>
      <c r="F130" s="73">
        <f>IFERROR('Alloy_compnt_G&amp;L'!F130/SUM('Alloy_compnt_G&amp;L'!F$125:F$184),0)</f>
        <v>0</v>
      </c>
      <c r="G130" s="73">
        <f>IFERROR('Alloy_compnt_G&amp;L'!G130/SUM('Alloy_compnt_G&amp;L'!G$125:G$184),0)</f>
        <v>0</v>
      </c>
    </row>
    <row r="131" spans="1:7" x14ac:dyDescent="0.2">
      <c r="A131" s="145" t="s">
        <v>244</v>
      </c>
      <c r="B131" s="73">
        <f>IFERROR('Alloy_compnt_G&amp;L'!B131/SUM('Alloy_compnt_G&amp;L'!B$125:B$184),0)</f>
        <v>0</v>
      </c>
      <c r="C131" s="73">
        <f>IFERROR('Alloy_compnt_G&amp;L'!C131/SUM('Alloy_compnt_G&amp;L'!C$125:C$184),0)</f>
        <v>0</v>
      </c>
      <c r="D131" s="73">
        <f>IFERROR('Alloy_compnt_G&amp;L'!D131/SUM('Alloy_compnt_G&amp;L'!D$125:D$184),0)</f>
        <v>0</v>
      </c>
      <c r="E131" s="73">
        <f>IFERROR('Alloy_compnt_G&amp;L'!E131/SUM('Alloy_compnt_G&amp;L'!E$125:E$184),0)</f>
        <v>0</v>
      </c>
      <c r="F131" s="73">
        <f>IFERROR('Alloy_compnt_G&amp;L'!F131/SUM('Alloy_compnt_G&amp;L'!F$125:F$184),0)</f>
        <v>0</v>
      </c>
      <c r="G131" s="73">
        <f>IFERROR('Alloy_compnt_G&amp;L'!G131/SUM('Alloy_compnt_G&amp;L'!G$125:G$184),0)</f>
        <v>0</v>
      </c>
    </row>
    <row r="132" spans="1:7" x14ac:dyDescent="0.2">
      <c r="A132" s="145" t="s">
        <v>245</v>
      </c>
      <c r="B132" s="73">
        <f>IFERROR('Alloy_compnt_G&amp;L'!B132/SUM('Alloy_compnt_G&amp;L'!B$125:B$184),0)</f>
        <v>0</v>
      </c>
      <c r="C132" s="73">
        <f>IFERROR('Alloy_compnt_G&amp;L'!C132/SUM('Alloy_compnt_G&amp;L'!C$125:C$184),0)</f>
        <v>0</v>
      </c>
      <c r="D132" s="73">
        <f>IFERROR('Alloy_compnt_G&amp;L'!D132/SUM('Alloy_compnt_G&amp;L'!D$125:D$184),0)</f>
        <v>0</v>
      </c>
      <c r="E132" s="73">
        <f>IFERROR('Alloy_compnt_G&amp;L'!E132/SUM('Alloy_compnt_G&amp;L'!E$125:E$184),0)</f>
        <v>0</v>
      </c>
      <c r="F132" s="73">
        <f>IFERROR('Alloy_compnt_G&amp;L'!F132/SUM('Alloy_compnt_G&amp;L'!F$125:F$184),0)</f>
        <v>0</v>
      </c>
      <c r="G132" s="73">
        <f>IFERROR('Alloy_compnt_G&amp;L'!G132/SUM('Alloy_compnt_G&amp;L'!G$125:G$184),0)</f>
        <v>0</v>
      </c>
    </row>
    <row r="133" spans="1:7" x14ac:dyDescent="0.2">
      <c r="A133" s="145" t="s">
        <v>246</v>
      </c>
      <c r="B133" s="73">
        <f>IFERROR('Alloy_compnt_G&amp;L'!B133/SUM('Alloy_compnt_G&amp;L'!B$125:B$184),0)</f>
        <v>0</v>
      </c>
      <c r="C133" s="73">
        <f>IFERROR('Alloy_compnt_G&amp;L'!C133/SUM('Alloy_compnt_G&amp;L'!C$125:C$184),0)</f>
        <v>0</v>
      </c>
      <c r="D133" s="73">
        <f>IFERROR('Alloy_compnt_G&amp;L'!D133/SUM('Alloy_compnt_G&amp;L'!D$125:D$184),0)</f>
        <v>0</v>
      </c>
      <c r="E133" s="73">
        <f>IFERROR('Alloy_compnt_G&amp;L'!E133/SUM('Alloy_compnt_G&amp;L'!E$125:E$184),0)</f>
        <v>0</v>
      </c>
      <c r="F133" s="73">
        <f>IFERROR('Alloy_compnt_G&amp;L'!F133/SUM('Alloy_compnt_G&amp;L'!F$125:F$184),0)</f>
        <v>0</v>
      </c>
      <c r="G133" s="73">
        <f>IFERROR('Alloy_compnt_G&amp;L'!G133/SUM('Alloy_compnt_G&amp;L'!G$125:G$184),0)</f>
        <v>0</v>
      </c>
    </row>
    <row r="134" spans="1:7" x14ac:dyDescent="0.2">
      <c r="A134" s="145" t="s">
        <v>247</v>
      </c>
      <c r="B134" s="73">
        <f>IFERROR('Alloy_compnt_G&amp;L'!B134/SUM('Alloy_compnt_G&amp;L'!B$125:B$184),0)</f>
        <v>0</v>
      </c>
      <c r="C134" s="73">
        <f>IFERROR('Alloy_compnt_G&amp;L'!C134/SUM('Alloy_compnt_G&amp;L'!C$125:C$184),0)</f>
        <v>0</v>
      </c>
      <c r="D134" s="73">
        <f>IFERROR('Alloy_compnt_G&amp;L'!D134/SUM('Alloy_compnt_G&amp;L'!D$125:D$184),0)</f>
        <v>0</v>
      </c>
      <c r="E134" s="73">
        <f>IFERROR('Alloy_compnt_G&amp;L'!E134/SUM('Alloy_compnt_G&amp;L'!E$125:E$184),0)</f>
        <v>0</v>
      </c>
      <c r="F134" s="73">
        <f>IFERROR('Alloy_compnt_G&amp;L'!F134/SUM('Alloy_compnt_G&amp;L'!F$125:F$184),0)</f>
        <v>0</v>
      </c>
      <c r="G134" s="73">
        <f>IFERROR('Alloy_compnt_G&amp;L'!G134/SUM('Alloy_compnt_G&amp;L'!G$125:G$184),0)</f>
        <v>0</v>
      </c>
    </row>
    <row r="135" spans="1:7" x14ac:dyDescent="0.2">
      <c r="A135" s="145" t="s">
        <v>248</v>
      </c>
      <c r="B135" s="73">
        <f>IFERROR('Alloy_compnt_G&amp;L'!B135/SUM('Alloy_compnt_G&amp;L'!B$125:B$184),0)</f>
        <v>0</v>
      </c>
      <c r="C135" s="73">
        <f>IFERROR('Alloy_compnt_G&amp;L'!C135/SUM('Alloy_compnt_G&amp;L'!C$125:C$184),0)</f>
        <v>0</v>
      </c>
      <c r="D135" s="73">
        <f>IFERROR('Alloy_compnt_G&amp;L'!D135/SUM('Alloy_compnt_G&amp;L'!D$125:D$184),0)</f>
        <v>0</v>
      </c>
      <c r="E135" s="73">
        <f>IFERROR('Alloy_compnt_G&amp;L'!E135/SUM('Alloy_compnt_G&amp;L'!E$125:E$184),0)</f>
        <v>0</v>
      </c>
      <c r="F135" s="73">
        <f>IFERROR('Alloy_compnt_G&amp;L'!F135/SUM('Alloy_compnt_G&amp;L'!F$125:F$184),0)</f>
        <v>0</v>
      </c>
      <c r="G135" s="73">
        <f>IFERROR('Alloy_compnt_G&amp;L'!G135/SUM('Alloy_compnt_G&amp;L'!G$125:G$184),0)</f>
        <v>0</v>
      </c>
    </row>
    <row r="136" spans="1:7" x14ac:dyDescent="0.2">
      <c r="A136" s="145" t="s">
        <v>249</v>
      </c>
      <c r="B136" s="73">
        <f>IFERROR('Alloy_compnt_G&amp;L'!B136/SUM('Alloy_compnt_G&amp;L'!B$125:B$184),0)</f>
        <v>0</v>
      </c>
      <c r="C136" s="73">
        <f>IFERROR('Alloy_compnt_G&amp;L'!C136/SUM('Alloy_compnt_G&amp;L'!C$125:C$184),0)</f>
        <v>0</v>
      </c>
      <c r="D136" s="73">
        <f>IFERROR('Alloy_compnt_G&amp;L'!D136/SUM('Alloy_compnt_G&amp;L'!D$125:D$184),0)</f>
        <v>0</v>
      </c>
      <c r="E136" s="73">
        <f>IFERROR('Alloy_compnt_G&amp;L'!E136/SUM('Alloy_compnt_G&amp;L'!E$125:E$184),0)</f>
        <v>0</v>
      </c>
      <c r="F136" s="73">
        <f>IFERROR('Alloy_compnt_G&amp;L'!F136/SUM('Alloy_compnt_G&amp;L'!F$125:F$184),0)</f>
        <v>0</v>
      </c>
      <c r="G136" s="73">
        <f>IFERROR('Alloy_compnt_G&amp;L'!G136/SUM('Alloy_compnt_G&amp;L'!G$125:G$184),0)</f>
        <v>0</v>
      </c>
    </row>
    <row r="137" spans="1:7" x14ac:dyDescent="0.2">
      <c r="A137" s="145" t="s">
        <v>250</v>
      </c>
      <c r="B137" s="73">
        <f>IFERROR('Alloy_compnt_G&amp;L'!B137/SUM('Alloy_compnt_G&amp;L'!B$125:B$184),0)</f>
        <v>0</v>
      </c>
      <c r="C137" s="73">
        <f>IFERROR('Alloy_compnt_G&amp;L'!C137/SUM('Alloy_compnt_G&amp;L'!C$125:C$184),0)</f>
        <v>0</v>
      </c>
      <c r="D137" s="73">
        <f>IFERROR('Alloy_compnt_G&amp;L'!D137/SUM('Alloy_compnt_G&amp;L'!D$125:D$184),0)</f>
        <v>0</v>
      </c>
      <c r="E137" s="73">
        <f>IFERROR('Alloy_compnt_G&amp;L'!E137/SUM('Alloy_compnt_G&amp;L'!E$125:E$184),0)</f>
        <v>0</v>
      </c>
      <c r="F137" s="73">
        <f>IFERROR('Alloy_compnt_G&amp;L'!F137/SUM('Alloy_compnt_G&amp;L'!F$125:F$184),0)</f>
        <v>0</v>
      </c>
      <c r="G137" s="73">
        <f>IFERROR('Alloy_compnt_G&amp;L'!G137/SUM('Alloy_compnt_G&amp;L'!G$125:G$184),0)</f>
        <v>0</v>
      </c>
    </row>
    <row r="138" spans="1:7" x14ac:dyDescent="0.2">
      <c r="A138" s="145" t="s">
        <v>251</v>
      </c>
      <c r="B138" s="73">
        <f>IFERROR('Alloy_compnt_G&amp;L'!B138/SUM('Alloy_compnt_G&amp;L'!B$125:B$184),0)</f>
        <v>0</v>
      </c>
      <c r="C138" s="73">
        <f>IFERROR('Alloy_compnt_G&amp;L'!C138/SUM('Alloy_compnt_G&amp;L'!C$125:C$184),0)</f>
        <v>0</v>
      </c>
      <c r="D138" s="73">
        <f>IFERROR('Alloy_compnt_G&amp;L'!D138/SUM('Alloy_compnt_G&amp;L'!D$125:D$184),0)</f>
        <v>0</v>
      </c>
      <c r="E138" s="73">
        <f>IFERROR('Alloy_compnt_G&amp;L'!E138/SUM('Alloy_compnt_G&amp;L'!E$125:E$184),0)</f>
        <v>0</v>
      </c>
      <c r="F138" s="73">
        <f>IFERROR('Alloy_compnt_G&amp;L'!F138/SUM('Alloy_compnt_G&amp;L'!F$125:F$184),0)</f>
        <v>0</v>
      </c>
      <c r="G138" s="73">
        <f>IFERROR('Alloy_compnt_G&amp;L'!G138/SUM('Alloy_compnt_G&amp;L'!G$125:G$184),0)</f>
        <v>0</v>
      </c>
    </row>
    <row r="139" spans="1:7" x14ac:dyDescent="0.2">
      <c r="A139" s="145" t="s">
        <v>252</v>
      </c>
      <c r="B139" s="73">
        <f>IFERROR('Alloy_compnt_G&amp;L'!B139/SUM('Alloy_compnt_G&amp;L'!B$125:B$184),0)</f>
        <v>0</v>
      </c>
      <c r="C139" s="73">
        <f>IFERROR('Alloy_compnt_G&amp;L'!C139/SUM('Alloy_compnt_G&amp;L'!C$125:C$184),0)</f>
        <v>0</v>
      </c>
      <c r="D139" s="73">
        <f>IFERROR('Alloy_compnt_G&amp;L'!D139/SUM('Alloy_compnt_G&amp;L'!D$125:D$184),0)</f>
        <v>0</v>
      </c>
      <c r="E139" s="73">
        <f>IFERROR('Alloy_compnt_G&amp;L'!E139/SUM('Alloy_compnt_G&amp;L'!E$125:E$184),0)</f>
        <v>0</v>
      </c>
      <c r="F139" s="73">
        <f>IFERROR('Alloy_compnt_G&amp;L'!F139/SUM('Alloy_compnt_G&amp;L'!F$125:F$184),0)</f>
        <v>0</v>
      </c>
      <c r="G139" s="73">
        <f>IFERROR('Alloy_compnt_G&amp;L'!G139/SUM('Alloy_compnt_G&amp;L'!G$125:G$184),0)</f>
        <v>0</v>
      </c>
    </row>
    <row r="140" spans="1:7" x14ac:dyDescent="0.2">
      <c r="A140" s="145" t="s">
        <v>253</v>
      </c>
      <c r="B140" s="73">
        <f>IFERROR('Alloy_compnt_G&amp;L'!B140/SUM('Alloy_compnt_G&amp;L'!B$125:B$184),0)</f>
        <v>0</v>
      </c>
      <c r="C140" s="73">
        <f>IFERROR('Alloy_compnt_G&amp;L'!C140/SUM('Alloy_compnt_G&amp;L'!C$125:C$184),0)</f>
        <v>0</v>
      </c>
      <c r="D140" s="73">
        <f>IFERROR('Alloy_compnt_G&amp;L'!D140/SUM('Alloy_compnt_G&amp;L'!D$125:D$184),0)</f>
        <v>0</v>
      </c>
      <c r="E140" s="73">
        <f>IFERROR('Alloy_compnt_G&amp;L'!E140/SUM('Alloy_compnt_G&amp;L'!E$125:E$184),0)</f>
        <v>0</v>
      </c>
      <c r="F140" s="73">
        <f>IFERROR('Alloy_compnt_G&amp;L'!F140/SUM('Alloy_compnt_G&amp;L'!F$125:F$184),0)</f>
        <v>0</v>
      </c>
      <c r="G140" s="73">
        <f>IFERROR('Alloy_compnt_G&amp;L'!G140/SUM('Alloy_compnt_G&amp;L'!G$125:G$184),0)</f>
        <v>0</v>
      </c>
    </row>
    <row r="141" spans="1:7" x14ac:dyDescent="0.2">
      <c r="A141" s="145" t="s">
        <v>254</v>
      </c>
      <c r="B141" s="73">
        <f>IFERROR('Alloy_compnt_G&amp;L'!B141/SUM('Alloy_compnt_G&amp;L'!B$125:B$184),0)</f>
        <v>0</v>
      </c>
      <c r="C141" s="73">
        <f>IFERROR('Alloy_compnt_G&amp;L'!C141/SUM('Alloy_compnt_G&amp;L'!C$125:C$184),0)</f>
        <v>0</v>
      </c>
      <c r="D141" s="73">
        <f>IFERROR('Alloy_compnt_G&amp;L'!D141/SUM('Alloy_compnt_G&amp;L'!D$125:D$184),0)</f>
        <v>0</v>
      </c>
      <c r="E141" s="73">
        <f>IFERROR('Alloy_compnt_G&amp;L'!E141/SUM('Alloy_compnt_G&amp;L'!E$125:E$184),0)</f>
        <v>0</v>
      </c>
      <c r="F141" s="73">
        <f>IFERROR('Alloy_compnt_G&amp;L'!F141/SUM('Alloy_compnt_G&amp;L'!F$125:F$184),0)</f>
        <v>0</v>
      </c>
      <c r="G141" s="73">
        <f>IFERROR('Alloy_compnt_G&amp;L'!G141/SUM('Alloy_compnt_G&amp;L'!G$125:G$184),0)</f>
        <v>0</v>
      </c>
    </row>
    <row r="142" spans="1:7" x14ac:dyDescent="0.2">
      <c r="A142" s="146" t="s">
        <v>255</v>
      </c>
      <c r="B142" s="73">
        <f>IFERROR('Alloy_compnt_G&amp;L'!B142/SUM('Alloy_compnt_G&amp;L'!B$125:B$184),0)</f>
        <v>0</v>
      </c>
      <c r="C142" s="73">
        <f>IFERROR('Alloy_compnt_G&amp;L'!C142/SUM('Alloy_compnt_G&amp;L'!C$125:C$184),0)</f>
        <v>0</v>
      </c>
      <c r="D142" s="73">
        <f>IFERROR('Alloy_compnt_G&amp;L'!D142/SUM('Alloy_compnt_G&amp;L'!D$125:D$184),0)</f>
        <v>0</v>
      </c>
      <c r="E142" s="73">
        <f>IFERROR('Alloy_compnt_G&amp;L'!E142/SUM('Alloy_compnt_G&amp;L'!E$125:E$184),0)</f>
        <v>0</v>
      </c>
      <c r="F142" s="73">
        <f>IFERROR('Alloy_compnt_G&amp;L'!F142/SUM('Alloy_compnt_G&amp;L'!F$125:F$184),0)</f>
        <v>0</v>
      </c>
      <c r="G142" s="73">
        <f>IFERROR('Alloy_compnt_G&amp;L'!G142/SUM('Alloy_compnt_G&amp;L'!G$125:G$184),0)</f>
        <v>0</v>
      </c>
    </row>
    <row r="143" spans="1:7" x14ac:dyDescent="0.2">
      <c r="A143" s="145" t="s">
        <v>256</v>
      </c>
      <c r="B143" s="73">
        <f>IFERROR('Alloy_compnt_G&amp;L'!B143/SUM('Alloy_compnt_G&amp;L'!B$125:B$184),0)</f>
        <v>0</v>
      </c>
      <c r="C143" s="73">
        <f>IFERROR('Alloy_compnt_G&amp;L'!C143/SUM('Alloy_compnt_G&amp;L'!C$125:C$184),0)</f>
        <v>0</v>
      </c>
      <c r="D143" s="73">
        <f>IFERROR('Alloy_compnt_G&amp;L'!D143/SUM('Alloy_compnt_G&amp;L'!D$125:D$184),0)</f>
        <v>0</v>
      </c>
      <c r="E143" s="73">
        <f>IFERROR('Alloy_compnt_G&amp;L'!E143/SUM('Alloy_compnt_G&amp;L'!E$125:E$184),0)</f>
        <v>0</v>
      </c>
      <c r="F143" s="73">
        <f>IFERROR('Alloy_compnt_G&amp;L'!F143/SUM('Alloy_compnt_G&amp;L'!F$125:F$184),0)</f>
        <v>0</v>
      </c>
      <c r="G143" s="73">
        <f>IFERROR('Alloy_compnt_G&amp;L'!G143/SUM('Alloy_compnt_G&amp;L'!G$125:G$184),0)</f>
        <v>0</v>
      </c>
    </row>
    <row r="144" spans="1:7" x14ac:dyDescent="0.2">
      <c r="A144" s="145" t="s">
        <v>257</v>
      </c>
      <c r="B144" s="73">
        <f>IFERROR('Alloy_compnt_G&amp;L'!B144/SUM('Alloy_compnt_G&amp;L'!B$125:B$184),0)</f>
        <v>0</v>
      </c>
      <c r="C144" s="73">
        <f>IFERROR('Alloy_compnt_G&amp;L'!C144/SUM('Alloy_compnt_G&amp;L'!C$125:C$184),0)</f>
        <v>0</v>
      </c>
      <c r="D144" s="73">
        <f>IFERROR('Alloy_compnt_G&amp;L'!D144/SUM('Alloy_compnt_G&amp;L'!D$125:D$184),0)</f>
        <v>0</v>
      </c>
      <c r="E144" s="73">
        <f>IFERROR('Alloy_compnt_G&amp;L'!E144/SUM('Alloy_compnt_G&amp;L'!E$125:E$184),0)</f>
        <v>0</v>
      </c>
      <c r="F144" s="73">
        <f>IFERROR('Alloy_compnt_G&amp;L'!F144/SUM('Alloy_compnt_G&amp;L'!F$125:F$184),0)</f>
        <v>0</v>
      </c>
      <c r="G144" s="73">
        <f>IFERROR('Alloy_compnt_G&amp;L'!G144/SUM('Alloy_compnt_G&amp;L'!G$125:G$184),0)</f>
        <v>0</v>
      </c>
    </row>
    <row r="145" spans="1:7" x14ac:dyDescent="0.2">
      <c r="A145" s="145" t="s">
        <v>258</v>
      </c>
      <c r="B145" s="73">
        <f>IFERROR('Alloy_compnt_G&amp;L'!B145/SUM('Alloy_compnt_G&amp;L'!B$125:B$184),0)</f>
        <v>0</v>
      </c>
      <c r="C145" s="73">
        <f>IFERROR('Alloy_compnt_G&amp;L'!C145/SUM('Alloy_compnt_G&amp;L'!C$125:C$184),0)</f>
        <v>0</v>
      </c>
      <c r="D145" s="73">
        <f>IFERROR('Alloy_compnt_G&amp;L'!D145/SUM('Alloy_compnt_G&amp;L'!D$125:D$184),0)</f>
        <v>0</v>
      </c>
      <c r="E145" s="73">
        <f>IFERROR('Alloy_compnt_G&amp;L'!E145/SUM('Alloy_compnt_G&amp;L'!E$125:E$184),0)</f>
        <v>0</v>
      </c>
      <c r="F145" s="73">
        <f>IFERROR('Alloy_compnt_G&amp;L'!F145/SUM('Alloy_compnt_G&amp;L'!F$125:F$184),0)</f>
        <v>0</v>
      </c>
      <c r="G145" s="73">
        <f>IFERROR('Alloy_compnt_G&amp;L'!G145/SUM('Alloy_compnt_G&amp;L'!G$125:G$184),0)</f>
        <v>0</v>
      </c>
    </row>
    <row r="146" spans="1:7" x14ac:dyDescent="0.2">
      <c r="A146" s="142" t="s">
        <v>259</v>
      </c>
      <c r="B146" s="73">
        <f>IFERROR('Alloy_compnt_G&amp;L'!B146/SUM('Alloy_compnt_G&amp;L'!B$125:B$184),0)</f>
        <v>0</v>
      </c>
      <c r="C146" s="73">
        <f>IFERROR('Alloy_compnt_G&amp;L'!C146/SUM('Alloy_compnt_G&amp;L'!C$125:C$184),0)</f>
        <v>0</v>
      </c>
      <c r="D146" s="73">
        <f>IFERROR('Alloy_compnt_G&amp;L'!D146/SUM('Alloy_compnt_G&amp;L'!D$125:D$184),0)</f>
        <v>0</v>
      </c>
      <c r="E146" s="73">
        <f>IFERROR('Alloy_compnt_G&amp;L'!E146/SUM('Alloy_compnt_G&amp;L'!E$125:E$184),0)</f>
        <v>0</v>
      </c>
      <c r="F146" s="73">
        <f>IFERROR('Alloy_compnt_G&amp;L'!F146/SUM('Alloy_compnt_G&amp;L'!F$125:F$184),0)</f>
        <v>0</v>
      </c>
      <c r="G146" s="73">
        <f>IFERROR('Alloy_compnt_G&amp;L'!G146/SUM('Alloy_compnt_G&amp;L'!G$125:G$184),0)</f>
        <v>0</v>
      </c>
    </row>
    <row r="147" spans="1:7" x14ac:dyDescent="0.2">
      <c r="A147" s="147" t="s">
        <v>260</v>
      </c>
      <c r="B147" s="73">
        <f>IFERROR('Alloy_compnt_G&amp;L'!B147/SUM('Alloy_compnt_G&amp;L'!B$125:B$184),0)</f>
        <v>0</v>
      </c>
      <c r="C147" s="73">
        <f>IFERROR('Alloy_compnt_G&amp;L'!C147/SUM('Alloy_compnt_G&amp;L'!C$125:C$184),0)</f>
        <v>0</v>
      </c>
      <c r="D147" s="73">
        <f>IFERROR('Alloy_compnt_G&amp;L'!D147/SUM('Alloy_compnt_G&amp;L'!D$125:D$184),0)</f>
        <v>0</v>
      </c>
      <c r="E147" s="73">
        <f>IFERROR('Alloy_compnt_G&amp;L'!E147/SUM('Alloy_compnt_G&amp;L'!E$125:E$184),0)</f>
        <v>0</v>
      </c>
      <c r="F147" s="73">
        <f>IFERROR('Alloy_compnt_G&amp;L'!F147/SUM('Alloy_compnt_G&amp;L'!F$125:F$184),0)</f>
        <v>0</v>
      </c>
      <c r="G147" s="73">
        <f>IFERROR('Alloy_compnt_G&amp;L'!G147/SUM('Alloy_compnt_G&amp;L'!G$125:G$184),0)</f>
        <v>0</v>
      </c>
    </row>
    <row r="148" spans="1:7" x14ac:dyDescent="0.2">
      <c r="A148" s="142" t="s">
        <v>261</v>
      </c>
      <c r="B148" s="73">
        <f>IFERROR('Alloy_compnt_G&amp;L'!B148/SUM('Alloy_compnt_G&amp;L'!B$125:B$184),0)</f>
        <v>0</v>
      </c>
      <c r="C148" s="73">
        <f>IFERROR('Alloy_compnt_G&amp;L'!C148/SUM('Alloy_compnt_G&amp;L'!C$125:C$184),0)</f>
        <v>0</v>
      </c>
      <c r="D148" s="73">
        <f>IFERROR('Alloy_compnt_G&amp;L'!D148/SUM('Alloy_compnt_G&amp;L'!D$125:D$184),0)</f>
        <v>0</v>
      </c>
      <c r="E148" s="73">
        <f>IFERROR('Alloy_compnt_G&amp;L'!E148/SUM('Alloy_compnt_G&amp;L'!E$125:E$184),0)</f>
        <v>0</v>
      </c>
      <c r="F148" s="73">
        <f>IFERROR('Alloy_compnt_G&amp;L'!F148/SUM('Alloy_compnt_G&amp;L'!F$125:F$184),0)</f>
        <v>0</v>
      </c>
      <c r="G148" s="73">
        <f>IFERROR('Alloy_compnt_G&amp;L'!G148/SUM('Alloy_compnt_G&amp;L'!G$125:G$184),0)</f>
        <v>0</v>
      </c>
    </row>
    <row r="149" spans="1:7" x14ac:dyDescent="0.2">
      <c r="A149" s="142" t="s">
        <v>262</v>
      </c>
      <c r="B149" s="73">
        <f>IFERROR('Alloy_compnt_G&amp;L'!B149/SUM('Alloy_compnt_G&amp;L'!B$125:B$184),0)</f>
        <v>0</v>
      </c>
      <c r="C149" s="73">
        <f>IFERROR('Alloy_compnt_G&amp;L'!C149/SUM('Alloy_compnt_G&amp;L'!C$125:C$184),0)</f>
        <v>0</v>
      </c>
      <c r="D149" s="73">
        <f>IFERROR('Alloy_compnt_G&amp;L'!D149/SUM('Alloy_compnt_G&amp;L'!D$125:D$184),0)</f>
        <v>0</v>
      </c>
      <c r="E149" s="73">
        <f>IFERROR('Alloy_compnt_G&amp;L'!E149/SUM('Alloy_compnt_G&amp;L'!E$125:E$184),0)</f>
        <v>0</v>
      </c>
      <c r="F149" s="73">
        <f>IFERROR('Alloy_compnt_G&amp;L'!F149/SUM('Alloy_compnt_G&amp;L'!F$125:F$184),0)</f>
        <v>0</v>
      </c>
      <c r="G149" s="73">
        <f>IFERROR('Alloy_compnt_G&amp;L'!G149/SUM('Alloy_compnt_G&amp;L'!G$125:G$184),0)</f>
        <v>0</v>
      </c>
    </row>
    <row r="150" spans="1:7" x14ac:dyDescent="0.2">
      <c r="A150" s="142" t="s">
        <v>263</v>
      </c>
      <c r="B150" s="73">
        <f>IFERROR('Alloy_compnt_G&amp;L'!B150/SUM('Alloy_compnt_G&amp;L'!B$125:B$184),0)</f>
        <v>0</v>
      </c>
      <c r="C150" s="73">
        <f>IFERROR('Alloy_compnt_G&amp;L'!C150/SUM('Alloy_compnt_G&amp;L'!C$125:C$184),0)</f>
        <v>0</v>
      </c>
      <c r="D150" s="73">
        <f>IFERROR('Alloy_compnt_G&amp;L'!D150/SUM('Alloy_compnt_G&amp;L'!D$125:D$184),0)</f>
        <v>0</v>
      </c>
      <c r="E150" s="73">
        <f>IFERROR('Alloy_compnt_G&amp;L'!E150/SUM('Alloy_compnt_G&amp;L'!E$125:E$184),0)</f>
        <v>0</v>
      </c>
      <c r="F150" s="73">
        <f>IFERROR('Alloy_compnt_G&amp;L'!F150/SUM('Alloy_compnt_G&amp;L'!F$125:F$184),0)</f>
        <v>0</v>
      </c>
      <c r="G150" s="73">
        <f>IFERROR('Alloy_compnt_G&amp;L'!G150/SUM('Alloy_compnt_G&amp;L'!G$125:G$184),0)</f>
        <v>0</v>
      </c>
    </row>
    <row r="151" spans="1:7" x14ac:dyDescent="0.2">
      <c r="A151" s="142" t="s">
        <v>264</v>
      </c>
      <c r="B151" s="73">
        <f>IFERROR('Alloy_compnt_G&amp;L'!B151/SUM('Alloy_compnt_G&amp;L'!B$125:B$184),0)</f>
        <v>0</v>
      </c>
      <c r="C151" s="73">
        <f>IFERROR('Alloy_compnt_G&amp;L'!C151/SUM('Alloy_compnt_G&amp;L'!C$125:C$184),0)</f>
        <v>0</v>
      </c>
      <c r="D151" s="73">
        <f>IFERROR('Alloy_compnt_G&amp;L'!D151/SUM('Alloy_compnt_G&amp;L'!D$125:D$184),0)</f>
        <v>0</v>
      </c>
      <c r="E151" s="73">
        <f>IFERROR('Alloy_compnt_G&amp;L'!E151/SUM('Alloy_compnt_G&amp;L'!E$125:E$184),0)</f>
        <v>0</v>
      </c>
      <c r="F151" s="73">
        <f>IFERROR('Alloy_compnt_G&amp;L'!F151/SUM('Alloy_compnt_G&amp;L'!F$125:F$184),0)</f>
        <v>0</v>
      </c>
      <c r="G151" s="73">
        <f>IFERROR('Alloy_compnt_G&amp;L'!G151/SUM('Alloy_compnt_G&amp;L'!G$125:G$184),0)</f>
        <v>0</v>
      </c>
    </row>
    <row r="152" spans="1:7" x14ac:dyDescent="0.2">
      <c r="A152" s="142" t="s">
        <v>265</v>
      </c>
      <c r="B152" s="73">
        <f>IFERROR('Alloy_compnt_G&amp;L'!B152/SUM('Alloy_compnt_G&amp;L'!B$125:B$184),0)</f>
        <v>0</v>
      </c>
      <c r="C152" s="73">
        <f>IFERROR('Alloy_compnt_G&amp;L'!C152/SUM('Alloy_compnt_G&amp;L'!C$125:C$184),0)</f>
        <v>0</v>
      </c>
      <c r="D152" s="73">
        <f>IFERROR('Alloy_compnt_G&amp;L'!D152/SUM('Alloy_compnt_G&amp;L'!D$125:D$184),0)</f>
        <v>0</v>
      </c>
      <c r="E152" s="73">
        <f>IFERROR('Alloy_compnt_G&amp;L'!E152/SUM('Alloy_compnt_G&amp;L'!E$125:E$184),0)</f>
        <v>0</v>
      </c>
      <c r="F152" s="73">
        <f>IFERROR('Alloy_compnt_G&amp;L'!F152/SUM('Alloy_compnt_G&amp;L'!F$125:F$184),0)</f>
        <v>0</v>
      </c>
      <c r="G152" s="73">
        <f>IFERROR('Alloy_compnt_G&amp;L'!G152/SUM('Alloy_compnt_G&amp;L'!G$125:G$184),0)</f>
        <v>0</v>
      </c>
    </row>
    <row r="153" spans="1:7" x14ac:dyDescent="0.2">
      <c r="A153" s="142" t="s">
        <v>266</v>
      </c>
      <c r="B153" s="73">
        <f>IFERROR('Alloy_compnt_G&amp;L'!B153/SUM('Alloy_compnt_G&amp;L'!B$125:B$184),0)</f>
        <v>0</v>
      </c>
      <c r="C153" s="73">
        <f>IFERROR('Alloy_compnt_G&amp;L'!C153/SUM('Alloy_compnt_G&amp;L'!C$125:C$184),0)</f>
        <v>0</v>
      </c>
      <c r="D153" s="73">
        <f>IFERROR('Alloy_compnt_G&amp;L'!D153/SUM('Alloy_compnt_G&amp;L'!D$125:D$184),0)</f>
        <v>0</v>
      </c>
      <c r="E153" s="73">
        <f>IFERROR('Alloy_compnt_G&amp;L'!E153/SUM('Alloy_compnt_G&amp;L'!E$125:E$184),0)</f>
        <v>0</v>
      </c>
      <c r="F153" s="73">
        <f>IFERROR('Alloy_compnt_G&amp;L'!F153/SUM('Alloy_compnt_G&amp;L'!F$125:F$184),0)</f>
        <v>0</v>
      </c>
      <c r="G153" s="73">
        <f>IFERROR('Alloy_compnt_G&amp;L'!G153/SUM('Alloy_compnt_G&amp;L'!G$125:G$184),0)</f>
        <v>0</v>
      </c>
    </row>
    <row r="154" spans="1:7" x14ac:dyDescent="0.2">
      <c r="A154" s="142" t="s">
        <v>267</v>
      </c>
      <c r="B154" s="73">
        <f>IFERROR('Alloy_compnt_G&amp;L'!B154/SUM('Alloy_compnt_G&amp;L'!B$125:B$184),0)</f>
        <v>0</v>
      </c>
      <c r="C154" s="73">
        <f>IFERROR('Alloy_compnt_G&amp;L'!C154/SUM('Alloy_compnt_G&amp;L'!C$125:C$184),0)</f>
        <v>0</v>
      </c>
      <c r="D154" s="73">
        <f>IFERROR('Alloy_compnt_G&amp;L'!D154/SUM('Alloy_compnt_G&amp;L'!D$125:D$184),0)</f>
        <v>0</v>
      </c>
      <c r="E154" s="73">
        <f>IFERROR('Alloy_compnt_G&amp;L'!E154/SUM('Alloy_compnt_G&amp;L'!E$125:E$184),0)</f>
        <v>0</v>
      </c>
      <c r="F154" s="73">
        <f>IFERROR('Alloy_compnt_G&amp;L'!F154/SUM('Alloy_compnt_G&amp;L'!F$125:F$184),0)</f>
        <v>0</v>
      </c>
      <c r="G154" s="73">
        <f>IFERROR('Alloy_compnt_G&amp;L'!G154/SUM('Alloy_compnt_G&amp;L'!G$125:G$184),0)</f>
        <v>0</v>
      </c>
    </row>
    <row r="155" spans="1:7" x14ac:dyDescent="0.2">
      <c r="A155" s="142" t="s">
        <v>268</v>
      </c>
      <c r="B155" s="73">
        <f>IFERROR('Alloy_compnt_G&amp;L'!B155/SUM('Alloy_compnt_G&amp;L'!B$125:B$184),0)</f>
        <v>0</v>
      </c>
      <c r="C155" s="73">
        <f>IFERROR('Alloy_compnt_G&amp;L'!C155/SUM('Alloy_compnt_G&amp;L'!C$125:C$184),0)</f>
        <v>0</v>
      </c>
      <c r="D155" s="73">
        <f>IFERROR('Alloy_compnt_G&amp;L'!D155/SUM('Alloy_compnt_G&amp;L'!D$125:D$184),0)</f>
        <v>0</v>
      </c>
      <c r="E155" s="73">
        <f>IFERROR('Alloy_compnt_G&amp;L'!E155/SUM('Alloy_compnt_G&amp;L'!E$125:E$184),0)</f>
        <v>0</v>
      </c>
      <c r="F155" s="73">
        <f>IFERROR('Alloy_compnt_G&amp;L'!F155/SUM('Alloy_compnt_G&amp;L'!F$125:F$184),0)</f>
        <v>0</v>
      </c>
      <c r="G155" s="73">
        <f>IFERROR('Alloy_compnt_G&amp;L'!G155/SUM('Alloy_compnt_G&amp;L'!G$125:G$184),0)</f>
        <v>0</v>
      </c>
    </row>
    <row r="156" spans="1:7" x14ac:dyDescent="0.2">
      <c r="A156" s="142" t="s">
        <v>269</v>
      </c>
      <c r="B156" s="73">
        <f>IFERROR('Alloy_compnt_G&amp;L'!B156/SUM('Alloy_compnt_G&amp;L'!B$125:B$184),0)</f>
        <v>0</v>
      </c>
      <c r="C156" s="73">
        <f>IFERROR('Alloy_compnt_G&amp;L'!C156/SUM('Alloy_compnt_G&amp;L'!C$125:C$184),0)</f>
        <v>0</v>
      </c>
      <c r="D156" s="73">
        <f>IFERROR('Alloy_compnt_G&amp;L'!D156/SUM('Alloy_compnt_G&amp;L'!D$125:D$184),0)</f>
        <v>0</v>
      </c>
      <c r="E156" s="73">
        <f>IFERROR('Alloy_compnt_G&amp;L'!E156/SUM('Alloy_compnt_G&amp;L'!E$125:E$184),0)</f>
        <v>0</v>
      </c>
      <c r="F156" s="73">
        <f>IFERROR('Alloy_compnt_G&amp;L'!F156/SUM('Alloy_compnt_G&amp;L'!F$125:F$184),0)</f>
        <v>0</v>
      </c>
      <c r="G156" s="73">
        <f>IFERROR('Alloy_compnt_G&amp;L'!G156/SUM('Alloy_compnt_G&amp;L'!G$125:G$184),0)</f>
        <v>0</v>
      </c>
    </row>
    <row r="157" spans="1:7" x14ac:dyDescent="0.2">
      <c r="A157" s="142" t="s">
        <v>270</v>
      </c>
      <c r="B157" s="73">
        <f>IFERROR('Alloy_compnt_G&amp;L'!B157/SUM('Alloy_compnt_G&amp;L'!B$125:B$184),0)</f>
        <v>0</v>
      </c>
      <c r="C157" s="73">
        <f>IFERROR('Alloy_compnt_G&amp;L'!C157/SUM('Alloy_compnt_G&amp;L'!C$125:C$184),0)</f>
        <v>0</v>
      </c>
      <c r="D157" s="73">
        <f>IFERROR('Alloy_compnt_G&amp;L'!D157/SUM('Alloy_compnt_G&amp;L'!D$125:D$184),0)</f>
        <v>0</v>
      </c>
      <c r="E157" s="73">
        <f>IFERROR('Alloy_compnt_G&amp;L'!E157/SUM('Alloy_compnt_G&amp;L'!E$125:E$184),0)</f>
        <v>0</v>
      </c>
      <c r="F157" s="73">
        <f>IFERROR('Alloy_compnt_G&amp;L'!F157/SUM('Alloy_compnt_G&amp;L'!F$125:F$184),0)</f>
        <v>0</v>
      </c>
      <c r="G157" s="73">
        <f>IFERROR('Alloy_compnt_G&amp;L'!G157/SUM('Alloy_compnt_G&amp;L'!G$125:G$184),0)</f>
        <v>0</v>
      </c>
    </row>
    <row r="158" spans="1:7" x14ac:dyDescent="0.2">
      <c r="A158" s="142" t="s">
        <v>271</v>
      </c>
      <c r="B158" s="73">
        <f>IFERROR('Alloy_compnt_G&amp;L'!B158/SUM('Alloy_compnt_G&amp;L'!B$125:B$184),0)</f>
        <v>0</v>
      </c>
      <c r="C158" s="73">
        <f>IFERROR('Alloy_compnt_G&amp;L'!C158/SUM('Alloy_compnt_G&amp;L'!C$125:C$184),0)</f>
        <v>0</v>
      </c>
      <c r="D158" s="73">
        <f>IFERROR('Alloy_compnt_G&amp;L'!D158/SUM('Alloy_compnt_G&amp;L'!D$125:D$184),0)</f>
        <v>0</v>
      </c>
      <c r="E158" s="73">
        <f>IFERROR('Alloy_compnt_G&amp;L'!E158/SUM('Alloy_compnt_G&amp;L'!E$125:E$184),0)</f>
        <v>0</v>
      </c>
      <c r="F158" s="73">
        <f>IFERROR('Alloy_compnt_G&amp;L'!F158/SUM('Alloy_compnt_G&amp;L'!F$125:F$184),0)</f>
        <v>0</v>
      </c>
      <c r="G158" s="73">
        <f>IFERROR('Alloy_compnt_G&amp;L'!G158/SUM('Alloy_compnt_G&amp;L'!G$125:G$184),0)</f>
        <v>0</v>
      </c>
    </row>
    <row r="159" spans="1:7" x14ac:dyDescent="0.2">
      <c r="A159" s="142" t="s">
        <v>272</v>
      </c>
      <c r="B159" s="73">
        <f>IFERROR('Alloy_compnt_G&amp;L'!B159/SUM('Alloy_compnt_G&amp;L'!B$125:B$184),0)</f>
        <v>0</v>
      </c>
      <c r="C159" s="73">
        <f>IFERROR('Alloy_compnt_G&amp;L'!C159/SUM('Alloy_compnt_G&amp;L'!C$125:C$184),0)</f>
        <v>0</v>
      </c>
      <c r="D159" s="73">
        <f>IFERROR('Alloy_compnt_G&amp;L'!D159/SUM('Alloy_compnt_G&amp;L'!D$125:D$184),0)</f>
        <v>0</v>
      </c>
      <c r="E159" s="73">
        <f>IFERROR('Alloy_compnt_G&amp;L'!E159/SUM('Alloy_compnt_G&amp;L'!E$125:E$184),0)</f>
        <v>0</v>
      </c>
      <c r="F159" s="73">
        <f>IFERROR('Alloy_compnt_G&amp;L'!F159/SUM('Alloy_compnt_G&amp;L'!F$125:F$184),0)</f>
        <v>0</v>
      </c>
      <c r="G159" s="73">
        <f>IFERROR('Alloy_compnt_G&amp;L'!G159/SUM('Alloy_compnt_G&amp;L'!G$125:G$184),0)</f>
        <v>0</v>
      </c>
    </row>
    <row r="160" spans="1:7" x14ac:dyDescent="0.2">
      <c r="A160" s="142" t="s">
        <v>273</v>
      </c>
      <c r="B160" s="73">
        <f>IFERROR('Alloy_compnt_G&amp;L'!B160/SUM('Alloy_compnt_G&amp;L'!B$125:B$184),0)</f>
        <v>0</v>
      </c>
      <c r="C160" s="73">
        <f>IFERROR('Alloy_compnt_G&amp;L'!C160/SUM('Alloy_compnt_G&amp;L'!C$125:C$184),0)</f>
        <v>0</v>
      </c>
      <c r="D160" s="73">
        <f>IFERROR('Alloy_compnt_G&amp;L'!D160/SUM('Alloy_compnt_G&amp;L'!D$125:D$184),0)</f>
        <v>0</v>
      </c>
      <c r="E160" s="73">
        <f>IFERROR('Alloy_compnt_G&amp;L'!E160/SUM('Alloy_compnt_G&amp;L'!E$125:E$184),0)</f>
        <v>0</v>
      </c>
      <c r="F160" s="73">
        <f>IFERROR('Alloy_compnt_G&amp;L'!F160/SUM('Alloy_compnt_G&amp;L'!F$125:F$184),0)</f>
        <v>0</v>
      </c>
      <c r="G160" s="73">
        <f>IFERROR('Alloy_compnt_G&amp;L'!G160/SUM('Alloy_compnt_G&amp;L'!G$125:G$184),0)</f>
        <v>0</v>
      </c>
    </row>
    <row r="161" spans="1:7" x14ac:dyDescent="0.2">
      <c r="A161" s="142" t="s">
        <v>274</v>
      </c>
      <c r="B161" s="73">
        <f>IFERROR('Alloy_compnt_G&amp;L'!B161/SUM('Alloy_compnt_G&amp;L'!B$125:B$184),0)</f>
        <v>4.3333333333333328E-2</v>
      </c>
      <c r="C161" s="73">
        <f>IFERROR('Alloy_compnt_G&amp;L'!C161/SUM('Alloy_compnt_G&amp;L'!C$125:C$184),0)</f>
        <v>4.3333333333333342E-2</v>
      </c>
      <c r="D161" s="73">
        <f>IFERROR('Alloy_compnt_G&amp;L'!D161/SUM('Alloy_compnt_G&amp;L'!D$125:D$184),0)</f>
        <v>3.229813664596274E-2</v>
      </c>
      <c r="E161" s="73">
        <f>IFERROR('Alloy_compnt_G&amp;L'!E161/SUM('Alloy_compnt_G&amp;L'!E$125:E$184),0)</f>
        <v>3.2298136645962733E-2</v>
      </c>
      <c r="F161" s="73">
        <f>IFERROR('Alloy_compnt_G&amp;L'!F161/SUM('Alloy_compnt_G&amp;L'!F$125:F$184),0)</f>
        <v>3.2298136645962733E-2</v>
      </c>
      <c r="G161" s="73">
        <f>IFERROR('Alloy_compnt_G&amp;L'!G161/SUM('Alloy_compnt_G&amp;L'!G$125:G$184),0)</f>
        <v>3.2298136645962733E-2</v>
      </c>
    </row>
    <row r="162" spans="1:7" x14ac:dyDescent="0.2">
      <c r="A162" s="142" t="s">
        <v>275</v>
      </c>
      <c r="B162" s="73">
        <f>IFERROR('Alloy_compnt_G&amp;L'!B162/SUM('Alloy_compnt_G&amp;L'!B$125:B$184),0)</f>
        <v>0</v>
      </c>
      <c r="C162" s="73">
        <f>IFERROR('Alloy_compnt_G&amp;L'!C162/SUM('Alloy_compnt_G&amp;L'!C$125:C$184),0)</f>
        <v>0</v>
      </c>
      <c r="D162" s="73">
        <f>IFERROR('Alloy_compnt_G&amp;L'!D162/SUM('Alloy_compnt_G&amp;L'!D$125:D$184),0)</f>
        <v>0</v>
      </c>
      <c r="E162" s="73">
        <f>IFERROR('Alloy_compnt_G&amp;L'!E162/SUM('Alloy_compnt_G&amp;L'!E$125:E$184),0)</f>
        <v>0</v>
      </c>
      <c r="F162" s="73">
        <f>IFERROR('Alloy_compnt_G&amp;L'!F162/SUM('Alloy_compnt_G&amp;L'!F$125:F$184),0)</f>
        <v>0</v>
      </c>
      <c r="G162" s="73">
        <f>IFERROR('Alloy_compnt_G&amp;L'!G162/SUM('Alloy_compnt_G&amp;L'!G$125:G$184),0)</f>
        <v>0</v>
      </c>
    </row>
    <row r="163" spans="1:7" x14ac:dyDescent="0.2">
      <c r="A163" s="142" t="s">
        <v>276</v>
      </c>
      <c r="B163" s="73">
        <f>IFERROR('Alloy_compnt_G&amp;L'!B163/SUM('Alloy_compnt_G&amp;L'!B$125:B$184),0)</f>
        <v>0</v>
      </c>
      <c r="C163" s="73">
        <f>IFERROR('Alloy_compnt_G&amp;L'!C163/SUM('Alloy_compnt_G&amp;L'!C$125:C$184),0)</f>
        <v>0</v>
      </c>
      <c r="D163" s="73">
        <f>IFERROR('Alloy_compnt_G&amp;L'!D163/SUM('Alloy_compnt_G&amp;L'!D$125:D$184),0)</f>
        <v>0</v>
      </c>
      <c r="E163" s="73">
        <f>IFERROR('Alloy_compnt_G&amp;L'!E163/SUM('Alloy_compnt_G&amp;L'!E$125:E$184),0)</f>
        <v>0</v>
      </c>
      <c r="F163" s="73">
        <f>IFERROR('Alloy_compnt_G&amp;L'!F163/SUM('Alloy_compnt_G&amp;L'!F$125:F$184),0)</f>
        <v>0</v>
      </c>
      <c r="G163" s="73">
        <f>IFERROR('Alloy_compnt_G&amp;L'!G163/SUM('Alloy_compnt_G&amp;L'!G$125:G$184),0)</f>
        <v>0</v>
      </c>
    </row>
    <row r="164" spans="1:7" x14ac:dyDescent="0.2">
      <c r="A164" s="144" t="s">
        <v>277</v>
      </c>
      <c r="B164" s="73">
        <f>IFERROR('Alloy_compnt_G&amp;L'!B164/SUM('Alloy_compnt_G&amp;L'!B$125:B$184),0)</f>
        <v>0</v>
      </c>
      <c r="C164" s="73">
        <f>IFERROR('Alloy_compnt_G&amp;L'!C164/SUM('Alloy_compnt_G&amp;L'!C$125:C$184),0)</f>
        <v>0</v>
      </c>
      <c r="D164" s="73">
        <f>IFERROR('Alloy_compnt_G&amp;L'!D164/SUM('Alloy_compnt_G&amp;L'!D$125:D$184),0)</f>
        <v>0</v>
      </c>
      <c r="E164" s="73">
        <f>IFERROR('Alloy_compnt_G&amp;L'!E164/SUM('Alloy_compnt_G&amp;L'!E$125:E$184),0)</f>
        <v>0</v>
      </c>
      <c r="F164" s="73">
        <f>IFERROR('Alloy_compnt_G&amp;L'!F164/SUM('Alloy_compnt_G&amp;L'!F$125:F$184),0)</f>
        <v>0</v>
      </c>
      <c r="G164" s="73">
        <f>IFERROR('Alloy_compnt_G&amp;L'!G164/SUM('Alloy_compnt_G&amp;L'!G$125:G$184),0)</f>
        <v>0</v>
      </c>
    </row>
    <row r="165" spans="1:7" x14ac:dyDescent="0.2">
      <c r="A165" s="148" t="s">
        <v>278</v>
      </c>
      <c r="B165" s="73">
        <f>IFERROR('Alloy_compnt_G&amp;L'!B165/SUM('Alloy_compnt_G&amp;L'!B$125:B$184),0)</f>
        <v>0</v>
      </c>
      <c r="C165" s="73">
        <f>IFERROR('Alloy_compnt_G&amp;L'!C165/SUM('Alloy_compnt_G&amp;L'!C$125:C$184),0)</f>
        <v>0</v>
      </c>
      <c r="D165" s="73">
        <f>IFERROR('Alloy_compnt_G&amp;L'!D165/SUM('Alloy_compnt_G&amp;L'!D$125:D$184),0)</f>
        <v>0</v>
      </c>
      <c r="E165" s="73">
        <f>IFERROR('Alloy_compnt_G&amp;L'!E165/SUM('Alloy_compnt_G&amp;L'!E$125:E$184),0)</f>
        <v>0</v>
      </c>
      <c r="F165" s="73">
        <f>IFERROR('Alloy_compnt_G&amp;L'!F165/SUM('Alloy_compnt_G&amp;L'!F$125:F$184),0)</f>
        <v>0</v>
      </c>
      <c r="G165" s="73">
        <f>IFERROR('Alloy_compnt_G&amp;L'!G165/SUM('Alloy_compnt_G&amp;L'!G$125:G$184),0)</f>
        <v>0</v>
      </c>
    </row>
    <row r="166" spans="1:7" x14ac:dyDescent="0.2">
      <c r="A166" s="148" t="s">
        <v>279</v>
      </c>
      <c r="B166" s="73">
        <f>IFERROR('Alloy_compnt_G&amp;L'!B166/SUM('Alloy_compnt_G&amp;L'!B$125:B$184),0)</f>
        <v>3.2222222222222222E-2</v>
      </c>
      <c r="C166" s="73">
        <f>IFERROR('Alloy_compnt_G&amp;L'!C166/SUM('Alloy_compnt_G&amp;L'!C$125:C$184),0)</f>
        <v>3.2222222222222228E-2</v>
      </c>
      <c r="D166" s="73">
        <f>IFERROR('Alloy_compnt_G&amp;L'!D166/SUM('Alloy_compnt_G&amp;L'!D$125:D$184),0)</f>
        <v>2.4016563146997936E-2</v>
      </c>
      <c r="E166" s="73">
        <f>IFERROR('Alloy_compnt_G&amp;L'!E166/SUM('Alloy_compnt_G&amp;L'!E$125:E$184),0)</f>
        <v>2.4016563146997929E-2</v>
      </c>
      <c r="F166" s="73">
        <f>IFERROR('Alloy_compnt_G&amp;L'!F166/SUM('Alloy_compnt_G&amp;L'!F$125:F$184),0)</f>
        <v>2.4016563146997932E-2</v>
      </c>
      <c r="G166" s="73">
        <f>IFERROR('Alloy_compnt_G&amp;L'!G166/SUM('Alloy_compnt_G&amp;L'!G$125:G$184),0)</f>
        <v>2.4016563146997925E-2</v>
      </c>
    </row>
    <row r="167" spans="1:7" x14ac:dyDescent="0.2">
      <c r="A167" s="148" t="s">
        <v>280</v>
      </c>
      <c r="B167" s="73">
        <f>IFERROR('Alloy_compnt_G&amp;L'!B167/SUM('Alloy_compnt_G&amp;L'!B$125:B$184),0)</f>
        <v>0</v>
      </c>
      <c r="C167" s="73">
        <f>IFERROR('Alloy_compnt_G&amp;L'!C167/SUM('Alloy_compnt_G&amp;L'!C$125:C$184),0)</f>
        <v>0</v>
      </c>
      <c r="D167" s="73">
        <f>IFERROR('Alloy_compnt_G&amp;L'!D167/SUM('Alloy_compnt_G&amp;L'!D$125:D$184),0)</f>
        <v>0</v>
      </c>
      <c r="E167" s="73">
        <f>IFERROR('Alloy_compnt_G&amp;L'!E167/SUM('Alloy_compnt_G&amp;L'!E$125:E$184),0)</f>
        <v>0</v>
      </c>
      <c r="F167" s="73">
        <f>IFERROR('Alloy_compnt_G&amp;L'!F167/SUM('Alloy_compnt_G&amp;L'!F$125:F$184),0)</f>
        <v>0</v>
      </c>
      <c r="G167" s="73">
        <f>IFERROR('Alloy_compnt_G&amp;L'!G167/SUM('Alloy_compnt_G&amp;L'!G$125:G$184),0)</f>
        <v>0</v>
      </c>
    </row>
    <row r="168" spans="1:7" x14ac:dyDescent="0.2">
      <c r="A168" s="148" t="s">
        <v>281</v>
      </c>
      <c r="B168" s="73">
        <f>IFERROR('Alloy_compnt_G&amp;L'!B168/SUM('Alloy_compnt_G&amp;L'!B$125:B$184),0)</f>
        <v>0</v>
      </c>
      <c r="C168" s="73">
        <f>IFERROR('Alloy_compnt_G&amp;L'!C168/SUM('Alloy_compnt_G&amp;L'!C$125:C$184),0)</f>
        <v>0</v>
      </c>
      <c r="D168" s="73">
        <f>IFERROR('Alloy_compnt_G&amp;L'!D168/SUM('Alloy_compnt_G&amp;L'!D$125:D$184),0)</f>
        <v>0</v>
      </c>
      <c r="E168" s="73">
        <f>IFERROR('Alloy_compnt_G&amp;L'!E168/SUM('Alloy_compnt_G&amp;L'!E$125:E$184),0)</f>
        <v>0</v>
      </c>
      <c r="F168" s="73">
        <f>IFERROR('Alloy_compnt_G&amp;L'!F168/SUM('Alloy_compnt_G&amp;L'!F$125:F$184),0)</f>
        <v>0</v>
      </c>
      <c r="G168" s="73">
        <f>IFERROR('Alloy_compnt_G&amp;L'!G168/SUM('Alloy_compnt_G&amp;L'!G$125:G$184),0)</f>
        <v>0</v>
      </c>
    </row>
    <row r="169" spans="1:7" x14ac:dyDescent="0.2">
      <c r="A169" s="148" t="s">
        <v>282</v>
      </c>
      <c r="B169" s="73">
        <f>IFERROR('Alloy_compnt_G&amp;L'!B169/SUM('Alloy_compnt_G&amp;L'!B$125:B$184),0)</f>
        <v>0.12888888888888889</v>
      </c>
      <c r="C169" s="73">
        <f>IFERROR('Alloy_compnt_G&amp;L'!C169/SUM('Alloy_compnt_G&amp;L'!C$125:C$184),0)</f>
        <v>0.12888888888888891</v>
      </c>
      <c r="D169" s="73">
        <f>IFERROR('Alloy_compnt_G&amp;L'!D169/SUM('Alloy_compnt_G&amp;L'!D$125:D$184),0)</f>
        <v>9.6066252587991743E-2</v>
      </c>
      <c r="E169" s="73">
        <f>IFERROR('Alloy_compnt_G&amp;L'!E169/SUM('Alloy_compnt_G&amp;L'!E$125:E$184),0)</f>
        <v>9.6066252587991716E-2</v>
      </c>
      <c r="F169" s="73">
        <f>IFERROR('Alloy_compnt_G&amp;L'!F169/SUM('Alloy_compnt_G&amp;L'!F$125:F$184),0)</f>
        <v>9.606625258799173E-2</v>
      </c>
      <c r="G169" s="73">
        <f>IFERROR('Alloy_compnt_G&amp;L'!G169/SUM('Alloy_compnt_G&amp;L'!G$125:G$184),0)</f>
        <v>9.6066252587991702E-2</v>
      </c>
    </row>
    <row r="170" spans="1:7" x14ac:dyDescent="0.2">
      <c r="A170" s="148" t="s">
        <v>283</v>
      </c>
      <c r="B170" s="73">
        <f>IFERROR('Alloy_compnt_G&amp;L'!B170/SUM('Alloy_compnt_G&amp;L'!B$125:B$184),0)</f>
        <v>0.12888888888888889</v>
      </c>
      <c r="C170" s="73">
        <f>IFERROR('Alloy_compnt_G&amp;L'!C170/SUM('Alloy_compnt_G&amp;L'!C$125:C$184),0)</f>
        <v>0.12888888888888891</v>
      </c>
      <c r="D170" s="73">
        <f>IFERROR('Alloy_compnt_G&amp;L'!D170/SUM('Alloy_compnt_G&amp;L'!D$125:D$184),0)</f>
        <v>9.6066252587991743E-2</v>
      </c>
      <c r="E170" s="73">
        <f>IFERROR('Alloy_compnt_G&amp;L'!E170/SUM('Alloy_compnt_G&amp;L'!E$125:E$184),0)</f>
        <v>9.6066252587991716E-2</v>
      </c>
      <c r="F170" s="73">
        <f>IFERROR('Alloy_compnt_G&amp;L'!F170/SUM('Alloy_compnt_G&amp;L'!F$125:F$184),0)</f>
        <v>9.606625258799173E-2</v>
      </c>
      <c r="G170" s="73">
        <f>IFERROR('Alloy_compnt_G&amp;L'!G170/SUM('Alloy_compnt_G&amp;L'!G$125:G$184),0)</f>
        <v>9.6066252587991702E-2</v>
      </c>
    </row>
    <row r="171" spans="1:7" x14ac:dyDescent="0.2">
      <c r="A171" s="148" t="s">
        <v>284</v>
      </c>
      <c r="B171" s="73">
        <f>IFERROR('Alloy_compnt_G&amp;L'!B171/SUM('Alloy_compnt_G&amp;L'!B$125:B$184),0)</f>
        <v>0</v>
      </c>
      <c r="C171" s="73">
        <f>IFERROR('Alloy_compnt_G&amp;L'!C171/SUM('Alloy_compnt_G&amp;L'!C$125:C$184),0)</f>
        <v>0</v>
      </c>
      <c r="D171" s="73">
        <f>IFERROR('Alloy_compnt_G&amp;L'!D171/SUM('Alloy_compnt_G&amp;L'!D$125:D$184),0)</f>
        <v>0</v>
      </c>
      <c r="E171" s="73">
        <f>IFERROR('Alloy_compnt_G&amp;L'!E171/SUM('Alloy_compnt_G&amp;L'!E$125:E$184),0)</f>
        <v>0</v>
      </c>
      <c r="F171" s="73">
        <f>IFERROR('Alloy_compnt_G&amp;L'!F171/SUM('Alloy_compnt_G&amp;L'!F$125:F$184),0)</f>
        <v>0</v>
      </c>
      <c r="G171" s="73">
        <f>IFERROR('Alloy_compnt_G&amp;L'!G171/SUM('Alloy_compnt_G&amp;L'!G$125:G$184),0)</f>
        <v>0</v>
      </c>
    </row>
    <row r="172" spans="1:7" x14ac:dyDescent="0.2">
      <c r="A172" s="148" t="s">
        <v>285</v>
      </c>
      <c r="B172" s="73">
        <f>IFERROR('Alloy_compnt_G&amp;L'!B172/SUM('Alloy_compnt_G&amp;L'!B$125:B$184),0)</f>
        <v>0</v>
      </c>
      <c r="C172" s="73">
        <f>IFERROR('Alloy_compnt_G&amp;L'!C172/SUM('Alloy_compnt_G&amp;L'!C$125:C$184),0)</f>
        <v>0</v>
      </c>
      <c r="D172" s="73">
        <f>IFERROR('Alloy_compnt_G&amp;L'!D172/SUM('Alloy_compnt_G&amp;L'!D$125:D$184),0)</f>
        <v>0</v>
      </c>
      <c r="E172" s="73">
        <f>IFERROR('Alloy_compnt_G&amp;L'!E172/SUM('Alloy_compnt_G&amp;L'!E$125:E$184),0)</f>
        <v>0</v>
      </c>
      <c r="F172" s="73">
        <f>IFERROR('Alloy_compnt_G&amp;L'!F172/SUM('Alloy_compnt_G&amp;L'!F$125:F$184),0)</f>
        <v>0</v>
      </c>
      <c r="G172" s="73">
        <f>IFERROR('Alloy_compnt_G&amp;L'!G172/SUM('Alloy_compnt_G&amp;L'!G$125:G$184),0)</f>
        <v>0</v>
      </c>
    </row>
    <row r="173" spans="1:7" x14ac:dyDescent="0.2">
      <c r="A173" s="147" t="s">
        <v>286</v>
      </c>
      <c r="B173" s="73">
        <f>IFERROR('Alloy_compnt_G&amp;L'!B173/SUM('Alloy_compnt_G&amp;L'!B$125:B$184),0)</f>
        <v>0</v>
      </c>
      <c r="C173" s="73">
        <f>IFERROR('Alloy_compnt_G&amp;L'!C173/SUM('Alloy_compnt_G&amp;L'!C$125:C$184),0)</f>
        <v>0</v>
      </c>
      <c r="D173" s="73">
        <f>IFERROR('Alloy_compnt_G&amp;L'!D173/SUM('Alloy_compnt_G&amp;L'!D$125:D$184),0)</f>
        <v>0</v>
      </c>
      <c r="E173" s="73">
        <f>IFERROR('Alloy_compnt_G&amp;L'!E173/SUM('Alloy_compnt_G&amp;L'!E$125:E$184),0)</f>
        <v>0</v>
      </c>
      <c r="F173" s="73">
        <f>IFERROR('Alloy_compnt_G&amp;L'!F173/SUM('Alloy_compnt_G&amp;L'!F$125:F$184),0)</f>
        <v>0</v>
      </c>
      <c r="G173" s="73">
        <f>IFERROR('Alloy_compnt_G&amp;L'!G173/SUM('Alloy_compnt_G&amp;L'!G$125:G$184),0)</f>
        <v>0</v>
      </c>
    </row>
    <row r="174" spans="1:7" x14ac:dyDescent="0.2">
      <c r="A174" s="142" t="s">
        <v>287</v>
      </c>
      <c r="B174" s="73">
        <f>IFERROR('Alloy_compnt_G&amp;L'!B174/SUM('Alloy_compnt_G&amp;L'!B$125:B$184),0)</f>
        <v>0</v>
      </c>
      <c r="C174" s="73">
        <f>IFERROR('Alloy_compnt_G&amp;L'!C174/SUM('Alloy_compnt_G&amp;L'!C$125:C$184),0)</f>
        <v>0</v>
      </c>
      <c r="D174" s="73">
        <f>IFERROR('Alloy_compnt_G&amp;L'!D174/SUM('Alloy_compnt_G&amp;L'!D$125:D$184),0)</f>
        <v>0</v>
      </c>
      <c r="E174" s="73">
        <f>IFERROR('Alloy_compnt_G&amp;L'!E174/SUM('Alloy_compnt_G&amp;L'!E$125:E$184),0)</f>
        <v>0</v>
      </c>
      <c r="F174" s="73">
        <f>IFERROR('Alloy_compnt_G&amp;L'!F174/SUM('Alloy_compnt_G&amp;L'!F$125:F$184),0)</f>
        <v>0</v>
      </c>
      <c r="G174" s="73">
        <f>IFERROR('Alloy_compnt_G&amp;L'!G174/SUM('Alloy_compnt_G&amp;L'!G$125:G$184),0)</f>
        <v>0</v>
      </c>
    </row>
    <row r="175" spans="1:7" x14ac:dyDescent="0.2">
      <c r="A175" s="142" t="s">
        <v>288</v>
      </c>
      <c r="B175" s="73">
        <f>IFERROR('Alloy_compnt_G&amp;L'!B175/SUM('Alloy_compnt_G&amp;L'!B$125:B$184),0)</f>
        <v>0</v>
      </c>
      <c r="C175" s="73">
        <f>IFERROR('Alloy_compnt_G&amp;L'!C175/SUM('Alloy_compnt_G&amp;L'!C$125:C$184),0)</f>
        <v>3.7037037037037049E-2</v>
      </c>
      <c r="D175" s="73">
        <f>IFERROR('Alloy_compnt_G&amp;L'!D175/SUM('Alloy_compnt_G&amp;L'!D$125:D$184),0)</f>
        <v>0</v>
      </c>
      <c r="E175" s="73">
        <f>IFERROR('Alloy_compnt_G&amp;L'!E175/SUM('Alloy_compnt_G&amp;L'!E$125:E$184),0)</f>
        <v>0</v>
      </c>
      <c r="F175" s="73">
        <f>IFERROR('Alloy_compnt_G&amp;L'!F175/SUM('Alloy_compnt_G&amp;L'!F$125:F$184),0)</f>
        <v>0</v>
      </c>
      <c r="G175" s="73">
        <f>IFERROR('Alloy_compnt_G&amp;L'!G175/SUM('Alloy_compnt_G&amp;L'!G$125:G$184),0)</f>
        <v>0</v>
      </c>
    </row>
    <row r="176" spans="1:7" x14ac:dyDescent="0.2">
      <c r="A176" s="142" t="s">
        <v>289</v>
      </c>
      <c r="B176" s="73">
        <f>IFERROR('Alloy_compnt_G&amp;L'!B176/SUM('Alloy_compnt_G&amp;L'!B$125:B$184),0)</f>
        <v>0</v>
      </c>
      <c r="C176" s="73">
        <f>IFERROR('Alloy_compnt_G&amp;L'!C176/SUM('Alloy_compnt_G&amp;L'!C$125:C$184),0)</f>
        <v>0</v>
      </c>
      <c r="D176" s="73">
        <f>IFERROR('Alloy_compnt_G&amp;L'!D176/SUM('Alloy_compnt_G&amp;L'!D$125:D$184),0)</f>
        <v>0</v>
      </c>
      <c r="E176" s="73">
        <f>IFERROR('Alloy_compnt_G&amp;L'!E176/SUM('Alloy_compnt_G&amp;L'!E$125:E$184),0)</f>
        <v>0</v>
      </c>
      <c r="F176" s="73">
        <f>IFERROR('Alloy_compnt_G&amp;L'!F176/SUM('Alloy_compnt_G&amp;L'!F$125:F$184),0)</f>
        <v>0</v>
      </c>
      <c r="G176" s="73">
        <f>IFERROR('Alloy_compnt_G&amp;L'!G176/SUM('Alloy_compnt_G&amp;L'!G$125:G$184),0)</f>
        <v>0</v>
      </c>
    </row>
    <row r="177" spans="1:7" x14ac:dyDescent="0.2">
      <c r="A177" s="142" t="s">
        <v>290</v>
      </c>
      <c r="B177" s="73">
        <f>IFERROR('Alloy_compnt_G&amp;L'!B177/SUM('Alloy_compnt_G&amp;L'!B$125:B$184),0)</f>
        <v>0</v>
      </c>
      <c r="C177" s="73">
        <f>IFERROR('Alloy_compnt_G&amp;L'!C177/SUM('Alloy_compnt_G&amp;L'!C$125:C$184),0)</f>
        <v>0</v>
      </c>
      <c r="D177" s="73">
        <f>IFERROR('Alloy_compnt_G&amp;L'!D177/SUM('Alloy_compnt_G&amp;L'!D$125:D$184),0)</f>
        <v>0</v>
      </c>
      <c r="E177" s="73">
        <f>IFERROR('Alloy_compnt_G&amp;L'!E177/SUM('Alloy_compnt_G&amp;L'!E$125:E$184),0)</f>
        <v>0</v>
      </c>
      <c r="F177" s="73">
        <f>IFERROR('Alloy_compnt_G&amp;L'!F177/SUM('Alloy_compnt_G&amp;L'!F$125:F$184),0)</f>
        <v>0</v>
      </c>
      <c r="G177" s="73">
        <f>IFERROR('Alloy_compnt_G&amp;L'!G177/SUM('Alloy_compnt_G&amp;L'!G$125:G$184),0)</f>
        <v>0</v>
      </c>
    </row>
    <row r="178" spans="1:7" x14ac:dyDescent="0.2">
      <c r="A178" s="142" t="s">
        <v>291</v>
      </c>
      <c r="B178" s="73">
        <f>IFERROR('Alloy_compnt_G&amp;L'!B178/SUM('Alloy_compnt_G&amp;L'!B$125:B$184),0)</f>
        <v>0</v>
      </c>
      <c r="C178" s="73">
        <f>IFERROR('Alloy_compnt_G&amp;L'!C178/SUM('Alloy_compnt_G&amp;L'!C$125:C$184),0)</f>
        <v>0.1481481481481482</v>
      </c>
      <c r="D178" s="73">
        <f>IFERROR('Alloy_compnt_G&amp;L'!D178/SUM('Alloy_compnt_G&amp;L'!D$125:D$184),0)</f>
        <v>0</v>
      </c>
      <c r="E178" s="73">
        <f>IFERROR('Alloy_compnt_G&amp;L'!E178/SUM('Alloy_compnt_G&amp;L'!E$125:E$184),0)</f>
        <v>0</v>
      </c>
      <c r="F178" s="73">
        <f>IFERROR('Alloy_compnt_G&amp;L'!F178/SUM('Alloy_compnt_G&amp;L'!F$125:F$184),0)</f>
        <v>0</v>
      </c>
      <c r="G178" s="73">
        <f>IFERROR('Alloy_compnt_G&amp;L'!G178/SUM('Alloy_compnt_G&amp;L'!G$125:G$184),0)</f>
        <v>0</v>
      </c>
    </row>
    <row r="179" spans="1:7" x14ac:dyDescent="0.2">
      <c r="A179" s="142" t="s">
        <v>292</v>
      </c>
      <c r="B179" s="73">
        <f>IFERROR('Alloy_compnt_G&amp;L'!B179/SUM('Alloy_compnt_G&amp;L'!B$125:B$184),0)</f>
        <v>0</v>
      </c>
      <c r="C179" s="73">
        <f>IFERROR('Alloy_compnt_G&amp;L'!C179/SUM('Alloy_compnt_G&amp;L'!C$125:C$184),0)</f>
        <v>0.1481481481481482</v>
      </c>
      <c r="D179" s="73">
        <f>IFERROR('Alloy_compnt_G&amp;L'!D179/SUM('Alloy_compnt_G&amp;L'!D$125:D$184),0)</f>
        <v>0</v>
      </c>
      <c r="E179" s="73">
        <f>IFERROR('Alloy_compnt_G&amp;L'!E179/SUM('Alloy_compnt_G&amp;L'!E$125:E$184),0)</f>
        <v>0</v>
      </c>
      <c r="F179" s="73">
        <f>IFERROR('Alloy_compnt_G&amp;L'!F179/SUM('Alloy_compnt_G&amp;L'!F$125:F$184),0)</f>
        <v>0</v>
      </c>
      <c r="G179" s="73">
        <f>IFERROR('Alloy_compnt_G&amp;L'!G179/SUM('Alloy_compnt_G&amp;L'!G$125:G$184),0)</f>
        <v>0</v>
      </c>
    </row>
    <row r="180" spans="1:7" x14ac:dyDescent="0.2">
      <c r="A180" s="142" t="s">
        <v>293</v>
      </c>
      <c r="B180" s="73">
        <f>IFERROR('Alloy_compnt_G&amp;L'!B180/SUM('Alloy_compnt_G&amp;L'!B$125:B$184),0)</f>
        <v>0</v>
      </c>
      <c r="C180" s="73">
        <f>IFERROR('Alloy_compnt_G&amp;L'!C180/SUM('Alloy_compnt_G&amp;L'!C$125:C$184),0)</f>
        <v>0</v>
      </c>
      <c r="D180" s="73">
        <f>IFERROR('Alloy_compnt_G&amp;L'!D180/SUM('Alloy_compnt_G&amp;L'!D$125:D$184),0)</f>
        <v>0</v>
      </c>
      <c r="E180" s="73">
        <f>IFERROR('Alloy_compnt_G&amp;L'!E180/SUM('Alloy_compnt_G&amp;L'!E$125:E$184),0)</f>
        <v>0</v>
      </c>
      <c r="F180" s="73">
        <f>IFERROR('Alloy_compnt_G&amp;L'!F180/SUM('Alloy_compnt_G&amp;L'!F$125:F$184),0)</f>
        <v>0</v>
      </c>
      <c r="G180" s="73">
        <f>IFERROR('Alloy_compnt_G&amp;L'!G180/SUM('Alloy_compnt_G&amp;L'!G$125:G$184),0)</f>
        <v>0</v>
      </c>
    </row>
    <row r="181" spans="1:7" x14ac:dyDescent="0.2">
      <c r="A181" s="142" t="s">
        <v>294</v>
      </c>
      <c r="B181" s="73">
        <f>IFERROR('Alloy_compnt_G&amp;L'!B181/SUM('Alloy_compnt_G&amp;L'!B$125:B$184),0)</f>
        <v>0</v>
      </c>
      <c r="C181" s="73">
        <f>IFERROR('Alloy_compnt_G&amp;L'!C181/SUM('Alloy_compnt_G&amp;L'!C$125:C$184),0)</f>
        <v>0</v>
      </c>
      <c r="D181" s="73">
        <f>IFERROR('Alloy_compnt_G&amp;L'!D181/SUM('Alloy_compnt_G&amp;L'!D$125:D$184),0)</f>
        <v>0</v>
      </c>
      <c r="E181" s="73">
        <f>IFERROR('Alloy_compnt_G&amp;L'!E181/SUM('Alloy_compnt_G&amp;L'!E$125:E$184),0)</f>
        <v>0</v>
      </c>
      <c r="F181" s="73">
        <f>IFERROR('Alloy_compnt_G&amp;L'!F181/SUM('Alloy_compnt_G&amp;L'!F$125:F$184),0)</f>
        <v>0</v>
      </c>
      <c r="G181" s="73">
        <f>IFERROR('Alloy_compnt_G&amp;L'!G181/SUM('Alloy_compnt_G&amp;L'!G$125:G$184),0)</f>
        <v>0</v>
      </c>
    </row>
    <row r="182" spans="1:7" x14ac:dyDescent="0.2">
      <c r="A182" s="144" t="s">
        <v>295</v>
      </c>
      <c r="B182" s="73">
        <f>IFERROR('Alloy_compnt_G&amp;L'!B182/SUM('Alloy_compnt_G&amp;L'!B$125:B$184),0)</f>
        <v>0</v>
      </c>
      <c r="C182" s="73">
        <f>IFERROR('Alloy_compnt_G&amp;L'!C182/SUM('Alloy_compnt_G&amp;L'!C$125:C$184),0)</f>
        <v>0</v>
      </c>
      <c r="D182" s="73">
        <f>IFERROR('Alloy_compnt_G&amp;L'!D182/SUM('Alloy_compnt_G&amp;L'!D$125:D$184),0)</f>
        <v>0</v>
      </c>
      <c r="E182" s="73">
        <f>IFERROR('Alloy_compnt_G&amp;L'!E182/SUM('Alloy_compnt_G&amp;L'!E$125:E$184),0)</f>
        <v>0</v>
      </c>
      <c r="F182" s="73">
        <f>IFERROR('Alloy_compnt_G&amp;L'!F182/SUM('Alloy_compnt_G&amp;L'!F$125:F$184),0)</f>
        <v>0</v>
      </c>
      <c r="G182" s="73">
        <f>IFERROR('Alloy_compnt_G&amp;L'!G182/SUM('Alloy_compnt_G&amp;L'!G$125:G$184),0)</f>
        <v>0</v>
      </c>
    </row>
    <row r="183" spans="1:7" x14ac:dyDescent="0.2">
      <c r="A183" s="142" t="s">
        <v>206</v>
      </c>
      <c r="B183" s="73">
        <f>IFERROR('Alloy_compnt_G&amp;L'!B183/SUM('Alloy_compnt_G&amp;L'!B$125:B$184),0)</f>
        <v>0</v>
      </c>
      <c r="C183" s="73">
        <f>IFERROR('Alloy_compnt_G&amp;L'!C183/SUM('Alloy_compnt_G&amp;L'!C$125:C$184),0)</f>
        <v>0</v>
      </c>
      <c r="D183" s="73">
        <f>IFERROR('Alloy_compnt_G&amp;L'!D183/SUM('Alloy_compnt_G&amp;L'!D$125:D$184),0)</f>
        <v>0</v>
      </c>
      <c r="E183" s="73">
        <f>IFERROR('Alloy_compnt_G&amp;L'!E183/SUM('Alloy_compnt_G&amp;L'!E$125:E$184),0)</f>
        <v>0</v>
      </c>
      <c r="F183" s="73">
        <f>IFERROR('Alloy_compnt_G&amp;L'!F183/SUM('Alloy_compnt_G&amp;L'!F$125:F$184),0)</f>
        <v>0</v>
      </c>
      <c r="G183" s="73">
        <f>IFERROR('Alloy_compnt_G&amp;L'!G183/SUM('Alloy_compnt_G&amp;L'!G$125:G$184),0)</f>
        <v>0</v>
      </c>
    </row>
    <row r="184" spans="1:7" ht="17" thickBot="1" x14ac:dyDescent="0.25">
      <c r="A184" s="149" t="s">
        <v>208</v>
      </c>
      <c r="B184" s="73">
        <f>IFERROR('Alloy_compnt_G&amp;L'!B184/SUM('Alloy_compnt_G&amp;L'!B$125:B$184),0)</f>
        <v>0</v>
      </c>
      <c r="C184" s="73">
        <f>IFERROR('Alloy_compnt_G&amp;L'!C184/SUM('Alloy_compnt_G&amp;L'!C$125:C$184),0)</f>
        <v>0</v>
      </c>
      <c r="D184" s="73">
        <f>IFERROR('Alloy_compnt_G&amp;L'!D184/SUM('Alloy_compnt_G&amp;L'!D$125:D$184),0)</f>
        <v>0</v>
      </c>
      <c r="E184" s="73">
        <f>IFERROR('Alloy_compnt_G&amp;L'!E184/SUM('Alloy_compnt_G&amp;L'!E$125:E$184),0)</f>
        <v>0</v>
      </c>
      <c r="F184" s="73">
        <f>IFERROR('Alloy_compnt_G&amp;L'!F184/SUM('Alloy_compnt_G&amp;L'!F$125:F$184),0)</f>
        <v>0</v>
      </c>
      <c r="G184" s="73">
        <f>IFERROR('Alloy_compnt_G&amp;L'!G184/SUM('Alloy_compnt_G&amp;L'!G$125:G$184),0)</f>
        <v>0</v>
      </c>
    </row>
    <row r="185" spans="1:7" ht="17" thickTop="1" x14ac:dyDescent="0.2">
      <c r="A185" s="150" t="s">
        <v>175</v>
      </c>
      <c r="B185" s="54"/>
      <c r="C185" s="54"/>
      <c r="D185" s="54"/>
      <c r="E185" s="54"/>
      <c r="F185" s="54"/>
      <c r="G185" s="54"/>
    </row>
    <row r="186" spans="1:7" x14ac:dyDescent="0.2">
      <c r="A186" s="142" t="s">
        <v>105</v>
      </c>
      <c r="B186" s="73">
        <f>IFERROR('Alloy_compnt_G&amp;L'!B186/SUM('Alloy_compnt_G&amp;L'!B$186:B$245),0)</f>
        <v>0.19288152173913037</v>
      </c>
      <c r="C186" s="73">
        <f>IFERROR('Alloy_compnt_G&amp;L'!C186/SUM('Alloy_compnt_G&amp;L'!C$186:C$245),0)</f>
        <v>8.804341833900399E-2</v>
      </c>
      <c r="D186" s="73">
        <f>IFERROR('Alloy_compnt_G&amp;L'!D186/SUM('Alloy_compnt_G&amp;L'!D$186:D$245),0)</f>
        <v>0.19288152173913042</v>
      </c>
      <c r="E186" s="73">
        <f>IFERROR('Alloy_compnt_G&amp;L'!E186/SUM('Alloy_compnt_G&amp;L'!E$186:E$245),0)</f>
        <v>8.1789388184124498E-2</v>
      </c>
      <c r="F186" s="73">
        <f>IFERROR('Alloy_compnt_G&amp;L'!F186/SUM('Alloy_compnt_G&amp;L'!F$186:F$245),0)</f>
        <v>0.19288152173913037</v>
      </c>
      <c r="G186" s="73">
        <f>IFERROR('Alloy_compnt_G&amp;L'!G186/SUM('Alloy_compnt_G&amp;L'!G$186:G$245),0)</f>
        <v>8.0108640727632088E-2</v>
      </c>
    </row>
    <row r="187" spans="1:7" x14ac:dyDescent="0.2">
      <c r="A187" s="142" t="s">
        <v>106</v>
      </c>
      <c r="B187" s="73">
        <f>IFERROR('Alloy_compnt_G&amp;L'!B187/SUM('Alloy_compnt_G&amp;L'!B$186:B$245),0)</f>
        <v>0.17459891304347822</v>
      </c>
      <c r="C187" s="73">
        <f>IFERROR('Alloy_compnt_G&amp;L'!C187/SUM('Alloy_compnt_G&amp;L'!C$186:C$245),0)</f>
        <v>7.9698070629145801E-2</v>
      </c>
      <c r="D187" s="73">
        <f>IFERROR('Alloy_compnt_G&amp;L'!D187/SUM('Alloy_compnt_G&amp;L'!D$186:D$245),0)</f>
        <v>0.17459891304347824</v>
      </c>
      <c r="E187" s="73">
        <f>IFERROR('Alloy_compnt_G&amp;L'!E187/SUM('Alloy_compnt_G&amp;L'!E$186:E$245),0)</f>
        <v>7.4036839541079535E-2</v>
      </c>
      <c r="F187" s="73">
        <f>IFERROR('Alloy_compnt_G&amp;L'!F187/SUM('Alloy_compnt_G&amp;L'!F$186:F$245),0)</f>
        <v>0.17459891304347819</v>
      </c>
      <c r="G187" s="73">
        <f>IFERROR('Alloy_compnt_G&amp;L'!G187/SUM('Alloy_compnt_G&amp;L'!G$186:G$245),0)</f>
        <v>7.2515404639704878E-2</v>
      </c>
    </row>
    <row r="188" spans="1:7" x14ac:dyDescent="0.2">
      <c r="A188" s="142" t="s">
        <v>107</v>
      </c>
      <c r="B188" s="73">
        <f>IFERROR('Alloy_compnt_G&amp;L'!B188/SUM('Alloy_compnt_G&amp;L'!B$186:B$245),0)</f>
        <v>0.54664999999999997</v>
      </c>
      <c r="C188" s="73">
        <f>IFERROR('Alloy_compnt_G&amp;L'!C188/SUM('Alloy_compnt_G&amp;L'!C$186:C$245),0)</f>
        <v>0.24952589652476018</v>
      </c>
      <c r="D188" s="73">
        <f>IFERROR('Alloy_compnt_G&amp;L'!D188/SUM('Alloy_compnt_G&amp;L'!D$186:D$245),0)</f>
        <v>0.54665000000000008</v>
      </c>
      <c r="E188" s="73">
        <f>IFERROR('Alloy_compnt_G&amp;L'!E188/SUM('Alloy_compnt_G&amp;L'!E$186:E$245),0)</f>
        <v>0.23180120442704485</v>
      </c>
      <c r="F188" s="73">
        <f>IFERROR('Alloy_compnt_G&amp;L'!F188/SUM('Alloy_compnt_G&amp;L'!F$186:F$245),0)</f>
        <v>0.54664999999999986</v>
      </c>
      <c r="G188" s="73">
        <f>IFERROR('Alloy_compnt_G&amp;L'!G188/SUM('Alloy_compnt_G&amp;L'!G$186:G$245),0)</f>
        <v>0.22703775902902365</v>
      </c>
    </row>
    <row r="189" spans="1:7" x14ac:dyDescent="0.2">
      <c r="A189" s="142" t="s">
        <v>91</v>
      </c>
      <c r="B189" s="73">
        <f>IFERROR('Alloy_compnt_G&amp;L'!B189/SUM('Alloy_compnt_G&amp;L'!B$186:B$245),0)</f>
        <v>0</v>
      </c>
      <c r="C189" s="73">
        <f>IFERROR('Alloy_compnt_G&amp;L'!C189/SUM('Alloy_compnt_G&amp;L'!C$186:C$245),0)</f>
        <v>0</v>
      </c>
      <c r="D189" s="73">
        <f>IFERROR('Alloy_compnt_G&amp;L'!D189/SUM('Alloy_compnt_G&amp;L'!D$186:D$245),0)</f>
        <v>0</v>
      </c>
      <c r="E189" s="73">
        <f>IFERROR('Alloy_compnt_G&amp;L'!E189/SUM('Alloy_compnt_G&amp;L'!E$186:E$245),0)</f>
        <v>0</v>
      </c>
      <c r="F189" s="73">
        <f>IFERROR('Alloy_compnt_G&amp;L'!F189/SUM('Alloy_compnt_G&amp;L'!F$186:F$245),0)</f>
        <v>0</v>
      </c>
      <c r="G189" s="73">
        <f>IFERROR('Alloy_compnt_G&amp;L'!G189/SUM('Alloy_compnt_G&amp;L'!G$186:G$245),0)</f>
        <v>0</v>
      </c>
    </row>
    <row r="190" spans="1:7" x14ac:dyDescent="0.2">
      <c r="A190" s="142" t="s">
        <v>204</v>
      </c>
      <c r="B190" s="73">
        <f>IFERROR('Alloy_compnt_G&amp;L'!B190/SUM('Alloy_compnt_G&amp;L'!B$186:B$245),0)</f>
        <v>6.3749999999999973E-2</v>
      </c>
      <c r="C190" s="73">
        <f>IFERROR('Alloy_compnt_G&amp;L'!C190/SUM('Alloy_compnt_G&amp;L'!C$186:C$245),0)</f>
        <v>8.362309798699373E-2</v>
      </c>
      <c r="D190" s="73">
        <f>IFERROR('Alloy_compnt_G&amp;L'!D190/SUM('Alloy_compnt_G&amp;L'!D$186:D$245),0)</f>
        <v>6.3750000000000001E-2</v>
      </c>
      <c r="E190" s="73">
        <f>IFERROR('Alloy_compnt_G&amp;L'!E190/SUM('Alloy_compnt_G&amp;L'!E$186:E$245),0)</f>
        <v>8.4264411615855267E-2</v>
      </c>
      <c r="F190" s="73">
        <f>IFERROR('Alloy_compnt_G&amp;L'!F190/SUM('Alloy_compnt_G&amp;L'!F$186:F$245),0)</f>
        <v>6.3749999999999987E-2</v>
      </c>
      <c r="G190" s="73">
        <f>IFERROR('Alloy_compnt_G&amp;L'!G190/SUM('Alloy_compnt_G&amp;L'!G$186:G$245),0)</f>
        <v>8.6558463859461796E-2</v>
      </c>
    </row>
    <row r="191" spans="1:7" x14ac:dyDescent="0.2">
      <c r="A191" s="144" t="s">
        <v>104</v>
      </c>
      <c r="B191" s="73">
        <f>IFERROR('Alloy_compnt_G&amp;L'!B191/SUM('Alloy_compnt_G&amp;L'!B$186:B$245),0)</f>
        <v>1.1249999999999998E-2</v>
      </c>
      <c r="C191" s="73">
        <f>IFERROR('Alloy_compnt_G&amp;L'!C191/SUM('Alloy_compnt_G&amp;L'!C$186:C$245),0)</f>
        <v>1.4757017291822425E-2</v>
      </c>
      <c r="D191" s="73">
        <f>IFERROR('Alloy_compnt_G&amp;L'!D191/SUM('Alloy_compnt_G&amp;L'!D$186:D$245),0)</f>
        <v>1.1250000000000003E-2</v>
      </c>
      <c r="E191" s="73">
        <f>IFERROR('Alloy_compnt_G&amp;L'!E191/SUM('Alloy_compnt_G&amp;L'!E$186:E$245),0)</f>
        <v>1.4870190285150933E-2</v>
      </c>
      <c r="F191" s="73">
        <f>IFERROR('Alloy_compnt_G&amp;L'!F191/SUM('Alloy_compnt_G&amp;L'!F$186:F$245),0)</f>
        <v>1.125E-2</v>
      </c>
      <c r="G191" s="73">
        <f>IFERROR('Alloy_compnt_G&amp;L'!G191/SUM('Alloy_compnt_G&amp;L'!G$186:G$245),0)</f>
        <v>1.5275023034022674E-2</v>
      </c>
    </row>
    <row r="192" spans="1:7" x14ac:dyDescent="0.2">
      <c r="A192" s="145" t="s">
        <v>244</v>
      </c>
      <c r="B192" s="73">
        <f>IFERROR('Alloy_compnt_G&amp;L'!B192/SUM('Alloy_compnt_G&amp;L'!B$186:B$245),0)</f>
        <v>0</v>
      </c>
      <c r="C192" s="73">
        <f>IFERROR('Alloy_compnt_G&amp;L'!C192/SUM('Alloy_compnt_G&amp;L'!C$186:C$245),0)</f>
        <v>0</v>
      </c>
      <c r="D192" s="73">
        <f>IFERROR('Alloy_compnt_G&amp;L'!D192/SUM('Alloy_compnt_G&amp;L'!D$186:D$245),0)</f>
        <v>0</v>
      </c>
      <c r="E192" s="73">
        <f>IFERROR('Alloy_compnt_G&amp;L'!E192/SUM('Alloy_compnt_G&amp;L'!E$186:E$245),0)</f>
        <v>0</v>
      </c>
      <c r="F192" s="73">
        <f>IFERROR('Alloy_compnt_G&amp;L'!F192/SUM('Alloy_compnt_G&amp;L'!F$186:F$245),0)</f>
        <v>0</v>
      </c>
      <c r="G192" s="73">
        <f>IFERROR('Alloy_compnt_G&amp;L'!G192/SUM('Alloy_compnt_G&amp;L'!G$186:G$245),0)</f>
        <v>0</v>
      </c>
    </row>
    <row r="193" spans="1:7" x14ac:dyDescent="0.2">
      <c r="A193" s="145" t="s">
        <v>245</v>
      </c>
      <c r="B193" s="73">
        <f>IFERROR('Alloy_compnt_G&amp;L'!B193/SUM('Alloy_compnt_G&amp;L'!B$186:B$245),0)</f>
        <v>0</v>
      </c>
      <c r="C193" s="73">
        <f>IFERROR('Alloy_compnt_G&amp;L'!C193/SUM('Alloy_compnt_G&amp;L'!C$186:C$245),0)</f>
        <v>0</v>
      </c>
      <c r="D193" s="73">
        <f>IFERROR('Alloy_compnt_G&amp;L'!D193/SUM('Alloy_compnt_G&amp;L'!D$186:D$245),0)</f>
        <v>0</v>
      </c>
      <c r="E193" s="73">
        <f>IFERROR('Alloy_compnt_G&amp;L'!E193/SUM('Alloy_compnt_G&amp;L'!E$186:E$245),0)</f>
        <v>0</v>
      </c>
      <c r="F193" s="73">
        <f>IFERROR('Alloy_compnt_G&amp;L'!F193/SUM('Alloy_compnt_G&amp;L'!F$186:F$245),0)</f>
        <v>0</v>
      </c>
      <c r="G193" s="73">
        <f>IFERROR('Alloy_compnt_G&amp;L'!G193/SUM('Alloy_compnt_G&amp;L'!G$186:G$245),0)</f>
        <v>0</v>
      </c>
    </row>
    <row r="194" spans="1:7" x14ac:dyDescent="0.2">
      <c r="A194" s="145" t="s">
        <v>246</v>
      </c>
      <c r="B194" s="73">
        <f>IFERROR('Alloy_compnt_G&amp;L'!B194/SUM('Alloy_compnt_G&amp;L'!B$186:B$245),0)</f>
        <v>0</v>
      </c>
      <c r="C194" s="73">
        <f>IFERROR('Alloy_compnt_G&amp;L'!C194/SUM('Alloy_compnt_G&amp;L'!C$186:C$245),0)</f>
        <v>0</v>
      </c>
      <c r="D194" s="73">
        <f>IFERROR('Alloy_compnt_G&amp;L'!D194/SUM('Alloy_compnt_G&amp;L'!D$186:D$245),0)</f>
        <v>0</v>
      </c>
      <c r="E194" s="73">
        <f>IFERROR('Alloy_compnt_G&amp;L'!E194/SUM('Alloy_compnt_G&amp;L'!E$186:E$245),0)</f>
        <v>0</v>
      </c>
      <c r="F194" s="73">
        <f>IFERROR('Alloy_compnt_G&amp;L'!F194/SUM('Alloy_compnt_G&amp;L'!F$186:F$245),0)</f>
        <v>0</v>
      </c>
      <c r="G194" s="73">
        <f>IFERROR('Alloy_compnt_G&amp;L'!G194/SUM('Alloy_compnt_G&amp;L'!G$186:G$245),0)</f>
        <v>0</v>
      </c>
    </row>
    <row r="195" spans="1:7" x14ac:dyDescent="0.2">
      <c r="A195" s="145" t="s">
        <v>247</v>
      </c>
      <c r="B195" s="73">
        <f>IFERROR('Alloy_compnt_G&amp;L'!B195/SUM('Alloy_compnt_G&amp;L'!B$186:B$245),0)</f>
        <v>0</v>
      </c>
      <c r="C195" s="73">
        <f>IFERROR('Alloy_compnt_G&amp;L'!C195/SUM('Alloy_compnt_G&amp;L'!C$186:C$245),0)</f>
        <v>0</v>
      </c>
      <c r="D195" s="73">
        <f>IFERROR('Alloy_compnt_G&amp;L'!D195/SUM('Alloy_compnt_G&amp;L'!D$186:D$245),0)</f>
        <v>0</v>
      </c>
      <c r="E195" s="73">
        <f>IFERROR('Alloy_compnt_G&amp;L'!E195/SUM('Alloy_compnt_G&amp;L'!E$186:E$245),0)</f>
        <v>0</v>
      </c>
      <c r="F195" s="73">
        <f>IFERROR('Alloy_compnt_G&amp;L'!F195/SUM('Alloy_compnt_G&amp;L'!F$186:F$245),0)</f>
        <v>0</v>
      </c>
      <c r="G195" s="73">
        <f>IFERROR('Alloy_compnt_G&amp;L'!G195/SUM('Alloy_compnt_G&amp;L'!G$186:G$245),0)</f>
        <v>0</v>
      </c>
    </row>
    <row r="196" spans="1:7" x14ac:dyDescent="0.2">
      <c r="A196" s="145" t="s">
        <v>248</v>
      </c>
      <c r="B196" s="73">
        <f>IFERROR('Alloy_compnt_G&amp;L'!B196/SUM('Alloy_compnt_G&amp;L'!B$186:B$245),0)</f>
        <v>0</v>
      </c>
      <c r="C196" s="73">
        <f>IFERROR('Alloy_compnt_G&amp;L'!C196/SUM('Alloy_compnt_G&amp;L'!C$186:C$245),0)</f>
        <v>0</v>
      </c>
      <c r="D196" s="73">
        <f>IFERROR('Alloy_compnt_G&amp;L'!D196/SUM('Alloy_compnt_G&amp;L'!D$186:D$245),0)</f>
        <v>0</v>
      </c>
      <c r="E196" s="73">
        <f>IFERROR('Alloy_compnt_G&amp;L'!E196/SUM('Alloy_compnt_G&amp;L'!E$186:E$245),0)</f>
        <v>0</v>
      </c>
      <c r="F196" s="73">
        <f>IFERROR('Alloy_compnt_G&amp;L'!F196/SUM('Alloy_compnt_G&amp;L'!F$186:F$245),0)</f>
        <v>0</v>
      </c>
      <c r="G196" s="73">
        <f>IFERROR('Alloy_compnt_G&amp;L'!G196/SUM('Alloy_compnt_G&amp;L'!G$186:G$245),0)</f>
        <v>0</v>
      </c>
    </row>
    <row r="197" spans="1:7" x14ac:dyDescent="0.2">
      <c r="A197" s="145" t="s">
        <v>249</v>
      </c>
      <c r="B197" s="73">
        <f>IFERROR('Alloy_compnt_G&amp;L'!B197/SUM('Alloy_compnt_G&amp;L'!B$186:B$245),0)</f>
        <v>0</v>
      </c>
      <c r="C197" s="73">
        <f>IFERROR('Alloy_compnt_G&amp;L'!C197/SUM('Alloy_compnt_G&amp;L'!C$186:C$245),0)</f>
        <v>0</v>
      </c>
      <c r="D197" s="73">
        <f>IFERROR('Alloy_compnt_G&amp;L'!D197/SUM('Alloy_compnt_G&amp;L'!D$186:D$245),0)</f>
        <v>0</v>
      </c>
      <c r="E197" s="73">
        <f>IFERROR('Alloy_compnt_G&amp;L'!E197/SUM('Alloy_compnt_G&amp;L'!E$186:E$245),0)</f>
        <v>0</v>
      </c>
      <c r="F197" s="73">
        <f>IFERROR('Alloy_compnt_G&amp;L'!F197/SUM('Alloy_compnt_G&amp;L'!F$186:F$245),0)</f>
        <v>0</v>
      </c>
      <c r="G197" s="73">
        <f>IFERROR('Alloy_compnt_G&amp;L'!G197/SUM('Alloy_compnt_G&amp;L'!G$186:G$245),0)</f>
        <v>0</v>
      </c>
    </row>
    <row r="198" spans="1:7" x14ac:dyDescent="0.2">
      <c r="A198" s="145" t="s">
        <v>250</v>
      </c>
      <c r="B198" s="73">
        <f>IFERROR('Alloy_compnt_G&amp;L'!B198/SUM('Alloy_compnt_G&amp;L'!B$186:B$245),0)</f>
        <v>0</v>
      </c>
      <c r="C198" s="73">
        <f>IFERROR('Alloy_compnt_G&amp;L'!C198/SUM('Alloy_compnt_G&amp;L'!C$186:C$245),0)</f>
        <v>0</v>
      </c>
      <c r="D198" s="73">
        <f>IFERROR('Alloy_compnt_G&amp;L'!D198/SUM('Alloy_compnt_G&amp;L'!D$186:D$245),0)</f>
        <v>0</v>
      </c>
      <c r="E198" s="73">
        <f>IFERROR('Alloy_compnt_G&amp;L'!E198/SUM('Alloy_compnt_G&amp;L'!E$186:E$245),0)</f>
        <v>0</v>
      </c>
      <c r="F198" s="73">
        <f>IFERROR('Alloy_compnt_G&amp;L'!F198/SUM('Alloy_compnt_G&amp;L'!F$186:F$245),0)</f>
        <v>0</v>
      </c>
      <c r="G198" s="73">
        <f>IFERROR('Alloy_compnt_G&amp;L'!G198/SUM('Alloy_compnt_G&amp;L'!G$186:G$245),0)</f>
        <v>0</v>
      </c>
    </row>
    <row r="199" spans="1:7" x14ac:dyDescent="0.2">
      <c r="A199" s="145" t="s">
        <v>251</v>
      </c>
      <c r="B199" s="73">
        <f>IFERROR('Alloy_compnt_G&amp;L'!B199/SUM('Alloy_compnt_G&amp;L'!B$186:B$245),0)</f>
        <v>0</v>
      </c>
      <c r="C199" s="73">
        <f>IFERROR('Alloy_compnt_G&amp;L'!C199/SUM('Alloy_compnt_G&amp;L'!C$186:C$245),0)</f>
        <v>0</v>
      </c>
      <c r="D199" s="73">
        <f>IFERROR('Alloy_compnt_G&amp;L'!D199/SUM('Alloy_compnt_G&amp;L'!D$186:D$245),0)</f>
        <v>0</v>
      </c>
      <c r="E199" s="73">
        <f>IFERROR('Alloy_compnt_G&amp;L'!E199/SUM('Alloy_compnt_G&amp;L'!E$186:E$245),0)</f>
        <v>0</v>
      </c>
      <c r="F199" s="73">
        <f>IFERROR('Alloy_compnt_G&amp;L'!F199/SUM('Alloy_compnt_G&amp;L'!F$186:F$245),0)</f>
        <v>0</v>
      </c>
      <c r="G199" s="73">
        <f>IFERROR('Alloy_compnt_G&amp;L'!G199/SUM('Alloy_compnt_G&amp;L'!G$186:G$245),0)</f>
        <v>0</v>
      </c>
    </row>
    <row r="200" spans="1:7" x14ac:dyDescent="0.2">
      <c r="A200" s="145" t="s">
        <v>252</v>
      </c>
      <c r="B200" s="73">
        <f>IFERROR('Alloy_compnt_G&amp;L'!B200/SUM('Alloy_compnt_G&amp;L'!B$186:B$245),0)</f>
        <v>0</v>
      </c>
      <c r="C200" s="73">
        <f>IFERROR('Alloy_compnt_G&amp;L'!C200/SUM('Alloy_compnt_G&amp;L'!C$186:C$245),0)</f>
        <v>0</v>
      </c>
      <c r="D200" s="73">
        <f>IFERROR('Alloy_compnt_G&amp;L'!D200/SUM('Alloy_compnt_G&amp;L'!D$186:D$245),0)</f>
        <v>0</v>
      </c>
      <c r="E200" s="73">
        <f>IFERROR('Alloy_compnt_G&amp;L'!E200/SUM('Alloy_compnt_G&amp;L'!E$186:E$245),0)</f>
        <v>0</v>
      </c>
      <c r="F200" s="73">
        <f>IFERROR('Alloy_compnt_G&amp;L'!F200/SUM('Alloy_compnt_G&amp;L'!F$186:F$245),0)</f>
        <v>0</v>
      </c>
      <c r="G200" s="73">
        <f>IFERROR('Alloy_compnt_G&amp;L'!G200/SUM('Alloy_compnt_G&amp;L'!G$186:G$245),0)</f>
        <v>0</v>
      </c>
    </row>
    <row r="201" spans="1:7" x14ac:dyDescent="0.2">
      <c r="A201" s="145" t="s">
        <v>253</v>
      </c>
      <c r="B201" s="73">
        <f>IFERROR('Alloy_compnt_G&amp;L'!B201/SUM('Alloy_compnt_G&amp;L'!B$186:B$245),0)</f>
        <v>0</v>
      </c>
      <c r="C201" s="73">
        <f>IFERROR('Alloy_compnt_G&amp;L'!C201/SUM('Alloy_compnt_G&amp;L'!C$186:C$245),0)</f>
        <v>0</v>
      </c>
      <c r="D201" s="73">
        <f>IFERROR('Alloy_compnt_G&amp;L'!D201/SUM('Alloy_compnt_G&amp;L'!D$186:D$245),0)</f>
        <v>0</v>
      </c>
      <c r="E201" s="73">
        <f>IFERROR('Alloy_compnt_G&amp;L'!E201/SUM('Alloy_compnt_G&amp;L'!E$186:E$245),0)</f>
        <v>0</v>
      </c>
      <c r="F201" s="73">
        <f>IFERROR('Alloy_compnt_G&amp;L'!F201/SUM('Alloy_compnt_G&amp;L'!F$186:F$245),0)</f>
        <v>0</v>
      </c>
      <c r="G201" s="73">
        <f>IFERROR('Alloy_compnt_G&amp;L'!G201/SUM('Alloy_compnt_G&amp;L'!G$186:G$245),0)</f>
        <v>0</v>
      </c>
    </row>
    <row r="202" spans="1:7" x14ac:dyDescent="0.2">
      <c r="A202" s="145" t="s">
        <v>254</v>
      </c>
      <c r="B202" s="73">
        <f>IFERROR('Alloy_compnt_G&amp;L'!B202/SUM('Alloy_compnt_G&amp;L'!B$186:B$245),0)</f>
        <v>0</v>
      </c>
      <c r="C202" s="73">
        <f>IFERROR('Alloy_compnt_G&amp;L'!C202/SUM('Alloy_compnt_G&amp;L'!C$186:C$245),0)</f>
        <v>0</v>
      </c>
      <c r="D202" s="73">
        <f>IFERROR('Alloy_compnt_G&amp;L'!D202/SUM('Alloy_compnt_G&amp;L'!D$186:D$245),0)</f>
        <v>0</v>
      </c>
      <c r="E202" s="73">
        <f>IFERROR('Alloy_compnt_G&amp;L'!E202/SUM('Alloy_compnt_G&amp;L'!E$186:E$245),0)</f>
        <v>0</v>
      </c>
      <c r="F202" s="73">
        <f>IFERROR('Alloy_compnt_G&amp;L'!F202/SUM('Alloy_compnt_G&amp;L'!F$186:F$245),0)</f>
        <v>0</v>
      </c>
      <c r="G202" s="73">
        <f>IFERROR('Alloy_compnt_G&amp;L'!G202/SUM('Alloy_compnt_G&amp;L'!G$186:G$245),0)</f>
        <v>0</v>
      </c>
    </row>
    <row r="203" spans="1:7" x14ac:dyDescent="0.2">
      <c r="A203" s="146" t="s">
        <v>255</v>
      </c>
      <c r="B203" s="73">
        <f>IFERROR('Alloy_compnt_G&amp;L'!B203/SUM('Alloy_compnt_G&amp;L'!B$186:B$245),0)</f>
        <v>0</v>
      </c>
      <c r="C203" s="73">
        <f>IFERROR('Alloy_compnt_G&amp;L'!C203/SUM('Alloy_compnt_G&amp;L'!C$186:C$245),0)</f>
        <v>0</v>
      </c>
      <c r="D203" s="73">
        <f>IFERROR('Alloy_compnt_G&amp;L'!D203/SUM('Alloy_compnt_G&amp;L'!D$186:D$245),0)</f>
        <v>0</v>
      </c>
      <c r="E203" s="73">
        <f>IFERROR('Alloy_compnt_G&amp;L'!E203/SUM('Alloy_compnt_G&amp;L'!E$186:E$245),0)</f>
        <v>0</v>
      </c>
      <c r="F203" s="73">
        <f>IFERROR('Alloy_compnt_G&amp;L'!F203/SUM('Alloy_compnt_G&amp;L'!F$186:F$245),0)</f>
        <v>0</v>
      </c>
      <c r="G203" s="73">
        <f>IFERROR('Alloy_compnt_G&amp;L'!G203/SUM('Alloy_compnt_G&amp;L'!G$186:G$245),0)</f>
        <v>0</v>
      </c>
    </row>
    <row r="204" spans="1:7" x14ac:dyDescent="0.2">
      <c r="A204" s="145" t="s">
        <v>256</v>
      </c>
      <c r="B204" s="73">
        <f>IFERROR('Alloy_compnt_G&amp;L'!B204/SUM('Alloy_compnt_G&amp;L'!B$186:B$245),0)</f>
        <v>0</v>
      </c>
      <c r="C204" s="73">
        <f>IFERROR('Alloy_compnt_G&amp;L'!C204/SUM('Alloy_compnt_G&amp;L'!C$186:C$245),0)</f>
        <v>0</v>
      </c>
      <c r="D204" s="73">
        <f>IFERROR('Alloy_compnt_G&amp;L'!D204/SUM('Alloy_compnt_G&amp;L'!D$186:D$245),0)</f>
        <v>0</v>
      </c>
      <c r="E204" s="73">
        <f>IFERROR('Alloy_compnt_G&amp;L'!E204/SUM('Alloy_compnt_G&amp;L'!E$186:E$245),0)</f>
        <v>0</v>
      </c>
      <c r="F204" s="73">
        <f>IFERROR('Alloy_compnt_G&amp;L'!F204/SUM('Alloy_compnt_G&amp;L'!F$186:F$245),0)</f>
        <v>0</v>
      </c>
      <c r="G204" s="73">
        <f>IFERROR('Alloy_compnt_G&amp;L'!G204/SUM('Alloy_compnt_G&amp;L'!G$186:G$245),0)</f>
        <v>0</v>
      </c>
    </row>
    <row r="205" spans="1:7" x14ac:dyDescent="0.2">
      <c r="A205" s="145" t="s">
        <v>257</v>
      </c>
      <c r="B205" s="73">
        <f>IFERROR('Alloy_compnt_G&amp;L'!B205/SUM('Alloy_compnt_G&amp;L'!B$186:B$245),0)</f>
        <v>0</v>
      </c>
      <c r="C205" s="73">
        <f>IFERROR('Alloy_compnt_G&amp;L'!C205/SUM('Alloy_compnt_G&amp;L'!C$186:C$245),0)</f>
        <v>0</v>
      </c>
      <c r="D205" s="73">
        <f>IFERROR('Alloy_compnt_G&amp;L'!D205/SUM('Alloy_compnt_G&amp;L'!D$186:D$245),0)</f>
        <v>0</v>
      </c>
      <c r="E205" s="73">
        <f>IFERROR('Alloy_compnt_G&amp;L'!E205/SUM('Alloy_compnt_G&amp;L'!E$186:E$245),0)</f>
        <v>0</v>
      </c>
      <c r="F205" s="73">
        <f>IFERROR('Alloy_compnt_G&amp;L'!F205/SUM('Alloy_compnt_G&amp;L'!F$186:F$245),0)</f>
        <v>0</v>
      </c>
      <c r="G205" s="73">
        <f>IFERROR('Alloy_compnt_G&amp;L'!G205/SUM('Alloy_compnt_G&amp;L'!G$186:G$245),0)</f>
        <v>0</v>
      </c>
    </row>
    <row r="206" spans="1:7" x14ac:dyDescent="0.2">
      <c r="A206" s="145" t="s">
        <v>258</v>
      </c>
      <c r="B206" s="73">
        <f>IFERROR('Alloy_compnt_G&amp;L'!B206/SUM('Alloy_compnt_G&amp;L'!B$186:B$245),0)</f>
        <v>0</v>
      </c>
      <c r="C206" s="73">
        <f>IFERROR('Alloy_compnt_G&amp;L'!C206/SUM('Alloy_compnt_G&amp;L'!C$186:C$245),0)</f>
        <v>0</v>
      </c>
      <c r="D206" s="73">
        <f>IFERROR('Alloy_compnt_G&amp;L'!D206/SUM('Alloy_compnt_G&amp;L'!D$186:D$245),0)</f>
        <v>0</v>
      </c>
      <c r="E206" s="73">
        <f>IFERROR('Alloy_compnt_G&amp;L'!E206/SUM('Alloy_compnt_G&amp;L'!E$186:E$245),0)</f>
        <v>0</v>
      </c>
      <c r="F206" s="73">
        <f>IFERROR('Alloy_compnt_G&amp;L'!F206/SUM('Alloy_compnt_G&amp;L'!F$186:F$245),0)</f>
        <v>0</v>
      </c>
      <c r="G206" s="73">
        <f>IFERROR('Alloy_compnt_G&amp;L'!G206/SUM('Alloy_compnt_G&amp;L'!G$186:G$245),0)</f>
        <v>0</v>
      </c>
    </row>
    <row r="207" spans="1:7" x14ac:dyDescent="0.2">
      <c r="A207" s="142" t="s">
        <v>259</v>
      </c>
      <c r="B207" s="73">
        <f>IFERROR('Alloy_compnt_G&amp;L'!B207/SUM('Alloy_compnt_G&amp;L'!B$186:B$245),0)</f>
        <v>0</v>
      </c>
      <c r="C207" s="73">
        <f>IFERROR('Alloy_compnt_G&amp;L'!C207/SUM('Alloy_compnt_G&amp;L'!C$186:C$245),0)</f>
        <v>0</v>
      </c>
      <c r="D207" s="73">
        <f>IFERROR('Alloy_compnt_G&amp;L'!D207/SUM('Alloy_compnt_G&amp;L'!D$186:D$245),0)</f>
        <v>0</v>
      </c>
      <c r="E207" s="73">
        <f>IFERROR('Alloy_compnt_G&amp;L'!E207/SUM('Alloy_compnt_G&amp;L'!E$186:E$245),0)</f>
        <v>0</v>
      </c>
      <c r="F207" s="73">
        <f>IFERROR('Alloy_compnt_G&amp;L'!F207/SUM('Alloy_compnt_G&amp;L'!F$186:F$245),0)</f>
        <v>0</v>
      </c>
      <c r="G207" s="73">
        <f>IFERROR('Alloy_compnt_G&amp;L'!G207/SUM('Alloy_compnt_G&amp;L'!G$186:G$245),0)</f>
        <v>0</v>
      </c>
    </row>
    <row r="208" spans="1:7" x14ac:dyDescent="0.2">
      <c r="A208" s="147" t="s">
        <v>260</v>
      </c>
      <c r="B208" s="73">
        <f>IFERROR('Alloy_compnt_G&amp;L'!B208/SUM('Alloy_compnt_G&amp;L'!B$186:B$245),0)</f>
        <v>0</v>
      </c>
      <c r="C208" s="73">
        <f>IFERROR('Alloy_compnt_G&amp;L'!C208/SUM('Alloy_compnt_G&amp;L'!C$186:C$245),0)</f>
        <v>0</v>
      </c>
      <c r="D208" s="73">
        <f>IFERROR('Alloy_compnt_G&amp;L'!D208/SUM('Alloy_compnt_G&amp;L'!D$186:D$245),0)</f>
        <v>0</v>
      </c>
      <c r="E208" s="73">
        <f>IFERROR('Alloy_compnt_G&amp;L'!E208/SUM('Alloy_compnt_G&amp;L'!E$186:E$245),0)</f>
        <v>0</v>
      </c>
      <c r="F208" s="73">
        <f>IFERROR('Alloy_compnt_G&amp;L'!F208/SUM('Alloy_compnt_G&amp;L'!F$186:F$245),0)</f>
        <v>0</v>
      </c>
      <c r="G208" s="73">
        <f>IFERROR('Alloy_compnt_G&amp;L'!G208/SUM('Alloy_compnt_G&amp;L'!G$186:G$245),0)</f>
        <v>0</v>
      </c>
    </row>
    <row r="209" spans="1:7" x14ac:dyDescent="0.2">
      <c r="A209" s="142" t="s">
        <v>261</v>
      </c>
      <c r="B209" s="73">
        <f>IFERROR('Alloy_compnt_G&amp;L'!B209/SUM('Alloy_compnt_G&amp;L'!B$186:B$245),0)</f>
        <v>0</v>
      </c>
      <c r="C209" s="73">
        <f>IFERROR('Alloy_compnt_G&amp;L'!C209/SUM('Alloy_compnt_G&amp;L'!C$186:C$245),0)</f>
        <v>0</v>
      </c>
      <c r="D209" s="73">
        <f>IFERROR('Alloy_compnt_G&amp;L'!D209/SUM('Alloy_compnt_G&amp;L'!D$186:D$245),0)</f>
        <v>0</v>
      </c>
      <c r="E209" s="73">
        <f>IFERROR('Alloy_compnt_G&amp;L'!E209/SUM('Alloy_compnt_G&amp;L'!E$186:E$245),0)</f>
        <v>0</v>
      </c>
      <c r="F209" s="73">
        <f>IFERROR('Alloy_compnt_G&amp;L'!F209/SUM('Alloy_compnt_G&amp;L'!F$186:F$245),0)</f>
        <v>0</v>
      </c>
      <c r="G209" s="73">
        <f>IFERROR('Alloy_compnt_G&amp;L'!G209/SUM('Alloy_compnt_G&amp;L'!G$186:G$245),0)</f>
        <v>0</v>
      </c>
    </row>
    <row r="210" spans="1:7" x14ac:dyDescent="0.2">
      <c r="A210" s="142" t="s">
        <v>262</v>
      </c>
      <c r="B210" s="73">
        <f>IFERROR('Alloy_compnt_G&amp;L'!B210/SUM('Alloy_compnt_G&amp;L'!B$186:B$245),0)</f>
        <v>0</v>
      </c>
      <c r="C210" s="73">
        <f>IFERROR('Alloy_compnt_G&amp;L'!C210/SUM('Alloy_compnt_G&amp;L'!C$186:C$245),0)</f>
        <v>0</v>
      </c>
      <c r="D210" s="73">
        <f>IFERROR('Alloy_compnt_G&amp;L'!D210/SUM('Alloy_compnt_G&amp;L'!D$186:D$245),0)</f>
        <v>0</v>
      </c>
      <c r="E210" s="73">
        <f>IFERROR('Alloy_compnt_G&amp;L'!E210/SUM('Alloy_compnt_G&amp;L'!E$186:E$245),0)</f>
        <v>0</v>
      </c>
      <c r="F210" s="73">
        <f>IFERROR('Alloy_compnt_G&amp;L'!F210/SUM('Alloy_compnt_G&amp;L'!F$186:F$245),0)</f>
        <v>0</v>
      </c>
      <c r="G210" s="73">
        <f>IFERROR('Alloy_compnt_G&amp;L'!G210/SUM('Alloy_compnt_G&amp;L'!G$186:G$245),0)</f>
        <v>0</v>
      </c>
    </row>
    <row r="211" spans="1:7" x14ac:dyDescent="0.2">
      <c r="A211" s="142" t="s">
        <v>263</v>
      </c>
      <c r="B211" s="73">
        <f>IFERROR('Alloy_compnt_G&amp;L'!B211/SUM('Alloy_compnt_G&amp;L'!B$186:B$245),0)</f>
        <v>0</v>
      </c>
      <c r="C211" s="73">
        <f>IFERROR('Alloy_compnt_G&amp;L'!C211/SUM('Alloy_compnt_G&amp;L'!C$186:C$245),0)</f>
        <v>0</v>
      </c>
      <c r="D211" s="73">
        <f>IFERROR('Alloy_compnt_G&amp;L'!D211/SUM('Alloy_compnt_G&amp;L'!D$186:D$245),0)</f>
        <v>0</v>
      </c>
      <c r="E211" s="73">
        <f>IFERROR('Alloy_compnt_G&amp;L'!E211/SUM('Alloy_compnt_G&amp;L'!E$186:E$245),0)</f>
        <v>0</v>
      </c>
      <c r="F211" s="73">
        <f>IFERROR('Alloy_compnt_G&amp;L'!F211/SUM('Alloy_compnt_G&amp;L'!F$186:F$245),0)</f>
        <v>0</v>
      </c>
      <c r="G211" s="73">
        <f>IFERROR('Alloy_compnt_G&amp;L'!G211/SUM('Alloy_compnt_G&amp;L'!G$186:G$245),0)</f>
        <v>0</v>
      </c>
    </row>
    <row r="212" spans="1:7" x14ac:dyDescent="0.2">
      <c r="A212" s="142" t="s">
        <v>264</v>
      </c>
      <c r="B212" s="73">
        <f>IFERROR('Alloy_compnt_G&amp;L'!B212/SUM('Alloy_compnt_G&amp;L'!B$186:B$245),0)</f>
        <v>0</v>
      </c>
      <c r="C212" s="73">
        <f>IFERROR('Alloy_compnt_G&amp;L'!C212/SUM('Alloy_compnt_G&amp;L'!C$186:C$245),0)</f>
        <v>0</v>
      </c>
      <c r="D212" s="73">
        <f>IFERROR('Alloy_compnt_G&amp;L'!D212/SUM('Alloy_compnt_G&amp;L'!D$186:D$245),0)</f>
        <v>0</v>
      </c>
      <c r="E212" s="73">
        <f>IFERROR('Alloy_compnt_G&amp;L'!E212/SUM('Alloy_compnt_G&amp;L'!E$186:E$245),0)</f>
        <v>0</v>
      </c>
      <c r="F212" s="73">
        <f>IFERROR('Alloy_compnt_G&amp;L'!F212/SUM('Alloy_compnt_G&amp;L'!F$186:F$245),0)</f>
        <v>0</v>
      </c>
      <c r="G212" s="73">
        <f>IFERROR('Alloy_compnt_G&amp;L'!G212/SUM('Alloy_compnt_G&amp;L'!G$186:G$245),0)</f>
        <v>0</v>
      </c>
    </row>
    <row r="213" spans="1:7" x14ac:dyDescent="0.2">
      <c r="A213" s="142" t="s">
        <v>265</v>
      </c>
      <c r="B213" s="73">
        <f>IFERROR('Alloy_compnt_G&amp;L'!B213/SUM('Alloy_compnt_G&amp;L'!B$186:B$245),0)</f>
        <v>0</v>
      </c>
      <c r="C213" s="73">
        <f>IFERROR('Alloy_compnt_G&amp;L'!C213/SUM('Alloy_compnt_G&amp;L'!C$186:C$245),0)</f>
        <v>0</v>
      </c>
      <c r="D213" s="73">
        <f>IFERROR('Alloy_compnt_G&amp;L'!D213/SUM('Alloy_compnt_G&amp;L'!D$186:D$245),0)</f>
        <v>0</v>
      </c>
      <c r="E213" s="73">
        <f>IFERROR('Alloy_compnt_G&amp;L'!E213/SUM('Alloy_compnt_G&amp;L'!E$186:E$245),0)</f>
        <v>0</v>
      </c>
      <c r="F213" s="73">
        <f>IFERROR('Alloy_compnt_G&amp;L'!F213/SUM('Alloy_compnt_G&amp;L'!F$186:F$245),0)</f>
        <v>0</v>
      </c>
      <c r="G213" s="73">
        <f>IFERROR('Alloy_compnt_G&amp;L'!G213/SUM('Alloy_compnt_G&amp;L'!G$186:G$245),0)</f>
        <v>0</v>
      </c>
    </row>
    <row r="214" spans="1:7" x14ac:dyDescent="0.2">
      <c r="A214" s="142" t="s">
        <v>266</v>
      </c>
      <c r="B214" s="73">
        <f>IFERROR('Alloy_compnt_G&amp;L'!B214/SUM('Alloy_compnt_G&amp;L'!B$186:B$245),0)</f>
        <v>0</v>
      </c>
      <c r="C214" s="73">
        <f>IFERROR('Alloy_compnt_G&amp;L'!C214/SUM('Alloy_compnt_G&amp;L'!C$186:C$245),0)</f>
        <v>0</v>
      </c>
      <c r="D214" s="73">
        <f>IFERROR('Alloy_compnt_G&amp;L'!D214/SUM('Alloy_compnt_G&amp;L'!D$186:D$245),0)</f>
        <v>0</v>
      </c>
      <c r="E214" s="73">
        <f>IFERROR('Alloy_compnt_G&amp;L'!E214/SUM('Alloy_compnt_G&amp;L'!E$186:E$245),0)</f>
        <v>0</v>
      </c>
      <c r="F214" s="73">
        <f>IFERROR('Alloy_compnt_G&amp;L'!F214/SUM('Alloy_compnt_G&amp;L'!F$186:F$245),0)</f>
        <v>0</v>
      </c>
      <c r="G214" s="73">
        <f>IFERROR('Alloy_compnt_G&amp;L'!G214/SUM('Alloy_compnt_G&amp;L'!G$186:G$245),0)</f>
        <v>0</v>
      </c>
    </row>
    <row r="215" spans="1:7" x14ac:dyDescent="0.2">
      <c r="A215" s="142" t="s">
        <v>267</v>
      </c>
      <c r="B215" s="73">
        <f>IFERROR('Alloy_compnt_G&amp;L'!B215/SUM('Alloy_compnt_G&amp;L'!B$186:B$245),0)</f>
        <v>0</v>
      </c>
      <c r="C215" s="73">
        <f>IFERROR('Alloy_compnt_G&amp;L'!C215/SUM('Alloy_compnt_G&amp;L'!C$186:C$245),0)</f>
        <v>2.2540731393383938E-3</v>
      </c>
      <c r="D215" s="73">
        <f>IFERROR('Alloy_compnt_G&amp;L'!D215/SUM('Alloy_compnt_G&amp;L'!D$186:D$245),0)</f>
        <v>0</v>
      </c>
      <c r="E215" s="73">
        <f>IFERROR('Alloy_compnt_G&amp;L'!E215/SUM('Alloy_compnt_G&amp;L'!E$186:E$245),0)</f>
        <v>2.0272469152790035E-3</v>
      </c>
      <c r="F215" s="73">
        <f>IFERROR('Alloy_compnt_G&amp;L'!F215/SUM('Alloy_compnt_G&amp;L'!F$186:F$245),0)</f>
        <v>0</v>
      </c>
      <c r="G215" s="73">
        <f>IFERROR('Alloy_compnt_G&amp;L'!G215/SUM('Alloy_compnt_G&amp;L'!G$186:G$245),0)</f>
        <v>1.9186019269786935E-3</v>
      </c>
    </row>
    <row r="216" spans="1:7" x14ac:dyDescent="0.2">
      <c r="A216" s="142" t="s">
        <v>268</v>
      </c>
      <c r="B216" s="73">
        <f>IFERROR('Alloy_compnt_G&amp;L'!B216/SUM('Alloy_compnt_G&amp;L'!B$186:B$245),0)</f>
        <v>0</v>
      </c>
      <c r="C216" s="73">
        <f>IFERROR('Alloy_compnt_G&amp;L'!C216/SUM('Alloy_compnt_G&amp;L'!C$186:C$245),0)</f>
        <v>0</v>
      </c>
      <c r="D216" s="73">
        <f>IFERROR('Alloy_compnt_G&amp;L'!D216/SUM('Alloy_compnt_G&amp;L'!D$186:D$245),0)</f>
        <v>0</v>
      </c>
      <c r="E216" s="73">
        <f>IFERROR('Alloy_compnt_G&amp;L'!E216/SUM('Alloy_compnt_G&amp;L'!E$186:E$245),0)</f>
        <v>0</v>
      </c>
      <c r="F216" s="73">
        <f>IFERROR('Alloy_compnt_G&amp;L'!F216/SUM('Alloy_compnt_G&amp;L'!F$186:F$245),0)</f>
        <v>0</v>
      </c>
      <c r="G216" s="73">
        <f>IFERROR('Alloy_compnt_G&amp;L'!G216/SUM('Alloy_compnt_G&amp;L'!G$186:G$245),0)</f>
        <v>0</v>
      </c>
    </row>
    <row r="217" spans="1:7" x14ac:dyDescent="0.2">
      <c r="A217" s="142" t="s">
        <v>269</v>
      </c>
      <c r="B217" s="73">
        <f>IFERROR('Alloy_compnt_G&amp;L'!B217/SUM('Alloy_compnt_G&amp;L'!B$186:B$245),0)</f>
        <v>0</v>
      </c>
      <c r="C217" s="73">
        <f>IFERROR('Alloy_compnt_G&amp;L'!C217/SUM('Alloy_compnt_G&amp;L'!C$186:C$245),0)</f>
        <v>0</v>
      </c>
      <c r="D217" s="73">
        <f>IFERROR('Alloy_compnt_G&amp;L'!D217/SUM('Alloy_compnt_G&amp;L'!D$186:D$245),0)</f>
        <v>0</v>
      </c>
      <c r="E217" s="73">
        <f>IFERROR('Alloy_compnt_G&amp;L'!E217/SUM('Alloy_compnt_G&amp;L'!E$186:E$245),0)</f>
        <v>0</v>
      </c>
      <c r="F217" s="73">
        <f>IFERROR('Alloy_compnt_G&amp;L'!F217/SUM('Alloy_compnt_G&amp;L'!F$186:F$245),0)</f>
        <v>0</v>
      </c>
      <c r="G217" s="73">
        <f>IFERROR('Alloy_compnt_G&amp;L'!G217/SUM('Alloy_compnt_G&amp;L'!G$186:G$245),0)</f>
        <v>0</v>
      </c>
    </row>
    <row r="218" spans="1:7" x14ac:dyDescent="0.2">
      <c r="A218" s="142" t="s">
        <v>270</v>
      </c>
      <c r="B218" s="73">
        <f>IFERROR('Alloy_compnt_G&amp;L'!B218/SUM('Alloy_compnt_G&amp;L'!B$186:B$245),0)</f>
        <v>0</v>
      </c>
      <c r="C218" s="73">
        <f>IFERROR('Alloy_compnt_G&amp;L'!C218/SUM('Alloy_compnt_G&amp;L'!C$186:C$245),0)</f>
        <v>0</v>
      </c>
      <c r="D218" s="73">
        <f>IFERROR('Alloy_compnt_G&amp;L'!D218/SUM('Alloy_compnt_G&amp;L'!D$186:D$245),0)</f>
        <v>0</v>
      </c>
      <c r="E218" s="73">
        <f>IFERROR('Alloy_compnt_G&amp;L'!E218/SUM('Alloy_compnt_G&amp;L'!E$186:E$245),0)</f>
        <v>0</v>
      </c>
      <c r="F218" s="73">
        <f>IFERROR('Alloy_compnt_G&amp;L'!F218/SUM('Alloy_compnt_G&amp;L'!F$186:F$245),0)</f>
        <v>0</v>
      </c>
      <c r="G218" s="73">
        <f>IFERROR('Alloy_compnt_G&amp;L'!G218/SUM('Alloy_compnt_G&amp;L'!G$186:G$245),0)</f>
        <v>0</v>
      </c>
    </row>
    <row r="219" spans="1:7" x14ac:dyDescent="0.2">
      <c r="A219" s="142" t="s">
        <v>271</v>
      </c>
      <c r="B219" s="73">
        <f>IFERROR('Alloy_compnt_G&amp;L'!B219/SUM('Alloy_compnt_G&amp;L'!B$186:B$245),0)</f>
        <v>0</v>
      </c>
      <c r="C219" s="73">
        <f>IFERROR('Alloy_compnt_G&amp;L'!C219/SUM('Alloy_compnt_G&amp;L'!C$186:C$245),0)</f>
        <v>0</v>
      </c>
      <c r="D219" s="73">
        <f>IFERROR('Alloy_compnt_G&amp;L'!D219/SUM('Alloy_compnt_G&amp;L'!D$186:D$245),0)</f>
        <v>0</v>
      </c>
      <c r="E219" s="73">
        <f>IFERROR('Alloy_compnt_G&amp;L'!E219/SUM('Alloy_compnt_G&amp;L'!E$186:E$245),0)</f>
        <v>0</v>
      </c>
      <c r="F219" s="73">
        <f>IFERROR('Alloy_compnt_G&amp;L'!F219/SUM('Alloy_compnt_G&amp;L'!F$186:F$245),0)</f>
        <v>0</v>
      </c>
      <c r="G219" s="73">
        <f>IFERROR('Alloy_compnt_G&amp;L'!G219/SUM('Alloy_compnt_G&amp;L'!G$186:G$245),0)</f>
        <v>0</v>
      </c>
    </row>
    <row r="220" spans="1:7" x14ac:dyDescent="0.2">
      <c r="A220" s="142" t="s">
        <v>272</v>
      </c>
      <c r="B220" s="73">
        <f>IFERROR('Alloy_compnt_G&amp;L'!B220/SUM('Alloy_compnt_G&amp;L'!B$186:B$245),0)</f>
        <v>0</v>
      </c>
      <c r="C220" s="73">
        <f>IFERROR('Alloy_compnt_G&amp;L'!C220/SUM('Alloy_compnt_G&amp;L'!C$186:C$245),0)</f>
        <v>0</v>
      </c>
      <c r="D220" s="73">
        <f>IFERROR('Alloy_compnt_G&amp;L'!D220/SUM('Alloy_compnt_G&amp;L'!D$186:D$245),0)</f>
        <v>0</v>
      </c>
      <c r="E220" s="73">
        <f>IFERROR('Alloy_compnt_G&amp;L'!E220/SUM('Alloy_compnt_G&amp;L'!E$186:E$245),0)</f>
        <v>0</v>
      </c>
      <c r="F220" s="73">
        <f>IFERROR('Alloy_compnt_G&amp;L'!F220/SUM('Alloy_compnt_G&amp;L'!F$186:F$245),0)</f>
        <v>0</v>
      </c>
      <c r="G220" s="73">
        <f>IFERROR('Alloy_compnt_G&amp;L'!G220/SUM('Alloy_compnt_G&amp;L'!G$186:G$245),0)</f>
        <v>0</v>
      </c>
    </row>
    <row r="221" spans="1:7" x14ac:dyDescent="0.2">
      <c r="A221" s="142" t="s">
        <v>273</v>
      </c>
      <c r="B221" s="73">
        <f>IFERROR('Alloy_compnt_G&amp;L'!B221/SUM('Alloy_compnt_G&amp;L'!B$186:B$245),0)</f>
        <v>0</v>
      </c>
      <c r="C221" s="73">
        <f>IFERROR('Alloy_compnt_G&amp;L'!C221/SUM('Alloy_compnt_G&amp;L'!C$186:C$245),0)</f>
        <v>0</v>
      </c>
      <c r="D221" s="73">
        <f>IFERROR('Alloy_compnt_G&amp;L'!D221/SUM('Alloy_compnt_G&amp;L'!D$186:D$245),0)</f>
        <v>0</v>
      </c>
      <c r="E221" s="73">
        <f>IFERROR('Alloy_compnt_G&amp;L'!E221/SUM('Alloy_compnt_G&amp;L'!E$186:E$245),0)</f>
        <v>0</v>
      </c>
      <c r="F221" s="73">
        <f>IFERROR('Alloy_compnt_G&amp;L'!F221/SUM('Alloy_compnt_G&amp;L'!F$186:F$245),0)</f>
        <v>0</v>
      </c>
      <c r="G221" s="73">
        <f>IFERROR('Alloy_compnt_G&amp;L'!G221/SUM('Alloy_compnt_G&amp;L'!G$186:G$245),0)</f>
        <v>0</v>
      </c>
    </row>
    <row r="222" spans="1:7" x14ac:dyDescent="0.2">
      <c r="A222" s="142" t="s">
        <v>274</v>
      </c>
      <c r="B222" s="73">
        <f>IFERROR('Alloy_compnt_G&amp;L'!B222/SUM('Alloy_compnt_G&amp;L'!B$186:B$245),0)</f>
        <v>0</v>
      </c>
      <c r="C222" s="73">
        <f>IFERROR('Alloy_compnt_G&amp;L'!C222/SUM('Alloy_compnt_G&amp;L'!C$186:C$245),0)</f>
        <v>1.1270365696691969E-3</v>
      </c>
      <c r="D222" s="73">
        <f>IFERROR('Alloy_compnt_G&amp;L'!D222/SUM('Alloy_compnt_G&amp;L'!D$186:D$245),0)</f>
        <v>0</v>
      </c>
      <c r="E222" s="73">
        <f>IFERROR('Alloy_compnt_G&amp;L'!E222/SUM('Alloy_compnt_G&amp;L'!E$186:E$245),0)</f>
        <v>1.0136234576395018E-3</v>
      </c>
      <c r="F222" s="73">
        <f>IFERROR('Alloy_compnt_G&amp;L'!F222/SUM('Alloy_compnt_G&amp;L'!F$186:F$245),0)</f>
        <v>0</v>
      </c>
      <c r="G222" s="73">
        <f>IFERROR('Alloy_compnt_G&amp;L'!G222/SUM('Alloy_compnt_G&amp;L'!G$186:G$245),0)</f>
        <v>9.5930096348934674E-4</v>
      </c>
    </row>
    <row r="223" spans="1:7" x14ac:dyDescent="0.2">
      <c r="A223" s="142" t="s">
        <v>275</v>
      </c>
      <c r="B223" s="73">
        <f>IFERROR('Alloy_compnt_G&amp;L'!B223/SUM('Alloy_compnt_G&amp;L'!B$186:B$245),0)</f>
        <v>0</v>
      </c>
      <c r="C223" s="73">
        <f>IFERROR('Alloy_compnt_G&amp;L'!C223/SUM('Alloy_compnt_G&amp;L'!C$186:C$245),0)</f>
        <v>0</v>
      </c>
      <c r="D223" s="73">
        <f>IFERROR('Alloy_compnt_G&amp;L'!D223/SUM('Alloy_compnt_G&amp;L'!D$186:D$245),0)</f>
        <v>0</v>
      </c>
      <c r="E223" s="73">
        <f>IFERROR('Alloy_compnt_G&amp;L'!E223/SUM('Alloy_compnt_G&amp;L'!E$186:E$245),0)</f>
        <v>0</v>
      </c>
      <c r="F223" s="73">
        <f>IFERROR('Alloy_compnt_G&amp;L'!F223/SUM('Alloy_compnt_G&amp;L'!F$186:F$245),0)</f>
        <v>0</v>
      </c>
      <c r="G223" s="73">
        <f>IFERROR('Alloy_compnt_G&amp;L'!G223/SUM('Alloy_compnt_G&amp;L'!G$186:G$245),0)</f>
        <v>0</v>
      </c>
    </row>
    <row r="224" spans="1:7" x14ac:dyDescent="0.2">
      <c r="A224" s="142" t="s">
        <v>276</v>
      </c>
      <c r="B224" s="73">
        <f>IFERROR('Alloy_compnt_G&amp;L'!B224/SUM('Alloy_compnt_G&amp;L'!B$186:B$245),0)</f>
        <v>0</v>
      </c>
      <c r="C224" s="73">
        <f>IFERROR('Alloy_compnt_G&amp;L'!C224/SUM('Alloy_compnt_G&amp;L'!C$186:C$245),0)</f>
        <v>0</v>
      </c>
      <c r="D224" s="73">
        <f>IFERROR('Alloy_compnt_G&amp;L'!D224/SUM('Alloy_compnt_G&amp;L'!D$186:D$245),0)</f>
        <v>0</v>
      </c>
      <c r="E224" s="73">
        <f>IFERROR('Alloy_compnt_G&amp;L'!E224/SUM('Alloy_compnt_G&amp;L'!E$186:E$245),0)</f>
        <v>0</v>
      </c>
      <c r="F224" s="73">
        <f>IFERROR('Alloy_compnt_G&amp;L'!F224/SUM('Alloy_compnt_G&amp;L'!F$186:F$245),0)</f>
        <v>0</v>
      </c>
      <c r="G224" s="73">
        <f>IFERROR('Alloy_compnt_G&amp;L'!G224/SUM('Alloy_compnt_G&amp;L'!G$186:G$245),0)</f>
        <v>0</v>
      </c>
    </row>
    <row r="225" spans="1:7" x14ac:dyDescent="0.2">
      <c r="A225" s="144" t="s">
        <v>277</v>
      </c>
      <c r="B225" s="73">
        <f>IFERROR('Alloy_compnt_G&amp;L'!B225/SUM('Alloy_compnt_G&amp;L'!B$186:B$245),0)</f>
        <v>0</v>
      </c>
      <c r="C225" s="73">
        <f>IFERROR('Alloy_compnt_G&amp;L'!C225/SUM('Alloy_compnt_G&amp;L'!C$186:C$245),0)</f>
        <v>0</v>
      </c>
      <c r="D225" s="73">
        <f>IFERROR('Alloy_compnt_G&amp;L'!D225/SUM('Alloy_compnt_G&amp;L'!D$186:D$245),0)</f>
        <v>0</v>
      </c>
      <c r="E225" s="73">
        <f>IFERROR('Alloy_compnt_G&amp;L'!E225/SUM('Alloy_compnt_G&amp;L'!E$186:E$245),0)</f>
        <v>0</v>
      </c>
      <c r="F225" s="73">
        <f>IFERROR('Alloy_compnt_G&amp;L'!F225/SUM('Alloy_compnt_G&amp;L'!F$186:F$245),0)</f>
        <v>0</v>
      </c>
      <c r="G225" s="73">
        <f>IFERROR('Alloy_compnt_G&amp;L'!G225/SUM('Alloy_compnt_G&amp;L'!G$186:G$245),0)</f>
        <v>0</v>
      </c>
    </row>
    <row r="226" spans="1:7" x14ac:dyDescent="0.2">
      <c r="A226" s="148" t="s">
        <v>278</v>
      </c>
      <c r="B226" s="73">
        <f>IFERROR('Alloy_compnt_G&amp;L'!B226/SUM('Alloy_compnt_G&amp;L'!B$186:B$245),0)</f>
        <v>0</v>
      </c>
      <c r="C226" s="73">
        <f>IFERROR('Alloy_compnt_G&amp;L'!C226/SUM('Alloy_compnt_G&amp;L'!C$186:C$245),0)</f>
        <v>0</v>
      </c>
      <c r="D226" s="73">
        <f>IFERROR('Alloy_compnt_G&amp;L'!D226/SUM('Alloy_compnt_G&amp;L'!D$186:D$245),0)</f>
        <v>0</v>
      </c>
      <c r="E226" s="73">
        <f>IFERROR('Alloy_compnt_G&amp;L'!E226/SUM('Alloy_compnt_G&amp;L'!E$186:E$245),0)</f>
        <v>0</v>
      </c>
      <c r="F226" s="73">
        <f>IFERROR('Alloy_compnt_G&amp;L'!F226/SUM('Alloy_compnt_G&amp;L'!F$186:F$245),0)</f>
        <v>0</v>
      </c>
      <c r="G226" s="73">
        <f>IFERROR('Alloy_compnt_G&amp;L'!G226/SUM('Alloy_compnt_G&amp;L'!G$186:G$245),0)</f>
        <v>0</v>
      </c>
    </row>
    <row r="227" spans="1:7" x14ac:dyDescent="0.2">
      <c r="A227" s="148" t="s">
        <v>279</v>
      </c>
      <c r="B227" s="73">
        <f>IFERROR('Alloy_compnt_G&amp;L'!B227/SUM('Alloy_compnt_G&amp;L'!B$186:B$245),0)</f>
        <v>0</v>
      </c>
      <c r="C227" s="73">
        <f>IFERROR('Alloy_compnt_G&amp;L'!C227/SUM('Alloy_compnt_G&amp;L'!C$186:C$245),0)</f>
        <v>0</v>
      </c>
      <c r="D227" s="73">
        <f>IFERROR('Alloy_compnt_G&amp;L'!D227/SUM('Alloy_compnt_G&amp;L'!D$186:D$245),0)</f>
        <v>0</v>
      </c>
      <c r="E227" s="73">
        <f>IFERROR('Alloy_compnt_G&amp;L'!E227/SUM('Alloy_compnt_G&amp;L'!E$186:E$245),0)</f>
        <v>0</v>
      </c>
      <c r="F227" s="73">
        <f>IFERROR('Alloy_compnt_G&amp;L'!F227/SUM('Alloy_compnt_G&amp;L'!F$186:F$245),0)</f>
        <v>0</v>
      </c>
      <c r="G227" s="73">
        <f>IFERROR('Alloy_compnt_G&amp;L'!G227/SUM('Alloy_compnt_G&amp;L'!G$186:G$245),0)</f>
        <v>0</v>
      </c>
    </row>
    <row r="228" spans="1:7" x14ac:dyDescent="0.2">
      <c r="A228" s="148" t="s">
        <v>280</v>
      </c>
      <c r="B228" s="73">
        <f>IFERROR('Alloy_compnt_G&amp;L'!B228/SUM('Alloy_compnt_G&amp;L'!B$186:B$245),0)</f>
        <v>0</v>
      </c>
      <c r="C228" s="73">
        <f>IFERROR('Alloy_compnt_G&amp;L'!C228/SUM('Alloy_compnt_G&amp;L'!C$186:C$245),0)</f>
        <v>0</v>
      </c>
      <c r="D228" s="73">
        <f>IFERROR('Alloy_compnt_G&amp;L'!D228/SUM('Alloy_compnt_G&amp;L'!D$186:D$245),0)</f>
        <v>0</v>
      </c>
      <c r="E228" s="73">
        <f>IFERROR('Alloy_compnt_G&amp;L'!E228/SUM('Alloy_compnt_G&amp;L'!E$186:E$245),0)</f>
        <v>0</v>
      </c>
      <c r="F228" s="73">
        <f>IFERROR('Alloy_compnt_G&amp;L'!F228/SUM('Alloy_compnt_G&amp;L'!F$186:F$245),0)</f>
        <v>0</v>
      </c>
      <c r="G228" s="73">
        <f>IFERROR('Alloy_compnt_G&amp;L'!G228/SUM('Alloy_compnt_G&amp;L'!G$186:G$245),0)</f>
        <v>0</v>
      </c>
    </row>
    <row r="229" spans="1:7" x14ac:dyDescent="0.2">
      <c r="A229" s="148" t="s">
        <v>281</v>
      </c>
      <c r="B229" s="73">
        <f>IFERROR('Alloy_compnt_G&amp;L'!B229/SUM('Alloy_compnt_G&amp;L'!B$186:B$245),0)</f>
        <v>0</v>
      </c>
      <c r="C229" s="73">
        <f>IFERROR('Alloy_compnt_G&amp;L'!C229/SUM('Alloy_compnt_G&amp;L'!C$186:C$245),0)</f>
        <v>1.1313713257063859E-2</v>
      </c>
      <c r="D229" s="73">
        <f>IFERROR('Alloy_compnt_G&amp;L'!D229/SUM('Alloy_compnt_G&amp;L'!D$186:D$245),0)</f>
        <v>0</v>
      </c>
      <c r="E229" s="73">
        <f>IFERROR('Alloy_compnt_G&amp;L'!E229/SUM('Alloy_compnt_G&amp;L'!E$186:E$245),0)</f>
        <v>1.0175220093996535E-2</v>
      </c>
      <c r="F229" s="73">
        <f>IFERROR('Alloy_compnt_G&amp;L'!F229/SUM('Alloy_compnt_G&amp;L'!F$186:F$245),0)</f>
        <v>0</v>
      </c>
      <c r="G229" s="73">
        <f>IFERROR('Alloy_compnt_G&amp;L'!G229/SUM('Alloy_compnt_G&amp;L'!G$186:G$245),0)</f>
        <v>9.6299058257969024E-3</v>
      </c>
    </row>
    <row r="230" spans="1:7" x14ac:dyDescent="0.2">
      <c r="A230" s="148" t="s">
        <v>282</v>
      </c>
      <c r="B230" s="73">
        <f>IFERROR('Alloy_compnt_G&amp;L'!B230/SUM('Alloy_compnt_G&amp;L'!B$186:B$245),0)</f>
        <v>0</v>
      </c>
      <c r="C230" s="73">
        <f>IFERROR('Alloy_compnt_G&amp;L'!C230/SUM('Alloy_compnt_G&amp;L'!C$186:C$245),0)</f>
        <v>0</v>
      </c>
      <c r="D230" s="73">
        <f>IFERROR('Alloy_compnt_G&amp;L'!D230/SUM('Alloy_compnt_G&amp;L'!D$186:D$245),0)</f>
        <v>0</v>
      </c>
      <c r="E230" s="73">
        <f>IFERROR('Alloy_compnt_G&amp;L'!E230/SUM('Alloy_compnt_G&amp;L'!E$186:E$245),0)</f>
        <v>0</v>
      </c>
      <c r="F230" s="73">
        <f>IFERROR('Alloy_compnt_G&amp;L'!F230/SUM('Alloy_compnt_G&amp;L'!F$186:F$245),0)</f>
        <v>0</v>
      </c>
      <c r="G230" s="73">
        <f>IFERROR('Alloy_compnt_G&amp;L'!G230/SUM('Alloy_compnt_G&amp;L'!G$186:G$245),0)</f>
        <v>0</v>
      </c>
    </row>
    <row r="231" spans="1:7" x14ac:dyDescent="0.2">
      <c r="A231" s="148" t="s">
        <v>283</v>
      </c>
      <c r="B231" s="73">
        <f>IFERROR('Alloy_compnt_G&amp;L'!B231/SUM('Alloy_compnt_G&amp;L'!B$186:B$245),0)</f>
        <v>0</v>
      </c>
      <c r="C231" s="73">
        <f>IFERROR('Alloy_compnt_G&amp;L'!C231/SUM('Alloy_compnt_G&amp;L'!C$186:C$245),0)</f>
        <v>0</v>
      </c>
      <c r="D231" s="73">
        <f>IFERROR('Alloy_compnt_G&amp;L'!D231/SUM('Alloy_compnt_G&amp;L'!D$186:D$245),0)</f>
        <v>0</v>
      </c>
      <c r="E231" s="73">
        <f>IFERROR('Alloy_compnt_G&amp;L'!E231/SUM('Alloy_compnt_G&amp;L'!E$186:E$245),0)</f>
        <v>0</v>
      </c>
      <c r="F231" s="73">
        <f>IFERROR('Alloy_compnt_G&amp;L'!F231/SUM('Alloy_compnt_G&amp;L'!F$186:F$245),0)</f>
        <v>0</v>
      </c>
      <c r="G231" s="73">
        <f>IFERROR('Alloy_compnt_G&amp;L'!G231/SUM('Alloy_compnt_G&amp;L'!G$186:G$245),0)</f>
        <v>0</v>
      </c>
    </row>
    <row r="232" spans="1:7" x14ac:dyDescent="0.2">
      <c r="A232" s="148" t="s">
        <v>284</v>
      </c>
      <c r="B232" s="73">
        <f>IFERROR('Alloy_compnt_G&amp;L'!B232/SUM('Alloy_compnt_G&amp;L'!B$186:B$245),0)</f>
        <v>0</v>
      </c>
      <c r="C232" s="73">
        <f>IFERROR('Alloy_compnt_G&amp;L'!C232/SUM('Alloy_compnt_G&amp;L'!C$186:C$245),0)</f>
        <v>0</v>
      </c>
      <c r="D232" s="73">
        <f>IFERROR('Alloy_compnt_G&amp;L'!D232/SUM('Alloy_compnt_G&amp;L'!D$186:D$245),0)</f>
        <v>0</v>
      </c>
      <c r="E232" s="73">
        <f>IFERROR('Alloy_compnt_G&amp;L'!E232/SUM('Alloy_compnt_G&amp;L'!E$186:E$245),0)</f>
        <v>0</v>
      </c>
      <c r="F232" s="73">
        <f>IFERROR('Alloy_compnt_G&amp;L'!F232/SUM('Alloy_compnt_G&amp;L'!F$186:F$245),0)</f>
        <v>0</v>
      </c>
      <c r="G232" s="73">
        <f>IFERROR('Alloy_compnt_G&amp;L'!G232/SUM('Alloy_compnt_G&amp;L'!G$186:G$245),0)</f>
        <v>0</v>
      </c>
    </row>
    <row r="233" spans="1:7" x14ac:dyDescent="0.2">
      <c r="A233" s="148" t="s">
        <v>285</v>
      </c>
      <c r="B233" s="73">
        <f>IFERROR('Alloy_compnt_G&amp;L'!B233/SUM('Alloy_compnt_G&amp;L'!B$186:B$245),0)</f>
        <v>0</v>
      </c>
      <c r="C233" s="73">
        <f>IFERROR('Alloy_compnt_G&amp;L'!C233/SUM('Alloy_compnt_G&amp;L'!C$186:C$245),0)</f>
        <v>0</v>
      </c>
      <c r="D233" s="73">
        <f>IFERROR('Alloy_compnt_G&amp;L'!D233/SUM('Alloy_compnt_G&amp;L'!D$186:D$245),0)</f>
        <v>0</v>
      </c>
      <c r="E233" s="73">
        <f>IFERROR('Alloy_compnt_G&amp;L'!E233/SUM('Alloy_compnt_G&amp;L'!E$186:E$245),0)</f>
        <v>0</v>
      </c>
      <c r="F233" s="73">
        <f>IFERROR('Alloy_compnt_G&amp;L'!F233/SUM('Alloy_compnt_G&amp;L'!F$186:F$245),0)</f>
        <v>0</v>
      </c>
      <c r="G233" s="73">
        <f>IFERROR('Alloy_compnt_G&amp;L'!G233/SUM('Alloy_compnt_G&amp;L'!G$186:G$245),0)</f>
        <v>0</v>
      </c>
    </row>
    <row r="234" spans="1:7" x14ac:dyDescent="0.2">
      <c r="A234" s="147" t="s">
        <v>286</v>
      </c>
      <c r="B234" s="73">
        <f>IFERROR('Alloy_compnt_G&amp;L'!B234/SUM('Alloy_compnt_G&amp;L'!B$186:B$245),0)</f>
        <v>0</v>
      </c>
      <c r="C234" s="73">
        <f>IFERROR('Alloy_compnt_G&amp;L'!C234/SUM('Alloy_compnt_G&amp;L'!C$186:C$245),0)</f>
        <v>1.1313713257063859E-2</v>
      </c>
      <c r="D234" s="73">
        <f>IFERROR('Alloy_compnt_G&amp;L'!D234/SUM('Alloy_compnt_G&amp;L'!D$186:D$245),0)</f>
        <v>0</v>
      </c>
      <c r="E234" s="73">
        <f>IFERROR('Alloy_compnt_G&amp;L'!E234/SUM('Alloy_compnt_G&amp;L'!E$186:E$245),0)</f>
        <v>1.0175220093996535E-2</v>
      </c>
      <c r="F234" s="73">
        <f>IFERROR('Alloy_compnt_G&amp;L'!F234/SUM('Alloy_compnt_G&amp;L'!F$186:F$245),0)</f>
        <v>0</v>
      </c>
      <c r="G234" s="73">
        <f>IFERROR('Alloy_compnt_G&amp;L'!G234/SUM('Alloy_compnt_G&amp;L'!G$186:G$245),0)</f>
        <v>9.6299058257969024E-3</v>
      </c>
    </row>
    <row r="235" spans="1:7" x14ac:dyDescent="0.2">
      <c r="A235" s="142" t="s">
        <v>287</v>
      </c>
      <c r="B235" s="73">
        <f>IFERROR('Alloy_compnt_G&amp;L'!B235/SUM('Alloy_compnt_G&amp;L'!B$186:B$245),0)</f>
        <v>0</v>
      </c>
      <c r="C235" s="73">
        <f>IFERROR('Alloy_compnt_G&amp;L'!C235/SUM('Alloy_compnt_G&amp;L'!C$186:C$245),0)</f>
        <v>0</v>
      </c>
      <c r="D235" s="73">
        <f>IFERROR('Alloy_compnt_G&amp;L'!D235/SUM('Alloy_compnt_G&amp;L'!D$186:D$245),0)</f>
        <v>0</v>
      </c>
      <c r="E235" s="73">
        <f>IFERROR('Alloy_compnt_G&amp;L'!E235/SUM('Alloy_compnt_G&amp;L'!E$186:E$245),0)</f>
        <v>0</v>
      </c>
      <c r="F235" s="73">
        <f>IFERROR('Alloy_compnt_G&amp;L'!F235/SUM('Alloy_compnt_G&amp;L'!F$186:F$245),0)</f>
        <v>0</v>
      </c>
      <c r="G235" s="73">
        <f>IFERROR('Alloy_compnt_G&amp;L'!G235/SUM('Alloy_compnt_G&amp;L'!G$186:G$245),0)</f>
        <v>0</v>
      </c>
    </row>
    <row r="236" spans="1:7" x14ac:dyDescent="0.2">
      <c r="A236" s="142" t="s">
        <v>288</v>
      </c>
      <c r="B236" s="73">
        <f>IFERROR('Alloy_compnt_G&amp;L'!B236/SUM('Alloy_compnt_G&amp;L'!B$186:B$245),0)</f>
        <v>0</v>
      </c>
      <c r="C236" s="73">
        <f>IFERROR('Alloy_compnt_G&amp;L'!C236/SUM('Alloy_compnt_G&amp;L'!C$186:C$245),0)</f>
        <v>0</v>
      </c>
      <c r="D236" s="73">
        <f>IFERROR('Alloy_compnt_G&amp;L'!D236/SUM('Alloy_compnt_G&amp;L'!D$186:D$245),0)</f>
        <v>0</v>
      </c>
      <c r="E236" s="73">
        <f>IFERROR('Alloy_compnt_G&amp;L'!E236/SUM('Alloy_compnt_G&amp;L'!E$186:E$245),0)</f>
        <v>0</v>
      </c>
      <c r="F236" s="73">
        <f>IFERROR('Alloy_compnt_G&amp;L'!F236/SUM('Alloy_compnt_G&amp;L'!F$186:F$245),0)</f>
        <v>0</v>
      </c>
      <c r="G236" s="73">
        <f>IFERROR('Alloy_compnt_G&amp;L'!G236/SUM('Alloy_compnt_G&amp;L'!G$186:G$245),0)</f>
        <v>0</v>
      </c>
    </row>
    <row r="237" spans="1:7" x14ac:dyDescent="0.2">
      <c r="A237" s="142" t="s">
        <v>289</v>
      </c>
      <c r="B237" s="73">
        <f>IFERROR('Alloy_compnt_G&amp;L'!B237/SUM('Alloy_compnt_G&amp;L'!B$186:B$245),0)</f>
        <v>0</v>
      </c>
      <c r="C237" s="73">
        <f>IFERROR('Alloy_compnt_G&amp;L'!C237/SUM('Alloy_compnt_G&amp;L'!C$186:C$245),0)</f>
        <v>0</v>
      </c>
      <c r="D237" s="73">
        <f>IFERROR('Alloy_compnt_G&amp;L'!D237/SUM('Alloy_compnt_G&amp;L'!D$186:D$245),0)</f>
        <v>0</v>
      </c>
      <c r="E237" s="73">
        <f>IFERROR('Alloy_compnt_G&amp;L'!E237/SUM('Alloy_compnt_G&amp;L'!E$186:E$245),0)</f>
        <v>0</v>
      </c>
      <c r="F237" s="73">
        <f>IFERROR('Alloy_compnt_G&amp;L'!F237/SUM('Alloy_compnt_G&amp;L'!F$186:F$245),0)</f>
        <v>0</v>
      </c>
      <c r="G237" s="73">
        <f>IFERROR('Alloy_compnt_G&amp;L'!G237/SUM('Alloy_compnt_G&amp;L'!G$186:G$245),0)</f>
        <v>0</v>
      </c>
    </row>
    <row r="238" spans="1:7" x14ac:dyDescent="0.2">
      <c r="A238" s="142" t="s">
        <v>290</v>
      </c>
      <c r="B238" s="73">
        <f>IFERROR('Alloy_compnt_G&amp;L'!B238/SUM('Alloy_compnt_G&amp;L'!B$186:B$245),0)</f>
        <v>5.4347826086956503E-3</v>
      </c>
      <c r="C238" s="73">
        <f>IFERROR('Alloy_compnt_G&amp;L'!C238/SUM('Alloy_compnt_G&amp;L'!C$186:C$245),0)</f>
        <v>0.22917198150256929</v>
      </c>
      <c r="D238" s="73">
        <f>IFERROR('Alloy_compnt_G&amp;L'!D238/SUM('Alloy_compnt_G&amp;L'!D$186:D$245),0)</f>
        <v>5.4347826086956529E-3</v>
      </c>
      <c r="E238" s="73">
        <f>IFERROR('Alloy_compnt_G&amp;L'!E238/SUM('Alloy_compnt_G&amp;L'!E$186:E$245),0)</f>
        <v>0.24492332769291672</v>
      </c>
      <c r="F238" s="73">
        <f>IFERROR('Alloy_compnt_G&amp;L'!F238/SUM('Alloy_compnt_G&amp;L'!F$186:F$245),0)</f>
        <v>5.4347826086956512E-3</v>
      </c>
      <c r="G238" s="73">
        <f>IFERROR('Alloy_compnt_G&amp;L'!G238/SUM('Alloy_compnt_G&amp;L'!G$186:G$245),0)</f>
        <v>0.24818349708404661</v>
      </c>
    </row>
    <row r="239" spans="1:7" x14ac:dyDescent="0.2">
      <c r="A239" s="142" t="s">
        <v>291</v>
      </c>
      <c r="B239" s="73">
        <f>IFERROR('Alloy_compnt_G&amp;L'!B239/SUM('Alloy_compnt_G&amp;L'!B$186:B$245),0)</f>
        <v>0</v>
      </c>
      <c r="C239" s="73">
        <f>IFERROR('Alloy_compnt_G&amp;L'!C239/SUM('Alloy_compnt_G&amp;L'!C$186:C$245),0)</f>
        <v>0</v>
      </c>
      <c r="D239" s="73">
        <f>IFERROR('Alloy_compnt_G&amp;L'!D239/SUM('Alloy_compnt_G&amp;L'!D$186:D$245),0)</f>
        <v>0</v>
      </c>
      <c r="E239" s="73">
        <f>IFERROR('Alloy_compnt_G&amp;L'!E239/SUM('Alloy_compnt_G&amp;L'!E$186:E$245),0)</f>
        <v>0</v>
      </c>
      <c r="F239" s="73">
        <f>IFERROR('Alloy_compnt_G&amp;L'!F239/SUM('Alloy_compnt_G&amp;L'!F$186:F$245),0)</f>
        <v>0</v>
      </c>
      <c r="G239" s="73">
        <f>IFERROR('Alloy_compnt_G&amp;L'!G239/SUM('Alloy_compnt_G&amp;L'!G$186:G$245),0)</f>
        <v>0</v>
      </c>
    </row>
    <row r="240" spans="1:7" x14ac:dyDescent="0.2">
      <c r="A240" s="142" t="s">
        <v>292</v>
      </c>
      <c r="B240" s="73">
        <f>IFERROR('Alloy_compnt_G&amp;L'!B240/SUM('Alloy_compnt_G&amp;L'!B$186:B$245),0)</f>
        <v>0</v>
      </c>
      <c r="C240" s="73">
        <f>IFERROR('Alloy_compnt_G&amp;L'!C240/SUM('Alloy_compnt_G&amp;L'!C$186:C$245),0)</f>
        <v>0</v>
      </c>
      <c r="D240" s="73">
        <f>IFERROR('Alloy_compnt_G&amp;L'!D240/SUM('Alloy_compnt_G&amp;L'!D$186:D$245),0)</f>
        <v>0</v>
      </c>
      <c r="E240" s="73">
        <f>IFERROR('Alloy_compnt_G&amp;L'!E240/SUM('Alloy_compnt_G&amp;L'!E$186:E$245),0)</f>
        <v>0</v>
      </c>
      <c r="F240" s="73">
        <f>IFERROR('Alloy_compnt_G&amp;L'!F240/SUM('Alloy_compnt_G&amp;L'!F$186:F$245),0)</f>
        <v>0</v>
      </c>
      <c r="G240" s="73">
        <f>IFERROR('Alloy_compnt_G&amp;L'!G240/SUM('Alloy_compnt_G&amp;L'!G$186:G$245),0)</f>
        <v>0</v>
      </c>
    </row>
    <row r="241" spans="1:7" x14ac:dyDescent="0.2">
      <c r="A241" s="142" t="s">
        <v>293</v>
      </c>
      <c r="B241" s="73">
        <f>IFERROR('Alloy_compnt_G&amp;L'!B241/SUM('Alloy_compnt_G&amp;L'!B$186:B$245),0)</f>
        <v>0</v>
      </c>
      <c r="C241" s="73">
        <f>IFERROR('Alloy_compnt_G&amp;L'!C241/SUM('Alloy_compnt_G&amp;L'!C$186:C$245),0)</f>
        <v>0</v>
      </c>
      <c r="D241" s="73">
        <f>IFERROR('Alloy_compnt_G&amp;L'!D241/SUM('Alloy_compnt_G&amp;L'!D$186:D$245),0)</f>
        <v>0</v>
      </c>
      <c r="E241" s="73">
        <f>IFERROR('Alloy_compnt_G&amp;L'!E241/SUM('Alloy_compnt_G&amp;L'!E$186:E$245),0)</f>
        <v>0</v>
      </c>
      <c r="F241" s="73">
        <f>IFERROR('Alloy_compnt_G&amp;L'!F241/SUM('Alloy_compnt_G&amp;L'!F$186:F$245),0)</f>
        <v>0</v>
      </c>
      <c r="G241" s="73">
        <f>IFERROR('Alloy_compnt_G&amp;L'!G241/SUM('Alloy_compnt_G&amp;L'!G$186:G$245),0)</f>
        <v>0</v>
      </c>
    </row>
    <row r="242" spans="1:7" x14ac:dyDescent="0.2">
      <c r="A242" s="142" t="s">
        <v>294</v>
      </c>
      <c r="B242" s="73">
        <f>IFERROR('Alloy_compnt_G&amp;L'!B242/SUM('Alloy_compnt_G&amp;L'!B$186:B$245),0)</f>
        <v>0</v>
      </c>
      <c r="C242" s="73">
        <f>IFERROR('Alloy_compnt_G&amp;L'!C242/SUM('Alloy_compnt_G&amp;L'!C$186:C$245),0)</f>
        <v>0</v>
      </c>
      <c r="D242" s="73">
        <f>IFERROR('Alloy_compnt_G&amp;L'!D242/SUM('Alloy_compnt_G&amp;L'!D$186:D$245),0)</f>
        <v>0</v>
      </c>
      <c r="E242" s="73">
        <f>IFERROR('Alloy_compnt_G&amp;L'!E242/SUM('Alloy_compnt_G&amp;L'!E$186:E$245),0)</f>
        <v>0</v>
      </c>
      <c r="F242" s="73">
        <f>IFERROR('Alloy_compnt_G&amp;L'!F242/SUM('Alloy_compnt_G&amp;L'!F$186:F$245),0)</f>
        <v>0</v>
      </c>
      <c r="G242" s="73">
        <f>IFERROR('Alloy_compnt_G&amp;L'!G242/SUM('Alloy_compnt_G&amp;L'!G$186:G$245),0)</f>
        <v>0</v>
      </c>
    </row>
    <row r="243" spans="1:7" x14ac:dyDescent="0.2">
      <c r="A243" s="144" t="s">
        <v>295</v>
      </c>
      <c r="B243" s="73">
        <f>IFERROR('Alloy_compnt_G&amp;L'!B243/SUM('Alloy_compnt_G&amp;L'!B$186:B$245),0)</f>
        <v>5.4347826086956503E-3</v>
      </c>
      <c r="C243" s="73">
        <f>IFERROR('Alloy_compnt_G&amp;L'!C243/SUM('Alloy_compnt_G&amp;L'!C$186:C$245),0)</f>
        <v>0.22917198150256929</v>
      </c>
      <c r="D243" s="73">
        <f>IFERROR('Alloy_compnt_G&amp;L'!D243/SUM('Alloy_compnt_G&amp;L'!D$186:D$245),0)</f>
        <v>5.4347826086956529E-3</v>
      </c>
      <c r="E243" s="73">
        <f>IFERROR('Alloy_compnt_G&amp;L'!E243/SUM('Alloy_compnt_G&amp;L'!E$186:E$245),0)</f>
        <v>0.24492332769291672</v>
      </c>
      <c r="F243" s="73">
        <f>IFERROR('Alloy_compnt_G&amp;L'!F243/SUM('Alloy_compnt_G&amp;L'!F$186:F$245),0)</f>
        <v>5.4347826086956512E-3</v>
      </c>
      <c r="G243" s="73">
        <f>IFERROR('Alloy_compnt_G&amp;L'!G243/SUM('Alloy_compnt_G&amp;L'!G$186:G$245),0)</f>
        <v>0.24818349708404661</v>
      </c>
    </row>
    <row r="244" spans="1:7" x14ac:dyDescent="0.2">
      <c r="A244" s="142" t="s">
        <v>206</v>
      </c>
      <c r="B244" s="73">
        <f>IFERROR('Alloy_compnt_G&amp;L'!B244/SUM('Alloy_compnt_G&amp;L'!B$186:B$245),0)</f>
        <v>0</v>
      </c>
      <c r="C244" s="73">
        <f>IFERROR('Alloy_compnt_G&amp;L'!C244/SUM('Alloy_compnt_G&amp;L'!C$186:C$245),0)</f>
        <v>0</v>
      </c>
      <c r="D244" s="73">
        <f>IFERROR('Alloy_compnt_G&amp;L'!D244/SUM('Alloy_compnt_G&amp;L'!D$186:D$245),0)</f>
        <v>0</v>
      </c>
      <c r="E244" s="73">
        <f>IFERROR('Alloy_compnt_G&amp;L'!E244/SUM('Alloy_compnt_G&amp;L'!E$186:E$245),0)</f>
        <v>0</v>
      </c>
      <c r="F244" s="73">
        <f>IFERROR('Alloy_compnt_G&amp;L'!F244/SUM('Alloy_compnt_G&amp;L'!F$186:F$245),0)</f>
        <v>0</v>
      </c>
      <c r="G244" s="73">
        <f>IFERROR('Alloy_compnt_G&amp;L'!G244/SUM('Alloy_compnt_G&amp;L'!G$186:G$245),0)</f>
        <v>0</v>
      </c>
    </row>
    <row r="245" spans="1:7" ht="17" thickBot="1" x14ac:dyDescent="0.25">
      <c r="A245" s="149" t="s">
        <v>208</v>
      </c>
      <c r="B245" s="73">
        <f>IFERROR('Alloy_compnt_G&amp;L'!B245/SUM('Alloy_compnt_G&amp;L'!B$186:B$245),0)</f>
        <v>0</v>
      </c>
      <c r="C245" s="73">
        <f>IFERROR('Alloy_compnt_G&amp;L'!C245/SUM('Alloy_compnt_G&amp;L'!C$186:C$245),0)</f>
        <v>0</v>
      </c>
      <c r="D245" s="73">
        <f>IFERROR('Alloy_compnt_G&amp;L'!D245/SUM('Alloy_compnt_G&amp;L'!D$186:D$245),0)</f>
        <v>0</v>
      </c>
      <c r="E245" s="73">
        <f>IFERROR('Alloy_compnt_G&amp;L'!E245/SUM('Alloy_compnt_G&amp;L'!E$186:E$245),0)</f>
        <v>0</v>
      </c>
      <c r="F245" s="73">
        <f>IFERROR('Alloy_compnt_G&amp;L'!F245/SUM('Alloy_compnt_G&amp;L'!F$186:F$245),0)</f>
        <v>0</v>
      </c>
      <c r="G245" s="73">
        <f>IFERROR('Alloy_compnt_G&amp;L'!G245/SUM('Alloy_compnt_G&amp;L'!G$186:G$245),0)</f>
        <v>0</v>
      </c>
    </row>
    <row r="246" spans="1:7" ht="17" thickTop="1" x14ac:dyDescent="0.2">
      <c r="A246" s="139" t="s">
        <v>176</v>
      </c>
      <c r="B246" s="54"/>
      <c r="C246" s="54"/>
      <c r="D246" s="54"/>
      <c r="E246" s="54"/>
      <c r="F246" s="54"/>
      <c r="G246" s="54"/>
    </row>
    <row r="247" spans="1:7" x14ac:dyDescent="0.2">
      <c r="A247" s="142" t="s">
        <v>105</v>
      </c>
      <c r="B247" s="73">
        <f>IFERROR('Alloy_compnt_G&amp;L'!B247/SUM('Alloy_compnt_G&amp;L'!B$247:B$306),0)</f>
        <v>0</v>
      </c>
      <c r="C247" s="73">
        <f>IFERROR('Alloy_compnt_G&amp;L'!C247/SUM('Alloy_compnt_G&amp;L'!C$247:C$306),0)</f>
        <v>0</v>
      </c>
      <c r="D247" s="73">
        <f>IFERROR('Alloy_compnt_G&amp;L'!D247/SUM('Alloy_compnt_G&amp;L'!D$247:D$306),0)</f>
        <v>0.10549999999999998</v>
      </c>
      <c r="E247" s="73">
        <f>IFERROR('Alloy_compnt_G&amp;L'!E247/SUM('Alloy_compnt_G&amp;L'!E$247:E$306),0)</f>
        <v>0.1055</v>
      </c>
      <c r="F247" s="73">
        <f>IFERROR('Alloy_compnt_G&amp;L'!F247/SUM('Alloy_compnt_G&amp;L'!F$247:F$306),0)</f>
        <v>0.10549999999999997</v>
      </c>
      <c r="G247" s="73">
        <f>IFERROR('Alloy_compnt_G&amp;L'!G247/SUM('Alloy_compnt_G&amp;L'!G$247:G$306),0)</f>
        <v>0.1055</v>
      </c>
    </row>
    <row r="248" spans="1:7" x14ac:dyDescent="0.2">
      <c r="A248" s="142" t="s">
        <v>106</v>
      </c>
      <c r="B248" s="73">
        <f>IFERROR('Alloy_compnt_G&amp;L'!B248/SUM('Alloy_compnt_G&amp;L'!B$247:B$306),0)</f>
        <v>0</v>
      </c>
      <c r="C248" s="73">
        <f>IFERROR('Alloy_compnt_G&amp;L'!C248/SUM('Alloy_compnt_G&amp;L'!C$247:C$306),0)</f>
        <v>0</v>
      </c>
      <c r="D248" s="73">
        <f>IFERROR('Alloy_compnt_G&amp;L'!D248/SUM('Alloy_compnt_G&amp;L'!D$247:D$306),0)</f>
        <v>9.5499999999999988E-2</v>
      </c>
      <c r="E248" s="73">
        <f>IFERROR('Alloy_compnt_G&amp;L'!E248/SUM('Alloy_compnt_G&amp;L'!E$247:E$306),0)</f>
        <v>9.5500000000000002E-2</v>
      </c>
      <c r="F248" s="73">
        <f>IFERROR('Alloy_compnt_G&amp;L'!F248/SUM('Alloy_compnt_G&amp;L'!F$247:F$306),0)</f>
        <v>9.5499999999999988E-2</v>
      </c>
      <c r="G248" s="73">
        <f>IFERROR('Alloy_compnt_G&amp;L'!G248/SUM('Alloy_compnt_G&amp;L'!G$247:G$306),0)</f>
        <v>9.5500000000000002E-2</v>
      </c>
    </row>
    <row r="249" spans="1:7" x14ac:dyDescent="0.2">
      <c r="A249" s="142" t="s">
        <v>107</v>
      </c>
      <c r="B249" s="73">
        <f>IFERROR('Alloy_compnt_G&amp;L'!B249/SUM('Alloy_compnt_G&amp;L'!B$247:B$306),0)</f>
        <v>0</v>
      </c>
      <c r="C249" s="73">
        <f>IFERROR('Alloy_compnt_G&amp;L'!C249/SUM('Alloy_compnt_G&amp;L'!C$247:C$306),0)</f>
        <v>0</v>
      </c>
      <c r="D249" s="73">
        <f>IFERROR('Alloy_compnt_G&amp;L'!D249/SUM('Alloy_compnt_G&amp;L'!D$247:D$306),0)</f>
        <v>0.29899999999999999</v>
      </c>
      <c r="E249" s="73">
        <f>IFERROR('Alloy_compnt_G&amp;L'!E249/SUM('Alloy_compnt_G&amp;L'!E$247:E$306),0)</f>
        <v>0.29900000000000004</v>
      </c>
      <c r="F249" s="73">
        <f>IFERROR('Alloy_compnt_G&amp;L'!F249/SUM('Alloy_compnt_G&amp;L'!F$247:F$306),0)</f>
        <v>0.29899999999999999</v>
      </c>
      <c r="G249" s="73">
        <f>IFERROR('Alloy_compnt_G&amp;L'!G249/SUM('Alloy_compnt_G&amp;L'!G$247:G$306),0)</f>
        <v>0.29900000000000004</v>
      </c>
    </row>
    <row r="250" spans="1:7" x14ac:dyDescent="0.2">
      <c r="A250" s="142" t="s">
        <v>91</v>
      </c>
      <c r="B250" s="73">
        <f>IFERROR('Alloy_compnt_G&amp;L'!B250/SUM('Alloy_compnt_G&amp;L'!B$247:B$306),0)</f>
        <v>0</v>
      </c>
      <c r="C250" s="73">
        <f>IFERROR('Alloy_compnt_G&amp;L'!C250/SUM('Alloy_compnt_G&amp;L'!C$247:C$306),0)</f>
        <v>0</v>
      </c>
      <c r="D250" s="73">
        <f>IFERROR('Alloy_compnt_G&amp;L'!D250/SUM('Alloy_compnt_G&amp;L'!D$247:D$306),0)</f>
        <v>0</v>
      </c>
      <c r="E250" s="73">
        <f>IFERROR('Alloy_compnt_G&amp;L'!E250/SUM('Alloy_compnt_G&amp;L'!E$247:E$306),0)</f>
        <v>0</v>
      </c>
      <c r="F250" s="73">
        <f>IFERROR('Alloy_compnt_G&amp;L'!F250/SUM('Alloy_compnt_G&amp;L'!F$247:F$306),0)</f>
        <v>0</v>
      </c>
      <c r="G250" s="73">
        <f>IFERROR('Alloy_compnt_G&amp;L'!G250/SUM('Alloy_compnt_G&amp;L'!G$247:G$306),0)</f>
        <v>0</v>
      </c>
    </row>
    <row r="251" spans="1:7" x14ac:dyDescent="0.2">
      <c r="A251" s="142" t="s">
        <v>204</v>
      </c>
      <c r="B251" s="73">
        <f>IFERROR('Alloy_compnt_G&amp;L'!B251/SUM('Alloy_compnt_G&amp;L'!B$247:B$306),0)</f>
        <v>0</v>
      </c>
      <c r="C251" s="73">
        <f>IFERROR('Alloy_compnt_G&amp;L'!C251/SUM('Alloy_compnt_G&amp;L'!C$247:C$306),0)</f>
        <v>0</v>
      </c>
      <c r="D251" s="73">
        <f>IFERROR('Alloy_compnt_G&amp;L'!D251/SUM('Alloy_compnt_G&amp;L'!D$247:D$306),0)</f>
        <v>0</v>
      </c>
      <c r="E251" s="73">
        <f>IFERROR('Alloy_compnt_G&amp;L'!E251/SUM('Alloy_compnt_G&amp;L'!E$247:E$306),0)</f>
        <v>0</v>
      </c>
      <c r="F251" s="73">
        <f>IFERROR('Alloy_compnt_G&amp;L'!F251/SUM('Alloy_compnt_G&amp;L'!F$247:F$306),0)</f>
        <v>0</v>
      </c>
      <c r="G251" s="73">
        <f>IFERROR('Alloy_compnt_G&amp;L'!G251/SUM('Alloy_compnt_G&amp;L'!G$247:G$306),0)</f>
        <v>0</v>
      </c>
    </row>
    <row r="252" spans="1:7" x14ac:dyDescent="0.2">
      <c r="A252" s="144" t="s">
        <v>104</v>
      </c>
      <c r="B252" s="73">
        <f>IFERROR('Alloy_compnt_G&amp;L'!B252/SUM('Alloy_compnt_G&amp;L'!B$247:B$306),0)</f>
        <v>0</v>
      </c>
      <c r="C252" s="73">
        <f>IFERROR('Alloy_compnt_G&amp;L'!C252/SUM('Alloy_compnt_G&amp;L'!C$247:C$306),0)</f>
        <v>0</v>
      </c>
      <c r="D252" s="73">
        <f>IFERROR('Alloy_compnt_G&amp;L'!D252/SUM('Alloy_compnt_G&amp;L'!D$247:D$306),0)</f>
        <v>0</v>
      </c>
      <c r="E252" s="73">
        <f>IFERROR('Alloy_compnt_G&amp;L'!E252/SUM('Alloy_compnt_G&amp;L'!E$247:E$306),0)</f>
        <v>0</v>
      </c>
      <c r="F252" s="73">
        <f>IFERROR('Alloy_compnt_G&amp;L'!F252/SUM('Alloy_compnt_G&amp;L'!F$247:F$306),0)</f>
        <v>0</v>
      </c>
      <c r="G252" s="73">
        <f>IFERROR('Alloy_compnt_G&amp;L'!G252/SUM('Alloy_compnt_G&amp;L'!G$247:G$306),0)</f>
        <v>0</v>
      </c>
    </row>
    <row r="253" spans="1:7" x14ac:dyDescent="0.2">
      <c r="A253" s="145" t="s">
        <v>244</v>
      </c>
      <c r="B253" s="73">
        <f>IFERROR('Alloy_compnt_G&amp;L'!B253/SUM('Alloy_compnt_G&amp;L'!B$247:B$306),0)</f>
        <v>0</v>
      </c>
      <c r="C253" s="73">
        <f>IFERROR('Alloy_compnt_G&amp;L'!C253/SUM('Alloy_compnt_G&amp;L'!C$247:C$306),0)</f>
        <v>0</v>
      </c>
      <c r="D253" s="73">
        <f>IFERROR('Alloy_compnt_G&amp;L'!D253/SUM('Alloy_compnt_G&amp;L'!D$247:D$306),0)</f>
        <v>0</v>
      </c>
      <c r="E253" s="73">
        <f>IFERROR('Alloy_compnt_G&amp;L'!E253/SUM('Alloy_compnt_G&amp;L'!E$247:E$306),0)</f>
        <v>0</v>
      </c>
      <c r="F253" s="73">
        <f>IFERROR('Alloy_compnt_G&amp;L'!F253/SUM('Alloy_compnt_G&amp;L'!F$247:F$306),0)</f>
        <v>0</v>
      </c>
      <c r="G253" s="73">
        <f>IFERROR('Alloy_compnt_G&amp;L'!G253/SUM('Alloy_compnt_G&amp;L'!G$247:G$306),0)</f>
        <v>0</v>
      </c>
    </row>
    <row r="254" spans="1:7" x14ac:dyDescent="0.2">
      <c r="A254" s="145" t="s">
        <v>245</v>
      </c>
      <c r="B254" s="73">
        <f>IFERROR('Alloy_compnt_G&amp;L'!B254/SUM('Alloy_compnt_G&amp;L'!B$247:B$306),0)</f>
        <v>0</v>
      </c>
      <c r="C254" s="73">
        <f>IFERROR('Alloy_compnt_G&amp;L'!C254/SUM('Alloy_compnt_G&amp;L'!C$247:C$306),0)</f>
        <v>0</v>
      </c>
      <c r="D254" s="73">
        <f>IFERROR('Alloy_compnt_G&amp;L'!D254/SUM('Alloy_compnt_G&amp;L'!D$247:D$306),0)</f>
        <v>0</v>
      </c>
      <c r="E254" s="73">
        <f>IFERROR('Alloy_compnt_G&amp;L'!E254/SUM('Alloy_compnt_G&amp;L'!E$247:E$306),0)</f>
        <v>0</v>
      </c>
      <c r="F254" s="73">
        <f>IFERROR('Alloy_compnt_G&amp;L'!F254/SUM('Alloy_compnt_G&amp;L'!F$247:F$306),0)</f>
        <v>0</v>
      </c>
      <c r="G254" s="73">
        <f>IFERROR('Alloy_compnt_G&amp;L'!G254/SUM('Alloy_compnt_G&amp;L'!G$247:G$306),0)</f>
        <v>0</v>
      </c>
    </row>
    <row r="255" spans="1:7" x14ac:dyDescent="0.2">
      <c r="A255" s="145" t="s">
        <v>246</v>
      </c>
      <c r="B255" s="73">
        <f>IFERROR('Alloy_compnt_G&amp;L'!B255/SUM('Alloy_compnt_G&amp;L'!B$247:B$306),0)</f>
        <v>0</v>
      </c>
      <c r="C255" s="73">
        <f>IFERROR('Alloy_compnt_G&amp;L'!C255/SUM('Alloy_compnt_G&amp;L'!C$247:C$306),0)</f>
        <v>0</v>
      </c>
      <c r="D255" s="73">
        <f>IFERROR('Alloy_compnt_G&amp;L'!D255/SUM('Alloy_compnt_G&amp;L'!D$247:D$306),0)</f>
        <v>0</v>
      </c>
      <c r="E255" s="73">
        <f>IFERROR('Alloy_compnt_G&amp;L'!E255/SUM('Alloy_compnt_G&amp;L'!E$247:E$306),0)</f>
        <v>0</v>
      </c>
      <c r="F255" s="73">
        <f>IFERROR('Alloy_compnt_G&amp;L'!F255/SUM('Alloy_compnt_G&amp;L'!F$247:F$306),0)</f>
        <v>0</v>
      </c>
      <c r="G255" s="73">
        <f>IFERROR('Alloy_compnt_G&amp;L'!G255/SUM('Alloy_compnt_G&amp;L'!G$247:G$306),0)</f>
        <v>0</v>
      </c>
    </row>
    <row r="256" spans="1:7" x14ac:dyDescent="0.2">
      <c r="A256" s="145" t="s">
        <v>247</v>
      </c>
      <c r="B256" s="73">
        <f>IFERROR('Alloy_compnt_G&amp;L'!B256/SUM('Alloy_compnt_G&amp;L'!B$247:B$306),0)</f>
        <v>0</v>
      </c>
      <c r="C256" s="73">
        <f>IFERROR('Alloy_compnt_G&amp;L'!C256/SUM('Alloy_compnt_G&amp;L'!C$247:C$306),0)</f>
        <v>0</v>
      </c>
      <c r="D256" s="73">
        <f>IFERROR('Alloy_compnt_G&amp;L'!D256/SUM('Alloy_compnt_G&amp;L'!D$247:D$306),0)</f>
        <v>0</v>
      </c>
      <c r="E256" s="73">
        <f>IFERROR('Alloy_compnt_G&amp;L'!E256/SUM('Alloy_compnt_G&amp;L'!E$247:E$306),0)</f>
        <v>0</v>
      </c>
      <c r="F256" s="73">
        <f>IFERROR('Alloy_compnt_G&amp;L'!F256/SUM('Alloy_compnt_G&amp;L'!F$247:F$306),0)</f>
        <v>0</v>
      </c>
      <c r="G256" s="73">
        <f>IFERROR('Alloy_compnt_G&amp;L'!G256/SUM('Alloy_compnt_G&amp;L'!G$247:G$306),0)</f>
        <v>0</v>
      </c>
    </row>
    <row r="257" spans="1:7" x14ac:dyDescent="0.2">
      <c r="A257" s="145" t="s">
        <v>248</v>
      </c>
      <c r="B257" s="73">
        <f>IFERROR('Alloy_compnt_G&amp;L'!B257/SUM('Alloy_compnt_G&amp;L'!B$247:B$306),0)</f>
        <v>0</v>
      </c>
      <c r="C257" s="73">
        <f>IFERROR('Alloy_compnt_G&amp;L'!C257/SUM('Alloy_compnt_G&amp;L'!C$247:C$306),0)</f>
        <v>0</v>
      </c>
      <c r="D257" s="73">
        <f>IFERROR('Alloy_compnt_G&amp;L'!D257/SUM('Alloy_compnt_G&amp;L'!D$247:D$306),0)</f>
        <v>0</v>
      </c>
      <c r="E257" s="73">
        <f>IFERROR('Alloy_compnt_G&amp;L'!E257/SUM('Alloy_compnt_G&amp;L'!E$247:E$306),0)</f>
        <v>0</v>
      </c>
      <c r="F257" s="73">
        <f>IFERROR('Alloy_compnt_G&amp;L'!F257/SUM('Alloy_compnt_G&amp;L'!F$247:F$306),0)</f>
        <v>0</v>
      </c>
      <c r="G257" s="73">
        <f>IFERROR('Alloy_compnt_G&amp;L'!G257/SUM('Alloy_compnt_G&amp;L'!G$247:G$306),0)</f>
        <v>0</v>
      </c>
    </row>
    <row r="258" spans="1:7" x14ac:dyDescent="0.2">
      <c r="A258" s="145" t="s">
        <v>249</v>
      </c>
      <c r="B258" s="73">
        <f>IFERROR('Alloy_compnt_G&amp;L'!B258/SUM('Alloy_compnt_G&amp;L'!B$247:B$306),0)</f>
        <v>0</v>
      </c>
      <c r="C258" s="73">
        <f>IFERROR('Alloy_compnt_G&amp;L'!C258/SUM('Alloy_compnt_G&amp;L'!C$247:C$306),0)</f>
        <v>0</v>
      </c>
      <c r="D258" s="73">
        <f>IFERROR('Alloy_compnt_G&amp;L'!D258/SUM('Alloy_compnt_G&amp;L'!D$247:D$306),0)</f>
        <v>0</v>
      </c>
      <c r="E258" s="73">
        <f>IFERROR('Alloy_compnt_G&amp;L'!E258/SUM('Alloy_compnt_G&amp;L'!E$247:E$306),0)</f>
        <v>0</v>
      </c>
      <c r="F258" s="73">
        <f>IFERROR('Alloy_compnt_G&amp;L'!F258/SUM('Alloy_compnt_G&amp;L'!F$247:F$306),0)</f>
        <v>0</v>
      </c>
      <c r="G258" s="73">
        <f>IFERROR('Alloy_compnt_G&amp;L'!G258/SUM('Alloy_compnt_G&amp;L'!G$247:G$306),0)</f>
        <v>0</v>
      </c>
    </row>
    <row r="259" spans="1:7" x14ac:dyDescent="0.2">
      <c r="A259" s="145" t="s">
        <v>250</v>
      </c>
      <c r="B259" s="73">
        <f>IFERROR('Alloy_compnt_G&amp;L'!B259/SUM('Alloy_compnt_G&amp;L'!B$247:B$306),0)</f>
        <v>0</v>
      </c>
      <c r="C259" s="73">
        <f>IFERROR('Alloy_compnt_G&amp;L'!C259/SUM('Alloy_compnt_G&amp;L'!C$247:C$306),0)</f>
        <v>0</v>
      </c>
      <c r="D259" s="73">
        <f>IFERROR('Alloy_compnt_G&amp;L'!D259/SUM('Alloy_compnt_G&amp;L'!D$247:D$306),0)</f>
        <v>0</v>
      </c>
      <c r="E259" s="73">
        <f>IFERROR('Alloy_compnt_G&amp;L'!E259/SUM('Alloy_compnt_G&amp;L'!E$247:E$306),0)</f>
        <v>0</v>
      </c>
      <c r="F259" s="73">
        <f>IFERROR('Alloy_compnt_G&amp;L'!F259/SUM('Alloy_compnt_G&amp;L'!F$247:F$306),0)</f>
        <v>0</v>
      </c>
      <c r="G259" s="73">
        <f>IFERROR('Alloy_compnt_G&amp;L'!G259/SUM('Alloy_compnt_G&amp;L'!G$247:G$306),0)</f>
        <v>0</v>
      </c>
    </row>
    <row r="260" spans="1:7" x14ac:dyDescent="0.2">
      <c r="A260" s="145" t="s">
        <v>251</v>
      </c>
      <c r="B260" s="73">
        <f>IFERROR('Alloy_compnt_G&amp;L'!B260/SUM('Alloy_compnt_G&amp;L'!B$247:B$306),0)</f>
        <v>0</v>
      </c>
      <c r="C260" s="73">
        <f>IFERROR('Alloy_compnt_G&amp;L'!C260/SUM('Alloy_compnt_G&amp;L'!C$247:C$306),0)</f>
        <v>0</v>
      </c>
      <c r="D260" s="73">
        <f>IFERROR('Alloy_compnt_G&amp;L'!D260/SUM('Alloy_compnt_G&amp;L'!D$247:D$306),0)</f>
        <v>0</v>
      </c>
      <c r="E260" s="73">
        <f>IFERROR('Alloy_compnt_G&amp;L'!E260/SUM('Alloy_compnt_G&amp;L'!E$247:E$306),0)</f>
        <v>0</v>
      </c>
      <c r="F260" s="73">
        <f>IFERROR('Alloy_compnt_G&amp;L'!F260/SUM('Alloy_compnt_G&amp;L'!F$247:F$306),0)</f>
        <v>0</v>
      </c>
      <c r="G260" s="73">
        <f>IFERROR('Alloy_compnt_G&amp;L'!G260/SUM('Alloy_compnt_G&amp;L'!G$247:G$306),0)</f>
        <v>0</v>
      </c>
    </row>
    <row r="261" spans="1:7" x14ac:dyDescent="0.2">
      <c r="A261" s="145" t="s">
        <v>252</v>
      </c>
      <c r="B261" s="73">
        <f>IFERROR('Alloy_compnt_G&amp;L'!B261/SUM('Alloy_compnt_G&amp;L'!B$247:B$306),0)</f>
        <v>0</v>
      </c>
      <c r="C261" s="73">
        <f>IFERROR('Alloy_compnt_G&amp;L'!C261/SUM('Alloy_compnt_G&amp;L'!C$247:C$306),0)</f>
        <v>0</v>
      </c>
      <c r="D261" s="73">
        <f>IFERROR('Alloy_compnt_G&amp;L'!D261/SUM('Alloy_compnt_G&amp;L'!D$247:D$306),0)</f>
        <v>0</v>
      </c>
      <c r="E261" s="73">
        <f>IFERROR('Alloy_compnt_G&amp;L'!E261/SUM('Alloy_compnt_G&amp;L'!E$247:E$306),0)</f>
        <v>0</v>
      </c>
      <c r="F261" s="73">
        <f>IFERROR('Alloy_compnt_G&amp;L'!F261/SUM('Alloy_compnt_G&amp;L'!F$247:F$306),0)</f>
        <v>0</v>
      </c>
      <c r="G261" s="73">
        <f>IFERROR('Alloy_compnt_G&amp;L'!G261/SUM('Alloy_compnt_G&amp;L'!G$247:G$306),0)</f>
        <v>0</v>
      </c>
    </row>
    <row r="262" spans="1:7" x14ac:dyDescent="0.2">
      <c r="A262" s="145" t="s">
        <v>253</v>
      </c>
      <c r="B262" s="73">
        <f>IFERROR('Alloy_compnt_G&amp;L'!B262/SUM('Alloy_compnt_G&amp;L'!B$247:B$306),0)</f>
        <v>0</v>
      </c>
      <c r="C262" s="73">
        <f>IFERROR('Alloy_compnt_G&amp;L'!C262/SUM('Alloy_compnt_G&amp;L'!C$247:C$306),0)</f>
        <v>0</v>
      </c>
      <c r="D262" s="73">
        <f>IFERROR('Alloy_compnt_G&amp;L'!D262/SUM('Alloy_compnt_G&amp;L'!D$247:D$306),0)</f>
        <v>0</v>
      </c>
      <c r="E262" s="73">
        <f>IFERROR('Alloy_compnt_G&amp;L'!E262/SUM('Alloy_compnt_G&amp;L'!E$247:E$306),0)</f>
        <v>0</v>
      </c>
      <c r="F262" s="73">
        <f>IFERROR('Alloy_compnt_G&amp;L'!F262/SUM('Alloy_compnt_G&amp;L'!F$247:F$306),0)</f>
        <v>0</v>
      </c>
      <c r="G262" s="73">
        <f>IFERROR('Alloy_compnt_G&amp;L'!G262/SUM('Alloy_compnt_G&amp;L'!G$247:G$306),0)</f>
        <v>0</v>
      </c>
    </row>
    <row r="263" spans="1:7" x14ac:dyDescent="0.2">
      <c r="A263" s="145" t="s">
        <v>254</v>
      </c>
      <c r="B263" s="73">
        <f>IFERROR('Alloy_compnt_G&amp;L'!B263/SUM('Alloy_compnt_G&amp;L'!B$247:B$306),0)</f>
        <v>0</v>
      </c>
      <c r="C263" s="73">
        <f>IFERROR('Alloy_compnt_G&amp;L'!C263/SUM('Alloy_compnt_G&amp;L'!C$247:C$306),0)</f>
        <v>0</v>
      </c>
      <c r="D263" s="73">
        <f>IFERROR('Alloy_compnt_G&amp;L'!D263/SUM('Alloy_compnt_G&amp;L'!D$247:D$306),0)</f>
        <v>0</v>
      </c>
      <c r="E263" s="73">
        <f>IFERROR('Alloy_compnt_G&amp;L'!E263/SUM('Alloy_compnt_G&amp;L'!E$247:E$306),0)</f>
        <v>0</v>
      </c>
      <c r="F263" s="73">
        <f>IFERROR('Alloy_compnt_G&amp;L'!F263/SUM('Alloy_compnt_G&amp;L'!F$247:F$306),0)</f>
        <v>0</v>
      </c>
      <c r="G263" s="73">
        <f>IFERROR('Alloy_compnt_G&amp;L'!G263/SUM('Alloy_compnt_G&amp;L'!G$247:G$306),0)</f>
        <v>0</v>
      </c>
    </row>
    <row r="264" spans="1:7" x14ac:dyDescent="0.2">
      <c r="A264" s="146" t="s">
        <v>255</v>
      </c>
      <c r="B264" s="73">
        <f>IFERROR('Alloy_compnt_G&amp;L'!B264/SUM('Alloy_compnt_G&amp;L'!B$247:B$306),0)</f>
        <v>0</v>
      </c>
      <c r="C264" s="73">
        <f>IFERROR('Alloy_compnt_G&amp;L'!C264/SUM('Alloy_compnt_G&amp;L'!C$247:C$306),0)</f>
        <v>0</v>
      </c>
      <c r="D264" s="73">
        <f>IFERROR('Alloy_compnt_G&amp;L'!D264/SUM('Alloy_compnt_G&amp;L'!D$247:D$306),0)</f>
        <v>0</v>
      </c>
      <c r="E264" s="73">
        <f>IFERROR('Alloy_compnt_G&amp;L'!E264/SUM('Alloy_compnt_G&amp;L'!E$247:E$306),0)</f>
        <v>0</v>
      </c>
      <c r="F264" s="73">
        <f>IFERROR('Alloy_compnt_G&amp;L'!F264/SUM('Alloy_compnt_G&amp;L'!F$247:F$306),0)</f>
        <v>0</v>
      </c>
      <c r="G264" s="73">
        <f>IFERROR('Alloy_compnt_G&amp;L'!G264/SUM('Alloy_compnt_G&amp;L'!G$247:G$306),0)</f>
        <v>0</v>
      </c>
    </row>
    <row r="265" spans="1:7" x14ac:dyDescent="0.2">
      <c r="A265" s="145" t="s">
        <v>256</v>
      </c>
      <c r="B265" s="73">
        <f>IFERROR('Alloy_compnt_G&amp;L'!B265/SUM('Alloy_compnt_G&amp;L'!B$247:B$306),0)</f>
        <v>0</v>
      </c>
      <c r="C265" s="73">
        <f>IFERROR('Alloy_compnt_G&amp;L'!C265/SUM('Alloy_compnt_G&amp;L'!C$247:C$306),0)</f>
        <v>0</v>
      </c>
      <c r="D265" s="73">
        <f>IFERROR('Alloy_compnt_G&amp;L'!D265/SUM('Alloy_compnt_G&amp;L'!D$247:D$306),0)</f>
        <v>0</v>
      </c>
      <c r="E265" s="73">
        <f>IFERROR('Alloy_compnt_G&amp;L'!E265/SUM('Alloy_compnt_G&amp;L'!E$247:E$306),0)</f>
        <v>0</v>
      </c>
      <c r="F265" s="73">
        <f>IFERROR('Alloy_compnt_G&amp;L'!F265/SUM('Alloy_compnt_G&amp;L'!F$247:F$306),0)</f>
        <v>0</v>
      </c>
      <c r="G265" s="73">
        <f>IFERROR('Alloy_compnt_G&amp;L'!G265/SUM('Alloy_compnt_G&amp;L'!G$247:G$306),0)</f>
        <v>0</v>
      </c>
    </row>
    <row r="266" spans="1:7" x14ac:dyDescent="0.2">
      <c r="A266" s="145" t="s">
        <v>257</v>
      </c>
      <c r="B266" s="73">
        <f>IFERROR('Alloy_compnt_G&amp;L'!B266/SUM('Alloy_compnt_G&amp;L'!B$247:B$306),0)</f>
        <v>0</v>
      </c>
      <c r="C266" s="73">
        <f>IFERROR('Alloy_compnt_G&amp;L'!C266/SUM('Alloy_compnt_G&amp;L'!C$247:C$306),0)</f>
        <v>0</v>
      </c>
      <c r="D266" s="73">
        <f>IFERROR('Alloy_compnt_G&amp;L'!D266/SUM('Alloy_compnt_G&amp;L'!D$247:D$306),0)</f>
        <v>0</v>
      </c>
      <c r="E266" s="73">
        <f>IFERROR('Alloy_compnt_G&amp;L'!E266/SUM('Alloy_compnt_G&amp;L'!E$247:E$306),0)</f>
        <v>0</v>
      </c>
      <c r="F266" s="73">
        <f>IFERROR('Alloy_compnt_G&amp;L'!F266/SUM('Alloy_compnt_G&amp;L'!F$247:F$306),0)</f>
        <v>0</v>
      </c>
      <c r="G266" s="73">
        <f>IFERROR('Alloy_compnt_G&amp;L'!G266/SUM('Alloy_compnt_G&amp;L'!G$247:G$306),0)</f>
        <v>0</v>
      </c>
    </row>
    <row r="267" spans="1:7" x14ac:dyDescent="0.2">
      <c r="A267" s="145" t="s">
        <v>258</v>
      </c>
      <c r="B267" s="73">
        <f>IFERROR('Alloy_compnt_G&amp;L'!B267/SUM('Alloy_compnt_G&amp;L'!B$247:B$306),0)</f>
        <v>0</v>
      </c>
      <c r="C267" s="73">
        <f>IFERROR('Alloy_compnt_G&amp;L'!C267/SUM('Alloy_compnt_G&amp;L'!C$247:C$306),0)</f>
        <v>0</v>
      </c>
      <c r="D267" s="73">
        <f>IFERROR('Alloy_compnt_G&amp;L'!D267/SUM('Alloy_compnt_G&amp;L'!D$247:D$306),0)</f>
        <v>0</v>
      </c>
      <c r="E267" s="73">
        <f>IFERROR('Alloy_compnt_G&amp;L'!E267/SUM('Alloy_compnt_G&amp;L'!E$247:E$306),0)</f>
        <v>0</v>
      </c>
      <c r="F267" s="73">
        <f>IFERROR('Alloy_compnt_G&amp;L'!F267/SUM('Alloy_compnt_G&amp;L'!F$247:F$306),0)</f>
        <v>0</v>
      </c>
      <c r="G267" s="73">
        <f>IFERROR('Alloy_compnt_G&amp;L'!G267/SUM('Alloy_compnt_G&amp;L'!G$247:G$306),0)</f>
        <v>0</v>
      </c>
    </row>
    <row r="268" spans="1:7" x14ac:dyDescent="0.2">
      <c r="A268" s="142" t="s">
        <v>259</v>
      </c>
      <c r="B268" s="73">
        <f>IFERROR('Alloy_compnt_G&amp;L'!B268/SUM('Alloy_compnt_G&amp;L'!B$247:B$306),0)</f>
        <v>0</v>
      </c>
      <c r="C268" s="73">
        <f>IFERROR('Alloy_compnt_G&amp;L'!C268/SUM('Alloy_compnt_G&amp;L'!C$247:C$306),0)</f>
        <v>0</v>
      </c>
      <c r="D268" s="73">
        <f>IFERROR('Alloy_compnt_G&amp;L'!D268/SUM('Alloy_compnt_G&amp;L'!D$247:D$306),0)</f>
        <v>0</v>
      </c>
      <c r="E268" s="73">
        <f>IFERROR('Alloy_compnt_G&amp;L'!E268/SUM('Alloy_compnt_G&amp;L'!E$247:E$306),0)</f>
        <v>0</v>
      </c>
      <c r="F268" s="73">
        <f>IFERROR('Alloy_compnt_G&amp;L'!F268/SUM('Alloy_compnt_G&amp;L'!F$247:F$306),0)</f>
        <v>0</v>
      </c>
      <c r="G268" s="73">
        <f>IFERROR('Alloy_compnt_G&amp;L'!G268/SUM('Alloy_compnt_G&amp;L'!G$247:G$306),0)</f>
        <v>0</v>
      </c>
    </row>
    <row r="269" spans="1:7" x14ac:dyDescent="0.2">
      <c r="A269" s="147" t="s">
        <v>260</v>
      </c>
      <c r="B269" s="73">
        <f>IFERROR('Alloy_compnt_G&amp;L'!B269/SUM('Alloy_compnt_G&amp;L'!B$247:B$306),0)</f>
        <v>0</v>
      </c>
      <c r="C269" s="73">
        <f>IFERROR('Alloy_compnt_G&amp;L'!C269/SUM('Alloy_compnt_G&amp;L'!C$247:C$306),0)</f>
        <v>0</v>
      </c>
      <c r="D269" s="73">
        <f>IFERROR('Alloy_compnt_G&amp;L'!D269/SUM('Alloy_compnt_G&amp;L'!D$247:D$306),0)</f>
        <v>0</v>
      </c>
      <c r="E269" s="73">
        <f>IFERROR('Alloy_compnt_G&amp;L'!E269/SUM('Alloy_compnt_G&amp;L'!E$247:E$306),0)</f>
        <v>0</v>
      </c>
      <c r="F269" s="73">
        <f>IFERROR('Alloy_compnt_G&amp;L'!F269/SUM('Alloy_compnt_G&amp;L'!F$247:F$306),0)</f>
        <v>0</v>
      </c>
      <c r="G269" s="73">
        <f>IFERROR('Alloy_compnt_G&amp;L'!G269/SUM('Alloy_compnt_G&amp;L'!G$247:G$306),0)</f>
        <v>0</v>
      </c>
    </row>
    <row r="270" spans="1:7" x14ac:dyDescent="0.2">
      <c r="A270" s="142" t="s">
        <v>261</v>
      </c>
      <c r="B270" s="73">
        <f>IFERROR('Alloy_compnt_G&amp;L'!B270/SUM('Alloy_compnt_G&amp;L'!B$247:B$306),0)</f>
        <v>0</v>
      </c>
      <c r="C270" s="73">
        <f>IFERROR('Alloy_compnt_G&amp;L'!C270/SUM('Alloy_compnt_G&amp;L'!C$247:C$306),0)</f>
        <v>0</v>
      </c>
      <c r="D270" s="73">
        <f>IFERROR('Alloy_compnt_G&amp;L'!D270/SUM('Alloy_compnt_G&amp;L'!D$247:D$306),0)</f>
        <v>0</v>
      </c>
      <c r="E270" s="73">
        <f>IFERROR('Alloy_compnt_G&amp;L'!E270/SUM('Alloy_compnt_G&amp;L'!E$247:E$306),0)</f>
        <v>0</v>
      </c>
      <c r="F270" s="73">
        <f>IFERROR('Alloy_compnt_G&amp;L'!F270/SUM('Alloy_compnt_G&amp;L'!F$247:F$306),0)</f>
        <v>0</v>
      </c>
      <c r="G270" s="73">
        <f>IFERROR('Alloy_compnt_G&amp;L'!G270/SUM('Alloy_compnt_G&amp;L'!G$247:G$306),0)</f>
        <v>0</v>
      </c>
    </row>
    <row r="271" spans="1:7" x14ac:dyDescent="0.2">
      <c r="A271" s="142" t="s">
        <v>262</v>
      </c>
      <c r="B271" s="73">
        <f>IFERROR('Alloy_compnt_G&amp;L'!B271/SUM('Alloy_compnt_G&amp;L'!B$247:B$306),0)</f>
        <v>0</v>
      </c>
      <c r="C271" s="73">
        <f>IFERROR('Alloy_compnt_G&amp;L'!C271/SUM('Alloy_compnt_G&amp;L'!C$247:C$306),0)</f>
        <v>0</v>
      </c>
      <c r="D271" s="73">
        <f>IFERROR('Alloy_compnt_G&amp;L'!D271/SUM('Alloy_compnt_G&amp;L'!D$247:D$306),0)</f>
        <v>0</v>
      </c>
      <c r="E271" s="73">
        <f>IFERROR('Alloy_compnt_G&amp;L'!E271/SUM('Alloy_compnt_G&amp;L'!E$247:E$306),0)</f>
        <v>0</v>
      </c>
      <c r="F271" s="73">
        <f>IFERROR('Alloy_compnt_G&amp;L'!F271/SUM('Alloy_compnt_G&amp;L'!F$247:F$306),0)</f>
        <v>0</v>
      </c>
      <c r="G271" s="73">
        <f>IFERROR('Alloy_compnt_G&amp;L'!G271/SUM('Alloy_compnt_G&amp;L'!G$247:G$306),0)</f>
        <v>0</v>
      </c>
    </row>
    <row r="272" spans="1:7" x14ac:dyDescent="0.2">
      <c r="A272" s="142" t="s">
        <v>263</v>
      </c>
      <c r="B272" s="73">
        <f>IFERROR('Alloy_compnt_G&amp;L'!B272/SUM('Alloy_compnt_G&amp;L'!B$247:B$306),0)</f>
        <v>0</v>
      </c>
      <c r="C272" s="73">
        <f>IFERROR('Alloy_compnt_G&amp;L'!C272/SUM('Alloy_compnt_G&amp;L'!C$247:C$306),0)</f>
        <v>0</v>
      </c>
      <c r="D272" s="73">
        <f>IFERROR('Alloy_compnt_G&amp;L'!D272/SUM('Alloy_compnt_G&amp;L'!D$247:D$306),0)</f>
        <v>0</v>
      </c>
      <c r="E272" s="73">
        <f>IFERROR('Alloy_compnt_G&amp;L'!E272/SUM('Alloy_compnt_G&amp;L'!E$247:E$306),0)</f>
        <v>0</v>
      </c>
      <c r="F272" s="73">
        <f>IFERROR('Alloy_compnt_G&amp;L'!F272/SUM('Alloy_compnt_G&amp;L'!F$247:F$306),0)</f>
        <v>0</v>
      </c>
      <c r="G272" s="73">
        <f>IFERROR('Alloy_compnt_G&amp;L'!G272/SUM('Alloy_compnt_G&amp;L'!G$247:G$306),0)</f>
        <v>0</v>
      </c>
    </row>
    <row r="273" spans="1:7" x14ac:dyDescent="0.2">
      <c r="A273" s="142" t="s">
        <v>264</v>
      </c>
      <c r="B273" s="73">
        <f>IFERROR('Alloy_compnt_G&amp;L'!B273/SUM('Alloy_compnt_G&amp;L'!B$247:B$306),0)</f>
        <v>0</v>
      </c>
      <c r="C273" s="73">
        <f>IFERROR('Alloy_compnt_G&amp;L'!C273/SUM('Alloy_compnt_G&amp;L'!C$247:C$306),0)</f>
        <v>0</v>
      </c>
      <c r="D273" s="73">
        <f>IFERROR('Alloy_compnt_G&amp;L'!D273/SUM('Alloy_compnt_G&amp;L'!D$247:D$306),0)</f>
        <v>0</v>
      </c>
      <c r="E273" s="73">
        <f>IFERROR('Alloy_compnt_G&amp;L'!E273/SUM('Alloy_compnt_G&amp;L'!E$247:E$306),0)</f>
        <v>0</v>
      </c>
      <c r="F273" s="73">
        <f>IFERROR('Alloy_compnt_G&amp;L'!F273/SUM('Alloy_compnt_G&amp;L'!F$247:F$306),0)</f>
        <v>0</v>
      </c>
      <c r="G273" s="73">
        <f>IFERROR('Alloy_compnt_G&amp;L'!G273/SUM('Alloy_compnt_G&amp;L'!G$247:G$306),0)</f>
        <v>0</v>
      </c>
    </row>
    <row r="274" spans="1:7" x14ac:dyDescent="0.2">
      <c r="A274" s="142" t="s">
        <v>265</v>
      </c>
      <c r="B274" s="73">
        <f>IFERROR('Alloy_compnt_G&amp;L'!B274/SUM('Alloy_compnt_G&amp;L'!B$247:B$306),0)</f>
        <v>0</v>
      </c>
      <c r="C274" s="73">
        <f>IFERROR('Alloy_compnt_G&amp;L'!C274/SUM('Alloy_compnt_G&amp;L'!C$247:C$306),0)</f>
        <v>0</v>
      </c>
      <c r="D274" s="73">
        <f>IFERROR('Alloy_compnt_G&amp;L'!D274/SUM('Alloy_compnt_G&amp;L'!D$247:D$306),0)</f>
        <v>0</v>
      </c>
      <c r="E274" s="73">
        <f>IFERROR('Alloy_compnt_G&amp;L'!E274/SUM('Alloy_compnt_G&amp;L'!E$247:E$306),0)</f>
        <v>0</v>
      </c>
      <c r="F274" s="73">
        <f>IFERROR('Alloy_compnt_G&amp;L'!F274/SUM('Alloy_compnt_G&amp;L'!F$247:F$306),0)</f>
        <v>0</v>
      </c>
      <c r="G274" s="73">
        <f>IFERROR('Alloy_compnt_G&amp;L'!G274/SUM('Alloy_compnt_G&amp;L'!G$247:G$306),0)</f>
        <v>0</v>
      </c>
    </row>
    <row r="275" spans="1:7" x14ac:dyDescent="0.2">
      <c r="A275" s="142" t="s">
        <v>266</v>
      </c>
      <c r="B275" s="73">
        <f>IFERROR('Alloy_compnt_G&amp;L'!B275/SUM('Alloy_compnt_G&amp;L'!B$247:B$306),0)</f>
        <v>0</v>
      </c>
      <c r="C275" s="73">
        <f>IFERROR('Alloy_compnt_G&amp;L'!C275/SUM('Alloy_compnt_G&amp;L'!C$247:C$306),0)</f>
        <v>0</v>
      </c>
      <c r="D275" s="73">
        <f>IFERROR('Alloy_compnt_G&amp;L'!D275/SUM('Alloy_compnt_G&amp;L'!D$247:D$306),0)</f>
        <v>0</v>
      </c>
      <c r="E275" s="73">
        <f>IFERROR('Alloy_compnt_G&amp;L'!E275/SUM('Alloy_compnt_G&amp;L'!E$247:E$306),0)</f>
        <v>0</v>
      </c>
      <c r="F275" s="73">
        <f>IFERROR('Alloy_compnt_G&amp;L'!F275/SUM('Alloy_compnt_G&amp;L'!F$247:F$306),0)</f>
        <v>0</v>
      </c>
      <c r="G275" s="73">
        <f>IFERROR('Alloy_compnt_G&amp;L'!G275/SUM('Alloy_compnt_G&amp;L'!G$247:G$306),0)</f>
        <v>0</v>
      </c>
    </row>
    <row r="276" spans="1:7" x14ac:dyDescent="0.2">
      <c r="A276" s="142" t="s">
        <v>267</v>
      </c>
      <c r="B276" s="73">
        <f>IFERROR('Alloy_compnt_G&amp;L'!B276/SUM('Alloy_compnt_G&amp;L'!B$247:B$306),0)</f>
        <v>0</v>
      </c>
      <c r="C276" s="73">
        <f>IFERROR('Alloy_compnt_G&amp;L'!C276/SUM('Alloy_compnt_G&amp;L'!C$247:C$306),0)</f>
        <v>0</v>
      </c>
      <c r="D276" s="73">
        <f>IFERROR('Alloy_compnt_G&amp;L'!D276/SUM('Alloy_compnt_G&amp;L'!D$247:D$306),0)</f>
        <v>0</v>
      </c>
      <c r="E276" s="73">
        <f>IFERROR('Alloy_compnt_G&amp;L'!E276/SUM('Alloy_compnt_G&amp;L'!E$247:E$306),0)</f>
        <v>0</v>
      </c>
      <c r="F276" s="73">
        <f>IFERROR('Alloy_compnt_G&amp;L'!F276/SUM('Alloy_compnt_G&amp;L'!F$247:F$306),0)</f>
        <v>0</v>
      </c>
      <c r="G276" s="73">
        <f>IFERROR('Alloy_compnt_G&amp;L'!G276/SUM('Alloy_compnt_G&amp;L'!G$247:G$306),0)</f>
        <v>0</v>
      </c>
    </row>
    <row r="277" spans="1:7" x14ac:dyDescent="0.2">
      <c r="A277" s="142" t="s">
        <v>268</v>
      </c>
      <c r="B277" s="73">
        <f>IFERROR('Alloy_compnt_G&amp;L'!B277/SUM('Alloy_compnt_G&amp;L'!B$247:B$306),0)</f>
        <v>0</v>
      </c>
      <c r="C277" s="73">
        <f>IFERROR('Alloy_compnt_G&amp;L'!C277/SUM('Alloy_compnt_G&amp;L'!C$247:C$306),0)</f>
        <v>0</v>
      </c>
      <c r="D277" s="73">
        <f>IFERROR('Alloy_compnt_G&amp;L'!D277/SUM('Alloy_compnt_G&amp;L'!D$247:D$306),0)</f>
        <v>0</v>
      </c>
      <c r="E277" s="73">
        <f>IFERROR('Alloy_compnt_G&amp;L'!E277/SUM('Alloy_compnt_G&amp;L'!E$247:E$306),0)</f>
        <v>0</v>
      </c>
      <c r="F277" s="73">
        <f>IFERROR('Alloy_compnt_G&amp;L'!F277/SUM('Alloy_compnt_G&amp;L'!F$247:F$306),0)</f>
        <v>0</v>
      </c>
      <c r="G277" s="73">
        <f>IFERROR('Alloy_compnt_G&amp;L'!G277/SUM('Alloy_compnt_G&amp;L'!G$247:G$306),0)</f>
        <v>0</v>
      </c>
    </row>
    <row r="278" spans="1:7" x14ac:dyDescent="0.2">
      <c r="A278" s="142" t="s">
        <v>269</v>
      </c>
      <c r="B278" s="73">
        <f>IFERROR('Alloy_compnt_G&amp;L'!B278/SUM('Alloy_compnt_G&amp;L'!B$247:B$306),0)</f>
        <v>0</v>
      </c>
      <c r="C278" s="73">
        <f>IFERROR('Alloy_compnt_G&amp;L'!C278/SUM('Alloy_compnt_G&amp;L'!C$247:C$306),0)</f>
        <v>0</v>
      </c>
      <c r="D278" s="73">
        <f>IFERROR('Alloy_compnt_G&amp;L'!D278/SUM('Alloy_compnt_G&amp;L'!D$247:D$306),0)</f>
        <v>0</v>
      </c>
      <c r="E278" s="73">
        <f>IFERROR('Alloy_compnt_G&amp;L'!E278/SUM('Alloy_compnt_G&amp;L'!E$247:E$306),0)</f>
        <v>0</v>
      </c>
      <c r="F278" s="73">
        <f>IFERROR('Alloy_compnt_G&amp;L'!F278/SUM('Alloy_compnt_G&amp;L'!F$247:F$306),0)</f>
        <v>0</v>
      </c>
      <c r="G278" s="73">
        <f>IFERROR('Alloy_compnt_G&amp;L'!G278/SUM('Alloy_compnt_G&amp;L'!G$247:G$306),0)</f>
        <v>0</v>
      </c>
    </row>
    <row r="279" spans="1:7" x14ac:dyDescent="0.2">
      <c r="A279" s="142" t="s">
        <v>270</v>
      </c>
      <c r="B279" s="73">
        <f>IFERROR('Alloy_compnt_G&amp;L'!B279/SUM('Alloy_compnt_G&amp;L'!B$247:B$306),0)</f>
        <v>0</v>
      </c>
      <c r="C279" s="73">
        <f>IFERROR('Alloy_compnt_G&amp;L'!C279/SUM('Alloy_compnt_G&amp;L'!C$247:C$306),0)</f>
        <v>0</v>
      </c>
      <c r="D279" s="73">
        <f>IFERROR('Alloy_compnt_G&amp;L'!D279/SUM('Alloy_compnt_G&amp;L'!D$247:D$306),0)</f>
        <v>0</v>
      </c>
      <c r="E279" s="73">
        <f>IFERROR('Alloy_compnt_G&amp;L'!E279/SUM('Alloy_compnt_G&amp;L'!E$247:E$306),0)</f>
        <v>0</v>
      </c>
      <c r="F279" s="73">
        <f>IFERROR('Alloy_compnt_G&amp;L'!F279/SUM('Alloy_compnt_G&amp;L'!F$247:F$306),0)</f>
        <v>0</v>
      </c>
      <c r="G279" s="73">
        <f>IFERROR('Alloy_compnt_G&amp;L'!G279/SUM('Alloy_compnt_G&amp;L'!G$247:G$306),0)</f>
        <v>0</v>
      </c>
    </row>
    <row r="280" spans="1:7" x14ac:dyDescent="0.2">
      <c r="A280" s="142" t="s">
        <v>271</v>
      </c>
      <c r="B280" s="73">
        <f>IFERROR('Alloy_compnt_G&amp;L'!B280/SUM('Alloy_compnt_G&amp;L'!B$247:B$306),0)</f>
        <v>0</v>
      </c>
      <c r="C280" s="73">
        <f>IFERROR('Alloy_compnt_G&amp;L'!C280/SUM('Alloy_compnt_G&amp;L'!C$247:C$306),0)</f>
        <v>0</v>
      </c>
      <c r="D280" s="73">
        <f>IFERROR('Alloy_compnt_G&amp;L'!D280/SUM('Alloy_compnt_G&amp;L'!D$247:D$306),0)</f>
        <v>0</v>
      </c>
      <c r="E280" s="73">
        <f>IFERROR('Alloy_compnt_G&amp;L'!E280/SUM('Alloy_compnt_G&amp;L'!E$247:E$306),0)</f>
        <v>0</v>
      </c>
      <c r="F280" s="73">
        <f>IFERROR('Alloy_compnt_G&amp;L'!F280/SUM('Alloy_compnt_G&amp;L'!F$247:F$306),0)</f>
        <v>0</v>
      </c>
      <c r="G280" s="73">
        <f>IFERROR('Alloy_compnt_G&amp;L'!G280/SUM('Alloy_compnt_G&amp;L'!G$247:G$306),0)</f>
        <v>0</v>
      </c>
    </row>
    <row r="281" spans="1:7" x14ac:dyDescent="0.2">
      <c r="A281" s="142" t="s">
        <v>272</v>
      </c>
      <c r="B281" s="73">
        <f>IFERROR('Alloy_compnt_G&amp;L'!B281/SUM('Alloy_compnt_G&amp;L'!B$247:B$306),0)</f>
        <v>0</v>
      </c>
      <c r="C281" s="73">
        <f>IFERROR('Alloy_compnt_G&amp;L'!C281/SUM('Alloy_compnt_G&amp;L'!C$247:C$306),0)</f>
        <v>0</v>
      </c>
      <c r="D281" s="73">
        <f>IFERROR('Alloy_compnt_G&amp;L'!D281/SUM('Alloy_compnt_G&amp;L'!D$247:D$306),0)</f>
        <v>0</v>
      </c>
      <c r="E281" s="73">
        <f>IFERROR('Alloy_compnt_G&amp;L'!E281/SUM('Alloy_compnt_G&amp;L'!E$247:E$306),0)</f>
        <v>0</v>
      </c>
      <c r="F281" s="73">
        <f>IFERROR('Alloy_compnt_G&amp;L'!F281/SUM('Alloy_compnt_G&amp;L'!F$247:F$306),0)</f>
        <v>0</v>
      </c>
      <c r="G281" s="73">
        <f>IFERROR('Alloy_compnt_G&amp;L'!G281/SUM('Alloy_compnt_G&amp;L'!G$247:G$306),0)</f>
        <v>0</v>
      </c>
    </row>
    <row r="282" spans="1:7" x14ac:dyDescent="0.2">
      <c r="A282" s="142" t="s">
        <v>273</v>
      </c>
      <c r="B282" s="73">
        <f>IFERROR('Alloy_compnt_G&amp;L'!B282/SUM('Alloy_compnt_G&amp;L'!B$247:B$306),0)</f>
        <v>0</v>
      </c>
      <c r="C282" s="73">
        <f>IFERROR('Alloy_compnt_G&amp;L'!C282/SUM('Alloy_compnt_G&amp;L'!C$247:C$306),0)</f>
        <v>0</v>
      </c>
      <c r="D282" s="73">
        <f>IFERROR('Alloy_compnt_G&amp;L'!D282/SUM('Alloy_compnt_G&amp;L'!D$247:D$306),0)</f>
        <v>0</v>
      </c>
      <c r="E282" s="73">
        <f>IFERROR('Alloy_compnt_G&amp;L'!E282/SUM('Alloy_compnt_G&amp;L'!E$247:E$306),0)</f>
        <v>0</v>
      </c>
      <c r="F282" s="73">
        <f>IFERROR('Alloy_compnt_G&amp;L'!F282/SUM('Alloy_compnt_G&amp;L'!F$247:F$306),0)</f>
        <v>0</v>
      </c>
      <c r="G282" s="73">
        <f>IFERROR('Alloy_compnt_G&amp;L'!G282/SUM('Alloy_compnt_G&amp;L'!G$247:G$306),0)</f>
        <v>0</v>
      </c>
    </row>
    <row r="283" spans="1:7" x14ac:dyDescent="0.2">
      <c r="A283" s="142" t="s">
        <v>274</v>
      </c>
      <c r="B283" s="73">
        <f>IFERROR('Alloy_compnt_G&amp;L'!B283/SUM('Alloy_compnt_G&amp;L'!B$247:B$306),0)</f>
        <v>0</v>
      </c>
      <c r="C283" s="73">
        <f>IFERROR('Alloy_compnt_G&amp;L'!C283/SUM('Alloy_compnt_G&amp;L'!C$247:C$306),0)</f>
        <v>0</v>
      </c>
      <c r="D283" s="73">
        <f>IFERROR('Alloy_compnt_G&amp;L'!D283/SUM('Alloy_compnt_G&amp;L'!D$247:D$306),0)</f>
        <v>0</v>
      </c>
      <c r="E283" s="73">
        <f>IFERROR('Alloy_compnt_G&amp;L'!E283/SUM('Alloy_compnt_G&amp;L'!E$247:E$306),0)</f>
        <v>0</v>
      </c>
      <c r="F283" s="73">
        <f>IFERROR('Alloy_compnt_G&amp;L'!F283/SUM('Alloy_compnt_G&amp;L'!F$247:F$306),0)</f>
        <v>0</v>
      </c>
      <c r="G283" s="73">
        <f>IFERROR('Alloy_compnt_G&amp;L'!G283/SUM('Alloy_compnt_G&amp;L'!G$247:G$306),0)</f>
        <v>0</v>
      </c>
    </row>
    <row r="284" spans="1:7" x14ac:dyDescent="0.2">
      <c r="A284" s="142" t="s">
        <v>275</v>
      </c>
      <c r="B284" s="73">
        <f>IFERROR('Alloy_compnt_G&amp;L'!B284/SUM('Alloy_compnt_G&amp;L'!B$247:B$306),0)</f>
        <v>0</v>
      </c>
      <c r="C284" s="73">
        <f>IFERROR('Alloy_compnt_G&amp;L'!C284/SUM('Alloy_compnt_G&amp;L'!C$247:C$306),0)</f>
        <v>0</v>
      </c>
      <c r="D284" s="73">
        <f>IFERROR('Alloy_compnt_G&amp;L'!D284/SUM('Alloy_compnt_G&amp;L'!D$247:D$306),0)</f>
        <v>0</v>
      </c>
      <c r="E284" s="73">
        <f>IFERROR('Alloy_compnt_G&amp;L'!E284/SUM('Alloy_compnt_G&amp;L'!E$247:E$306),0)</f>
        <v>0</v>
      </c>
      <c r="F284" s="73">
        <f>IFERROR('Alloy_compnt_G&amp;L'!F284/SUM('Alloy_compnt_G&amp;L'!F$247:F$306),0)</f>
        <v>0</v>
      </c>
      <c r="G284" s="73">
        <f>IFERROR('Alloy_compnt_G&amp;L'!G284/SUM('Alloy_compnt_G&amp;L'!G$247:G$306),0)</f>
        <v>0</v>
      </c>
    </row>
    <row r="285" spans="1:7" x14ac:dyDescent="0.2">
      <c r="A285" s="142" t="s">
        <v>276</v>
      </c>
      <c r="B285" s="73">
        <f>IFERROR('Alloy_compnt_G&amp;L'!B285/SUM('Alloy_compnt_G&amp;L'!B$247:B$306),0)</f>
        <v>0</v>
      </c>
      <c r="C285" s="73">
        <f>IFERROR('Alloy_compnt_G&amp;L'!C285/SUM('Alloy_compnt_G&amp;L'!C$247:C$306),0)</f>
        <v>0</v>
      </c>
      <c r="D285" s="73">
        <f>IFERROR('Alloy_compnt_G&amp;L'!D285/SUM('Alloy_compnt_G&amp;L'!D$247:D$306),0)</f>
        <v>0</v>
      </c>
      <c r="E285" s="73">
        <f>IFERROR('Alloy_compnt_G&amp;L'!E285/SUM('Alloy_compnt_G&amp;L'!E$247:E$306),0)</f>
        <v>0</v>
      </c>
      <c r="F285" s="73">
        <f>IFERROR('Alloy_compnt_G&amp;L'!F285/SUM('Alloy_compnt_G&amp;L'!F$247:F$306),0)</f>
        <v>0</v>
      </c>
      <c r="G285" s="73">
        <f>IFERROR('Alloy_compnt_G&amp;L'!G285/SUM('Alloy_compnt_G&amp;L'!G$247:G$306),0)</f>
        <v>0</v>
      </c>
    </row>
    <row r="286" spans="1:7" x14ac:dyDescent="0.2">
      <c r="A286" s="144" t="s">
        <v>277</v>
      </c>
      <c r="B286" s="73">
        <f>IFERROR('Alloy_compnt_G&amp;L'!B286/SUM('Alloy_compnt_G&amp;L'!B$247:B$306),0)</f>
        <v>0</v>
      </c>
      <c r="C286" s="73">
        <f>IFERROR('Alloy_compnt_G&amp;L'!C286/SUM('Alloy_compnt_G&amp;L'!C$247:C$306),0)</f>
        <v>0</v>
      </c>
      <c r="D286" s="73">
        <f>IFERROR('Alloy_compnt_G&amp;L'!D286/SUM('Alloy_compnt_G&amp;L'!D$247:D$306),0)</f>
        <v>0</v>
      </c>
      <c r="E286" s="73">
        <f>IFERROR('Alloy_compnt_G&amp;L'!E286/SUM('Alloy_compnt_G&amp;L'!E$247:E$306),0)</f>
        <v>0</v>
      </c>
      <c r="F286" s="73">
        <f>IFERROR('Alloy_compnt_G&amp;L'!F286/SUM('Alloy_compnt_G&amp;L'!F$247:F$306),0)</f>
        <v>0</v>
      </c>
      <c r="G286" s="73">
        <f>IFERROR('Alloy_compnt_G&amp;L'!G286/SUM('Alloy_compnt_G&amp;L'!G$247:G$306),0)</f>
        <v>0</v>
      </c>
    </row>
    <row r="287" spans="1:7" x14ac:dyDescent="0.2">
      <c r="A287" s="148" t="s">
        <v>278</v>
      </c>
      <c r="B287" s="73">
        <f>IFERROR('Alloy_compnt_G&amp;L'!B287/SUM('Alloy_compnt_G&amp;L'!B$247:B$306),0)</f>
        <v>0</v>
      </c>
      <c r="C287" s="73">
        <f>IFERROR('Alloy_compnt_G&amp;L'!C287/SUM('Alloy_compnt_G&amp;L'!C$247:C$306),0)</f>
        <v>0</v>
      </c>
      <c r="D287" s="73">
        <f>IFERROR('Alloy_compnt_G&amp;L'!D287/SUM('Alloy_compnt_G&amp;L'!D$247:D$306),0)</f>
        <v>0</v>
      </c>
      <c r="E287" s="73">
        <f>IFERROR('Alloy_compnt_G&amp;L'!E287/SUM('Alloy_compnt_G&amp;L'!E$247:E$306),0)</f>
        <v>0</v>
      </c>
      <c r="F287" s="73">
        <f>IFERROR('Alloy_compnt_G&amp;L'!F287/SUM('Alloy_compnt_G&amp;L'!F$247:F$306),0)</f>
        <v>0</v>
      </c>
      <c r="G287" s="73">
        <f>IFERROR('Alloy_compnt_G&amp;L'!G287/SUM('Alloy_compnt_G&amp;L'!G$247:G$306),0)</f>
        <v>0</v>
      </c>
    </row>
    <row r="288" spans="1:7" x14ac:dyDescent="0.2">
      <c r="A288" s="148" t="s">
        <v>279</v>
      </c>
      <c r="B288" s="73">
        <f>IFERROR('Alloy_compnt_G&amp;L'!B288/SUM('Alloy_compnt_G&amp;L'!B$247:B$306),0)</f>
        <v>0</v>
      </c>
      <c r="C288" s="73">
        <f>IFERROR('Alloy_compnt_G&amp;L'!C288/SUM('Alloy_compnt_G&amp;L'!C$247:C$306),0)</f>
        <v>0</v>
      </c>
      <c r="D288" s="73">
        <f>IFERROR('Alloy_compnt_G&amp;L'!D288/SUM('Alloy_compnt_G&amp;L'!D$247:D$306),0)</f>
        <v>0</v>
      </c>
      <c r="E288" s="73">
        <f>IFERROR('Alloy_compnt_G&amp;L'!E288/SUM('Alloy_compnt_G&amp;L'!E$247:E$306),0)</f>
        <v>0</v>
      </c>
      <c r="F288" s="73">
        <f>IFERROR('Alloy_compnt_G&amp;L'!F288/SUM('Alloy_compnt_G&amp;L'!F$247:F$306),0)</f>
        <v>0</v>
      </c>
      <c r="G288" s="73">
        <f>IFERROR('Alloy_compnt_G&amp;L'!G288/SUM('Alloy_compnt_G&amp;L'!G$247:G$306),0)</f>
        <v>0</v>
      </c>
    </row>
    <row r="289" spans="1:7" x14ac:dyDescent="0.2">
      <c r="A289" s="148" t="s">
        <v>280</v>
      </c>
      <c r="B289" s="73">
        <f>IFERROR('Alloy_compnt_G&amp;L'!B289/SUM('Alloy_compnt_G&amp;L'!B$247:B$306),0)</f>
        <v>0</v>
      </c>
      <c r="C289" s="73">
        <f>IFERROR('Alloy_compnt_G&amp;L'!C289/SUM('Alloy_compnt_G&amp;L'!C$247:C$306),0)</f>
        <v>0</v>
      </c>
      <c r="D289" s="73">
        <f>IFERROR('Alloy_compnt_G&amp;L'!D289/SUM('Alloy_compnt_G&amp;L'!D$247:D$306),0)</f>
        <v>0</v>
      </c>
      <c r="E289" s="73">
        <f>IFERROR('Alloy_compnt_G&amp;L'!E289/SUM('Alloy_compnt_G&amp;L'!E$247:E$306),0)</f>
        <v>0</v>
      </c>
      <c r="F289" s="73">
        <f>IFERROR('Alloy_compnt_G&amp;L'!F289/SUM('Alloy_compnt_G&amp;L'!F$247:F$306),0)</f>
        <v>0</v>
      </c>
      <c r="G289" s="73">
        <f>IFERROR('Alloy_compnt_G&amp;L'!G289/SUM('Alloy_compnt_G&amp;L'!G$247:G$306),0)</f>
        <v>0</v>
      </c>
    </row>
    <row r="290" spans="1:7" x14ac:dyDescent="0.2">
      <c r="A290" s="148" t="s">
        <v>281</v>
      </c>
      <c r="B290" s="73">
        <f>IFERROR('Alloy_compnt_G&amp;L'!B290/SUM('Alloy_compnt_G&amp;L'!B$247:B$306),0)</f>
        <v>0</v>
      </c>
      <c r="C290" s="73">
        <f>IFERROR('Alloy_compnt_G&amp;L'!C290/SUM('Alloy_compnt_G&amp;L'!C$247:C$306),0)</f>
        <v>0</v>
      </c>
      <c r="D290" s="73">
        <f>IFERROR('Alloy_compnt_G&amp;L'!D290/SUM('Alloy_compnt_G&amp;L'!D$247:D$306),0)</f>
        <v>0</v>
      </c>
      <c r="E290" s="73">
        <f>IFERROR('Alloy_compnt_G&amp;L'!E290/SUM('Alloy_compnt_G&amp;L'!E$247:E$306),0)</f>
        <v>0</v>
      </c>
      <c r="F290" s="73">
        <f>IFERROR('Alloy_compnt_G&amp;L'!F290/SUM('Alloy_compnt_G&amp;L'!F$247:F$306),0)</f>
        <v>0</v>
      </c>
      <c r="G290" s="73">
        <f>IFERROR('Alloy_compnt_G&amp;L'!G290/SUM('Alloy_compnt_G&amp;L'!G$247:G$306),0)</f>
        <v>0</v>
      </c>
    </row>
    <row r="291" spans="1:7" x14ac:dyDescent="0.2">
      <c r="A291" s="148" t="s">
        <v>282</v>
      </c>
      <c r="B291" s="73">
        <f>IFERROR('Alloy_compnt_G&amp;L'!B291/SUM('Alloy_compnt_G&amp;L'!B$247:B$306),0)</f>
        <v>0</v>
      </c>
      <c r="C291" s="73">
        <f>IFERROR('Alloy_compnt_G&amp;L'!C291/SUM('Alloy_compnt_G&amp;L'!C$247:C$306),0)</f>
        <v>0</v>
      </c>
      <c r="D291" s="73">
        <f>IFERROR('Alloy_compnt_G&amp;L'!D291/SUM('Alloy_compnt_G&amp;L'!D$247:D$306),0)</f>
        <v>0</v>
      </c>
      <c r="E291" s="73">
        <f>IFERROR('Alloy_compnt_G&amp;L'!E291/SUM('Alloy_compnt_G&amp;L'!E$247:E$306),0)</f>
        <v>0</v>
      </c>
      <c r="F291" s="73">
        <f>IFERROR('Alloy_compnt_G&amp;L'!F291/SUM('Alloy_compnt_G&amp;L'!F$247:F$306),0)</f>
        <v>0</v>
      </c>
      <c r="G291" s="73">
        <f>IFERROR('Alloy_compnt_G&amp;L'!G291/SUM('Alloy_compnt_G&amp;L'!G$247:G$306),0)</f>
        <v>0</v>
      </c>
    </row>
    <row r="292" spans="1:7" x14ac:dyDescent="0.2">
      <c r="A292" s="148" t="s">
        <v>283</v>
      </c>
      <c r="B292" s="73">
        <f>IFERROR('Alloy_compnt_G&amp;L'!B292/SUM('Alloy_compnt_G&amp;L'!B$247:B$306),0)</f>
        <v>0</v>
      </c>
      <c r="C292" s="73">
        <f>IFERROR('Alloy_compnt_G&amp;L'!C292/SUM('Alloy_compnt_G&amp;L'!C$247:C$306),0)</f>
        <v>0</v>
      </c>
      <c r="D292" s="73">
        <f>IFERROR('Alloy_compnt_G&amp;L'!D292/SUM('Alloy_compnt_G&amp;L'!D$247:D$306),0)</f>
        <v>0</v>
      </c>
      <c r="E292" s="73">
        <f>IFERROR('Alloy_compnt_G&amp;L'!E292/SUM('Alloy_compnt_G&amp;L'!E$247:E$306),0)</f>
        <v>0</v>
      </c>
      <c r="F292" s="73">
        <f>IFERROR('Alloy_compnt_G&amp;L'!F292/SUM('Alloy_compnt_G&amp;L'!F$247:F$306),0)</f>
        <v>0</v>
      </c>
      <c r="G292" s="73">
        <f>IFERROR('Alloy_compnt_G&amp;L'!G292/SUM('Alloy_compnt_G&amp;L'!G$247:G$306),0)</f>
        <v>0</v>
      </c>
    </row>
    <row r="293" spans="1:7" x14ac:dyDescent="0.2">
      <c r="A293" s="148" t="s">
        <v>284</v>
      </c>
      <c r="B293" s="73">
        <f>IFERROR('Alloy_compnt_G&amp;L'!B293/SUM('Alloy_compnt_G&amp;L'!B$247:B$306),0)</f>
        <v>0</v>
      </c>
      <c r="C293" s="73">
        <f>IFERROR('Alloy_compnt_G&amp;L'!C293/SUM('Alloy_compnt_G&amp;L'!C$247:C$306),0)</f>
        <v>0</v>
      </c>
      <c r="D293" s="73">
        <f>IFERROR('Alloy_compnt_G&amp;L'!D293/SUM('Alloy_compnt_G&amp;L'!D$247:D$306),0)</f>
        <v>0</v>
      </c>
      <c r="E293" s="73">
        <f>IFERROR('Alloy_compnt_G&amp;L'!E293/SUM('Alloy_compnt_G&amp;L'!E$247:E$306),0)</f>
        <v>0</v>
      </c>
      <c r="F293" s="73">
        <f>IFERROR('Alloy_compnt_G&amp;L'!F293/SUM('Alloy_compnt_G&amp;L'!F$247:F$306),0)</f>
        <v>0</v>
      </c>
      <c r="G293" s="73">
        <f>IFERROR('Alloy_compnt_G&amp;L'!G293/SUM('Alloy_compnt_G&amp;L'!G$247:G$306),0)</f>
        <v>0</v>
      </c>
    </row>
    <row r="294" spans="1:7" x14ac:dyDescent="0.2">
      <c r="A294" s="148" t="s">
        <v>285</v>
      </c>
      <c r="B294" s="73">
        <f>IFERROR('Alloy_compnt_G&amp;L'!B294/SUM('Alloy_compnt_G&amp;L'!B$247:B$306),0)</f>
        <v>0</v>
      </c>
      <c r="C294" s="73">
        <f>IFERROR('Alloy_compnt_G&amp;L'!C294/SUM('Alloy_compnt_G&amp;L'!C$247:C$306),0)</f>
        <v>0</v>
      </c>
      <c r="D294" s="73">
        <f>IFERROR('Alloy_compnt_G&amp;L'!D294/SUM('Alloy_compnt_G&amp;L'!D$247:D$306),0)</f>
        <v>0</v>
      </c>
      <c r="E294" s="73">
        <f>IFERROR('Alloy_compnt_G&amp;L'!E294/SUM('Alloy_compnt_G&amp;L'!E$247:E$306),0)</f>
        <v>0</v>
      </c>
      <c r="F294" s="73">
        <f>IFERROR('Alloy_compnt_G&amp;L'!F294/SUM('Alloy_compnt_G&amp;L'!F$247:F$306),0)</f>
        <v>0</v>
      </c>
      <c r="G294" s="73">
        <f>IFERROR('Alloy_compnt_G&amp;L'!G294/SUM('Alloy_compnt_G&amp;L'!G$247:G$306),0)</f>
        <v>0</v>
      </c>
    </row>
    <row r="295" spans="1:7" x14ac:dyDescent="0.2">
      <c r="A295" s="147" t="s">
        <v>286</v>
      </c>
      <c r="B295" s="73">
        <f>IFERROR('Alloy_compnt_G&amp;L'!B295/SUM('Alloy_compnt_G&amp;L'!B$247:B$306),0)</f>
        <v>0</v>
      </c>
      <c r="C295" s="73">
        <f>IFERROR('Alloy_compnt_G&amp;L'!C295/SUM('Alloy_compnt_G&amp;L'!C$247:C$306),0)</f>
        <v>0</v>
      </c>
      <c r="D295" s="73">
        <f>IFERROR('Alloy_compnt_G&amp;L'!D295/SUM('Alloy_compnt_G&amp;L'!D$247:D$306),0)</f>
        <v>0</v>
      </c>
      <c r="E295" s="73">
        <f>IFERROR('Alloy_compnt_G&amp;L'!E295/SUM('Alloy_compnt_G&amp;L'!E$247:E$306),0)</f>
        <v>0</v>
      </c>
      <c r="F295" s="73">
        <f>IFERROR('Alloy_compnt_G&amp;L'!F295/SUM('Alloy_compnt_G&amp;L'!F$247:F$306),0)</f>
        <v>0</v>
      </c>
      <c r="G295" s="73">
        <f>IFERROR('Alloy_compnt_G&amp;L'!G295/SUM('Alloy_compnt_G&amp;L'!G$247:G$306),0)</f>
        <v>0</v>
      </c>
    </row>
    <row r="296" spans="1:7" x14ac:dyDescent="0.2">
      <c r="A296" s="142" t="s">
        <v>287</v>
      </c>
      <c r="B296" s="73">
        <f>IFERROR('Alloy_compnt_G&amp;L'!B296/SUM('Alloy_compnt_G&amp;L'!B$247:B$306),0)</f>
        <v>0</v>
      </c>
      <c r="C296" s="73">
        <f>IFERROR('Alloy_compnt_G&amp;L'!C296/SUM('Alloy_compnt_G&amp;L'!C$247:C$306),0)</f>
        <v>0</v>
      </c>
      <c r="D296" s="73">
        <f>IFERROR('Alloy_compnt_G&amp;L'!D296/SUM('Alloy_compnt_G&amp;L'!D$247:D$306),0)</f>
        <v>0</v>
      </c>
      <c r="E296" s="73">
        <f>IFERROR('Alloy_compnt_G&amp;L'!E296/SUM('Alloy_compnt_G&amp;L'!E$247:E$306),0)</f>
        <v>0</v>
      </c>
      <c r="F296" s="73">
        <f>IFERROR('Alloy_compnt_G&amp;L'!F296/SUM('Alloy_compnt_G&amp;L'!F$247:F$306),0)</f>
        <v>0</v>
      </c>
      <c r="G296" s="73">
        <f>IFERROR('Alloy_compnt_G&amp;L'!G296/SUM('Alloy_compnt_G&amp;L'!G$247:G$306),0)</f>
        <v>0</v>
      </c>
    </row>
    <row r="297" spans="1:7" x14ac:dyDescent="0.2">
      <c r="A297" s="142" t="s">
        <v>288</v>
      </c>
      <c r="B297" s="73">
        <f>IFERROR('Alloy_compnt_G&amp;L'!B297/SUM('Alloy_compnt_G&amp;L'!B$247:B$306),0)</f>
        <v>0</v>
      </c>
      <c r="C297" s="73">
        <f>IFERROR('Alloy_compnt_G&amp;L'!C297/SUM('Alloy_compnt_G&amp;L'!C$247:C$306),0)</f>
        <v>0</v>
      </c>
      <c r="D297" s="73">
        <f>IFERROR('Alloy_compnt_G&amp;L'!D297/SUM('Alloy_compnt_G&amp;L'!D$247:D$306),0)</f>
        <v>0</v>
      </c>
      <c r="E297" s="73">
        <f>IFERROR('Alloy_compnt_G&amp;L'!E297/SUM('Alloy_compnt_G&amp;L'!E$247:E$306),0)</f>
        <v>0</v>
      </c>
      <c r="F297" s="73">
        <f>IFERROR('Alloy_compnt_G&amp;L'!F297/SUM('Alloy_compnt_G&amp;L'!F$247:F$306),0)</f>
        <v>0</v>
      </c>
      <c r="G297" s="73">
        <f>IFERROR('Alloy_compnt_G&amp;L'!G297/SUM('Alloy_compnt_G&amp;L'!G$247:G$306),0)</f>
        <v>0</v>
      </c>
    </row>
    <row r="298" spans="1:7" x14ac:dyDescent="0.2">
      <c r="A298" s="142" t="s">
        <v>289</v>
      </c>
      <c r="B298" s="73">
        <f>IFERROR('Alloy_compnt_G&amp;L'!B298/SUM('Alloy_compnt_G&amp;L'!B$247:B$306),0)</f>
        <v>0</v>
      </c>
      <c r="C298" s="73">
        <f>IFERROR('Alloy_compnt_G&amp;L'!C298/SUM('Alloy_compnt_G&amp;L'!C$247:C$306),0)</f>
        <v>0</v>
      </c>
      <c r="D298" s="73">
        <f>IFERROR('Alloy_compnt_G&amp;L'!D298/SUM('Alloy_compnt_G&amp;L'!D$247:D$306),0)</f>
        <v>0.24999999999999994</v>
      </c>
      <c r="E298" s="73">
        <f>IFERROR('Alloy_compnt_G&amp;L'!E298/SUM('Alloy_compnt_G&amp;L'!E$247:E$306),0)</f>
        <v>0.25</v>
      </c>
      <c r="F298" s="73">
        <f>IFERROR('Alloy_compnt_G&amp;L'!F298/SUM('Alloy_compnt_G&amp;L'!F$247:F$306),0)</f>
        <v>0.24999999999999994</v>
      </c>
      <c r="G298" s="73">
        <f>IFERROR('Alloy_compnt_G&amp;L'!G298/SUM('Alloy_compnt_G&amp;L'!G$247:G$306),0)</f>
        <v>0.25</v>
      </c>
    </row>
    <row r="299" spans="1:7" x14ac:dyDescent="0.2">
      <c r="A299" s="142" t="s">
        <v>290</v>
      </c>
      <c r="B299" s="73">
        <f>IFERROR('Alloy_compnt_G&amp;L'!B299/SUM('Alloy_compnt_G&amp;L'!B$247:B$306),0)</f>
        <v>0</v>
      </c>
      <c r="C299" s="73">
        <f>IFERROR('Alloy_compnt_G&amp;L'!C299/SUM('Alloy_compnt_G&amp;L'!C$247:C$306),0)</f>
        <v>0</v>
      </c>
      <c r="D299" s="73">
        <f>IFERROR('Alloy_compnt_G&amp;L'!D299/SUM('Alloy_compnt_G&amp;L'!D$247:D$306),0)</f>
        <v>0.24999999999999994</v>
      </c>
      <c r="E299" s="73">
        <f>IFERROR('Alloy_compnt_G&amp;L'!E299/SUM('Alloy_compnt_G&amp;L'!E$247:E$306),0)</f>
        <v>0.25</v>
      </c>
      <c r="F299" s="73">
        <f>IFERROR('Alloy_compnt_G&amp;L'!F299/SUM('Alloy_compnt_G&amp;L'!F$247:F$306),0)</f>
        <v>0.24999999999999994</v>
      </c>
      <c r="G299" s="73">
        <f>IFERROR('Alloy_compnt_G&amp;L'!G299/SUM('Alloy_compnt_G&amp;L'!G$247:G$306),0)</f>
        <v>0.25</v>
      </c>
    </row>
    <row r="300" spans="1:7" x14ac:dyDescent="0.2">
      <c r="A300" s="142" t="s">
        <v>291</v>
      </c>
      <c r="B300" s="73">
        <f>IFERROR('Alloy_compnt_G&amp;L'!B300/SUM('Alloy_compnt_G&amp;L'!B$247:B$306),0)</f>
        <v>0</v>
      </c>
      <c r="C300" s="73">
        <f>IFERROR('Alloy_compnt_G&amp;L'!C300/SUM('Alloy_compnt_G&amp;L'!C$247:C$306),0)</f>
        <v>0</v>
      </c>
      <c r="D300" s="73">
        <f>IFERROR('Alloy_compnt_G&amp;L'!D300/SUM('Alloy_compnt_G&amp;L'!D$247:D$306),0)</f>
        <v>0</v>
      </c>
      <c r="E300" s="73">
        <f>IFERROR('Alloy_compnt_G&amp;L'!E300/SUM('Alloy_compnt_G&amp;L'!E$247:E$306),0)</f>
        <v>0</v>
      </c>
      <c r="F300" s="73">
        <f>IFERROR('Alloy_compnt_G&amp;L'!F300/SUM('Alloy_compnt_G&amp;L'!F$247:F$306),0)</f>
        <v>0</v>
      </c>
      <c r="G300" s="73">
        <f>IFERROR('Alloy_compnt_G&amp;L'!G300/SUM('Alloy_compnt_G&amp;L'!G$247:G$306),0)</f>
        <v>0</v>
      </c>
    </row>
    <row r="301" spans="1:7" x14ac:dyDescent="0.2">
      <c r="A301" s="142" t="s">
        <v>292</v>
      </c>
      <c r="B301" s="73">
        <f>IFERROR('Alloy_compnt_G&amp;L'!B301/SUM('Alloy_compnt_G&amp;L'!B$247:B$306),0)</f>
        <v>0</v>
      </c>
      <c r="C301" s="73">
        <f>IFERROR('Alloy_compnt_G&amp;L'!C301/SUM('Alloy_compnt_G&amp;L'!C$247:C$306),0)</f>
        <v>0</v>
      </c>
      <c r="D301" s="73">
        <f>IFERROR('Alloy_compnt_G&amp;L'!D301/SUM('Alloy_compnt_G&amp;L'!D$247:D$306),0)</f>
        <v>0</v>
      </c>
      <c r="E301" s="73">
        <f>IFERROR('Alloy_compnt_G&amp;L'!E301/SUM('Alloy_compnt_G&amp;L'!E$247:E$306),0)</f>
        <v>0</v>
      </c>
      <c r="F301" s="73">
        <f>IFERROR('Alloy_compnt_G&amp;L'!F301/SUM('Alloy_compnt_G&amp;L'!F$247:F$306),0)</f>
        <v>0</v>
      </c>
      <c r="G301" s="73">
        <f>IFERROR('Alloy_compnt_G&amp;L'!G301/SUM('Alloy_compnt_G&amp;L'!G$247:G$306),0)</f>
        <v>0</v>
      </c>
    </row>
    <row r="302" spans="1:7" x14ac:dyDescent="0.2">
      <c r="A302" s="142" t="s">
        <v>293</v>
      </c>
      <c r="B302" s="73">
        <f>IFERROR('Alloy_compnt_G&amp;L'!B302/SUM('Alloy_compnt_G&amp;L'!B$247:B$306),0)</f>
        <v>0</v>
      </c>
      <c r="C302" s="73">
        <f>IFERROR('Alloy_compnt_G&amp;L'!C302/SUM('Alloy_compnt_G&amp;L'!C$247:C$306),0)</f>
        <v>0</v>
      </c>
      <c r="D302" s="73">
        <f>IFERROR('Alloy_compnt_G&amp;L'!D302/SUM('Alloy_compnt_G&amp;L'!D$247:D$306),0)</f>
        <v>0</v>
      </c>
      <c r="E302" s="73">
        <f>IFERROR('Alloy_compnt_G&amp;L'!E302/SUM('Alloy_compnt_G&amp;L'!E$247:E$306),0)</f>
        <v>0</v>
      </c>
      <c r="F302" s="73">
        <f>IFERROR('Alloy_compnt_G&amp;L'!F302/SUM('Alloy_compnt_G&amp;L'!F$247:F$306),0)</f>
        <v>0</v>
      </c>
      <c r="G302" s="73">
        <f>IFERROR('Alloy_compnt_G&amp;L'!G302/SUM('Alloy_compnt_G&amp;L'!G$247:G$306),0)</f>
        <v>0</v>
      </c>
    </row>
    <row r="303" spans="1:7" x14ac:dyDescent="0.2">
      <c r="A303" s="142" t="s">
        <v>294</v>
      </c>
      <c r="B303" s="73">
        <f>IFERROR('Alloy_compnt_G&amp;L'!B303/SUM('Alloy_compnt_G&amp;L'!B$247:B$306),0)</f>
        <v>0</v>
      </c>
      <c r="C303" s="73">
        <f>IFERROR('Alloy_compnt_G&amp;L'!C303/SUM('Alloy_compnt_G&amp;L'!C$247:C$306),0)</f>
        <v>0</v>
      </c>
      <c r="D303" s="73">
        <f>IFERROR('Alloy_compnt_G&amp;L'!D303/SUM('Alloy_compnt_G&amp;L'!D$247:D$306),0)</f>
        <v>0</v>
      </c>
      <c r="E303" s="73">
        <f>IFERROR('Alloy_compnt_G&amp;L'!E303/SUM('Alloy_compnt_G&amp;L'!E$247:E$306),0)</f>
        <v>0</v>
      </c>
      <c r="F303" s="73">
        <f>IFERROR('Alloy_compnt_G&amp;L'!F303/SUM('Alloy_compnt_G&amp;L'!F$247:F$306),0)</f>
        <v>0</v>
      </c>
      <c r="G303" s="73">
        <f>IFERROR('Alloy_compnt_G&amp;L'!G303/SUM('Alloy_compnt_G&amp;L'!G$247:G$306),0)</f>
        <v>0</v>
      </c>
    </row>
    <row r="304" spans="1:7" x14ac:dyDescent="0.2">
      <c r="A304" s="144" t="s">
        <v>295</v>
      </c>
      <c r="B304" s="73">
        <f>IFERROR('Alloy_compnt_G&amp;L'!B304/SUM('Alloy_compnt_G&amp;L'!B$247:B$306),0)</f>
        <v>0</v>
      </c>
      <c r="C304" s="73">
        <f>IFERROR('Alloy_compnt_G&amp;L'!C304/SUM('Alloy_compnt_G&amp;L'!C$247:C$306),0)</f>
        <v>0</v>
      </c>
      <c r="D304" s="73">
        <f>IFERROR('Alloy_compnt_G&amp;L'!D304/SUM('Alloy_compnt_G&amp;L'!D$247:D$306),0)</f>
        <v>0</v>
      </c>
      <c r="E304" s="73">
        <f>IFERROR('Alloy_compnt_G&amp;L'!E304/SUM('Alloy_compnt_G&amp;L'!E$247:E$306),0)</f>
        <v>0</v>
      </c>
      <c r="F304" s="73">
        <f>IFERROR('Alloy_compnt_G&amp;L'!F304/SUM('Alloy_compnt_G&amp;L'!F$247:F$306),0)</f>
        <v>0</v>
      </c>
      <c r="G304" s="73">
        <f>IFERROR('Alloy_compnt_G&amp;L'!G304/SUM('Alloy_compnt_G&amp;L'!G$247:G$306),0)</f>
        <v>0</v>
      </c>
    </row>
    <row r="305" spans="1:7" x14ac:dyDescent="0.2">
      <c r="A305" s="142" t="s">
        <v>206</v>
      </c>
      <c r="B305" s="73">
        <f>IFERROR('Alloy_compnt_G&amp;L'!B305/SUM('Alloy_compnt_G&amp;L'!B$247:B$306),0)</f>
        <v>0</v>
      </c>
      <c r="C305" s="73">
        <f>IFERROR('Alloy_compnt_G&amp;L'!C305/SUM('Alloy_compnt_G&amp;L'!C$247:C$306),0)</f>
        <v>0</v>
      </c>
      <c r="D305" s="73">
        <f>IFERROR('Alloy_compnt_G&amp;L'!D305/SUM('Alloy_compnt_G&amp;L'!D$247:D$306),0)</f>
        <v>0</v>
      </c>
      <c r="E305" s="73">
        <f>IFERROR('Alloy_compnt_G&amp;L'!E305/SUM('Alloy_compnt_G&amp;L'!E$247:E$306),0)</f>
        <v>0</v>
      </c>
      <c r="F305" s="73">
        <f>IFERROR('Alloy_compnt_G&amp;L'!F305/SUM('Alloy_compnt_G&amp;L'!F$247:F$306),0)</f>
        <v>0</v>
      </c>
      <c r="G305" s="73">
        <f>IFERROR('Alloy_compnt_G&amp;L'!G305/SUM('Alloy_compnt_G&amp;L'!G$247:G$306),0)</f>
        <v>0</v>
      </c>
    </row>
    <row r="306" spans="1:7" ht="17" thickBot="1" x14ac:dyDescent="0.25">
      <c r="A306" s="149" t="s">
        <v>208</v>
      </c>
      <c r="B306" s="73">
        <f>IFERROR('Alloy_compnt_G&amp;L'!B306/SUM('Alloy_compnt_G&amp;L'!B$247:B$306),0)</f>
        <v>0</v>
      </c>
      <c r="C306" s="73">
        <f>IFERROR('Alloy_compnt_G&amp;L'!C306/SUM('Alloy_compnt_G&amp;L'!C$247:C$306),0)</f>
        <v>0</v>
      </c>
      <c r="D306" s="73">
        <f>IFERROR('Alloy_compnt_G&amp;L'!D306/SUM('Alloy_compnt_G&amp;L'!D$247:D$306),0)</f>
        <v>0</v>
      </c>
      <c r="E306" s="73">
        <f>IFERROR('Alloy_compnt_G&amp;L'!E306/SUM('Alloy_compnt_G&amp;L'!E$247:E$306),0)</f>
        <v>0</v>
      </c>
      <c r="F306" s="73">
        <f>IFERROR('Alloy_compnt_G&amp;L'!F306/SUM('Alloy_compnt_G&amp;L'!F$247:F$306),0)</f>
        <v>0</v>
      </c>
      <c r="G306" s="73">
        <f>IFERROR('Alloy_compnt_G&amp;L'!G306/SUM('Alloy_compnt_G&amp;L'!G$247:G$306),0)</f>
        <v>0</v>
      </c>
    </row>
    <row r="307" spans="1:7" ht="17" thickTop="1" x14ac:dyDescent="0.2">
      <c r="A307" s="150" t="s">
        <v>177</v>
      </c>
      <c r="B307" s="54"/>
      <c r="C307" s="54"/>
      <c r="D307" s="54"/>
      <c r="E307" s="54"/>
      <c r="F307" s="54"/>
      <c r="G307" s="54"/>
    </row>
    <row r="308" spans="1:7" x14ac:dyDescent="0.2">
      <c r="A308" s="142" t="s">
        <v>105</v>
      </c>
      <c r="B308" s="73">
        <f>IFERROR('Alloy_compnt_G&amp;L'!B308/SUM('Alloy_compnt_G&amp;L'!B$308:B$367),0)</f>
        <v>0</v>
      </c>
      <c r="C308" s="73">
        <f>IFERROR('Alloy_compnt_G&amp;L'!C308/SUM('Alloy_compnt_G&amp;L'!C$308:C$367),0)</f>
        <v>0</v>
      </c>
      <c r="D308" s="73">
        <f>IFERROR('Alloy_compnt_G&amp;L'!D308/SUM('Alloy_compnt_G&amp;L'!D$308:D$367),0)</f>
        <v>0.10549999999999998</v>
      </c>
      <c r="E308" s="73">
        <f>IFERROR('Alloy_compnt_G&amp;L'!E308/SUM('Alloy_compnt_G&amp;L'!E$308:E$367),0)</f>
        <v>0.1055</v>
      </c>
      <c r="F308" s="73">
        <f>IFERROR('Alloy_compnt_G&amp;L'!F308/SUM('Alloy_compnt_G&amp;L'!F$308:F$367),0)</f>
        <v>0</v>
      </c>
      <c r="G308" s="73">
        <f>IFERROR('Alloy_compnt_G&amp;L'!G308/SUM('Alloy_compnt_G&amp;L'!G$308:G$367),0)</f>
        <v>0</v>
      </c>
    </row>
    <row r="309" spans="1:7" x14ac:dyDescent="0.2">
      <c r="A309" s="142" t="s">
        <v>106</v>
      </c>
      <c r="B309" s="73">
        <f>IFERROR('Alloy_compnt_G&amp;L'!B309/SUM('Alloy_compnt_G&amp;L'!B$308:B$367),0)</f>
        <v>0</v>
      </c>
      <c r="C309" s="73">
        <f>IFERROR('Alloy_compnt_G&amp;L'!C309/SUM('Alloy_compnt_G&amp;L'!C$308:C$367),0)</f>
        <v>0</v>
      </c>
      <c r="D309" s="73">
        <f>IFERROR('Alloy_compnt_G&amp;L'!D309/SUM('Alloy_compnt_G&amp;L'!D$308:D$367),0)</f>
        <v>9.5499999999999988E-2</v>
      </c>
      <c r="E309" s="73">
        <f>IFERROR('Alloy_compnt_G&amp;L'!E309/SUM('Alloy_compnt_G&amp;L'!E$308:E$367),0)</f>
        <v>9.5500000000000002E-2</v>
      </c>
      <c r="F309" s="73">
        <f>IFERROR('Alloy_compnt_G&amp;L'!F309/SUM('Alloy_compnt_G&amp;L'!F$308:F$367),0)</f>
        <v>0</v>
      </c>
      <c r="G309" s="73">
        <f>IFERROR('Alloy_compnt_G&amp;L'!G309/SUM('Alloy_compnt_G&amp;L'!G$308:G$367),0)</f>
        <v>0</v>
      </c>
    </row>
    <row r="310" spans="1:7" x14ac:dyDescent="0.2">
      <c r="A310" s="142" t="s">
        <v>107</v>
      </c>
      <c r="B310" s="73">
        <f>IFERROR('Alloy_compnt_G&amp;L'!B310/SUM('Alloy_compnt_G&amp;L'!B$308:B$367),0)</f>
        <v>0</v>
      </c>
      <c r="C310" s="73">
        <f>IFERROR('Alloy_compnt_G&amp;L'!C310/SUM('Alloy_compnt_G&amp;L'!C$308:C$367),0)</f>
        <v>0</v>
      </c>
      <c r="D310" s="73">
        <f>IFERROR('Alloy_compnt_G&amp;L'!D310/SUM('Alloy_compnt_G&amp;L'!D$308:D$367),0)</f>
        <v>0.29899999999999999</v>
      </c>
      <c r="E310" s="73">
        <f>IFERROR('Alloy_compnt_G&amp;L'!E310/SUM('Alloy_compnt_G&amp;L'!E$308:E$367),0)</f>
        <v>0.29900000000000004</v>
      </c>
      <c r="F310" s="73">
        <f>IFERROR('Alloy_compnt_G&amp;L'!F310/SUM('Alloy_compnt_G&amp;L'!F$308:F$367),0)</f>
        <v>0</v>
      </c>
      <c r="G310" s="73">
        <f>IFERROR('Alloy_compnt_G&amp;L'!G310/SUM('Alloy_compnt_G&amp;L'!G$308:G$367),0)</f>
        <v>0</v>
      </c>
    </row>
    <row r="311" spans="1:7" x14ac:dyDescent="0.2">
      <c r="A311" s="142" t="s">
        <v>91</v>
      </c>
      <c r="B311" s="73">
        <f>IFERROR('Alloy_compnt_G&amp;L'!B311/SUM('Alloy_compnt_G&amp;L'!B$308:B$367),0)</f>
        <v>0</v>
      </c>
      <c r="C311" s="73">
        <f>IFERROR('Alloy_compnt_G&amp;L'!C311/SUM('Alloy_compnt_G&amp;L'!C$308:C$367),0)</f>
        <v>0</v>
      </c>
      <c r="D311" s="73">
        <f>IFERROR('Alloy_compnt_G&amp;L'!D311/SUM('Alloy_compnt_G&amp;L'!D$308:D$367),0)</f>
        <v>0</v>
      </c>
      <c r="E311" s="73">
        <f>IFERROR('Alloy_compnt_G&amp;L'!E311/SUM('Alloy_compnt_G&amp;L'!E$308:E$367),0)</f>
        <v>0</v>
      </c>
      <c r="F311" s="73">
        <f>IFERROR('Alloy_compnt_G&amp;L'!F311/SUM('Alloy_compnt_G&amp;L'!F$308:F$367),0)</f>
        <v>0</v>
      </c>
      <c r="G311" s="73">
        <f>IFERROR('Alloy_compnt_G&amp;L'!G311/SUM('Alloy_compnt_G&amp;L'!G$308:G$367),0)</f>
        <v>0</v>
      </c>
    </row>
    <row r="312" spans="1:7" x14ac:dyDescent="0.2">
      <c r="A312" s="142" t="s">
        <v>204</v>
      </c>
      <c r="B312" s="73">
        <f>IFERROR('Alloy_compnt_G&amp;L'!B312/SUM('Alloy_compnt_G&amp;L'!B$308:B$367),0)</f>
        <v>0</v>
      </c>
      <c r="C312" s="73">
        <f>IFERROR('Alloy_compnt_G&amp;L'!C312/SUM('Alloy_compnt_G&amp;L'!C$308:C$367),0)</f>
        <v>0</v>
      </c>
      <c r="D312" s="73">
        <f>IFERROR('Alloy_compnt_G&amp;L'!D312/SUM('Alloy_compnt_G&amp;L'!D$308:D$367),0)</f>
        <v>0</v>
      </c>
      <c r="E312" s="73">
        <f>IFERROR('Alloy_compnt_G&amp;L'!E312/SUM('Alloy_compnt_G&amp;L'!E$308:E$367),0)</f>
        <v>0</v>
      </c>
      <c r="F312" s="73">
        <f>IFERROR('Alloy_compnt_G&amp;L'!F312/SUM('Alloy_compnt_G&amp;L'!F$308:F$367),0)</f>
        <v>0</v>
      </c>
      <c r="G312" s="73">
        <f>IFERROR('Alloy_compnt_G&amp;L'!G312/SUM('Alloy_compnt_G&amp;L'!G$308:G$367),0)</f>
        <v>0</v>
      </c>
    </row>
    <row r="313" spans="1:7" x14ac:dyDescent="0.2">
      <c r="A313" s="144" t="s">
        <v>104</v>
      </c>
      <c r="B313" s="73">
        <f>IFERROR('Alloy_compnt_G&amp;L'!B313/SUM('Alloy_compnt_G&amp;L'!B$308:B$367),0)</f>
        <v>0</v>
      </c>
      <c r="C313" s="73">
        <f>IFERROR('Alloy_compnt_G&amp;L'!C313/SUM('Alloy_compnt_G&amp;L'!C$308:C$367),0)</f>
        <v>0</v>
      </c>
      <c r="D313" s="73">
        <f>IFERROR('Alloy_compnt_G&amp;L'!D313/SUM('Alloy_compnt_G&amp;L'!D$308:D$367),0)</f>
        <v>0</v>
      </c>
      <c r="E313" s="73">
        <f>IFERROR('Alloy_compnt_G&amp;L'!E313/SUM('Alloy_compnt_G&amp;L'!E$308:E$367),0)</f>
        <v>0</v>
      </c>
      <c r="F313" s="73">
        <f>IFERROR('Alloy_compnt_G&amp;L'!F313/SUM('Alloy_compnt_G&amp;L'!F$308:F$367),0)</f>
        <v>0</v>
      </c>
      <c r="G313" s="73">
        <f>IFERROR('Alloy_compnt_G&amp;L'!G313/SUM('Alloy_compnt_G&amp;L'!G$308:G$367),0)</f>
        <v>0</v>
      </c>
    </row>
    <row r="314" spans="1:7" x14ac:dyDescent="0.2">
      <c r="A314" s="145" t="s">
        <v>244</v>
      </c>
      <c r="B314" s="73">
        <f>IFERROR('Alloy_compnt_G&amp;L'!B314/SUM('Alloy_compnt_G&amp;L'!B$308:B$367),0)</f>
        <v>0</v>
      </c>
      <c r="C314" s="73">
        <f>IFERROR('Alloy_compnt_G&amp;L'!C314/SUM('Alloy_compnt_G&amp;L'!C$308:C$367),0)</f>
        <v>0</v>
      </c>
      <c r="D314" s="73">
        <f>IFERROR('Alloy_compnt_G&amp;L'!D314/SUM('Alloy_compnt_G&amp;L'!D$308:D$367),0)</f>
        <v>0</v>
      </c>
      <c r="E314" s="73">
        <f>IFERROR('Alloy_compnt_G&amp;L'!E314/SUM('Alloy_compnt_G&amp;L'!E$308:E$367),0)</f>
        <v>0</v>
      </c>
      <c r="F314" s="73">
        <f>IFERROR('Alloy_compnt_G&amp;L'!F314/SUM('Alloy_compnt_G&amp;L'!F$308:F$367),0)</f>
        <v>0</v>
      </c>
      <c r="G314" s="73">
        <f>IFERROR('Alloy_compnt_G&amp;L'!G314/SUM('Alloy_compnt_G&amp;L'!G$308:G$367),0)</f>
        <v>0</v>
      </c>
    </row>
    <row r="315" spans="1:7" x14ac:dyDescent="0.2">
      <c r="A315" s="145" t="s">
        <v>245</v>
      </c>
      <c r="B315" s="73">
        <f>IFERROR('Alloy_compnt_G&amp;L'!B315/SUM('Alloy_compnt_G&amp;L'!B$308:B$367),0)</f>
        <v>0</v>
      </c>
      <c r="C315" s="73">
        <f>IFERROR('Alloy_compnt_G&amp;L'!C315/SUM('Alloy_compnt_G&amp;L'!C$308:C$367),0)</f>
        <v>0</v>
      </c>
      <c r="D315" s="73">
        <f>IFERROR('Alloy_compnt_G&amp;L'!D315/SUM('Alloy_compnt_G&amp;L'!D$308:D$367),0)</f>
        <v>0</v>
      </c>
      <c r="E315" s="73">
        <f>IFERROR('Alloy_compnt_G&amp;L'!E315/SUM('Alloy_compnt_G&amp;L'!E$308:E$367),0)</f>
        <v>0</v>
      </c>
      <c r="F315" s="73">
        <f>IFERROR('Alloy_compnt_G&amp;L'!F315/SUM('Alloy_compnt_G&amp;L'!F$308:F$367),0)</f>
        <v>0</v>
      </c>
      <c r="G315" s="73">
        <f>IFERROR('Alloy_compnt_G&amp;L'!G315/SUM('Alloy_compnt_G&amp;L'!G$308:G$367),0)</f>
        <v>0</v>
      </c>
    </row>
    <row r="316" spans="1:7" x14ac:dyDescent="0.2">
      <c r="A316" s="145" t="s">
        <v>246</v>
      </c>
      <c r="B316" s="73">
        <f>IFERROR('Alloy_compnt_G&amp;L'!B316/SUM('Alloy_compnt_G&amp;L'!B$308:B$367),0)</f>
        <v>0</v>
      </c>
      <c r="C316" s="73">
        <f>IFERROR('Alloy_compnt_G&amp;L'!C316/SUM('Alloy_compnt_G&amp;L'!C$308:C$367),0)</f>
        <v>0</v>
      </c>
      <c r="D316" s="73">
        <f>IFERROR('Alloy_compnt_G&amp;L'!D316/SUM('Alloy_compnt_G&amp;L'!D$308:D$367),0)</f>
        <v>0</v>
      </c>
      <c r="E316" s="73">
        <f>IFERROR('Alloy_compnt_G&amp;L'!E316/SUM('Alloy_compnt_G&amp;L'!E$308:E$367),0)</f>
        <v>0</v>
      </c>
      <c r="F316" s="73">
        <f>IFERROR('Alloy_compnt_G&amp;L'!F316/SUM('Alloy_compnt_G&amp;L'!F$308:F$367),0)</f>
        <v>0</v>
      </c>
      <c r="G316" s="73">
        <f>IFERROR('Alloy_compnt_G&amp;L'!G316/SUM('Alloy_compnt_G&amp;L'!G$308:G$367),0)</f>
        <v>0</v>
      </c>
    </row>
    <row r="317" spans="1:7" x14ac:dyDescent="0.2">
      <c r="A317" s="145" t="s">
        <v>247</v>
      </c>
      <c r="B317" s="73">
        <f>IFERROR('Alloy_compnt_G&amp;L'!B317/SUM('Alloy_compnt_G&amp;L'!B$308:B$367),0)</f>
        <v>0</v>
      </c>
      <c r="C317" s="73">
        <f>IFERROR('Alloy_compnt_G&amp;L'!C317/SUM('Alloy_compnt_G&amp;L'!C$308:C$367),0)</f>
        <v>0</v>
      </c>
      <c r="D317" s="73">
        <f>IFERROR('Alloy_compnt_G&amp;L'!D317/SUM('Alloy_compnt_G&amp;L'!D$308:D$367),0)</f>
        <v>0</v>
      </c>
      <c r="E317" s="73">
        <f>IFERROR('Alloy_compnt_G&amp;L'!E317/SUM('Alloy_compnt_G&amp;L'!E$308:E$367),0)</f>
        <v>0</v>
      </c>
      <c r="F317" s="73">
        <f>IFERROR('Alloy_compnt_G&amp;L'!F317/SUM('Alloy_compnt_G&amp;L'!F$308:F$367),0)</f>
        <v>0</v>
      </c>
      <c r="G317" s="73">
        <f>IFERROR('Alloy_compnt_G&amp;L'!G317/SUM('Alloy_compnt_G&amp;L'!G$308:G$367),0)</f>
        <v>0</v>
      </c>
    </row>
    <row r="318" spans="1:7" x14ac:dyDescent="0.2">
      <c r="A318" s="145" t="s">
        <v>248</v>
      </c>
      <c r="B318" s="73">
        <f>IFERROR('Alloy_compnt_G&amp;L'!B318/SUM('Alloy_compnt_G&amp;L'!B$308:B$367),0)</f>
        <v>0</v>
      </c>
      <c r="C318" s="73">
        <f>IFERROR('Alloy_compnt_G&amp;L'!C318/SUM('Alloy_compnt_G&amp;L'!C$308:C$367),0)</f>
        <v>0</v>
      </c>
      <c r="D318" s="73">
        <f>IFERROR('Alloy_compnt_G&amp;L'!D318/SUM('Alloy_compnt_G&amp;L'!D$308:D$367),0)</f>
        <v>0</v>
      </c>
      <c r="E318" s="73">
        <f>IFERROR('Alloy_compnt_G&amp;L'!E318/SUM('Alloy_compnt_G&amp;L'!E$308:E$367),0)</f>
        <v>0</v>
      </c>
      <c r="F318" s="73">
        <f>IFERROR('Alloy_compnt_G&amp;L'!F318/SUM('Alloy_compnt_G&amp;L'!F$308:F$367),0)</f>
        <v>0</v>
      </c>
      <c r="G318" s="73">
        <f>IFERROR('Alloy_compnt_G&amp;L'!G318/SUM('Alloy_compnt_G&amp;L'!G$308:G$367),0)</f>
        <v>0</v>
      </c>
    </row>
    <row r="319" spans="1:7" x14ac:dyDescent="0.2">
      <c r="A319" s="145" t="s">
        <v>249</v>
      </c>
      <c r="B319" s="73">
        <f>IFERROR('Alloy_compnt_G&amp;L'!B319/SUM('Alloy_compnt_G&amp;L'!B$308:B$367),0)</f>
        <v>0</v>
      </c>
      <c r="C319" s="73">
        <f>IFERROR('Alloy_compnt_G&amp;L'!C319/SUM('Alloy_compnt_G&amp;L'!C$308:C$367),0)</f>
        <v>0</v>
      </c>
      <c r="D319" s="73">
        <f>IFERROR('Alloy_compnt_G&amp;L'!D319/SUM('Alloy_compnt_G&amp;L'!D$308:D$367),0)</f>
        <v>0</v>
      </c>
      <c r="E319" s="73">
        <f>IFERROR('Alloy_compnt_G&amp;L'!E319/SUM('Alloy_compnt_G&amp;L'!E$308:E$367),0)</f>
        <v>0</v>
      </c>
      <c r="F319" s="73">
        <f>IFERROR('Alloy_compnt_G&amp;L'!F319/SUM('Alloy_compnt_G&amp;L'!F$308:F$367),0)</f>
        <v>0</v>
      </c>
      <c r="G319" s="73">
        <f>IFERROR('Alloy_compnt_G&amp;L'!G319/SUM('Alloy_compnt_G&amp;L'!G$308:G$367),0)</f>
        <v>0</v>
      </c>
    </row>
    <row r="320" spans="1:7" x14ac:dyDescent="0.2">
      <c r="A320" s="145" t="s">
        <v>250</v>
      </c>
      <c r="B320" s="73">
        <f>IFERROR('Alloy_compnt_G&amp;L'!B320/SUM('Alloy_compnt_G&amp;L'!B$308:B$367),0)</f>
        <v>0</v>
      </c>
      <c r="C320" s="73">
        <f>IFERROR('Alloy_compnt_G&amp;L'!C320/SUM('Alloy_compnt_G&amp;L'!C$308:C$367),0)</f>
        <v>0</v>
      </c>
      <c r="D320" s="73">
        <f>IFERROR('Alloy_compnt_G&amp;L'!D320/SUM('Alloy_compnt_G&amp;L'!D$308:D$367),0)</f>
        <v>0</v>
      </c>
      <c r="E320" s="73">
        <f>IFERROR('Alloy_compnt_G&amp;L'!E320/SUM('Alloy_compnt_G&amp;L'!E$308:E$367),0)</f>
        <v>0</v>
      </c>
      <c r="F320" s="73">
        <f>IFERROR('Alloy_compnt_G&amp;L'!F320/SUM('Alloy_compnt_G&amp;L'!F$308:F$367),0)</f>
        <v>0</v>
      </c>
      <c r="G320" s="73">
        <f>IFERROR('Alloy_compnt_G&amp;L'!G320/SUM('Alloy_compnt_G&amp;L'!G$308:G$367),0)</f>
        <v>0</v>
      </c>
    </row>
    <row r="321" spans="1:7" x14ac:dyDescent="0.2">
      <c r="A321" s="145" t="s">
        <v>251</v>
      </c>
      <c r="B321" s="73">
        <f>IFERROR('Alloy_compnt_G&amp;L'!B321/SUM('Alloy_compnt_G&amp;L'!B$308:B$367),0)</f>
        <v>0</v>
      </c>
      <c r="C321" s="73">
        <f>IFERROR('Alloy_compnt_G&amp;L'!C321/SUM('Alloy_compnt_G&amp;L'!C$308:C$367),0)</f>
        <v>0</v>
      </c>
      <c r="D321" s="73">
        <f>IFERROR('Alloy_compnt_G&amp;L'!D321/SUM('Alloy_compnt_G&amp;L'!D$308:D$367),0)</f>
        <v>0</v>
      </c>
      <c r="E321" s="73">
        <f>IFERROR('Alloy_compnt_G&amp;L'!E321/SUM('Alloy_compnt_G&amp;L'!E$308:E$367),0)</f>
        <v>0</v>
      </c>
      <c r="F321" s="73">
        <f>IFERROR('Alloy_compnt_G&amp;L'!F321/SUM('Alloy_compnt_G&amp;L'!F$308:F$367),0)</f>
        <v>0</v>
      </c>
      <c r="G321" s="73">
        <f>IFERROR('Alloy_compnt_G&amp;L'!G321/SUM('Alloy_compnt_G&amp;L'!G$308:G$367),0)</f>
        <v>0</v>
      </c>
    </row>
    <row r="322" spans="1:7" x14ac:dyDescent="0.2">
      <c r="A322" s="145" t="s">
        <v>252</v>
      </c>
      <c r="B322" s="73">
        <f>IFERROR('Alloy_compnt_G&amp;L'!B322/SUM('Alloy_compnt_G&amp;L'!B$308:B$367),0)</f>
        <v>0</v>
      </c>
      <c r="C322" s="73">
        <f>IFERROR('Alloy_compnt_G&amp;L'!C322/SUM('Alloy_compnt_G&amp;L'!C$308:C$367),0)</f>
        <v>0</v>
      </c>
      <c r="D322" s="73">
        <f>IFERROR('Alloy_compnt_G&amp;L'!D322/SUM('Alloy_compnt_G&amp;L'!D$308:D$367),0)</f>
        <v>0</v>
      </c>
      <c r="E322" s="73">
        <f>IFERROR('Alloy_compnt_G&amp;L'!E322/SUM('Alloy_compnt_G&amp;L'!E$308:E$367),0)</f>
        <v>0</v>
      </c>
      <c r="F322" s="73">
        <f>IFERROR('Alloy_compnt_G&amp;L'!F322/SUM('Alloy_compnt_G&amp;L'!F$308:F$367),0)</f>
        <v>0</v>
      </c>
      <c r="G322" s="73">
        <f>IFERROR('Alloy_compnt_G&amp;L'!G322/SUM('Alloy_compnt_G&amp;L'!G$308:G$367),0)</f>
        <v>0</v>
      </c>
    </row>
    <row r="323" spans="1:7" x14ac:dyDescent="0.2">
      <c r="A323" s="145" t="s">
        <v>253</v>
      </c>
      <c r="B323" s="73">
        <f>IFERROR('Alloy_compnt_G&amp;L'!B323/SUM('Alloy_compnt_G&amp;L'!B$308:B$367),0)</f>
        <v>0</v>
      </c>
      <c r="C323" s="73">
        <f>IFERROR('Alloy_compnt_G&amp;L'!C323/SUM('Alloy_compnt_G&amp;L'!C$308:C$367),0)</f>
        <v>0</v>
      </c>
      <c r="D323" s="73">
        <f>IFERROR('Alloy_compnt_G&amp;L'!D323/SUM('Alloy_compnt_G&amp;L'!D$308:D$367),0)</f>
        <v>0</v>
      </c>
      <c r="E323" s="73">
        <f>IFERROR('Alloy_compnt_G&amp;L'!E323/SUM('Alloy_compnt_G&amp;L'!E$308:E$367),0)</f>
        <v>0</v>
      </c>
      <c r="F323" s="73">
        <f>IFERROR('Alloy_compnt_G&amp;L'!F323/SUM('Alloy_compnt_G&amp;L'!F$308:F$367),0)</f>
        <v>0</v>
      </c>
      <c r="G323" s="73">
        <f>IFERROR('Alloy_compnt_G&amp;L'!G323/SUM('Alloy_compnt_G&amp;L'!G$308:G$367),0)</f>
        <v>0</v>
      </c>
    </row>
    <row r="324" spans="1:7" x14ac:dyDescent="0.2">
      <c r="A324" s="145" t="s">
        <v>254</v>
      </c>
      <c r="B324" s="73">
        <f>IFERROR('Alloy_compnt_G&amp;L'!B324/SUM('Alloy_compnt_G&amp;L'!B$308:B$367),0)</f>
        <v>0</v>
      </c>
      <c r="C324" s="73">
        <f>IFERROR('Alloy_compnt_G&amp;L'!C324/SUM('Alloy_compnt_G&amp;L'!C$308:C$367),0)</f>
        <v>0</v>
      </c>
      <c r="D324" s="73">
        <f>IFERROR('Alloy_compnt_G&amp;L'!D324/SUM('Alloy_compnt_G&amp;L'!D$308:D$367),0)</f>
        <v>0</v>
      </c>
      <c r="E324" s="73">
        <f>IFERROR('Alloy_compnt_G&amp;L'!E324/SUM('Alloy_compnt_G&amp;L'!E$308:E$367),0)</f>
        <v>0</v>
      </c>
      <c r="F324" s="73">
        <f>IFERROR('Alloy_compnt_G&amp;L'!F324/SUM('Alloy_compnt_G&amp;L'!F$308:F$367),0)</f>
        <v>0</v>
      </c>
      <c r="G324" s="73">
        <f>IFERROR('Alloy_compnt_G&amp;L'!G324/SUM('Alloy_compnt_G&amp;L'!G$308:G$367),0)</f>
        <v>0</v>
      </c>
    </row>
    <row r="325" spans="1:7" x14ac:dyDescent="0.2">
      <c r="A325" s="146" t="s">
        <v>255</v>
      </c>
      <c r="B325" s="73">
        <f>IFERROR('Alloy_compnt_G&amp;L'!B325/SUM('Alloy_compnt_G&amp;L'!B$308:B$367),0)</f>
        <v>0</v>
      </c>
      <c r="C325" s="73">
        <f>IFERROR('Alloy_compnt_G&amp;L'!C325/SUM('Alloy_compnt_G&amp;L'!C$308:C$367),0)</f>
        <v>0</v>
      </c>
      <c r="D325" s="73">
        <f>IFERROR('Alloy_compnt_G&amp;L'!D325/SUM('Alloy_compnt_G&amp;L'!D$308:D$367),0)</f>
        <v>0</v>
      </c>
      <c r="E325" s="73">
        <f>IFERROR('Alloy_compnt_G&amp;L'!E325/SUM('Alloy_compnt_G&amp;L'!E$308:E$367),0)</f>
        <v>0</v>
      </c>
      <c r="F325" s="73">
        <f>IFERROR('Alloy_compnt_G&amp;L'!F325/SUM('Alloy_compnt_G&amp;L'!F$308:F$367),0)</f>
        <v>0</v>
      </c>
      <c r="G325" s="73">
        <f>IFERROR('Alloy_compnt_G&amp;L'!G325/SUM('Alloy_compnt_G&amp;L'!G$308:G$367),0)</f>
        <v>0</v>
      </c>
    </row>
    <row r="326" spans="1:7" x14ac:dyDescent="0.2">
      <c r="A326" s="145" t="s">
        <v>256</v>
      </c>
      <c r="B326" s="73">
        <f>IFERROR('Alloy_compnt_G&amp;L'!B326/SUM('Alloy_compnt_G&amp;L'!B$308:B$367),0)</f>
        <v>0</v>
      </c>
      <c r="C326" s="73">
        <f>IFERROR('Alloy_compnt_G&amp;L'!C326/SUM('Alloy_compnt_G&amp;L'!C$308:C$367),0)</f>
        <v>0</v>
      </c>
      <c r="D326" s="73">
        <f>IFERROR('Alloy_compnt_G&amp;L'!D326/SUM('Alloy_compnt_G&amp;L'!D$308:D$367),0)</f>
        <v>0</v>
      </c>
      <c r="E326" s="73">
        <f>IFERROR('Alloy_compnt_G&amp;L'!E326/SUM('Alloy_compnt_G&amp;L'!E$308:E$367),0)</f>
        <v>0</v>
      </c>
      <c r="F326" s="73">
        <f>IFERROR('Alloy_compnt_G&amp;L'!F326/SUM('Alloy_compnt_G&amp;L'!F$308:F$367),0)</f>
        <v>0</v>
      </c>
      <c r="G326" s="73">
        <f>IFERROR('Alloy_compnt_G&amp;L'!G326/SUM('Alloy_compnt_G&amp;L'!G$308:G$367),0)</f>
        <v>0</v>
      </c>
    </row>
    <row r="327" spans="1:7" x14ac:dyDescent="0.2">
      <c r="A327" s="145" t="s">
        <v>257</v>
      </c>
      <c r="B327" s="73">
        <f>IFERROR('Alloy_compnt_G&amp;L'!B327/SUM('Alloy_compnt_G&amp;L'!B$308:B$367),0)</f>
        <v>0</v>
      </c>
      <c r="C327" s="73">
        <f>IFERROR('Alloy_compnt_G&amp;L'!C327/SUM('Alloy_compnt_G&amp;L'!C$308:C$367),0)</f>
        <v>0</v>
      </c>
      <c r="D327" s="73">
        <f>IFERROR('Alloy_compnt_G&amp;L'!D327/SUM('Alloy_compnt_G&amp;L'!D$308:D$367),0)</f>
        <v>0</v>
      </c>
      <c r="E327" s="73">
        <f>IFERROR('Alloy_compnt_G&amp;L'!E327/SUM('Alloy_compnt_G&amp;L'!E$308:E$367),0)</f>
        <v>0</v>
      </c>
      <c r="F327" s="73">
        <f>IFERROR('Alloy_compnt_G&amp;L'!F327/SUM('Alloy_compnt_G&amp;L'!F$308:F$367),0)</f>
        <v>0</v>
      </c>
      <c r="G327" s="73">
        <f>IFERROR('Alloy_compnt_G&amp;L'!G327/SUM('Alloy_compnt_G&amp;L'!G$308:G$367),0)</f>
        <v>0</v>
      </c>
    </row>
    <row r="328" spans="1:7" x14ac:dyDescent="0.2">
      <c r="A328" s="145" t="s">
        <v>258</v>
      </c>
      <c r="B328" s="73">
        <f>IFERROR('Alloy_compnt_G&amp;L'!B328/SUM('Alloy_compnt_G&amp;L'!B$308:B$367),0)</f>
        <v>0</v>
      </c>
      <c r="C328" s="73">
        <f>IFERROR('Alloy_compnt_G&amp;L'!C328/SUM('Alloy_compnt_G&amp;L'!C$308:C$367),0)</f>
        <v>0</v>
      </c>
      <c r="D328" s="73">
        <f>IFERROR('Alloy_compnt_G&amp;L'!D328/SUM('Alloy_compnt_G&amp;L'!D$308:D$367),0)</f>
        <v>0</v>
      </c>
      <c r="E328" s="73">
        <f>IFERROR('Alloy_compnt_G&amp;L'!E328/SUM('Alloy_compnt_G&amp;L'!E$308:E$367),0)</f>
        <v>0</v>
      </c>
      <c r="F328" s="73">
        <f>IFERROR('Alloy_compnt_G&amp;L'!F328/SUM('Alloy_compnt_G&amp;L'!F$308:F$367),0)</f>
        <v>0</v>
      </c>
      <c r="G328" s="73">
        <f>IFERROR('Alloy_compnt_G&amp;L'!G328/SUM('Alloy_compnt_G&amp;L'!G$308:G$367),0)</f>
        <v>0</v>
      </c>
    </row>
    <row r="329" spans="1:7" x14ac:dyDescent="0.2">
      <c r="A329" s="142" t="s">
        <v>259</v>
      </c>
      <c r="B329" s="73">
        <f>IFERROR('Alloy_compnt_G&amp;L'!B329/SUM('Alloy_compnt_G&amp;L'!B$308:B$367),0)</f>
        <v>0</v>
      </c>
      <c r="C329" s="73">
        <f>IFERROR('Alloy_compnt_G&amp;L'!C329/SUM('Alloy_compnt_G&amp;L'!C$308:C$367),0)</f>
        <v>0</v>
      </c>
      <c r="D329" s="73">
        <f>IFERROR('Alloy_compnt_G&amp;L'!D329/SUM('Alloy_compnt_G&amp;L'!D$308:D$367),0)</f>
        <v>0</v>
      </c>
      <c r="E329" s="73">
        <f>IFERROR('Alloy_compnt_G&amp;L'!E329/SUM('Alloy_compnt_G&amp;L'!E$308:E$367),0)</f>
        <v>0</v>
      </c>
      <c r="F329" s="73">
        <f>IFERROR('Alloy_compnt_G&amp;L'!F329/SUM('Alloy_compnt_G&amp;L'!F$308:F$367),0)</f>
        <v>0</v>
      </c>
      <c r="G329" s="73">
        <f>IFERROR('Alloy_compnt_G&amp;L'!G329/SUM('Alloy_compnt_G&amp;L'!G$308:G$367),0)</f>
        <v>0</v>
      </c>
    </row>
    <row r="330" spans="1:7" x14ac:dyDescent="0.2">
      <c r="A330" s="147" t="s">
        <v>260</v>
      </c>
      <c r="B330" s="73">
        <f>IFERROR('Alloy_compnt_G&amp;L'!B330/SUM('Alloy_compnt_G&amp;L'!B$308:B$367),0)</f>
        <v>0</v>
      </c>
      <c r="C330" s="73">
        <f>IFERROR('Alloy_compnt_G&amp;L'!C330/SUM('Alloy_compnt_G&amp;L'!C$308:C$367),0)</f>
        <v>0</v>
      </c>
      <c r="D330" s="73">
        <f>IFERROR('Alloy_compnt_G&amp;L'!D330/SUM('Alloy_compnt_G&amp;L'!D$308:D$367),0)</f>
        <v>0</v>
      </c>
      <c r="E330" s="73">
        <f>IFERROR('Alloy_compnt_G&amp;L'!E330/SUM('Alloy_compnt_G&amp;L'!E$308:E$367),0)</f>
        <v>0</v>
      </c>
      <c r="F330" s="73">
        <f>IFERROR('Alloy_compnt_G&amp;L'!F330/SUM('Alloy_compnt_G&amp;L'!F$308:F$367),0)</f>
        <v>0</v>
      </c>
      <c r="G330" s="73">
        <f>IFERROR('Alloy_compnt_G&amp;L'!G330/SUM('Alloy_compnt_G&amp;L'!G$308:G$367),0)</f>
        <v>0</v>
      </c>
    </row>
    <row r="331" spans="1:7" x14ac:dyDescent="0.2">
      <c r="A331" s="142" t="s">
        <v>261</v>
      </c>
      <c r="B331" s="73">
        <f>IFERROR('Alloy_compnt_G&amp;L'!B331/SUM('Alloy_compnt_G&amp;L'!B$308:B$367),0)</f>
        <v>0</v>
      </c>
      <c r="C331" s="73">
        <f>IFERROR('Alloy_compnt_G&amp;L'!C331/SUM('Alloy_compnt_G&amp;L'!C$308:C$367),0)</f>
        <v>0</v>
      </c>
      <c r="D331" s="73">
        <f>IFERROR('Alloy_compnt_G&amp;L'!D331/SUM('Alloy_compnt_G&amp;L'!D$308:D$367),0)</f>
        <v>0</v>
      </c>
      <c r="E331" s="73">
        <f>IFERROR('Alloy_compnt_G&amp;L'!E331/SUM('Alloy_compnt_G&amp;L'!E$308:E$367),0)</f>
        <v>0</v>
      </c>
      <c r="F331" s="73">
        <f>IFERROR('Alloy_compnt_G&amp;L'!F331/SUM('Alloy_compnt_G&amp;L'!F$308:F$367),0)</f>
        <v>0</v>
      </c>
      <c r="G331" s="73">
        <f>IFERROR('Alloy_compnt_G&amp;L'!G331/SUM('Alloy_compnt_G&amp;L'!G$308:G$367),0)</f>
        <v>0</v>
      </c>
    </row>
    <row r="332" spans="1:7" x14ac:dyDescent="0.2">
      <c r="A332" s="142" t="s">
        <v>262</v>
      </c>
      <c r="B332" s="73">
        <f>IFERROR('Alloy_compnt_G&amp;L'!B332/SUM('Alloy_compnt_G&amp;L'!B$308:B$367),0)</f>
        <v>0</v>
      </c>
      <c r="C332" s="73">
        <f>IFERROR('Alloy_compnt_G&amp;L'!C332/SUM('Alloy_compnt_G&amp;L'!C$308:C$367),0)</f>
        <v>0</v>
      </c>
      <c r="D332" s="73">
        <f>IFERROR('Alloy_compnt_G&amp;L'!D332/SUM('Alloy_compnt_G&amp;L'!D$308:D$367),0)</f>
        <v>0</v>
      </c>
      <c r="E332" s="73">
        <f>IFERROR('Alloy_compnt_G&amp;L'!E332/SUM('Alloy_compnt_G&amp;L'!E$308:E$367),0)</f>
        <v>0</v>
      </c>
      <c r="F332" s="73">
        <f>IFERROR('Alloy_compnt_G&amp;L'!F332/SUM('Alloy_compnt_G&amp;L'!F$308:F$367),0)</f>
        <v>0</v>
      </c>
      <c r="G332" s="73">
        <f>IFERROR('Alloy_compnt_G&amp;L'!G332/SUM('Alloy_compnt_G&amp;L'!G$308:G$367),0)</f>
        <v>0</v>
      </c>
    </row>
    <row r="333" spans="1:7" x14ac:dyDescent="0.2">
      <c r="A333" s="142" t="s">
        <v>263</v>
      </c>
      <c r="B333" s="73">
        <f>IFERROR('Alloy_compnt_G&amp;L'!B333/SUM('Alloy_compnt_G&amp;L'!B$308:B$367),0)</f>
        <v>0</v>
      </c>
      <c r="C333" s="73">
        <f>IFERROR('Alloy_compnt_G&amp;L'!C333/SUM('Alloy_compnt_G&amp;L'!C$308:C$367),0)</f>
        <v>0</v>
      </c>
      <c r="D333" s="73">
        <f>IFERROR('Alloy_compnt_G&amp;L'!D333/SUM('Alloy_compnt_G&amp;L'!D$308:D$367),0)</f>
        <v>0</v>
      </c>
      <c r="E333" s="73">
        <f>IFERROR('Alloy_compnt_G&amp;L'!E333/SUM('Alloy_compnt_G&amp;L'!E$308:E$367),0)</f>
        <v>0</v>
      </c>
      <c r="F333" s="73">
        <f>IFERROR('Alloy_compnt_G&amp;L'!F333/SUM('Alloy_compnt_G&amp;L'!F$308:F$367),0)</f>
        <v>0</v>
      </c>
      <c r="G333" s="73">
        <f>IFERROR('Alloy_compnt_G&amp;L'!G333/SUM('Alloy_compnt_G&amp;L'!G$308:G$367),0)</f>
        <v>0</v>
      </c>
    </row>
    <row r="334" spans="1:7" x14ac:dyDescent="0.2">
      <c r="A334" s="142" t="s">
        <v>264</v>
      </c>
      <c r="B334" s="73">
        <f>IFERROR('Alloy_compnt_G&amp;L'!B334/SUM('Alloy_compnt_G&amp;L'!B$308:B$367),0)</f>
        <v>0</v>
      </c>
      <c r="C334" s="73">
        <f>IFERROR('Alloy_compnt_G&amp;L'!C334/SUM('Alloy_compnt_G&amp;L'!C$308:C$367),0)</f>
        <v>0</v>
      </c>
      <c r="D334" s="73">
        <f>IFERROR('Alloy_compnt_G&amp;L'!D334/SUM('Alloy_compnt_G&amp;L'!D$308:D$367),0)</f>
        <v>0</v>
      </c>
      <c r="E334" s="73">
        <f>IFERROR('Alloy_compnt_G&amp;L'!E334/SUM('Alloy_compnt_G&amp;L'!E$308:E$367),0)</f>
        <v>0</v>
      </c>
      <c r="F334" s="73">
        <f>IFERROR('Alloy_compnt_G&amp;L'!F334/SUM('Alloy_compnt_G&amp;L'!F$308:F$367),0)</f>
        <v>0</v>
      </c>
      <c r="G334" s="73">
        <f>IFERROR('Alloy_compnt_G&amp;L'!G334/SUM('Alloy_compnt_G&amp;L'!G$308:G$367),0)</f>
        <v>0</v>
      </c>
    </row>
    <row r="335" spans="1:7" x14ac:dyDescent="0.2">
      <c r="A335" s="142" t="s">
        <v>265</v>
      </c>
      <c r="B335" s="73">
        <f>IFERROR('Alloy_compnt_G&amp;L'!B335/SUM('Alloy_compnt_G&amp;L'!B$308:B$367),0)</f>
        <v>0</v>
      </c>
      <c r="C335" s="73">
        <f>IFERROR('Alloy_compnt_G&amp;L'!C335/SUM('Alloy_compnt_G&amp;L'!C$308:C$367),0)</f>
        <v>0</v>
      </c>
      <c r="D335" s="73">
        <f>IFERROR('Alloy_compnt_G&amp;L'!D335/SUM('Alloy_compnt_G&amp;L'!D$308:D$367),0)</f>
        <v>0</v>
      </c>
      <c r="E335" s="73">
        <f>IFERROR('Alloy_compnt_G&amp;L'!E335/SUM('Alloy_compnt_G&amp;L'!E$308:E$367),0)</f>
        <v>0</v>
      </c>
      <c r="F335" s="73">
        <f>IFERROR('Alloy_compnt_G&amp;L'!F335/SUM('Alloy_compnt_G&amp;L'!F$308:F$367),0)</f>
        <v>0</v>
      </c>
      <c r="G335" s="73">
        <f>IFERROR('Alloy_compnt_G&amp;L'!G335/SUM('Alloy_compnt_G&amp;L'!G$308:G$367),0)</f>
        <v>0</v>
      </c>
    </row>
    <row r="336" spans="1:7" x14ac:dyDescent="0.2">
      <c r="A336" s="142" t="s">
        <v>266</v>
      </c>
      <c r="B336" s="73">
        <f>IFERROR('Alloy_compnt_G&amp;L'!B336/SUM('Alloy_compnt_G&amp;L'!B$308:B$367),0)</f>
        <v>0</v>
      </c>
      <c r="C336" s="73">
        <f>IFERROR('Alloy_compnt_G&amp;L'!C336/SUM('Alloy_compnt_G&amp;L'!C$308:C$367),0)</f>
        <v>0</v>
      </c>
      <c r="D336" s="73">
        <f>IFERROR('Alloy_compnt_G&amp;L'!D336/SUM('Alloy_compnt_G&amp;L'!D$308:D$367),0)</f>
        <v>0</v>
      </c>
      <c r="E336" s="73">
        <f>IFERROR('Alloy_compnt_G&amp;L'!E336/SUM('Alloy_compnt_G&amp;L'!E$308:E$367),0)</f>
        <v>0</v>
      </c>
      <c r="F336" s="73">
        <f>IFERROR('Alloy_compnt_G&amp;L'!F336/SUM('Alloy_compnt_G&amp;L'!F$308:F$367),0)</f>
        <v>0</v>
      </c>
      <c r="G336" s="73">
        <f>IFERROR('Alloy_compnt_G&amp;L'!G336/SUM('Alloy_compnt_G&amp;L'!G$308:G$367),0)</f>
        <v>0</v>
      </c>
    </row>
    <row r="337" spans="1:7" x14ac:dyDescent="0.2">
      <c r="A337" s="142" t="s">
        <v>267</v>
      </c>
      <c r="B337" s="73">
        <f>IFERROR('Alloy_compnt_G&amp;L'!B337/SUM('Alloy_compnt_G&amp;L'!B$308:B$367),0)</f>
        <v>0</v>
      </c>
      <c r="C337" s="73">
        <f>IFERROR('Alloy_compnt_G&amp;L'!C337/SUM('Alloy_compnt_G&amp;L'!C$308:C$367),0)</f>
        <v>0</v>
      </c>
      <c r="D337" s="73">
        <f>IFERROR('Alloy_compnt_G&amp;L'!D337/SUM('Alloy_compnt_G&amp;L'!D$308:D$367),0)</f>
        <v>0</v>
      </c>
      <c r="E337" s="73">
        <f>IFERROR('Alloy_compnt_G&amp;L'!E337/SUM('Alloy_compnt_G&amp;L'!E$308:E$367),0)</f>
        <v>0</v>
      </c>
      <c r="F337" s="73">
        <f>IFERROR('Alloy_compnt_G&amp;L'!F337/SUM('Alloy_compnt_G&amp;L'!F$308:F$367),0)</f>
        <v>0</v>
      </c>
      <c r="G337" s="73">
        <f>IFERROR('Alloy_compnt_G&amp;L'!G337/SUM('Alloy_compnt_G&amp;L'!G$308:G$367),0)</f>
        <v>0</v>
      </c>
    </row>
    <row r="338" spans="1:7" x14ac:dyDescent="0.2">
      <c r="A338" s="142" t="s">
        <v>268</v>
      </c>
      <c r="B338" s="73">
        <f>IFERROR('Alloy_compnt_G&amp;L'!B338/SUM('Alloy_compnt_G&amp;L'!B$308:B$367),0)</f>
        <v>0</v>
      </c>
      <c r="C338" s="73">
        <f>IFERROR('Alloy_compnt_G&amp;L'!C338/SUM('Alloy_compnt_G&amp;L'!C$308:C$367),0)</f>
        <v>0</v>
      </c>
      <c r="D338" s="73">
        <f>IFERROR('Alloy_compnt_G&amp;L'!D338/SUM('Alloy_compnt_G&amp;L'!D$308:D$367),0)</f>
        <v>0</v>
      </c>
      <c r="E338" s="73">
        <f>IFERROR('Alloy_compnt_G&amp;L'!E338/SUM('Alloy_compnt_G&amp;L'!E$308:E$367),0)</f>
        <v>0</v>
      </c>
      <c r="F338" s="73">
        <f>IFERROR('Alloy_compnt_G&amp;L'!F338/SUM('Alloy_compnt_G&amp;L'!F$308:F$367),0)</f>
        <v>0</v>
      </c>
      <c r="G338" s="73">
        <f>IFERROR('Alloy_compnt_G&amp;L'!G338/SUM('Alloy_compnt_G&amp;L'!G$308:G$367),0)</f>
        <v>0</v>
      </c>
    </row>
    <row r="339" spans="1:7" x14ac:dyDescent="0.2">
      <c r="A339" s="142" t="s">
        <v>269</v>
      </c>
      <c r="B339" s="73">
        <f>IFERROR('Alloy_compnt_G&amp;L'!B339/SUM('Alloy_compnt_G&amp;L'!B$308:B$367),0)</f>
        <v>0</v>
      </c>
      <c r="C339" s="73">
        <f>IFERROR('Alloy_compnt_G&amp;L'!C339/SUM('Alloy_compnt_G&amp;L'!C$308:C$367),0)</f>
        <v>0</v>
      </c>
      <c r="D339" s="73">
        <f>IFERROR('Alloy_compnt_G&amp;L'!D339/SUM('Alloy_compnt_G&amp;L'!D$308:D$367),0)</f>
        <v>0</v>
      </c>
      <c r="E339" s="73">
        <f>IFERROR('Alloy_compnt_G&amp;L'!E339/SUM('Alloy_compnt_G&amp;L'!E$308:E$367),0)</f>
        <v>0</v>
      </c>
      <c r="F339" s="73">
        <f>IFERROR('Alloy_compnt_G&amp;L'!F339/SUM('Alloy_compnt_G&amp;L'!F$308:F$367),0)</f>
        <v>0</v>
      </c>
      <c r="G339" s="73">
        <f>IFERROR('Alloy_compnt_G&amp;L'!G339/SUM('Alloy_compnt_G&amp;L'!G$308:G$367),0)</f>
        <v>0</v>
      </c>
    </row>
    <row r="340" spans="1:7" x14ac:dyDescent="0.2">
      <c r="A340" s="142" t="s">
        <v>270</v>
      </c>
      <c r="B340" s="73">
        <f>IFERROR('Alloy_compnt_G&amp;L'!B340/SUM('Alloy_compnt_G&amp;L'!B$308:B$367),0)</f>
        <v>0</v>
      </c>
      <c r="C340" s="73">
        <f>IFERROR('Alloy_compnt_G&amp;L'!C340/SUM('Alloy_compnt_G&amp;L'!C$308:C$367),0)</f>
        <v>0</v>
      </c>
      <c r="D340" s="73">
        <f>IFERROR('Alloy_compnt_G&amp;L'!D340/SUM('Alloy_compnt_G&amp;L'!D$308:D$367),0)</f>
        <v>0</v>
      </c>
      <c r="E340" s="73">
        <f>IFERROR('Alloy_compnt_G&amp;L'!E340/SUM('Alloy_compnt_G&amp;L'!E$308:E$367),0)</f>
        <v>0</v>
      </c>
      <c r="F340" s="73">
        <f>IFERROR('Alloy_compnt_G&amp;L'!F340/SUM('Alloy_compnt_G&amp;L'!F$308:F$367),0)</f>
        <v>0</v>
      </c>
      <c r="G340" s="73">
        <f>IFERROR('Alloy_compnt_G&amp;L'!G340/SUM('Alloy_compnt_G&amp;L'!G$308:G$367),0)</f>
        <v>0</v>
      </c>
    </row>
    <row r="341" spans="1:7" x14ac:dyDescent="0.2">
      <c r="A341" s="142" t="s">
        <v>271</v>
      </c>
      <c r="B341" s="73">
        <f>IFERROR('Alloy_compnt_G&amp;L'!B341/SUM('Alloy_compnt_G&amp;L'!B$308:B$367),0)</f>
        <v>0</v>
      </c>
      <c r="C341" s="73">
        <f>IFERROR('Alloy_compnt_G&amp;L'!C341/SUM('Alloy_compnt_G&amp;L'!C$308:C$367),0)</f>
        <v>0</v>
      </c>
      <c r="D341" s="73">
        <f>IFERROR('Alloy_compnt_G&amp;L'!D341/SUM('Alloy_compnt_G&amp;L'!D$308:D$367),0)</f>
        <v>0</v>
      </c>
      <c r="E341" s="73">
        <f>IFERROR('Alloy_compnt_G&amp;L'!E341/SUM('Alloy_compnt_G&amp;L'!E$308:E$367),0)</f>
        <v>0</v>
      </c>
      <c r="F341" s="73">
        <f>IFERROR('Alloy_compnt_G&amp;L'!F341/SUM('Alloy_compnt_G&amp;L'!F$308:F$367),0)</f>
        <v>0</v>
      </c>
      <c r="G341" s="73">
        <f>IFERROR('Alloy_compnt_G&amp;L'!G341/SUM('Alloy_compnt_G&amp;L'!G$308:G$367),0)</f>
        <v>0</v>
      </c>
    </row>
    <row r="342" spans="1:7" x14ac:dyDescent="0.2">
      <c r="A342" s="142" t="s">
        <v>272</v>
      </c>
      <c r="B342" s="73">
        <f>IFERROR('Alloy_compnt_G&amp;L'!B342/SUM('Alloy_compnt_G&amp;L'!B$308:B$367),0)</f>
        <v>0</v>
      </c>
      <c r="C342" s="73">
        <f>IFERROR('Alloy_compnt_G&amp;L'!C342/SUM('Alloy_compnt_G&amp;L'!C$308:C$367),0)</f>
        <v>0</v>
      </c>
      <c r="D342" s="73">
        <f>IFERROR('Alloy_compnt_G&amp;L'!D342/SUM('Alloy_compnt_G&amp;L'!D$308:D$367),0)</f>
        <v>0</v>
      </c>
      <c r="E342" s="73">
        <f>IFERROR('Alloy_compnt_G&amp;L'!E342/SUM('Alloy_compnt_G&amp;L'!E$308:E$367),0)</f>
        <v>0</v>
      </c>
      <c r="F342" s="73">
        <f>IFERROR('Alloy_compnt_G&amp;L'!F342/SUM('Alloy_compnt_G&amp;L'!F$308:F$367),0)</f>
        <v>0</v>
      </c>
      <c r="G342" s="73">
        <f>IFERROR('Alloy_compnt_G&amp;L'!G342/SUM('Alloy_compnt_G&amp;L'!G$308:G$367),0)</f>
        <v>0</v>
      </c>
    </row>
    <row r="343" spans="1:7" x14ac:dyDescent="0.2">
      <c r="A343" s="142" t="s">
        <v>273</v>
      </c>
      <c r="B343" s="73">
        <f>IFERROR('Alloy_compnt_G&amp;L'!B343/SUM('Alloy_compnt_G&amp;L'!B$308:B$367),0)</f>
        <v>0</v>
      </c>
      <c r="C343" s="73">
        <f>IFERROR('Alloy_compnt_G&amp;L'!C343/SUM('Alloy_compnt_G&amp;L'!C$308:C$367),0)</f>
        <v>0</v>
      </c>
      <c r="D343" s="73">
        <f>IFERROR('Alloy_compnt_G&amp;L'!D343/SUM('Alloy_compnt_G&amp;L'!D$308:D$367),0)</f>
        <v>0</v>
      </c>
      <c r="E343" s="73">
        <f>IFERROR('Alloy_compnt_G&amp;L'!E343/SUM('Alloy_compnt_G&amp;L'!E$308:E$367),0)</f>
        <v>0</v>
      </c>
      <c r="F343" s="73">
        <f>IFERROR('Alloy_compnt_G&amp;L'!F343/SUM('Alloy_compnt_G&amp;L'!F$308:F$367),0)</f>
        <v>0</v>
      </c>
      <c r="G343" s="73">
        <f>IFERROR('Alloy_compnt_G&amp;L'!G343/SUM('Alloy_compnt_G&amp;L'!G$308:G$367),0)</f>
        <v>0</v>
      </c>
    </row>
    <row r="344" spans="1:7" x14ac:dyDescent="0.2">
      <c r="A344" s="142" t="s">
        <v>274</v>
      </c>
      <c r="B344" s="73">
        <f>IFERROR('Alloy_compnt_G&amp;L'!B344/SUM('Alloy_compnt_G&amp;L'!B$308:B$367),0)</f>
        <v>0</v>
      </c>
      <c r="C344" s="73">
        <f>IFERROR('Alloy_compnt_G&amp;L'!C344/SUM('Alloy_compnt_G&amp;L'!C$308:C$367),0)</f>
        <v>0</v>
      </c>
      <c r="D344" s="73">
        <f>IFERROR('Alloy_compnt_G&amp;L'!D344/SUM('Alloy_compnt_G&amp;L'!D$308:D$367),0)</f>
        <v>0</v>
      </c>
      <c r="E344" s="73">
        <f>IFERROR('Alloy_compnt_G&amp;L'!E344/SUM('Alloy_compnt_G&amp;L'!E$308:E$367),0)</f>
        <v>0</v>
      </c>
      <c r="F344" s="73">
        <f>IFERROR('Alloy_compnt_G&amp;L'!F344/SUM('Alloy_compnt_G&amp;L'!F$308:F$367),0)</f>
        <v>0</v>
      </c>
      <c r="G344" s="73">
        <f>IFERROR('Alloy_compnt_G&amp;L'!G344/SUM('Alloy_compnt_G&amp;L'!G$308:G$367),0)</f>
        <v>0</v>
      </c>
    </row>
    <row r="345" spans="1:7" x14ac:dyDescent="0.2">
      <c r="A345" s="142" t="s">
        <v>275</v>
      </c>
      <c r="B345" s="73">
        <f>IFERROR('Alloy_compnt_G&amp;L'!B345/SUM('Alloy_compnt_G&amp;L'!B$308:B$367),0)</f>
        <v>0</v>
      </c>
      <c r="C345" s="73">
        <f>IFERROR('Alloy_compnt_G&amp;L'!C345/SUM('Alloy_compnt_G&amp;L'!C$308:C$367),0)</f>
        <v>0</v>
      </c>
      <c r="D345" s="73">
        <f>IFERROR('Alloy_compnt_G&amp;L'!D345/SUM('Alloy_compnt_G&amp;L'!D$308:D$367),0)</f>
        <v>0</v>
      </c>
      <c r="E345" s="73">
        <f>IFERROR('Alloy_compnt_G&amp;L'!E345/SUM('Alloy_compnt_G&amp;L'!E$308:E$367),0)</f>
        <v>0</v>
      </c>
      <c r="F345" s="73">
        <f>IFERROR('Alloy_compnt_G&amp;L'!F345/SUM('Alloy_compnt_G&amp;L'!F$308:F$367),0)</f>
        <v>0</v>
      </c>
      <c r="G345" s="73">
        <f>IFERROR('Alloy_compnt_G&amp;L'!G345/SUM('Alloy_compnt_G&amp;L'!G$308:G$367),0)</f>
        <v>0</v>
      </c>
    </row>
    <row r="346" spans="1:7" x14ac:dyDescent="0.2">
      <c r="A346" s="142" t="s">
        <v>276</v>
      </c>
      <c r="B346" s="73">
        <f>IFERROR('Alloy_compnt_G&amp;L'!B346/SUM('Alloy_compnt_G&amp;L'!B$308:B$367),0)</f>
        <v>0</v>
      </c>
      <c r="C346" s="73">
        <f>IFERROR('Alloy_compnt_G&amp;L'!C346/SUM('Alloy_compnt_G&amp;L'!C$308:C$367),0)</f>
        <v>0</v>
      </c>
      <c r="D346" s="73">
        <f>IFERROR('Alloy_compnt_G&amp;L'!D346/SUM('Alloy_compnt_G&amp;L'!D$308:D$367),0)</f>
        <v>0</v>
      </c>
      <c r="E346" s="73">
        <f>IFERROR('Alloy_compnt_G&amp;L'!E346/SUM('Alloy_compnt_G&amp;L'!E$308:E$367),0)</f>
        <v>0</v>
      </c>
      <c r="F346" s="73">
        <f>IFERROR('Alloy_compnt_G&amp;L'!F346/SUM('Alloy_compnt_G&amp;L'!F$308:F$367),0)</f>
        <v>0</v>
      </c>
      <c r="G346" s="73">
        <f>IFERROR('Alloy_compnt_G&amp;L'!G346/SUM('Alloy_compnt_G&amp;L'!G$308:G$367),0)</f>
        <v>0</v>
      </c>
    </row>
    <row r="347" spans="1:7" x14ac:dyDescent="0.2">
      <c r="A347" s="144" t="s">
        <v>277</v>
      </c>
      <c r="B347" s="73">
        <f>IFERROR('Alloy_compnt_G&amp;L'!B347/SUM('Alloy_compnt_G&amp;L'!B$308:B$367),0)</f>
        <v>0</v>
      </c>
      <c r="C347" s="73">
        <f>IFERROR('Alloy_compnt_G&amp;L'!C347/SUM('Alloy_compnt_G&amp;L'!C$308:C$367),0)</f>
        <v>0</v>
      </c>
      <c r="D347" s="73">
        <f>IFERROR('Alloy_compnt_G&amp;L'!D347/SUM('Alloy_compnt_G&amp;L'!D$308:D$367),0)</f>
        <v>0</v>
      </c>
      <c r="E347" s="73">
        <f>IFERROR('Alloy_compnt_G&amp;L'!E347/SUM('Alloy_compnt_G&amp;L'!E$308:E$367),0)</f>
        <v>0</v>
      </c>
      <c r="F347" s="73">
        <f>IFERROR('Alloy_compnt_G&amp;L'!F347/SUM('Alloy_compnt_G&amp;L'!F$308:F$367),0)</f>
        <v>0</v>
      </c>
      <c r="G347" s="73">
        <f>IFERROR('Alloy_compnt_G&amp;L'!G347/SUM('Alloy_compnt_G&amp;L'!G$308:G$367),0)</f>
        <v>0</v>
      </c>
    </row>
    <row r="348" spans="1:7" x14ac:dyDescent="0.2">
      <c r="A348" s="148" t="s">
        <v>278</v>
      </c>
      <c r="B348" s="73">
        <f>IFERROR('Alloy_compnt_G&amp;L'!B348/SUM('Alloy_compnt_G&amp;L'!B$308:B$367),0)</f>
        <v>0</v>
      </c>
      <c r="C348" s="73">
        <f>IFERROR('Alloy_compnt_G&amp;L'!C348/SUM('Alloy_compnt_G&amp;L'!C$308:C$367),0)</f>
        <v>0</v>
      </c>
      <c r="D348" s="73">
        <f>IFERROR('Alloy_compnt_G&amp;L'!D348/SUM('Alloy_compnt_G&amp;L'!D$308:D$367),0)</f>
        <v>0</v>
      </c>
      <c r="E348" s="73">
        <f>IFERROR('Alloy_compnt_G&amp;L'!E348/SUM('Alloy_compnt_G&amp;L'!E$308:E$367),0)</f>
        <v>0</v>
      </c>
      <c r="F348" s="73">
        <f>IFERROR('Alloy_compnt_G&amp;L'!F348/SUM('Alloy_compnt_G&amp;L'!F$308:F$367),0)</f>
        <v>0</v>
      </c>
      <c r="G348" s="73">
        <f>IFERROR('Alloy_compnt_G&amp;L'!G348/SUM('Alloy_compnt_G&amp;L'!G$308:G$367),0)</f>
        <v>0</v>
      </c>
    </row>
    <row r="349" spans="1:7" x14ac:dyDescent="0.2">
      <c r="A349" s="148" t="s">
        <v>279</v>
      </c>
      <c r="B349" s="73">
        <f>IFERROR('Alloy_compnt_G&amp;L'!B349/SUM('Alloy_compnt_G&amp;L'!B$308:B$367),0)</f>
        <v>0</v>
      </c>
      <c r="C349" s="73">
        <f>IFERROR('Alloy_compnt_G&amp;L'!C349/SUM('Alloy_compnt_G&amp;L'!C$308:C$367),0)</f>
        <v>0</v>
      </c>
      <c r="D349" s="73">
        <f>IFERROR('Alloy_compnt_G&amp;L'!D349/SUM('Alloy_compnt_G&amp;L'!D$308:D$367),0)</f>
        <v>0</v>
      </c>
      <c r="E349" s="73">
        <f>IFERROR('Alloy_compnt_G&amp;L'!E349/SUM('Alloy_compnt_G&amp;L'!E$308:E$367),0)</f>
        <v>0</v>
      </c>
      <c r="F349" s="73">
        <f>IFERROR('Alloy_compnt_G&amp;L'!F349/SUM('Alloy_compnt_G&amp;L'!F$308:F$367),0)</f>
        <v>0</v>
      </c>
      <c r="G349" s="73">
        <f>IFERROR('Alloy_compnt_G&amp;L'!G349/SUM('Alloy_compnt_G&amp;L'!G$308:G$367),0)</f>
        <v>0</v>
      </c>
    </row>
    <row r="350" spans="1:7" x14ac:dyDescent="0.2">
      <c r="A350" s="148" t="s">
        <v>280</v>
      </c>
      <c r="B350" s="73">
        <f>IFERROR('Alloy_compnt_G&amp;L'!B350/SUM('Alloy_compnt_G&amp;L'!B$308:B$367),0)</f>
        <v>0</v>
      </c>
      <c r="C350" s="73">
        <f>IFERROR('Alloy_compnt_G&amp;L'!C350/SUM('Alloy_compnt_G&amp;L'!C$308:C$367),0)</f>
        <v>0</v>
      </c>
      <c r="D350" s="73">
        <f>IFERROR('Alloy_compnt_G&amp;L'!D350/SUM('Alloy_compnt_G&amp;L'!D$308:D$367),0)</f>
        <v>0</v>
      </c>
      <c r="E350" s="73">
        <f>IFERROR('Alloy_compnt_G&amp;L'!E350/SUM('Alloy_compnt_G&amp;L'!E$308:E$367),0)</f>
        <v>0</v>
      </c>
      <c r="F350" s="73">
        <f>IFERROR('Alloy_compnt_G&amp;L'!F350/SUM('Alloy_compnt_G&amp;L'!F$308:F$367),0)</f>
        <v>0</v>
      </c>
      <c r="G350" s="73">
        <f>IFERROR('Alloy_compnt_G&amp;L'!G350/SUM('Alloy_compnt_G&amp;L'!G$308:G$367),0)</f>
        <v>0</v>
      </c>
    </row>
    <row r="351" spans="1:7" x14ac:dyDescent="0.2">
      <c r="A351" s="148" t="s">
        <v>281</v>
      </c>
      <c r="B351" s="73">
        <f>IFERROR('Alloy_compnt_G&amp;L'!B351/SUM('Alloy_compnt_G&amp;L'!B$308:B$367),0)</f>
        <v>0</v>
      </c>
      <c r="C351" s="73">
        <f>IFERROR('Alloy_compnt_G&amp;L'!C351/SUM('Alloy_compnt_G&amp;L'!C$308:C$367),0)</f>
        <v>0</v>
      </c>
      <c r="D351" s="73">
        <f>IFERROR('Alloy_compnt_G&amp;L'!D351/SUM('Alloy_compnt_G&amp;L'!D$308:D$367),0)</f>
        <v>0</v>
      </c>
      <c r="E351" s="73">
        <f>IFERROR('Alloy_compnt_G&amp;L'!E351/SUM('Alloy_compnt_G&amp;L'!E$308:E$367),0)</f>
        <v>0</v>
      </c>
      <c r="F351" s="73">
        <f>IFERROR('Alloy_compnt_G&amp;L'!F351/SUM('Alloy_compnt_G&amp;L'!F$308:F$367),0)</f>
        <v>0</v>
      </c>
      <c r="G351" s="73">
        <f>IFERROR('Alloy_compnt_G&amp;L'!G351/SUM('Alloy_compnt_G&amp;L'!G$308:G$367),0)</f>
        <v>0</v>
      </c>
    </row>
    <row r="352" spans="1:7" x14ac:dyDescent="0.2">
      <c r="A352" s="148" t="s">
        <v>282</v>
      </c>
      <c r="B352" s="73">
        <f>IFERROR('Alloy_compnt_G&amp;L'!B352/SUM('Alloy_compnt_G&amp;L'!B$308:B$367),0)</f>
        <v>0</v>
      </c>
      <c r="C352" s="73">
        <f>IFERROR('Alloy_compnt_G&amp;L'!C352/SUM('Alloy_compnt_G&amp;L'!C$308:C$367),0)</f>
        <v>0</v>
      </c>
      <c r="D352" s="73">
        <f>IFERROR('Alloy_compnt_G&amp;L'!D352/SUM('Alloy_compnt_G&amp;L'!D$308:D$367),0)</f>
        <v>0</v>
      </c>
      <c r="E352" s="73">
        <f>IFERROR('Alloy_compnt_G&amp;L'!E352/SUM('Alloy_compnt_G&amp;L'!E$308:E$367),0)</f>
        <v>0</v>
      </c>
      <c r="F352" s="73">
        <f>IFERROR('Alloy_compnt_G&amp;L'!F352/SUM('Alloy_compnt_G&amp;L'!F$308:F$367),0)</f>
        <v>0</v>
      </c>
      <c r="G352" s="73">
        <f>IFERROR('Alloy_compnt_G&amp;L'!G352/SUM('Alloy_compnt_G&amp;L'!G$308:G$367),0)</f>
        <v>0</v>
      </c>
    </row>
    <row r="353" spans="1:7" x14ac:dyDescent="0.2">
      <c r="A353" s="148" t="s">
        <v>283</v>
      </c>
      <c r="B353" s="73">
        <f>IFERROR('Alloy_compnt_G&amp;L'!B353/SUM('Alloy_compnt_G&amp;L'!B$308:B$367),0)</f>
        <v>0</v>
      </c>
      <c r="C353" s="73">
        <f>IFERROR('Alloy_compnt_G&amp;L'!C353/SUM('Alloy_compnt_G&amp;L'!C$308:C$367),0)</f>
        <v>0</v>
      </c>
      <c r="D353" s="73">
        <f>IFERROR('Alloy_compnt_G&amp;L'!D353/SUM('Alloy_compnt_G&amp;L'!D$308:D$367),0)</f>
        <v>0</v>
      </c>
      <c r="E353" s="73">
        <f>IFERROR('Alloy_compnt_G&amp;L'!E353/SUM('Alloy_compnt_G&amp;L'!E$308:E$367),0)</f>
        <v>0</v>
      </c>
      <c r="F353" s="73">
        <f>IFERROR('Alloy_compnt_G&amp;L'!F353/SUM('Alloy_compnt_G&amp;L'!F$308:F$367),0)</f>
        <v>0</v>
      </c>
      <c r="G353" s="73">
        <f>IFERROR('Alloy_compnt_G&amp;L'!G353/SUM('Alloy_compnt_G&amp;L'!G$308:G$367),0)</f>
        <v>0</v>
      </c>
    </row>
    <row r="354" spans="1:7" x14ac:dyDescent="0.2">
      <c r="A354" s="148" t="s">
        <v>284</v>
      </c>
      <c r="B354" s="73">
        <f>IFERROR('Alloy_compnt_G&amp;L'!B354/SUM('Alloy_compnt_G&amp;L'!B$308:B$367),0)</f>
        <v>0</v>
      </c>
      <c r="C354" s="73">
        <f>IFERROR('Alloy_compnt_G&amp;L'!C354/SUM('Alloy_compnt_G&amp;L'!C$308:C$367),0)</f>
        <v>0</v>
      </c>
      <c r="D354" s="73">
        <f>IFERROR('Alloy_compnt_G&amp;L'!D354/SUM('Alloy_compnt_G&amp;L'!D$308:D$367),0)</f>
        <v>0</v>
      </c>
      <c r="E354" s="73">
        <f>IFERROR('Alloy_compnt_G&amp;L'!E354/SUM('Alloy_compnt_G&amp;L'!E$308:E$367),0)</f>
        <v>0</v>
      </c>
      <c r="F354" s="73">
        <f>IFERROR('Alloy_compnt_G&amp;L'!F354/SUM('Alloy_compnt_G&amp;L'!F$308:F$367),0)</f>
        <v>0</v>
      </c>
      <c r="G354" s="73">
        <f>IFERROR('Alloy_compnt_G&amp;L'!G354/SUM('Alloy_compnt_G&amp;L'!G$308:G$367),0)</f>
        <v>0</v>
      </c>
    </row>
    <row r="355" spans="1:7" x14ac:dyDescent="0.2">
      <c r="A355" s="148" t="s">
        <v>285</v>
      </c>
      <c r="B355" s="73">
        <f>IFERROR('Alloy_compnt_G&amp;L'!B355/SUM('Alloy_compnt_G&amp;L'!B$308:B$367),0)</f>
        <v>0</v>
      </c>
      <c r="C355" s="73">
        <f>IFERROR('Alloy_compnt_G&amp;L'!C355/SUM('Alloy_compnt_G&amp;L'!C$308:C$367),0)</f>
        <v>0</v>
      </c>
      <c r="D355" s="73">
        <f>IFERROR('Alloy_compnt_G&amp;L'!D355/SUM('Alloy_compnt_G&amp;L'!D$308:D$367),0)</f>
        <v>0</v>
      </c>
      <c r="E355" s="73">
        <f>IFERROR('Alloy_compnt_G&amp;L'!E355/SUM('Alloy_compnt_G&amp;L'!E$308:E$367),0)</f>
        <v>0</v>
      </c>
      <c r="F355" s="73">
        <f>IFERROR('Alloy_compnt_G&amp;L'!F355/SUM('Alloy_compnt_G&amp;L'!F$308:F$367),0)</f>
        <v>0</v>
      </c>
      <c r="G355" s="73">
        <f>IFERROR('Alloy_compnt_G&amp;L'!G355/SUM('Alloy_compnt_G&amp;L'!G$308:G$367),0)</f>
        <v>0</v>
      </c>
    </row>
    <row r="356" spans="1:7" x14ac:dyDescent="0.2">
      <c r="A356" s="147" t="s">
        <v>286</v>
      </c>
      <c r="B356" s="73">
        <f>IFERROR('Alloy_compnt_G&amp;L'!B356/SUM('Alloy_compnt_G&amp;L'!B$308:B$367),0)</f>
        <v>0</v>
      </c>
      <c r="C356" s="73">
        <f>IFERROR('Alloy_compnt_G&amp;L'!C356/SUM('Alloy_compnt_G&amp;L'!C$308:C$367),0)</f>
        <v>0</v>
      </c>
      <c r="D356" s="73">
        <f>IFERROR('Alloy_compnt_G&amp;L'!D356/SUM('Alloy_compnt_G&amp;L'!D$308:D$367),0)</f>
        <v>0</v>
      </c>
      <c r="E356" s="73">
        <f>IFERROR('Alloy_compnt_G&amp;L'!E356/SUM('Alloy_compnt_G&amp;L'!E$308:E$367),0)</f>
        <v>0</v>
      </c>
      <c r="F356" s="73">
        <f>IFERROR('Alloy_compnt_G&amp;L'!F356/SUM('Alloy_compnt_G&amp;L'!F$308:F$367),0)</f>
        <v>0</v>
      </c>
      <c r="G356" s="73">
        <f>IFERROR('Alloy_compnt_G&amp;L'!G356/SUM('Alloy_compnt_G&amp;L'!G$308:G$367),0)</f>
        <v>0</v>
      </c>
    </row>
    <row r="357" spans="1:7" x14ac:dyDescent="0.2">
      <c r="A357" s="142" t="s">
        <v>287</v>
      </c>
      <c r="B357" s="73">
        <f>IFERROR('Alloy_compnt_G&amp;L'!B357/SUM('Alloy_compnt_G&amp;L'!B$308:B$367),0)</f>
        <v>0</v>
      </c>
      <c r="C357" s="73">
        <f>IFERROR('Alloy_compnt_G&amp;L'!C357/SUM('Alloy_compnt_G&amp;L'!C$308:C$367),0)</f>
        <v>0</v>
      </c>
      <c r="D357" s="73">
        <f>IFERROR('Alloy_compnt_G&amp;L'!D357/SUM('Alloy_compnt_G&amp;L'!D$308:D$367),0)</f>
        <v>0</v>
      </c>
      <c r="E357" s="73">
        <f>IFERROR('Alloy_compnt_G&amp;L'!E357/SUM('Alloy_compnt_G&amp;L'!E$308:E$367),0)</f>
        <v>0</v>
      </c>
      <c r="F357" s="73">
        <f>IFERROR('Alloy_compnt_G&amp;L'!F357/SUM('Alloy_compnt_G&amp;L'!F$308:F$367),0)</f>
        <v>0</v>
      </c>
      <c r="G357" s="73">
        <f>IFERROR('Alloy_compnt_G&amp;L'!G357/SUM('Alloy_compnt_G&amp;L'!G$308:G$367),0)</f>
        <v>0</v>
      </c>
    </row>
    <row r="358" spans="1:7" x14ac:dyDescent="0.2">
      <c r="A358" s="142" t="s">
        <v>288</v>
      </c>
      <c r="B358" s="73">
        <f>IFERROR('Alloy_compnt_G&amp;L'!B358/SUM('Alloy_compnt_G&amp;L'!B$308:B$367),0)</f>
        <v>0</v>
      </c>
      <c r="C358" s="73">
        <f>IFERROR('Alloy_compnt_G&amp;L'!C358/SUM('Alloy_compnt_G&amp;L'!C$308:C$367),0)</f>
        <v>0</v>
      </c>
      <c r="D358" s="73">
        <f>IFERROR('Alloy_compnt_G&amp;L'!D358/SUM('Alloy_compnt_G&amp;L'!D$308:D$367),0)</f>
        <v>0</v>
      </c>
      <c r="E358" s="73">
        <f>IFERROR('Alloy_compnt_G&amp;L'!E358/SUM('Alloy_compnt_G&amp;L'!E$308:E$367),0)</f>
        <v>0</v>
      </c>
      <c r="F358" s="73">
        <f>IFERROR('Alloy_compnt_G&amp;L'!F358/SUM('Alloy_compnt_G&amp;L'!F$308:F$367),0)</f>
        <v>0</v>
      </c>
      <c r="G358" s="73">
        <f>IFERROR('Alloy_compnt_G&amp;L'!G358/SUM('Alloy_compnt_G&amp;L'!G$308:G$367),0)</f>
        <v>0</v>
      </c>
    </row>
    <row r="359" spans="1:7" x14ac:dyDescent="0.2">
      <c r="A359" s="142" t="s">
        <v>289</v>
      </c>
      <c r="B359" s="73">
        <f>IFERROR('Alloy_compnt_G&amp;L'!B359/SUM('Alloy_compnt_G&amp;L'!B$308:B$367),0)</f>
        <v>0</v>
      </c>
      <c r="C359" s="73">
        <f>IFERROR('Alloy_compnt_G&amp;L'!C359/SUM('Alloy_compnt_G&amp;L'!C$308:C$367),0)</f>
        <v>0</v>
      </c>
      <c r="D359" s="73">
        <f>IFERROR('Alloy_compnt_G&amp;L'!D359/SUM('Alloy_compnt_G&amp;L'!D$308:D$367),0)</f>
        <v>0.24999999999999994</v>
      </c>
      <c r="E359" s="73">
        <f>IFERROR('Alloy_compnt_G&amp;L'!E359/SUM('Alloy_compnt_G&amp;L'!E$308:E$367),0)</f>
        <v>0.25</v>
      </c>
      <c r="F359" s="73">
        <f>IFERROR('Alloy_compnt_G&amp;L'!F359/SUM('Alloy_compnt_G&amp;L'!F$308:F$367),0)</f>
        <v>0</v>
      </c>
      <c r="G359" s="73">
        <f>IFERROR('Alloy_compnt_G&amp;L'!G359/SUM('Alloy_compnt_G&amp;L'!G$308:G$367),0)</f>
        <v>0</v>
      </c>
    </row>
    <row r="360" spans="1:7" x14ac:dyDescent="0.2">
      <c r="A360" s="142" t="s">
        <v>290</v>
      </c>
      <c r="B360" s="73">
        <f>IFERROR('Alloy_compnt_G&amp;L'!B360/SUM('Alloy_compnt_G&amp;L'!B$308:B$367),0)</f>
        <v>0</v>
      </c>
      <c r="C360" s="73">
        <f>IFERROR('Alloy_compnt_G&amp;L'!C360/SUM('Alloy_compnt_G&amp;L'!C$308:C$367),0)</f>
        <v>0</v>
      </c>
      <c r="D360" s="73">
        <f>IFERROR('Alloy_compnt_G&amp;L'!D360/SUM('Alloy_compnt_G&amp;L'!D$308:D$367),0)</f>
        <v>0.24999999999999994</v>
      </c>
      <c r="E360" s="73">
        <f>IFERROR('Alloy_compnt_G&amp;L'!E360/SUM('Alloy_compnt_G&amp;L'!E$308:E$367),0)</f>
        <v>0.25</v>
      </c>
      <c r="F360" s="73">
        <f>IFERROR('Alloy_compnt_G&amp;L'!F360/SUM('Alloy_compnt_G&amp;L'!F$308:F$367),0)</f>
        <v>0</v>
      </c>
      <c r="G360" s="73">
        <f>IFERROR('Alloy_compnt_G&amp;L'!G360/SUM('Alloy_compnt_G&amp;L'!G$308:G$367),0)</f>
        <v>0</v>
      </c>
    </row>
    <row r="361" spans="1:7" x14ac:dyDescent="0.2">
      <c r="A361" s="142" t="s">
        <v>291</v>
      </c>
      <c r="B361" s="73">
        <f>IFERROR('Alloy_compnt_G&amp;L'!B361/SUM('Alloy_compnt_G&amp;L'!B$308:B$367),0)</f>
        <v>0</v>
      </c>
      <c r="C361" s="73">
        <f>IFERROR('Alloy_compnt_G&amp;L'!C361/SUM('Alloy_compnt_G&amp;L'!C$308:C$367),0)</f>
        <v>0</v>
      </c>
      <c r="D361" s="73">
        <f>IFERROR('Alloy_compnt_G&amp;L'!D361/SUM('Alloy_compnt_G&amp;L'!D$308:D$367),0)</f>
        <v>0</v>
      </c>
      <c r="E361" s="73">
        <f>IFERROR('Alloy_compnt_G&amp;L'!E361/SUM('Alloy_compnt_G&amp;L'!E$308:E$367),0)</f>
        <v>0</v>
      </c>
      <c r="F361" s="73">
        <f>IFERROR('Alloy_compnt_G&amp;L'!F361/SUM('Alloy_compnt_G&amp;L'!F$308:F$367),0)</f>
        <v>0</v>
      </c>
      <c r="G361" s="73">
        <f>IFERROR('Alloy_compnt_G&amp;L'!G361/SUM('Alloy_compnt_G&amp;L'!G$308:G$367),0)</f>
        <v>0</v>
      </c>
    </row>
    <row r="362" spans="1:7" x14ac:dyDescent="0.2">
      <c r="A362" s="142" t="s">
        <v>292</v>
      </c>
      <c r="B362" s="73">
        <f>IFERROR('Alloy_compnt_G&amp;L'!B362/SUM('Alloy_compnt_G&amp;L'!B$308:B$367),0)</f>
        <v>0</v>
      </c>
      <c r="C362" s="73">
        <f>IFERROR('Alloy_compnt_G&amp;L'!C362/SUM('Alloy_compnt_G&amp;L'!C$308:C$367),0)</f>
        <v>0</v>
      </c>
      <c r="D362" s="73">
        <f>IFERROR('Alloy_compnt_G&amp;L'!D362/SUM('Alloy_compnt_G&amp;L'!D$308:D$367),0)</f>
        <v>0</v>
      </c>
      <c r="E362" s="73">
        <f>IFERROR('Alloy_compnt_G&amp;L'!E362/SUM('Alloy_compnt_G&amp;L'!E$308:E$367),0)</f>
        <v>0</v>
      </c>
      <c r="F362" s="73">
        <f>IFERROR('Alloy_compnt_G&amp;L'!F362/SUM('Alloy_compnt_G&amp;L'!F$308:F$367),0)</f>
        <v>0</v>
      </c>
      <c r="G362" s="73">
        <f>IFERROR('Alloy_compnt_G&amp;L'!G362/SUM('Alloy_compnt_G&amp;L'!G$308:G$367),0)</f>
        <v>0</v>
      </c>
    </row>
    <row r="363" spans="1:7" x14ac:dyDescent="0.2">
      <c r="A363" s="142" t="s">
        <v>293</v>
      </c>
      <c r="B363" s="73">
        <f>IFERROR('Alloy_compnt_G&amp;L'!B363/SUM('Alloy_compnt_G&amp;L'!B$308:B$367),0)</f>
        <v>0</v>
      </c>
      <c r="C363" s="73">
        <f>IFERROR('Alloy_compnt_G&amp;L'!C363/SUM('Alloy_compnt_G&amp;L'!C$308:C$367),0)</f>
        <v>0</v>
      </c>
      <c r="D363" s="73">
        <f>IFERROR('Alloy_compnt_G&amp;L'!D363/SUM('Alloy_compnt_G&amp;L'!D$308:D$367),0)</f>
        <v>0</v>
      </c>
      <c r="E363" s="73">
        <f>IFERROR('Alloy_compnt_G&amp;L'!E363/SUM('Alloy_compnt_G&amp;L'!E$308:E$367),0)</f>
        <v>0</v>
      </c>
      <c r="F363" s="73">
        <f>IFERROR('Alloy_compnt_G&amp;L'!F363/SUM('Alloy_compnt_G&amp;L'!F$308:F$367),0)</f>
        <v>0</v>
      </c>
      <c r="G363" s="73">
        <f>IFERROR('Alloy_compnt_G&amp;L'!G363/SUM('Alloy_compnt_G&amp;L'!G$308:G$367),0)</f>
        <v>0</v>
      </c>
    </row>
    <row r="364" spans="1:7" x14ac:dyDescent="0.2">
      <c r="A364" s="142" t="s">
        <v>294</v>
      </c>
      <c r="B364" s="73">
        <f>IFERROR('Alloy_compnt_G&amp;L'!B364/SUM('Alloy_compnt_G&amp;L'!B$308:B$367),0)</f>
        <v>0</v>
      </c>
      <c r="C364" s="73">
        <f>IFERROR('Alloy_compnt_G&amp;L'!C364/SUM('Alloy_compnt_G&amp;L'!C$308:C$367),0)</f>
        <v>0</v>
      </c>
      <c r="D364" s="73">
        <f>IFERROR('Alloy_compnt_G&amp;L'!D364/SUM('Alloy_compnt_G&amp;L'!D$308:D$367),0)</f>
        <v>0</v>
      </c>
      <c r="E364" s="73">
        <f>IFERROR('Alloy_compnt_G&amp;L'!E364/SUM('Alloy_compnt_G&amp;L'!E$308:E$367),0)</f>
        <v>0</v>
      </c>
      <c r="F364" s="73">
        <f>IFERROR('Alloy_compnt_G&amp;L'!F364/SUM('Alloy_compnt_G&amp;L'!F$308:F$367),0)</f>
        <v>0</v>
      </c>
      <c r="G364" s="73">
        <f>IFERROR('Alloy_compnt_G&amp;L'!G364/SUM('Alloy_compnt_G&amp;L'!G$308:G$367),0)</f>
        <v>0</v>
      </c>
    </row>
    <row r="365" spans="1:7" x14ac:dyDescent="0.2">
      <c r="A365" s="144" t="s">
        <v>295</v>
      </c>
      <c r="B365" s="73">
        <f>IFERROR('Alloy_compnt_G&amp;L'!B365/SUM('Alloy_compnt_G&amp;L'!B$308:B$367),0)</f>
        <v>0</v>
      </c>
      <c r="C365" s="73">
        <f>IFERROR('Alloy_compnt_G&amp;L'!C365/SUM('Alloy_compnt_G&amp;L'!C$308:C$367),0)</f>
        <v>0</v>
      </c>
      <c r="D365" s="73">
        <f>IFERROR('Alloy_compnt_G&amp;L'!D365/SUM('Alloy_compnt_G&amp;L'!D$308:D$367),0)</f>
        <v>0</v>
      </c>
      <c r="E365" s="73">
        <f>IFERROR('Alloy_compnt_G&amp;L'!E365/SUM('Alloy_compnt_G&amp;L'!E$308:E$367),0)</f>
        <v>0</v>
      </c>
      <c r="F365" s="73">
        <f>IFERROR('Alloy_compnt_G&amp;L'!F365/SUM('Alloy_compnt_G&amp;L'!F$308:F$367),0)</f>
        <v>0</v>
      </c>
      <c r="G365" s="73">
        <f>IFERROR('Alloy_compnt_G&amp;L'!G365/SUM('Alloy_compnt_G&amp;L'!G$308:G$367),0)</f>
        <v>0</v>
      </c>
    </row>
    <row r="366" spans="1:7" x14ac:dyDescent="0.2">
      <c r="A366" s="142" t="s">
        <v>206</v>
      </c>
      <c r="B366" s="73">
        <f>IFERROR('Alloy_compnt_G&amp;L'!B366/SUM('Alloy_compnt_G&amp;L'!B$308:B$367),0)</f>
        <v>0</v>
      </c>
      <c r="C366" s="73">
        <f>IFERROR('Alloy_compnt_G&amp;L'!C366/SUM('Alloy_compnt_G&amp;L'!C$308:C$367),0)</f>
        <v>0</v>
      </c>
      <c r="D366" s="73">
        <f>IFERROR('Alloy_compnt_G&amp;L'!D366/SUM('Alloy_compnt_G&amp;L'!D$308:D$367),0)</f>
        <v>0</v>
      </c>
      <c r="E366" s="73">
        <f>IFERROR('Alloy_compnt_G&amp;L'!E366/SUM('Alloy_compnt_G&amp;L'!E$308:E$367),0)</f>
        <v>0</v>
      </c>
      <c r="F366" s="73">
        <f>IFERROR('Alloy_compnt_G&amp;L'!F366/SUM('Alloy_compnt_G&amp;L'!F$308:F$367),0)</f>
        <v>0</v>
      </c>
      <c r="G366" s="73">
        <f>IFERROR('Alloy_compnt_G&amp;L'!G366/SUM('Alloy_compnt_G&amp;L'!G$308:G$367),0)</f>
        <v>0</v>
      </c>
    </row>
    <row r="367" spans="1:7" ht="17" thickBot="1" x14ac:dyDescent="0.25">
      <c r="A367" s="149" t="s">
        <v>208</v>
      </c>
      <c r="B367" s="73">
        <f>IFERROR('Alloy_compnt_G&amp;L'!B367/SUM('Alloy_compnt_G&amp;L'!B$308:B$367),0)</f>
        <v>0</v>
      </c>
      <c r="C367" s="73">
        <f>IFERROR('Alloy_compnt_G&amp;L'!C367/SUM('Alloy_compnt_G&amp;L'!C$308:C$367),0)</f>
        <v>0</v>
      </c>
      <c r="D367" s="73">
        <f>IFERROR('Alloy_compnt_G&amp;L'!D367/SUM('Alloy_compnt_G&amp;L'!D$308:D$367),0)</f>
        <v>0</v>
      </c>
      <c r="E367" s="73">
        <f>IFERROR('Alloy_compnt_G&amp;L'!E367/SUM('Alloy_compnt_G&amp;L'!E$308:E$367),0)</f>
        <v>0</v>
      </c>
      <c r="F367" s="73">
        <f>IFERROR('Alloy_compnt_G&amp;L'!F367/SUM('Alloy_compnt_G&amp;L'!F$308:F$367),0)</f>
        <v>0</v>
      </c>
      <c r="G367" s="73">
        <f>IFERROR('Alloy_compnt_G&amp;L'!G367/SUM('Alloy_compnt_G&amp;L'!G$308:G$367),0)</f>
        <v>0</v>
      </c>
    </row>
    <row r="368" spans="1:7" ht="17" thickTop="1" x14ac:dyDescent="0.2">
      <c r="A368" s="139" t="s">
        <v>178</v>
      </c>
      <c r="B368" s="54"/>
      <c r="C368" s="54"/>
      <c r="D368" s="54"/>
      <c r="E368" s="54"/>
      <c r="F368" s="54"/>
      <c r="G368" s="54"/>
    </row>
    <row r="369" spans="1:7" x14ac:dyDescent="0.2">
      <c r="A369" s="142" t="s">
        <v>105</v>
      </c>
      <c r="B369" s="73">
        <f>IFERROR('Alloy_compnt_G&amp;L'!B369/SUM('Alloy_compnt_G&amp;L'!B$369:B$428),0)</f>
        <v>0</v>
      </c>
      <c r="C369" s="73">
        <f>IFERROR('Alloy_compnt_G&amp;L'!C369/SUM('Alloy_compnt_G&amp;L'!C$369:C$428),0)</f>
        <v>0</v>
      </c>
      <c r="D369" s="73">
        <f>IFERROR('Alloy_compnt_G&amp;L'!D369/SUM('Alloy_compnt_G&amp;L'!D$369:D$428),0)</f>
        <v>2.0327552986512523E-2</v>
      </c>
      <c r="E369" s="73">
        <f>IFERROR('Alloy_compnt_G&amp;L'!E369/SUM('Alloy_compnt_G&amp;L'!E$369:E$428),0)</f>
        <v>2.0327552986512523E-2</v>
      </c>
      <c r="F369" s="73">
        <f>IFERROR('Alloy_compnt_G&amp;L'!F369/SUM('Alloy_compnt_G&amp;L'!F$369:F$428),0)</f>
        <v>2.0327552986512527E-2</v>
      </c>
      <c r="G369" s="73">
        <f>IFERROR('Alloy_compnt_G&amp;L'!G369/SUM('Alloy_compnt_G&amp;L'!G$369:G$428),0)</f>
        <v>2.0327552986512523E-2</v>
      </c>
    </row>
    <row r="370" spans="1:7" x14ac:dyDescent="0.2">
      <c r="A370" s="142" t="s">
        <v>106</v>
      </c>
      <c r="B370" s="73">
        <f>IFERROR('Alloy_compnt_G&amp;L'!B370/SUM('Alloy_compnt_G&amp;L'!B$369:B$428),0)</f>
        <v>0</v>
      </c>
      <c r="C370" s="73">
        <f>IFERROR('Alloy_compnt_G&amp;L'!C370/SUM('Alloy_compnt_G&amp;L'!C$369:C$428),0)</f>
        <v>0</v>
      </c>
      <c r="D370" s="73">
        <f>IFERROR('Alloy_compnt_G&amp;L'!D370/SUM('Alloy_compnt_G&amp;L'!D$369:D$428),0)</f>
        <v>1.8400770712909444E-2</v>
      </c>
      <c r="E370" s="73">
        <f>IFERROR('Alloy_compnt_G&amp;L'!E370/SUM('Alloy_compnt_G&amp;L'!E$369:E$428),0)</f>
        <v>1.8400770712909444E-2</v>
      </c>
      <c r="F370" s="73">
        <f>IFERROR('Alloy_compnt_G&amp;L'!F370/SUM('Alloy_compnt_G&amp;L'!F$369:F$428),0)</f>
        <v>1.8400770712909447E-2</v>
      </c>
      <c r="G370" s="73">
        <f>IFERROR('Alloy_compnt_G&amp;L'!G370/SUM('Alloy_compnt_G&amp;L'!G$369:G$428),0)</f>
        <v>1.8400770712909444E-2</v>
      </c>
    </row>
    <row r="371" spans="1:7" x14ac:dyDescent="0.2">
      <c r="A371" s="142" t="s">
        <v>107</v>
      </c>
      <c r="B371" s="73">
        <f>IFERROR('Alloy_compnt_G&amp;L'!B371/SUM('Alloy_compnt_G&amp;L'!B$369:B$428),0)</f>
        <v>0</v>
      </c>
      <c r="C371" s="73">
        <f>IFERROR('Alloy_compnt_G&amp;L'!C371/SUM('Alloy_compnt_G&amp;L'!C$369:C$428),0)</f>
        <v>0</v>
      </c>
      <c r="D371" s="73">
        <f>IFERROR('Alloy_compnt_G&amp;L'!D371/SUM('Alloy_compnt_G&amp;L'!D$369:D$428),0)</f>
        <v>5.7610789980732192E-2</v>
      </c>
      <c r="E371" s="73">
        <f>IFERROR('Alloy_compnt_G&amp;L'!E371/SUM('Alloy_compnt_G&amp;L'!E$369:E$428),0)</f>
        <v>5.7610789980732185E-2</v>
      </c>
      <c r="F371" s="73">
        <f>IFERROR('Alloy_compnt_G&amp;L'!F371/SUM('Alloy_compnt_G&amp;L'!F$369:F$428),0)</f>
        <v>5.7610789980732199E-2</v>
      </c>
      <c r="G371" s="73">
        <f>IFERROR('Alloy_compnt_G&amp;L'!G371/SUM('Alloy_compnt_G&amp;L'!G$369:G$428),0)</f>
        <v>5.7610789980732192E-2</v>
      </c>
    </row>
    <row r="372" spans="1:7" x14ac:dyDescent="0.2">
      <c r="A372" s="142" t="s">
        <v>91</v>
      </c>
      <c r="B372" s="73">
        <f>IFERROR('Alloy_compnt_G&amp;L'!B372/SUM('Alloy_compnt_G&amp;L'!B$369:B$428),0)</f>
        <v>0</v>
      </c>
      <c r="C372" s="73">
        <f>IFERROR('Alloy_compnt_G&amp;L'!C372/SUM('Alloy_compnt_G&amp;L'!C$369:C$428),0)</f>
        <v>0</v>
      </c>
      <c r="D372" s="73">
        <f>IFERROR('Alloy_compnt_G&amp;L'!D372/SUM('Alloy_compnt_G&amp;L'!D$369:D$428),0)</f>
        <v>0</v>
      </c>
      <c r="E372" s="73">
        <f>IFERROR('Alloy_compnt_G&amp;L'!E372/SUM('Alloy_compnt_G&amp;L'!E$369:E$428),0)</f>
        <v>0</v>
      </c>
      <c r="F372" s="73">
        <f>IFERROR('Alloy_compnt_G&amp;L'!F372/SUM('Alloy_compnt_G&amp;L'!F$369:F$428),0)</f>
        <v>0</v>
      </c>
      <c r="G372" s="73">
        <f>IFERROR('Alloy_compnt_G&amp;L'!G372/SUM('Alloy_compnt_G&amp;L'!G$369:G$428),0)</f>
        <v>0</v>
      </c>
    </row>
    <row r="373" spans="1:7" x14ac:dyDescent="0.2">
      <c r="A373" s="142" t="s">
        <v>204</v>
      </c>
      <c r="B373" s="73">
        <f>IFERROR('Alloy_compnt_G&amp;L'!B373/SUM('Alloy_compnt_G&amp;L'!B$369:B$428),0)</f>
        <v>0</v>
      </c>
      <c r="C373" s="73">
        <f>IFERROR('Alloy_compnt_G&amp;L'!C373/SUM('Alloy_compnt_G&amp;L'!C$369:C$428),0)</f>
        <v>0</v>
      </c>
      <c r="D373" s="73">
        <f>IFERROR('Alloy_compnt_G&amp;L'!D373/SUM('Alloy_compnt_G&amp;L'!D$369:D$428),0)</f>
        <v>0</v>
      </c>
      <c r="E373" s="73">
        <f>IFERROR('Alloy_compnt_G&amp;L'!E373/SUM('Alloy_compnt_G&amp;L'!E$369:E$428),0)</f>
        <v>0</v>
      </c>
      <c r="F373" s="73">
        <f>IFERROR('Alloy_compnt_G&amp;L'!F373/SUM('Alloy_compnt_G&amp;L'!F$369:F$428),0)</f>
        <v>0</v>
      </c>
      <c r="G373" s="73">
        <f>IFERROR('Alloy_compnt_G&amp;L'!G373/SUM('Alloy_compnt_G&amp;L'!G$369:G$428),0)</f>
        <v>0</v>
      </c>
    </row>
    <row r="374" spans="1:7" x14ac:dyDescent="0.2">
      <c r="A374" s="144" t="s">
        <v>104</v>
      </c>
      <c r="B374" s="73">
        <f>IFERROR('Alloy_compnt_G&amp;L'!B374/SUM('Alloy_compnt_G&amp;L'!B$369:B$428),0)</f>
        <v>0</v>
      </c>
      <c r="C374" s="73">
        <f>IFERROR('Alloy_compnt_G&amp;L'!C374/SUM('Alloy_compnt_G&amp;L'!C$369:C$428),0)</f>
        <v>0</v>
      </c>
      <c r="D374" s="73">
        <f>IFERROR('Alloy_compnt_G&amp;L'!D374/SUM('Alloy_compnt_G&amp;L'!D$369:D$428),0)</f>
        <v>0</v>
      </c>
      <c r="E374" s="73">
        <f>IFERROR('Alloy_compnt_G&amp;L'!E374/SUM('Alloy_compnt_G&amp;L'!E$369:E$428),0)</f>
        <v>0</v>
      </c>
      <c r="F374" s="73">
        <f>IFERROR('Alloy_compnt_G&amp;L'!F374/SUM('Alloy_compnt_G&amp;L'!F$369:F$428),0)</f>
        <v>0</v>
      </c>
      <c r="G374" s="73">
        <f>IFERROR('Alloy_compnt_G&amp;L'!G374/SUM('Alloy_compnt_G&amp;L'!G$369:G$428),0)</f>
        <v>0</v>
      </c>
    </row>
    <row r="375" spans="1:7" x14ac:dyDescent="0.2">
      <c r="A375" s="145" t="s">
        <v>244</v>
      </c>
      <c r="B375" s="73">
        <f>IFERROR('Alloy_compnt_G&amp;L'!B375/SUM('Alloy_compnt_G&amp;L'!B$369:B$428),0)</f>
        <v>0</v>
      </c>
      <c r="C375" s="73">
        <f>IFERROR('Alloy_compnt_G&amp;L'!C375/SUM('Alloy_compnt_G&amp;L'!C$369:C$428),0)</f>
        <v>0</v>
      </c>
      <c r="D375" s="73">
        <f>IFERROR('Alloy_compnt_G&amp;L'!D375/SUM('Alloy_compnt_G&amp;L'!D$369:D$428),0)</f>
        <v>0</v>
      </c>
      <c r="E375" s="73">
        <f>IFERROR('Alloy_compnt_G&amp;L'!E375/SUM('Alloy_compnt_G&amp;L'!E$369:E$428),0)</f>
        <v>0</v>
      </c>
      <c r="F375" s="73">
        <f>IFERROR('Alloy_compnt_G&amp;L'!F375/SUM('Alloy_compnt_G&amp;L'!F$369:F$428),0)</f>
        <v>0</v>
      </c>
      <c r="G375" s="73">
        <f>IFERROR('Alloy_compnt_G&amp;L'!G375/SUM('Alloy_compnt_G&amp;L'!G$369:G$428),0)</f>
        <v>0</v>
      </c>
    </row>
    <row r="376" spans="1:7" x14ac:dyDescent="0.2">
      <c r="A376" s="145" t="s">
        <v>245</v>
      </c>
      <c r="B376" s="73">
        <f>IFERROR('Alloy_compnt_G&amp;L'!B376/SUM('Alloy_compnt_G&amp;L'!B$369:B$428),0)</f>
        <v>0</v>
      </c>
      <c r="C376" s="73">
        <f>IFERROR('Alloy_compnt_G&amp;L'!C376/SUM('Alloy_compnt_G&amp;L'!C$369:C$428),0)</f>
        <v>0</v>
      </c>
      <c r="D376" s="73">
        <f>IFERROR('Alloy_compnt_G&amp;L'!D376/SUM('Alloy_compnt_G&amp;L'!D$369:D$428),0)</f>
        <v>0</v>
      </c>
      <c r="E376" s="73">
        <f>IFERROR('Alloy_compnt_G&amp;L'!E376/SUM('Alloy_compnt_G&amp;L'!E$369:E$428),0)</f>
        <v>0</v>
      </c>
      <c r="F376" s="73">
        <f>IFERROR('Alloy_compnt_G&amp;L'!F376/SUM('Alloy_compnt_G&amp;L'!F$369:F$428),0)</f>
        <v>0</v>
      </c>
      <c r="G376" s="73">
        <f>IFERROR('Alloy_compnt_G&amp;L'!G376/SUM('Alloy_compnt_G&amp;L'!G$369:G$428),0)</f>
        <v>0</v>
      </c>
    </row>
    <row r="377" spans="1:7" x14ac:dyDescent="0.2">
      <c r="A377" s="145" t="s">
        <v>246</v>
      </c>
      <c r="B377" s="73">
        <f>IFERROR('Alloy_compnt_G&amp;L'!B377/SUM('Alloy_compnt_G&amp;L'!B$369:B$428),0)</f>
        <v>0</v>
      </c>
      <c r="C377" s="73">
        <f>IFERROR('Alloy_compnt_G&amp;L'!C377/SUM('Alloy_compnt_G&amp;L'!C$369:C$428),0)</f>
        <v>0</v>
      </c>
      <c r="D377" s="73">
        <f>IFERROR('Alloy_compnt_G&amp;L'!D377/SUM('Alloy_compnt_G&amp;L'!D$369:D$428),0)</f>
        <v>0</v>
      </c>
      <c r="E377" s="73">
        <f>IFERROR('Alloy_compnt_G&amp;L'!E377/SUM('Alloy_compnt_G&amp;L'!E$369:E$428),0)</f>
        <v>0</v>
      </c>
      <c r="F377" s="73">
        <f>IFERROR('Alloy_compnt_G&amp;L'!F377/SUM('Alloy_compnt_G&amp;L'!F$369:F$428),0)</f>
        <v>0</v>
      </c>
      <c r="G377" s="73">
        <f>IFERROR('Alloy_compnt_G&amp;L'!G377/SUM('Alloy_compnt_G&amp;L'!G$369:G$428),0)</f>
        <v>0</v>
      </c>
    </row>
    <row r="378" spans="1:7" x14ac:dyDescent="0.2">
      <c r="A378" s="145" t="s">
        <v>247</v>
      </c>
      <c r="B378" s="73">
        <f>IFERROR('Alloy_compnt_G&amp;L'!B378/SUM('Alloy_compnt_G&amp;L'!B$369:B$428),0)</f>
        <v>0</v>
      </c>
      <c r="C378" s="73">
        <f>IFERROR('Alloy_compnt_G&amp;L'!C378/SUM('Alloy_compnt_G&amp;L'!C$369:C$428),0)</f>
        <v>0</v>
      </c>
      <c r="D378" s="73">
        <f>IFERROR('Alloy_compnt_G&amp;L'!D378/SUM('Alloy_compnt_G&amp;L'!D$369:D$428),0)</f>
        <v>0</v>
      </c>
      <c r="E378" s="73">
        <f>IFERROR('Alloy_compnt_G&amp;L'!E378/SUM('Alloy_compnt_G&amp;L'!E$369:E$428),0)</f>
        <v>0</v>
      </c>
      <c r="F378" s="73">
        <f>IFERROR('Alloy_compnt_G&amp;L'!F378/SUM('Alloy_compnt_G&amp;L'!F$369:F$428),0)</f>
        <v>0</v>
      </c>
      <c r="G378" s="73">
        <f>IFERROR('Alloy_compnt_G&amp;L'!G378/SUM('Alloy_compnt_G&amp;L'!G$369:G$428),0)</f>
        <v>0</v>
      </c>
    </row>
    <row r="379" spans="1:7" x14ac:dyDescent="0.2">
      <c r="A379" s="145" t="s">
        <v>248</v>
      </c>
      <c r="B379" s="73">
        <f>IFERROR('Alloy_compnt_G&amp;L'!B379/SUM('Alloy_compnt_G&amp;L'!B$369:B$428),0)</f>
        <v>0</v>
      </c>
      <c r="C379" s="73">
        <f>IFERROR('Alloy_compnt_G&amp;L'!C379/SUM('Alloy_compnt_G&amp;L'!C$369:C$428),0)</f>
        <v>0</v>
      </c>
      <c r="D379" s="73">
        <f>IFERROR('Alloy_compnt_G&amp;L'!D379/SUM('Alloy_compnt_G&amp;L'!D$369:D$428),0)</f>
        <v>0</v>
      </c>
      <c r="E379" s="73">
        <f>IFERROR('Alloy_compnt_G&amp;L'!E379/SUM('Alloy_compnt_G&amp;L'!E$369:E$428),0)</f>
        <v>0</v>
      </c>
      <c r="F379" s="73">
        <f>IFERROR('Alloy_compnt_G&amp;L'!F379/SUM('Alloy_compnt_G&amp;L'!F$369:F$428),0)</f>
        <v>0</v>
      </c>
      <c r="G379" s="73">
        <f>IFERROR('Alloy_compnt_G&amp;L'!G379/SUM('Alloy_compnt_G&amp;L'!G$369:G$428),0)</f>
        <v>0</v>
      </c>
    </row>
    <row r="380" spans="1:7" x14ac:dyDescent="0.2">
      <c r="A380" s="145" t="s">
        <v>249</v>
      </c>
      <c r="B380" s="73">
        <f>IFERROR('Alloy_compnt_G&amp;L'!B380/SUM('Alloy_compnt_G&amp;L'!B$369:B$428),0)</f>
        <v>0</v>
      </c>
      <c r="C380" s="73">
        <f>IFERROR('Alloy_compnt_G&amp;L'!C380/SUM('Alloy_compnt_G&amp;L'!C$369:C$428),0)</f>
        <v>0</v>
      </c>
      <c r="D380" s="73">
        <f>IFERROR('Alloy_compnt_G&amp;L'!D380/SUM('Alloy_compnt_G&amp;L'!D$369:D$428),0)</f>
        <v>0</v>
      </c>
      <c r="E380" s="73">
        <f>IFERROR('Alloy_compnt_G&amp;L'!E380/SUM('Alloy_compnt_G&amp;L'!E$369:E$428),0)</f>
        <v>0</v>
      </c>
      <c r="F380" s="73">
        <f>IFERROR('Alloy_compnt_G&amp;L'!F380/SUM('Alloy_compnt_G&amp;L'!F$369:F$428),0)</f>
        <v>0</v>
      </c>
      <c r="G380" s="73">
        <f>IFERROR('Alloy_compnt_G&amp;L'!G380/SUM('Alloy_compnt_G&amp;L'!G$369:G$428),0)</f>
        <v>0</v>
      </c>
    </row>
    <row r="381" spans="1:7" x14ac:dyDescent="0.2">
      <c r="A381" s="145" t="s">
        <v>250</v>
      </c>
      <c r="B381" s="73">
        <f>IFERROR('Alloy_compnt_G&amp;L'!B381/SUM('Alloy_compnt_G&amp;L'!B$369:B$428),0)</f>
        <v>0</v>
      </c>
      <c r="C381" s="73">
        <f>IFERROR('Alloy_compnt_G&amp;L'!C381/SUM('Alloy_compnt_G&amp;L'!C$369:C$428),0)</f>
        <v>0</v>
      </c>
      <c r="D381" s="73">
        <f>IFERROR('Alloy_compnt_G&amp;L'!D381/SUM('Alloy_compnt_G&amp;L'!D$369:D$428),0)</f>
        <v>0</v>
      </c>
      <c r="E381" s="73">
        <f>IFERROR('Alloy_compnt_G&amp;L'!E381/SUM('Alloy_compnt_G&amp;L'!E$369:E$428),0)</f>
        <v>0</v>
      </c>
      <c r="F381" s="73">
        <f>IFERROR('Alloy_compnt_G&amp;L'!F381/SUM('Alloy_compnt_G&amp;L'!F$369:F$428),0)</f>
        <v>0</v>
      </c>
      <c r="G381" s="73">
        <f>IFERROR('Alloy_compnt_G&amp;L'!G381/SUM('Alloy_compnt_G&amp;L'!G$369:G$428),0)</f>
        <v>0</v>
      </c>
    </row>
    <row r="382" spans="1:7" x14ac:dyDescent="0.2">
      <c r="A382" s="145" t="s">
        <v>251</v>
      </c>
      <c r="B382" s="73">
        <f>IFERROR('Alloy_compnt_G&amp;L'!B382/SUM('Alloy_compnt_G&amp;L'!B$369:B$428),0)</f>
        <v>0</v>
      </c>
      <c r="C382" s="73">
        <f>IFERROR('Alloy_compnt_G&amp;L'!C382/SUM('Alloy_compnt_G&amp;L'!C$369:C$428),0)</f>
        <v>0</v>
      </c>
      <c r="D382" s="73">
        <f>IFERROR('Alloy_compnt_G&amp;L'!D382/SUM('Alloy_compnt_G&amp;L'!D$369:D$428),0)</f>
        <v>0</v>
      </c>
      <c r="E382" s="73">
        <f>IFERROR('Alloy_compnt_G&amp;L'!E382/SUM('Alloy_compnt_G&amp;L'!E$369:E$428),0)</f>
        <v>0</v>
      </c>
      <c r="F382" s="73">
        <f>IFERROR('Alloy_compnt_G&amp;L'!F382/SUM('Alloy_compnt_G&amp;L'!F$369:F$428),0)</f>
        <v>0</v>
      </c>
      <c r="G382" s="73">
        <f>IFERROR('Alloy_compnt_G&amp;L'!G382/SUM('Alloy_compnt_G&amp;L'!G$369:G$428),0)</f>
        <v>0</v>
      </c>
    </row>
    <row r="383" spans="1:7" x14ac:dyDescent="0.2">
      <c r="A383" s="145" t="s">
        <v>252</v>
      </c>
      <c r="B383" s="73">
        <f>IFERROR('Alloy_compnt_G&amp;L'!B383/SUM('Alloy_compnt_G&amp;L'!B$369:B$428),0)</f>
        <v>0</v>
      </c>
      <c r="C383" s="73">
        <f>IFERROR('Alloy_compnt_G&amp;L'!C383/SUM('Alloy_compnt_G&amp;L'!C$369:C$428),0)</f>
        <v>0</v>
      </c>
      <c r="D383" s="73">
        <f>IFERROR('Alloy_compnt_G&amp;L'!D383/SUM('Alloy_compnt_G&amp;L'!D$369:D$428),0)</f>
        <v>0</v>
      </c>
      <c r="E383" s="73">
        <f>IFERROR('Alloy_compnt_G&amp;L'!E383/SUM('Alloy_compnt_G&amp;L'!E$369:E$428),0)</f>
        <v>0</v>
      </c>
      <c r="F383" s="73">
        <f>IFERROR('Alloy_compnt_G&amp;L'!F383/SUM('Alloy_compnt_G&amp;L'!F$369:F$428),0)</f>
        <v>0</v>
      </c>
      <c r="G383" s="73">
        <f>IFERROR('Alloy_compnt_G&amp;L'!G383/SUM('Alloy_compnt_G&amp;L'!G$369:G$428),0)</f>
        <v>0</v>
      </c>
    </row>
    <row r="384" spans="1:7" x14ac:dyDescent="0.2">
      <c r="A384" s="145" t="s">
        <v>253</v>
      </c>
      <c r="B384" s="73">
        <f>IFERROR('Alloy_compnt_G&amp;L'!B384/SUM('Alloy_compnt_G&amp;L'!B$369:B$428),0)</f>
        <v>0</v>
      </c>
      <c r="C384" s="73">
        <f>IFERROR('Alloy_compnt_G&amp;L'!C384/SUM('Alloy_compnt_G&amp;L'!C$369:C$428),0)</f>
        <v>0</v>
      </c>
      <c r="D384" s="73">
        <f>IFERROR('Alloy_compnt_G&amp;L'!D384/SUM('Alloy_compnt_G&amp;L'!D$369:D$428),0)</f>
        <v>0</v>
      </c>
      <c r="E384" s="73">
        <f>IFERROR('Alloy_compnt_G&amp;L'!E384/SUM('Alloy_compnt_G&amp;L'!E$369:E$428),0)</f>
        <v>0</v>
      </c>
      <c r="F384" s="73">
        <f>IFERROR('Alloy_compnt_G&amp;L'!F384/SUM('Alloy_compnt_G&amp;L'!F$369:F$428),0)</f>
        <v>0</v>
      </c>
      <c r="G384" s="73">
        <f>IFERROR('Alloy_compnt_G&amp;L'!G384/SUM('Alloy_compnt_G&amp;L'!G$369:G$428),0)</f>
        <v>0</v>
      </c>
    </row>
    <row r="385" spans="1:7" x14ac:dyDescent="0.2">
      <c r="A385" s="145" t="s">
        <v>254</v>
      </c>
      <c r="B385" s="73">
        <f>IFERROR('Alloy_compnt_G&amp;L'!B385/SUM('Alloy_compnt_G&amp;L'!B$369:B$428),0)</f>
        <v>0</v>
      </c>
      <c r="C385" s="73">
        <f>IFERROR('Alloy_compnt_G&amp;L'!C385/SUM('Alloy_compnt_G&amp;L'!C$369:C$428),0)</f>
        <v>0</v>
      </c>
      <c r="D385" s="73">
        <f>IFERROR('Alloy_compnt_G&amp;L'!D385/SUM('Alloy_compnt_G&amp;L'!D$369:D$428),0)</f>
        <v>0</v>
      </c>
      <c r="E385" s="73">
        <f>IFERROR('Alloy_compnt_G&amp;L'!E385/SUM('Alloy_compnt_G&amp;L'!E$369:E$428),0)</f>
        <v>0</v>
      </c>
      <c r="F385" s="73">
        <f>IFERROR('Alloy_compnt_G&amp;L'!F385/SUM('Alloy_compnt_G&amp;L'!F$369:F$428),0)</f>
        <v>0</v>
      </c>
      <c r="G385" s="73">
        <f>IFERROR('Alloy_compnt_G&amp;L'!G385/SUM('Alloy_compnt_G&amp;L'!G$369:G$428),0)</f>
        <v>0</v>
      </c>
    </row>
    <row r="386" spans="1:7" x14ac:dyDescent="0.2">
      <c r="A386" s="146" t="s">
        <v>255</v>
      </c>
      <c r="B386" s="73">
        <f>IFERROR('Alloy_compnt_G&amp;L'!B386/SUM('Alloy_compnt_G&amp;L'!B$369:B$428),0)</f>
        <v>0</v>
      </c>
      <c r="C386" s="73">
        <f>IFERROR('Alloy_compnt_G&amp;L'!C386/SUM('Alloy_compnt_G&amp;L'!C$369:C$428),0)</f>
        <v>0</v>
      </c>
      <c r="D386" s="73">
        <f>IFERROR('Alloy_compnt_G&amp;L'!D386/SUM('Alloy_compnt_G&amp;L'!D$369:D$428),0)</f>
        <v>0</v>
      </c>
      <c r="E386" s="73">
        <f>IFERROR('Alloy_compnt_G&amp;L'!E386/SUM('Alloy_compnt_G&amp;L'!E$369:E$428),0)</f>
        <v>0</v>
      </c>
      <c r="F386" s="73">
        <f>IFERROR('Alloy_compnt_G&amp;L'!F386/SUM('Alloy_compnt_G&amp;L'!F$369:F$428),0)</f>
        <v>0</v>
      </c>
      <c r="G386" s="73">
        <f>IFERROR('Alloy_compnt_G&amp;L'!G386/SUM('Alloy_compnt_G&amp;L'!G$369:G$428),0)</f>
        <v>0</v>
      </c>
    </row>
    <row r="387" spans="1:7" x14ac:dyDescent="0.2">
      <c r="A387" s="145" t="s">
        <v>256</v>
      </c>
      <c r="B387" s="73">
        <f>IFERROR('Alloy_compnt_G&amp;L'!B387/SUM('Alloy_compnt_G&amp;L'!B$369:B$428),0)</f>
        <v>0</v>
      </c>
      <c r="C387" s="73">
        <f>IFERROR('Alloy_compnt_G&amp;L'!C387/SUM('Alloy_compnt_G&amp;L'!C$369:C$428),0)</f>
        <v>0</v>
      </c>
      <c r="D387" s="73">
        <f>IFERROR('Alloy_compnt_G&amp;L'!D387/SUM('Alloy_compnt_G&amp;L'!D$369:D$428),0)</f>
        <v>0</v>
      </c>
      <c r="E387" s="73">
        <f>IFERROR('Alloy_compnt_G&amp;L'!E387/SUM('Alloy_compnt_G&amp;L'!E$369:E$428),0)</f>
        <v>0</v>
      </c>
      <c r="F387" s="73">
        <f>IFERROR('Alloy_compnt_G&amp;L'!F387/SUM('Alloy_compnt_G&amp;L'!F$369:F$428),0)</f>
        <v>0</v>
      </c>
      <c r="G387" s="73">
        <f>IFERROR('Alloy_compnt_G&amp;L'!G387/SUM('Alloy_compnt_G&amp;L'!G$369:G$428),0)</f>
        <v>0</v>
      </c>
    </row>
    <row r="388" spans="1:7" x14ac:dyDescent="0.2">
      <c r="A388" s="145" t="s">
        <v>257</v>
      </c>
      <c r="B388" s="73">
        <f>IFERROR('Alloy_compnt_G&amp;L'!B388/SUM('Alloy_compnt_G&amp;L'!B$369:B$428),0)</f>
        <v>0</v>
      </c>
      <c r="C388" s="73">
        <f>IFERROR('Alloy_compnt_G&amp;L'!C388/SUM('Alloy_compnt_G&amp;L'!C$369:C$428),0)</f>
        <v>0</v>
      </c>
      <c r="D388" s="73">
        <f>IFERROR('Alloy_compnt_G&amp;L'!D388/SUM('Alloy_compnt_G&amp;L'!D$369:D$428),0)</f>
        <v>0</v>
      </c>
      <c r="E388" s="73">
        <f>IFERROR('Alloy_compnt_G&amp;L'!E388/SUM('Alloy_compnt_G&amp;L'!E$369:E$428),0)</f>
        <v>0</v>
      </c>
      <c r="F388" s="73">
        <f>IFERROR('Alloy_compnt_G&amp;L'!F388/SUM('Alloy_compnt_G&amp;L'!F$369:F$428),0)</f>
        <v>0</v>
      </c>
      <c r="G388" s="73">
        <f>IFERROR('Alloy_compnt_G&amp;L'!G388/SUM('Alloy_compnt_G&amp;L'!G$369:G$428),0)</f>
        <v>0</v>
      </c>
    </row>
    <row r="389" spans="1:7" x14ac:dyDescent="0.2">
      <c r="A389" s="145" t="s">
        <v>258</v>
      </c>
      <c r="B389" s="73">
        <f>IFERROR('Alloy_compnt_G&amp;L'!B389/SUM('Alloy_compnt_G&amp;L'!B$369:B$428),0)</f>
        <v>0</v>
      </c>
      <c r="C389" s="73">
        <f>IFERROR('Alloy_compnt_G&amp;L'!C389/SUM('Alloy_compnt_G&amp;L'!C$369:C$428),0)</f>
        <v>0</v>
      </c>
      <c r="D389" s="73">
        <f>IFERROR('Alloy_compnt_G&amp;L'!D389/SUM('Alloy_compnt_G&amp;L'!D$369:D$428),0)</f>
        <v>0</v>
      </c>
      <c r="E389" s="73">
        <f>IFERROR('Alloy_compnt_G&amp;L'!E389/SUM('Alloy_compnt_G&amp;L'!E$369:E$428),0)</f>
        <v>0</v>
      </c>
      <c r="F389" s="73">
        <f>IFERROR('Alloy_compnt_G&amp;L'!F389/SUM('Alloy_compnt_G&amp;L'!F$369:F$428),0)</f>
        <v>0</v>
      </c>
      <c r="G389" s="73">
        <f>IFERROR('Alloy_compnt_G&amp;L'!G389/SUM('Alloy_compnt_G&amp;L'!G$369:G$428),0)</f>
        <v>0</v>
      </c>
    </row>
    <row r="390" spans="1:7" x14ac:dyDescent="0.2">
      <c r="A390" s="142" t="s">
        <v>259</v>
      </c>
      <c r="B390" s="73">
        <f>IFERROR('Alloy_compnt_G&amp;L'!B390/SUM('Alloy_compnt_G&amp;L'!B$369:B$428),0)</f>
        <v>0</v>
      </c>
      <c r="C390" s="73">
        <f>IFERROR('Alloy_compnt_G&amp;L'!C390/SUM('Alloy_compnt_G&amp;L'!C$369:C$428),0)</f>
        <v>0</v>
      </c>
      <c r="D390" s="73">
        <f>IFERROR('Alloy_compnt_G&amp;L'!D390/SUM('Alloy_compnt_G&amp;L'!D$369:D$428),0)</f>
        <v>0</v>
      </c>
      <c r="E390" s="73">
        <f>IFERROR('Alloy_compnt_G&amp;L'!E390/SUM('Alloy_compnt_G&amp;L'!E$369:E$428),0)</f>
        <v>0</v>
      </c>
      <c r="F390" s="73">
        <f>IFERROR('Alloy_compnt_G&amp;L'!F390/SUM('Alloy_compnt_G&amp;L'!F$369:F$428),0)</f>
        <v>0</v>
      </c>
      <c r="G390" s="73">
        <f>IFERROR('Alloy_compnt_G&amp;L'!G390/SUM('Alloy_compnt_G&amp;L'!G$369:G$428),0)</f>
        <v>0</v>
      </c>
    </row>
    <row r="391" spans="1:7" x14ac:dyDescent="0.2">
      <c r="A391" s="147" t="s">
        <v>260</v>
      </c>
      <c r="B391" s="73">
        <f>IFERROR('Alloy_compnt_G&amp;L'!B391/SUM('Alloy_compnt_G&amp;L'!B$369:B$428),0)</f>
        <v>0</v>
      </c>
      <c r="C391" s="73">
        <f>IFERROR('Alloy_compnt_G&amp;L'!C391/SUM('Alloy_compnt_G&amp;L'!C$369:C$428),0)</f>
        <v>0</v>
      </c>
      <c r="D391" s="73">
        <f>IFERROR('Alloy_compnt_G&amp;L'!D391/SUM('Alloy_compnt_G&amp;L'!D$369:D$428),0)</f>
        <v>0</v>
      </c>
      <c r="E391" s="73">
        <f>IFERROR('Alloy_compnt_G&amp;L'!E391/SUM('Alloy_compnt_G&amp;L'!E$369:E$428),0)</f>
        <v>0</v>
      </c>
      <c r="F391" s="73">
        <f>IFERROR('Alloy_compnt_G&amp;L'!F391/SUM('Alloy_compnt_G&amp;L'!F$369:F$428),0)</f>
        <v>0</v>
      </c>
      <c r="G391" s="73">
        <f>IFERROR('Alloy_compnt_G&amp;L'!G391/SUM('Alloy_compnt_G&amp;L'!G$369:G$428),0)</f>
        <v>0</v>
      </c>
    </row>
    <row r="392" spans="1:7" x14ac:dyDescent="0.2">
      <c r="A392" s="142" t="s">
        <v>261</v>
      </c>
      <c r="B392" s="73">
        <f>IFERROR('Alloy_compnt_G&amp;L'!B392/SUM('Alloy_compnt_G&amp;L'!B$369:B$428),0)</f>
        <v>0</v>
      </c>
      <c r="C392" s="73">
        <f>IFERROR('Alloy_compnt_G&amp;L'!C392/SUM('Alloy_compnt_G&amp;L'!C$369:C$428),0)</f>
        <v>0</v>
      </c>
      <c r="D392" s="73">
        <f>IFERROR('Alloy_compnt_G&amp;L'!D392/SUM('Alloy_compnt_G&amp;L'!D$369:D$428),0)</f>
        <v>0</v>
      </c>
      <c r="E392" s="73">
        <f>IFERROR('Alloy_compnt_G&amp;L'!E392/SUM('Alloy_compnt_G&amp;L'!E$369:E$428),0)</f>
        <v>0</v>
      </c>
      <c r="F392" s="73">
        <f>IFERROR('Alloy_compnt_G&amp;L'!F392/SUM('Alloy_compnt_G&amp;L'!F$369:F$428),0)</f>
        <v>0</v>
      </c>
      <c r="G392" s="73">
        <f>IFERROR('Alloy_compnt_G&amp;L'!G392/SUM('Alloy_compnt_G&amp;L'!G$369:G$428),0)</f>
        <v>0</v>
      </c>
    </row>
    <row r="393" spans="1:7" x14ac:dyDescent="0.2">
      <c r="A393" s="142" t="s">
        <v>262</v>
      </c>
      <c r="B393" s="73">
        <f>IFERROR('Alloy_compnt_G&amp;L'!B393/SUM('Alloy_compnt_G&amp;L'!B$369:B$428),0)</f>
        <v>0</v>
      </c>
      <c r="C393" s="73">
        <f>IFERROR('Alloy_compnt_G&amp;L'!C393/SUM('Alloy_compnt_G&amp;L'!C$369:C$428),0)</f>
        <v>0</v>
      </c>
      <c r="D393" s="73">
        <f>IFERROR('Alloy_compnt_G&amp;L'!D393/SUM('Alloy_compnt_G&amp;L'!D$369:D$428),0)</f>
        <v>0</v>
      </c>
      <c r="E393" s="73">
        <f>IFERROR('Alloy_compnt_G&amp;L'!E393/SUM('Alloy_compnt_G&amp;L'!E$369:E$428),0)</f>
        <v>0</v>
      </c>
      <c r="F393" s="73">
        <f>IFERROR('Alloy_compnt_G&amp;L'!F393/SUM('Alloy_compnt_G&amp;L'!F$369:F$428),0)</f>
        <v>0</v>
      </c>
      <c r="G393" s="73">
        <f>IFERROR('Alloy_compnt_G&amp;L'!G393/SUM('Alloy_compnt_G&amp;L'!G$369:G$428),0)</f>
        <v>0</v>
      </c>
    </row>
    <row r="394" spans="1:7" x14ac:dyDescent="0.2">
      <c r="A394" s="142" t="s">
        <v>263</v>
      </c>
      <c r="B394" s="73">
        <f>IFERROR('Alloy_compnt_G&amp;L'!B394/SUM('Alloy_compnt_G&amp;L'!B$369:B$428),0)</f>
        <v>0</v>
      </c>
      <c r="C394" s="73">
        <f>IFERROR('Alloy_compnt_G&amp;L'!C394/SUM('Alloy_compnt_G&amp;L'!C$369:C$428),0)</f>
        <v>0</v>
      </c>
      <c r="D394" s="73">
        <f>IFERROR('Alloy_compnt_G&amp;L'!D394/SUM('Alloy_compnt_G&amp;L'!D$369:D$428),0)</f>
        <v>0</v>
      </c>
      <c r="E394" s="73">
        <f>IFERROR('Alloy_compnt_G&amp;L'!E394/SUM('Alloy_compnt_G&amp;L'!E$369:E$428),0)</f>
        <v>0</v>
      </c>
      <c r="F394" s="73">
        <f>IFERROR('Alloy_compnt_G&amp;L'!F394/SUM('Alloy_compnt_G&amp;L'!F$369:F$428),0)</f>
        <v>0</v>
      </c>
      <c r="G394" s="73">
        <f>IFERROR('Alloy_compnt_G&amp;L'!G394/SUM('Alloy_compnt_G&amp;L'!G$369:G$428),0)</f>
        <v>0</v>
      </c>
    </row>
    <row r="395" spans="1:7" x14ac:dyDescent="0.2">
      <c r="A395" s="142" t="s">
        <v>264</v>
      </c>
      <c r="B395" s="73">
        <f>IFERROR('Alloy_compnt_G&amp;L'!B395/SUM('Alloy_compnt_G&amp;L'!B$369:B$428),0)</f>
        <v>0</v>
      </c>
      <c r="C395" s="73">
        <f>IFERROR('Alloy_compnt_G&amp;L'!C395/SUM('Alloy_compnt_G&amp;L'!C$369:C$428),0)</f>
        <v>0</v>
      </c>
      <c r="D395" s="73">
        <f>IFERROR('Alloy_compnt_G&amp;L'!D395/SUM('Alloy_compnt_G&amp;L'!D$369:D$428),0)</f>
        <v>0</v>
      </c>
      <c r="E395" s="73">
        <f>IFERROR('Alloy_compnt_G&amp;L'!E395/SUM('Alloy_compnt_G&amp;L'!E$369:E$428),0)</f>
        <v>0</v>
      </c>
      <c r="F395" s="73">
        <f>IFERROR('Alloy_compnt_G&amp;L'!F395/SUM('Alloy_compnt_G&amp;L'!F$369:F$428),0)</f>
        <v>0</v>
      </c>
      <c r="G395" s="73">
        <f>IFERROR('Alloy_compnt_G&amp;L'!G395/SUM('Alloy_compnt_G&amp;L'!G$369:G$428),0)</f>
        <v>0</v>
      </c>
    </row>
    <row r="396" spans="1:7" x14ac:dyDescent="0.2">
      <c r="A396" s="142" t="s">
        <v>265</v>
      </c>
      <c r="B396" s="73">
        <f>IFERROR('Alloy_compnt_G&amp;L'!B396/SUM('Alloy_compnt_G&amp;L'!B$369:B$428),0)</f>
        <v>0</v>
      </c>
      <c r="C396" s="73">
        <f>IFERROR('Alloy_compnt_G&amp;L'!C396/SUM('Alloy_compnt_G&amp;L'!C$369:C$428),0)</f>
        <v>0</v>
      </c>
      <c r="D396" s="73">
        <f>IFERROR('Alloy_compnt_G&amp;L'!D396/SUM('Alloy_compnt_G&amp;L'!D$369:D$428),0)</f>
        <v>0</v>
      </c>
      <c r="E396" s="73">
        <f>IFERROR('Alloy_compnt_G&amp;L'!E396/SUM('Alloy_compnt_G&amp;L'!E$369:E$428),0)</f>
        <v>0</v>
      </c>
      <c r="F396" s="73">
        <f>IFERROR('Alloy_compnt_G&amp;L'!F396/SUM('Alloy_compnt_G&amp;L'!F$369:F$428),0)</f>
        <v>0</v>
      </c>
      <c r="G396" s="73">
        <f>IFERROR('Alloy_compnt_G&amp;L'!G396/SUM('Alloy_compnt_G&amp;L'!G$369:G$428),0)</f>
        <v>0</v>
      </c>
    </row>
    <row r="397" spans="1:7" x14ac:dyDescent="0.2">
      <c r="A397" s="142" t="s">
        <v>266</v>
      </c>
      <c r="B397" s="73">
        <f>IFERROR('Alloy_compnt_G&amp;L'!B397/SUM('Alloy_compnt_G&amp;L'!B$369:B$428),0)</f>
        <v>0</v>
      </c>
      <c r="C397" s="73">
        <f>IFERROR('Alloy_compnt_G&amp;L'!C397/SUM('Alloy_compnt_G&amp;L'!C$369:C$428),0)</f>
        <v>0</v>
      </c>
      <c r="D397" s="73">
        <f>IFERROR('Alloy_compnt_G&amp;L'!D397/SUM('Alloy_compnt_G&amp;L'!D$369:D$428),0)</f>
        <v>0</v>
      </c>
      <c r="E397" s="73">
        <f>IFERROR('Alloy_compnt_G&amp;L'!E397/SUM('Alloy_compnt_G&amp;L'!E$369:E$428),0)</f>
        <v>0</v>
      </c>
      <c r="F397" s="73">
        <f>IFERROR('Alloy_compnt_G&amp;L'!F397/SUM('Alloy_compnt_G&amp;L'!F$369:F$428),0)</f>
        <v>0</v>
      </c>
      <c r="G397" s="73">
        <f>IFERROR('Alloy_compnt_G&amp;L'!G397/SUM('Alloy_compnt_G&amp;L'!G$369:G$428),0)</f>
        <v>0</v>
      </c>
    </row>
    <row r="398" spans="1:7" x14ac:dyDescent="0.2">
      <c r="A398" s="142" t="s">
        <v>267</v>
      </c>
      <c r="B398" s="73">
        <f>IFERROR('Alloy_compnt_G&amp;L'!B398/SUM('Alloy_compnt_G&amp;L'!B$369:B$428),0)</f>
        <v>0</v>
      </c>
      <c r="C398" s="73">
        <f>IFERROR('Alloy_compnt_G&amp;L'!C398/SUM('Alloy_compnt_G&amp;L'!C$369:C$428),0)</f>
        <v>0</v>
      </c>
      <c r="D398" s="73">
        <f>IFERROR('Alloy_compnt_G&amp;L'!D398/SUM('Alloy_compnt_G&amp;L'!D$369:D$428),0)</f>
        <v>0</v>
      </c>
      <c r="E398" s="73">
        <f>IFERROR('Alloy_compnt_G&amp;L'!E398/SUM('Alloy_compnt_G&amp;L'!E$369:E$428),0)</f>
        <v>0</v>
      </c>
      <c r="F398" s="73">
        <f>IFERROR('Alloy_compnt_G&amp;L'!F398/SUM('Alloy_compnt_G&amp;L'!F$369:F$428),0)</f>
        <v>0</v>
      </c>
      <c r="G398" s="73">
        <f>IFERROR('Alloy_compnt_G&amp;L'!G398/SUM('Alloy_compnt_G&amp;L'!G$369:G$428),0)</f>
        <v>0</v>
      </c>
    </row>
    <row r="399" spans="1:7" x14ac:dyDescent="0.2">
      <c r="A399" s="142" t="s">
        <v>268</v>
      </c>
      <c r="B399" s="73">
        <f>IFERROR('Alloy_compnt_G&amp;L'!B399/SUM('Alloy_compnt_G&amp;L'!B$369:B$428),0)</f>
        <v>0</v>
      </c>
      <c r="C399" s="73">
        <f>IFERROR('Alloy_compnt_G&amp;L'!C399/SUM('Alloy_compnt_G&amp;L'!C$369:C$428),0)</f>
        <v>0</v>
      </c>
      <c r="D399" s="73">
        <f>IFERROR('Alloy_compnt_G&amp;L'!D399/SUM('Alloy_compnt_G&amp;L'!D$369:D$428),0)</f>
        <v>0</v>
      </c>
      <c r="E399" s="73">
        <f>IFERROR('Alloy_compnt_G&amp;L'!E399/SUM('Alloy_compnt_G&amp;L'!E$369:E$428),0)</f>
        <v>0</v>
      </c>
      <c r="F399" s="73">
        <f>IFERROR('Alloy_compnt_G&amp;L'!F399/SUM('Alloy_compnt_G&amp;L'!F$369:F$428),0)</f>
        <v>0</v>
      </c>
      <c r="G399" s="73">
        <f>IFERROR('Alloy_compnt_G&amp;L'!G399/SUM('Alloy_compnt_G&amp;L'!G$369:G$428),0)</f>
        <v>0</v>
      </c>
    </row>
    <row r="400" spans="1:7" x14ac:dyDescent="0.2">
      <c r="A400" s="142" t="s">
        <v>269</v>
      </c>
      <c r="B400" s="73">
        <f>IFERROR('Alloy_compnt_G&amp;L'!B400/SUM('Alloy_compnt_G&amp;L'!B$369:B$428),0)</f>
        <v>0</v>
      </c>
      <c r="C400" s="73">
        <f>IFERROR('Alloy_compnt_G&amp;L'!C400/SUM('Alloy_compnt_G&amp;L'!C$369:C$428),0)</f>
        <v>0</v>
      </c>
      <c r="D400" s="73">
        <f>IFERROR('Alloy_compnt_G&amp;L'!D400/SUM('Alloy_compnt_G&amp;L'!D$369:D$428),0)</f>
        <v>0</v>
      </c>
      <c r="E400" s="73">
        <f>IFERROR('Alloy_compnt_G&amp;L'!E400/SUM('Alloy_compnt_G&amp;L'!E$369:E$428),0)</f>
        <v>0</v>
      </c>
      <c r="F400" s="73">
        <f>IFERROR('Alloy_compnt_G&amp;L'!F400/SUM('Alloy_compnt_G&amp;L'!F$369:F$428),0)</f>
        <v>0</v>
      </c>
      <c r="G400" s="73">
        <f>IFERROR('Alloy_compnt_G&amp;L'!G400/SUM('Alloy_compnt_G&amp;L'!G$369:G$428),0)</f>
        <v>0</v>
      </c>
    </row>
    <row r="401" spans="1:7" x14ac:dyDescent="0.2">
      <c r="A401" s="142" t="s">
        <v>270</v>
      </c>
      <c r="B401" s="73">
        <f>IFERROR('Alloy_compnt_G&amp;L'!B401/SUM('Alloy_compnt_G&amp;L'!B$369:B$428),0)</f>
        <v>0</v>
      </c>
      <c r="C401" s="73">
        <f>IFERROR('Alloy_compnt_G&amp;L'!C401/SUM('Alloy_compnt_G&amp;L'!C$369:C$428),0)</f>
        <v>0</v>
      </c>
      <c r="D401" s="73">
        <f>IFERROR('Alloy_compnt_G&amp;L'!D401/SUM('Alloy_compnt_G&amp;L'!D$369:D$428),0)</f>
        <v>0</v>
      </c>
      <c r="E401" s="73">
        <f>IFERROR('Alloy_compnt_G&amp;L'!E401/SUM('Alloy_compnt_G&amp;L'!E$369:E$428),0)</f>
        <v>0</v>
      </c>
      <c r="F401" s="73">
        <f>IFERROR('Alloy_compnt_G&amp;L'!F401/SUM('Alloy_compnt_G&amp;L'!F$369:F$428),0)</f>
        <v>0</v>
      </c>
      <c r="G401" s="73">
        <f>IFERROR('Alloy_compnt_G&amp;L'!G401/SUM('Alloy_compnt_G&amp;L'!G$369:G$428),0)</f>
        <v>0</v>
      </c>
    </row>
    <row r="402" spans="1:7" x14ac:dyDescent="0.2">
      <c r="A402" s="142" t="s">
        <v>271</v>
      </c>
      <c r="B402" s="73">
        <f>IFERROR('Alloy_compnt_G&amp;L'!B402/SUM('Alloy_compnt_G&amp;L'!B$369:B$428),0)</f>
        <v>0</v>
      </c>
      <c r="C402" s="73">
        <f>IFERROR('Alloy_compnt_G&amp;L'!C402/SUM('Alloy_compnt_G&amp;L'!C$369:C$428),0)</f>
        <v>0</v>
      </c>
      <c r="D402" s="73">
        <f>IFERROR('Alloy_compnt_G&amp;L'!D402/SUM('Alloy_compnt_G&amp;L'!D$369:D$428),0)</f>
        <v>0</v>
      </c>
      <c r="E402" s="73">
        <f>IFERROR('Alloy_compnt_G&amp;L'!E402/SUM('Alloy_compnt_G&amp;L'!E$369:E$428),0)</f>
        <v>0</v>
      </c>
      <c r="F402" s="73">
        <f>IFERROR('Alloy_compnt_G&amp;L'!F402/SUM('Alloy_compnt_G&amp;L'!F$369:F$428),0)</f>
        <v>0</v>
      </c>
      <c r="G402" s="73">
        <f>IFERROR('Alloy_compnt_G&amp;L'!G402/SUM('Alloy_compnt_G&amp;L'!G$369:G$428),0)</f>
        <v>0</v>
      </c>
    </row>
    <row r="403" spans="1:7" x14ac:dyDescent="0.2">
      <c r="A403" s="142" t="s">
        <v>272</v>
      </c>
      <c r="B403" s="73">
        <f>IFERROR('Alloy_compnt_G&amp;L'!B403/SUM('Alloy_compnt_G&amp;L'!B$369:B$428),0)</f>
        <v>0</v>
      </c>
      <c r="C403" s="73">
        <f>IFERROR('Alloy_compnt_G&amp;L'!C403/SUM('Alloy_compnt_G&amp;L'!C$369:C$428),0)</f>
        <v>0</v>
      </c>
      <c r="D403" s="73">
        <f>IFERROR('Alloy_compnt_G&amp;L'!D403/SUM('Alloy_compnt_G&amp;L'!D$369:D$428),0)</f>
        <v>0</v>
      </c>
      <c r="E403" s="73">
        <f>IFERROR('Alloy_compnt_G&amp;L'!E403/SUM('Alloy_compnt_G&amp;L'!E$369:E$428),0)</f>
        <v>0</v>
      </c>
      <c r="F403" s="73">
        <f>IFERROR('Alloy_compnt_G&amp;L'!F403/SUM('Alloy_compnt_G&amp;L'!F$369:F$428),0)</f>
        <v>0</v>
      </c>
      <c r="G403" s="73">
        <f>IFERROR('Alloy_compnt_G&amp;L'!G403/SUM('Alloy_compnt_G&amp;L'!G$369:G$428),0)</f>
        <v>0</v>
      </c>
    </row>
    <row r="404" spans="1:7" x14ac:dyDescent="0.2">
      <c r="A404" s="142" t="s">
        <v>273</v>
      </c>
      <c r="B404" s="73">
        <f>IFERROR('Alloy_compnt_G&amp;L'!B404/SUM('Alloy_compnt_G&amp;L'!B$369:B$428),0)</f>
        <v>0</v>
      </c>
      <c r="C404" s="73">
        <f>IFERROR('Alloy_compnt_G&amp;L'!C404/SUM('Alloy_compnt_G&amp;L'!C$369:C$428),0)</f>
        <v>0</v>
      </c>
      <c r="D404" s="73">
        <f>IFERROR('Alloy_compnt_G&amp;L'!D404/SUM('Alloy_compnt_G&amp;L'!D$369:D$428),0)</f>
        <v>0</v>
      </c>
      <c r="E404" s="73">
        <f>IFERROR('Alloy_compnt_G&amp;L'!E404/SUM('Alloy_compnt_G&amp;L'!E$369:E$428),0)</f>
        <v>0</v>
      </c>
      <c r="F404" s="73">
        <f>IFERROR('Alloy_compnt_G&amp;L'!F404/SUM('Alloy_compnt_G&amp;L'!F$369:F$428),0)</f>
        <v>0</v>
      </c>
      <c r="G404" s="73">
        <f>IFERROR('Alloy_compnt_G&amp;L'!G404/SUM('Alloy_compnt_G&amp;L'!G$369:G$428),0)</f>
        <v>0</v>
      </c>
    </row>
    <row r="405" spans="1:7" x14ac:dyDescent="0.2">
      <c r="A405" s="142" t="s">
        <v>274</v>
      </c>
      <c r="B405" s="73">
        <f>IFERROR('Alloy_compnt_G&amp;L'!B405/SUM('Alloy_compnt_G&amp;L'!B$369:B$428),0)</f>
        <v>0</v>
      </c>
      <c r="C405" s="73">
        <f>IFERROR('Alloy_compnt_G&amp;L'!C405/SUM('Alloy_compnt_G&amp;L'!C$369:C$428),0)</f>
        <v>0</v>
      </c>
      <c r="D405" s="73">
        <f>IFERROR('Alloy_compnt_G&amp;L'!D405/SUM('Alloy_compnt_G&amp;L'!D$369:D$428),0)</f>
        <v>0</v>
      </c>
      <c r="E405" s="73">
        <f>IFERROR('Alloy_compnt_G&amp;L'!E405/SUM('Alloy_compnt_G&amp;L'!E$369:E$428),0)</f>
        <v>0</v>
      </c>
      <c r="F405" s="73">
        <f>IFERROR('Alloy_compnt_G&amp;L'!F405/SUM('Alloy_compnt_G&amp;L'!F$369:F$428),0)</f>
        <v>0</v>
      </c>
      <c r="G405" s="73">
        <f>IFERROR('Alloy_compnt_G&amp;L'!G405/SUM('Alloy_compnt_G&amp;L'!G$369:G$428),0)</f>
        <v>0</v>
      </c>
    </row>
    <row r="406" spans="1:7" x14ac:dyDescent="0.2">
      <c r="A406" s="142" t="s">
        <v>275</v>
      </c>
      <c r="B406" s="73">
        <f>IFERROR('Alloy_compnt_G&amp;L'!B406/SUM('Alloy_compnt_G&amp;L'!B$369:B$428),0)</f>
        <v>0</v>
      </c>
      <c r="C406" s="73">
        <f>IFERROR('Alloy_compnt_G&amp;L'!C406/SUM('Alloy_compnt_G&amp;L'!C$369:C$428),0)</f>
        <v>0</v>
      </c>
      <c r="D406" s="73">
        <f>IFERROR('Alloy_compnt_G&amp;L'!D406/SUM('Alloy_compnt_G&amp;L'!D$369:D$428),0)</f>
        <v>0</v>
      </c>
      <c r="E406" s="73">
        <f>IFERROR('Alloy_compnt_G&amp;L'!E406/SUM('Alloy_compnt_G&amp;L'!E$369:E$428),0)</f>
        <v>0</v>
      </c>
      <c r="F406" s="73">
        <f>IFERROR('Alloy_compnt_G&amp;L'!F406/SUM('Alloy_compnt_G&amp;L'!F$369:F$428),0)</f>
        <v>0</v>
      </c>
      <c r="G406" s="73">
        <f>IFERROR('Alloy_compnt_G&amp;L'!G406/SUM('Alloy_compnt_G&amp;L'!G$369:G$428),0)</f>
        <v>0</v>
      </c>
    </row>
    <row r="407" spans="1:7" x14ac:dyDescent="0.2">
      <c r="A407" s="142" t="s">
        <v>276</v>
      </c>
      <c r="B407" s="73">
        <f>IFERROR('Alloy_compnt_G&amp;L'!B407/SUM('Alloy_compnt_G&amp;L'!B$369:B$428),0)</f>
        <v>0</v>
      </c>
      <c r="C407" s="73">
        <f>IFERROR('Alloy_compnt_G&amp;L'!C407/SUM('Alloy_compnt_G&amp;L'!C$369:C$428),0)</f>
        <v>0</v>
      </c>
      <c r="D407" s="73">
        <f>IFERROR('Alloy_compnt_G&amp;L'!D407/SUM('Alloy_compnt_G&amp;L'!D$369:D$428),0)</f>
        <v>0</v>
      </c>
      <c r="E407" s="73">
        <f>IFERROR('Alloy_compnt_G&amp;L'!E407/SUM('Alloy_compnt_G&amp;L'!E$369:E$428),0)</f>
        <v>0</v>
      </c>
      <c r="F407" s="73">
        <f>IFERROR('Alloy_compnt_G&amp;L'!F407/SUM('Alloy_compnt_G&amp;L'!F$369:F$428),0)</f>
        <v>0</v>
      </c>
      <c r="G407" s="73">
        <f>IFERROR('Alloy_compnt_G&amp;L'!G407/SUM('Alloy_compnt_G&amp;L'!G$369:G$428),0)</f>
        <v>0</v>
      </c>
    </row>
    <row r="408" spans="1:7" x14ac:dyDescent="0.2">
      <c r="A408" s="144" t="s">
        <v>277</v>
      </c>
      <c r="B408" s="73">
        <f>IFERROR('Alloy_compnt_G&amp;L'!B408/SUM('Alloy_compnt_G&amp;L'!B$369:B$428),0)</f>
        <v>0</v>
      </c>
      <c r="C408" s="73">
        <f>IFERROR('Alloy_compnt_G&amp;L'!C408/SUM('Alloy_compnt_G&amp;L'!C$369:C$428),0)</f>
        <v>0</v>
      </c>
      <c r="D408" s="73">
        <f>IFERROR('Alloy_compnt_G&amp;L'!D408/SUM('Alloy_compnt_G&amp;L'!D$369:D$428),0)</f>
        <v>0</v>
      </c>
      <c r="E408" s="73">
        <f>IFERROR('Alloy_compnt_G&amp;L'!E408/SUM('Alloy_compnt_G&amp;L'!E$369:E$428),0)</f>
        <v>0</v>
      </c>
      <c r="F408" s="73">
        <f>IFERROR('Alloy_compnt_G&amp;L'!F408/SUM('Alloy_compnt_G&amp;L'!F$369:F$428),0)</f>
        <v>0</v>
      </c>
      <c r="G408" s="73">
        <f>IFERROR('Alloy_compnt_G&amp;L'!G408/SUM('Alloy_compnt_G&amp;L'!G$369:G$428),0)</f>
        <v>0</v>
      </c>
    </row>
    <row r="409" spans="1:7" x14ac:dyDescent="0.2">
      <c r="A409" s="148" t="s">
        <v>278</v>
      </c>
      <c r="B409" s="73">
        <f>IFERROR('Alloy_compnt_G&amp;L'!B409/SUM('Alloy_compnt_G&amp;L'!B$369:B$428),0)</f>
        <v>0</v>
      </c>
      <c r="C409" s="73">
        <f>IFERROR('Alloy_compnt_G&amp;L'!C409/SUM('Alloy_compnt_G&amp;L'!C$369:C$428),0)</f>
        <v>0</v>
      </c>
      <c r="D409" s="73">
        <f>IFERROR('Alloy_compnt_G&amp;L'!D409/SUM('Alloy_compnt_G&amp;L'!D$369:D$428),0)</f>
        <v>0</v>
      </c>
      <c r="E409" s="73">
        <f>IFERROR('Alloy_compnt_G&amp;L'!E409/SUM('Alloy_compnt_G&amp;L'!E$369:E$428),0)</f>
        <v>0</v>
      </c>
      <c r="F409" s="73">
        <f>IFERROR('Alloy_compnt_G&amp;L'!F409/SUM('Alloy_compnt_G&amp;L'!F$369:F$428),0)</f>
        <v>0</v>
      </c>
      <c r="G409" s="73">
        <f>IFERROR('Alloy_compnt_G&amp;L'!G409/SUM('Alloy_compnt_G&amp;L'!G$369:G$428),0)</f>
        <v>0</v>
      </c>
    </row>
    <row r="410" spans="1:7" x14ac:dyDescent="0.2">
      <c r="A410" s="148" t="s">
        <v>279</v>
      </c>
      <c r="B410" s="73">
        <f>IFERROR('Alloy_compnt_G&amp;L'!B410/SUM('Alloy_compnt_G&amp;L'!B$369:B$428),0)</f>
        <v>0</v>
      </c>
      <c r="C410" s="73">
        <f>IFERROR('Alloy_compnt_G&amp;L'!C410/SUM('Alloy_compnt_G&amp;L'!C$369:C$428),0)</f>
        <v>0</v>
      </c>
      <c r="D410" s="73">
        <f>IFERROR('Alloy_compnt_G&amp;L'!D410/SUM('Alloy_compnt_G&amp;L'!D$369:D$428),0)</f>
        <v>0</v>
      </c>
      <c r="E410" s="73">
        <f>IFERROR('Alloy_compnt_G&amp;L'!E410/SUM('Alloy_compnt_G&amp;L'!E$369:E$428),0)</f>
        <v>0</v>
      </c>
      <c r="F410" s="73">
        <f>IFERROR('Alloy_compnt_G&amp;L'!F410/SUM('Alloy_compnt_G&amp;L'!F$369:F$428),0)</f>
        <v>0</v>
      </c>
      <c r="G410" s="73">
        <f>IFERROR('Alloy_compnt_G&amp;L'!G410/SUM('Alloy_compnt_G&amp;L'!G$369:G$428),0)</f>
        <v>0</v>
      </c>
    </row>
    <row r="411" spans="1:7" x14ac:dyDescent="0.2">
      <c r="A411" s="148" t="s">
        <v>280</v>
      </c>
      <c r="B411" s="73">
        <f>IFERROR('Alloy_compnt_G&amp;L'!B411/SUM('Alloy_compnt_G&amp;L'!B$369:B$428),0)</f>
        <v>0</v>
      </c>
      <c r="C411" s="73">
        <f>IFERROR('Alloy_compnt_G&amp;L'!C411/SUM('Alloy_compnt_G&amp;L'!C$369:C$428),0)</f>
        <v>0</v>
      </c>
      <c r="D411" s="73">
        <f>IFERROR('Alloy_compnt_G&amp;L'!D411/SUM('Alloy_compnt_G&amp;L'!D$369:D$428),0)</f>
        <v>0</v>
      </c>
      <c r="E411" s="73">
        <f>IFERROR('Alloy_compnt_G&amp;L'!E411/SUM('Alloy_compnt_G&amp;L'!E$369:E$428),0)</f>
        <v>0</v>
      </c>
      <c r="F411" s="73">
        <f>IFERROR('Alloy_compnt_G&amp;L'!F411/SUM('Alloy_compnt_G&amp;L'!F$369:F$428),0)</f>
        <v>0</v>
      </c>
      <c r="G411" s="73">
        <f>IFERROR('Alloy_compnt_G&amp;L'!G411/SUM('Alloy_compnt_G&amp;L'!G$369:G$428),0)</f>
        <v>0</v>
      </c>
    </row>
    <row r="412" spans="1:7" x14ac:dyDescent="0.2">
      <c r="A412" s="148" t="s">
        <v>281</v>
      </c>
      <c r="B412" s="73">
        <f>IFERROR('Alloy_compnt_G&amp;L'!B412/SUM('Alloy_compnt_G&amp;L'!B$369:B$428),0)</f>
        <v>0</v>
      </c>
      <c r="C412" s="73">
        <f>IFERROR('Alloy_compnt_G&amp;L'!C412/SUM('Alloy_compnt_G&amp;L'!C$369:C$428),0)</f>
        <v>0</v>
      </c>
      <c r="D412" s="73">
        <f>IFERROR('Alloy_compnt_G&amp;L'!D412/SUM('Alloy_compnt_G&amp;L'!D$369:D$428),0)</f>
        <v>0</v>
      </c>
      <c r="E412" s="73">
        <f>IFERROR('Alloy_compnt_G&amp;L'!E412/SUM('Alloy_compnt_G&amp;L'!E$369:E$428),0)</f>
        <v>0</v>
      </c>
      <c r="F412" s="73">
        <f>IFERROR('Alloy_compnt_G&amp;L'!F412/SUM('Alloy_compnt_G&amp;L'!F$369:F$428),0)</f>
        <v>0</v>
      </c>
      <c r="G412" s="73">
        <f>IFERROR('Alloy_compnt_G&amp;L'!G412/SUM('Alloy_compnt_G&amp;L'!G$369:G$428),0)</f>
        <v>0</v>
      </c>
    </row>
    <row r="413" spans="1:7" x14ac:dyDescent="0.2">
      <c r="A413" s="148" t="s">
        <v>282</v>
      </c>
      <c r="B413" s="73">
        <f>IFERROR('Alloy_compnt_G&amp;L'!B413/SUM('Alloy_compnt_G&amp;L'!B$369:B$428),0)</f>
        <v>0</v>
      </c>
      <c r="C413" s="73">
        <f>IFERROR('Alloy_compnt_G&amp;L'!C413/SUM('Alloy_compnt_G&amp;L'!C$369:C$428),0)</f>
        <v>0</v>
      </c>
      <c r="D413" s="73">
        <f>IFERROR('Alloy_compnt_G&amp;L'!D413/SUM('Alloy_compnt_G&amp;L'!D$369:D$428),0)</f>
        <v>0</v>
      </c>
      <c r="E413" s="73">
        <f>IFERROR('Alloy_compnt_G&amp;L'!E413/SUM('Alloy_compnt_G&amp;L'!E$369:E$428),0)</f>
        <v>0</v>
      </c>
      <c r="F413" s="73">
        <f>IFERROR('Alloy_compnt_G&amp;L'!F413/SUM('Alloy_compnt_G&amp;L'!F$369:F$428),0)</f>
        <v>0</v>
      </c>
      <c r="G413" s="73">
        <f>IFERROR('Alloy_compnt_G&amp;L'!G413/SUM('Alloy_compnt_G&amp;L'!G$369:G$428),0)</f>
        <v>0</v>
      </c>
    </row>
    <row r="414" spans="1:7" x14ac:dyDescent="0.2">
      <c r="A414" s="148" t="s">
        <v>283</v>
      </c>
      <c r="B414" s="73">
        <f>IFERROR('Alloy_compnt_G&amp;L'!B414/SUM('Alloy_compnt_G&amp;L'!B$369:B$428),0)</f>
        <v>0</v>
      </c>
      <c r="C414" s="73">
        <f>IFERROR('Alloy_compnt_G&amp;L'!C414/SUM('Alloy_compnt_G&amp;L'!C$369:C$428),0)</f>
        <v>0</v>
      </c>
      <c r="D414" s="73">
        <f>IFERROR('Alloy_compnt_G&amp;L'!D414/SUM('Alloy_compnt_G&amp;L'!D$369:D$428),0)</f>
        <v>0</v>
      </c>
      <c r="E414" s="73">
        <f>IFERROR('Alloy_compnt_G&amp;L'!E414/SUM('Alloy_compnt_G&amp;L'!E$369:E$428),0)</f>
        <v>0</v>
      </c>
      <c r="F414" s="73">
        <f>IFERROR('Alloy_compnt_G&amp;L'!F414/SUM('Alloy_compnt_G&amp;L'!F$369:F$428),0)</f>
        <v>0</v>
      </c>
      <c r="G414" s="73">
        <f>IFERROR('Alloy_compnt_G&amp;L'!G414/SUM('Alloy_compnt_G&amp;L'!G$369:G$428),0)</f>
        <v>0</v>
      </c>
    </row>
    <row r="415" spans="1:7" x14ac:dyDescent="0.2">
      <c r="A415" s="148" t="s">
        <v>284</v>
      </c>
      <c r="B415" s="73">
        <f>IFERROR('Alloy_compnt_G&amp;L'!B415/SUM('Alloy_compnt_G&amp;L'!B$369:B$428),0)</f>
        <v>0</v>
      </c>
      <c r="C415" s="73">
        <f>IFERROR('Alloy_compnt_G&amp;L'!C415/SUM('Alloy_compnt_G&amp;L'!C$369:C$428),0)</f>
        <v>0</v>
      </c>
      <c r="D415" s="73">
        <f>IFERROR('Alloy_compnt_G&amp;L'!D415/SUM('Alloy_compnt_G&amp;L'!D$369:D$428),0)</f>
        <v>0</v>
      </c>
      <c r="E415" s="73">
        <f>IFERROR('Alloy_compnt_G&amp;L'!E415/SUM('Alloy_compnt_G&amp;L'!E$369:E$428),0)</f>
        <v>0</v>
      </c>
      <c r="F415" s="73">
        <f>IFERROR('Alloy_compnt_G&amp;L'!F415/SUM('Alloy_compnt_G&amp;L'!F$369:F$428),0)</f>
        <v>0</v>
      </c>
      <c r="G415" s="73">
        <f>IFERROR('Alloy_compnt_G&amp;L'!G415/SUM('Alloy_compnt_G&amp;L'!G$369:G$428),0)</f>
        <v>0</v>
      </c>
    </row>
    <row r="416" spans="1:7" x14ac:dyDescent="0.2">
      <c r="A416" s="148" t="s">
        <v>285</v>
      </c>
      <c r="B416" s="73">
        <f>IFERROR('Alloy_compnt_G&amp;L'!B416/SUM('Alloy_compnt_G&amp;L'!B$369:B$428),0)</f>
        <v>0</v>
      </c>
      <c r="C416" s="73">
        <f>IFERROR('Alloy_compnt_G&amp;L'!C416/SUM('Alloy_compnt_G&amp;L'!C$369:C$428),0)</f>
        <v>0</v>
      </c>
      <c r="D416" s="73">
        <f>IFERROR('Alloy_compnt_G&amp;L'!D416/SUM('Alloy_compnt_G&amp;L'!D$369:D$428),0)</f>
        <v>0</v>
      </c>
      <c r="E416" s="73">
        <f>IFERROR('Alloy_compnt_G&amp;L'!E416/SUM('Alloy_compnt_G&amp;L'!E$369:E$428),0)</f>
        <v>0</v>
      </c>
      <c r="F416" s="73">
        <f>IFERROR('Alloy_compnt_G&amp;L'!F416/SUM('Alloy_compnt_G&amp;L'!F$369:F$428),0)</f>
        <v>0</v>
      </c>
      <c r="G416" s="73">
        <f>IFERROR('Alloy_compnt_G&amp;L'!G416/SUM('Alloy_compnt_G&amp;L'!G$369:G$428),0)</f>
        <v>0</v>
      </c>
    </row>
    <row r="417" spans="1:7" x14ac:dyDescent="0.2">
      <c r="A417" s="147" t="s">
        <v>286</v>
      </c>
      <c r="B417" s="73">
        <f>IFERROR('Alloy_compnt_G&amp;L'!B417/SUM('Alloy_compnt_G&amp;L'!B$369:B$428),0)</f>
        <v>0</v>
      </c>
      <c r="C417" s="73">
        <f>IFERROR('Alloy_compnt_G&amp;L'!C417/SUM('Alloy_compnt_G&amp;L'!C$369:C$428),0)</f>
        <v>0</v>
      </c>
      <c r="D417" s="73">
        <f>IFERROR('Alloy_compnt_G&amp;L'!D417/SUM('Alloy_compnt_G&amp;L'!D$369:D$428),0)</f>
        <v>0</v>
      </c>
      <c r="E417" s="73">
        <f>IFERROR('Alloy_compnt_G&amp;L'!E417/SUM('Alloy_compnt_G&amp;L'!E$369:E$428),0)</f>
        <v>0</v>
      </c>
      <c r="F417" s="73">
        <f>IFERROR('Alloy_compnt_G&amp;L'!F417/SUM('Alloy_compnt_G&amp;L'!F$369:F$428),0)</f>
        <v>0</v>
      </c>
      <c r="G417" s="73">
        <f>IFERROR('Alloy_compnt_G&amp;L'!G417/SUM('Alloy_compnt_G&amp;L'!G$369:G$428),0)</f>
        <v>0</v>
      </c>
    </row>
    <row r="418" spans="1:7" x14ac:dyDescent="0.2">
      <c r="A418" s="142" t="s">
        <v>287</v>
      </c>
      <c r="B418" s="73">
        <f>IFERROR('Alloy_compnt_G&amp;L'!B418/SUM('Alloy_compnt_G&amp;L'!B$369:B$428),0)</f>
        <v>0</v>
      </c>
      <c r="C418" s="73">
        <f>IFERROR('Alloy_compnt_G&amp;L'!C418/SUM('Alloy_compnt_G&amp;L'!C$369:C$428),0)</f>
        <v>0</v>
      </c>
      <c r="D418" s="73">
        <f>IFERROR('Alloy_compnt_G&amp;L'!D418/SUM('Alloy_compnt_G&amp;L'!D$369:D$428),0)</f>
        <v>0</v>
      </c>
      <c r="E418" s="73">
        <f>IFERROR('Alloy_compnt_G&amp;L'!E418/SUM('Alloy_compnt_G&amp;L'!E$369:E$428),0)</f>
        <v>0</v>
      </c>
      <c r="F418" s="73">
        <f>IFERROR('Alloy_compnt_G&amp;L'!F418/SUM('Alloy_compnt_G&amp;L'!F$369:F$428),0)</f>
        <v>0</v>
      </c>
      <c r="G418" s="73">
        <f>IFERROR('Alloy_compnt_G&amp;L'!G418/SUM('Alloy_compnt_G&amp;L'!G$369:G$428),0)</f>
        <v>0</v>
      </c>
    </row>
    <row r="419" spans="1:7" x14ac:dyDescent="0.2">
      <c r="A419" s="142" t="s">
        <v>288</v>
      </c>
      <c r="B419" s="73">
        <f>IFERROR('Alloy_compnt_G&amp;L'!B419/SUM('Alloy_compnt_G&amp;L'!B$369:B$428),0)</f>
        <v>0</v>
      </c>
      <c r="C419" s="73">
        <f>IFERROR('Alloy_compnt_G&amp;L'!C419/SUM('Alloy_compnt_G&amp;L'!C$369:C$428),0)</f>
        <v>0</v>
      </c>
      <c r="D419" s="73">
        <f>IFERROR('Alloy_compnt_G&amp;L'!D419/SUM('Alloy_compnt_G&amp;L'!D$369:D$428),0)</f>
        <v>0</v>
      </c>
      <c r="E419" s="73">
        <f>IFERROR('Alloy_compnt_G&amp;L'!E419/SUM('Alloy_compnt_G&amp;L'!E$369:E$428),0)</f>
        <v>0</v>
      </c>
      <c r="F419" s="73">
        <f>IFERROR('Alloy_compnt_G&amp;L'!F419/SUM('Alloy_compnt_G&amp;L'!F$369:F$428),0)</f>
        <v>0</v>
      </c>
      <c r="G419" s="73">
        <f>IFERROR('Alloy_compnt_G&amp;L'!G419/SUM('Alloy_compnt_G&amp;L'!G$369:G$428),0)</f>
        <v>0</v>
      </c>
    </row>
    <row r="420" spans="1:7" x14ac:dyDescent="0.2">
      <c r="A420" s="142" t="s">
        <v>289</v>
      </c>
      <c r="B420" s="73">
        <f>IFERROR('Alloy_compnt_G&amp;L'!B420/SUM('Alloy_compnt_G&amp;L'!B$369:B$428),0)</f>
        <v>0</v>
      </c>
      <c r="C420" s="73">
        <f>IFERROR('Alloy_compnt_G&amp;L'!C420/SUM('Alloy_compnt_G&amp;L'!C$369:C$428),0)</f>
        <v>0</v>
      </c>
      <c r="D420" s="73">
        <f>IFERROR('Alloy_compnt_G&amp;L'!D420/SUM('Alloy_compnt_G&amp;L'!D$369:D$428),0)</f>
        <v>0.45183044315992288</v>
      </c>
      <c r="E420" s="73">
        <f>IFERROR('Alloy_compnt_G&amp;L'!E420/SUM('Alloy_compnt_G&amp;L'!E$369:E$428),0)</f>
        <v>0.45183044315992293</v>
      </c>
      <c r="F420" s="73">
        <f>IFERROR('Alloy_compnt_G&amp;L'!F420/SUM('Alloy_compnt_G&amp;L'!F$369:F$428),0)</f>
        <v>0.45183044315992288</v>
      </c>
      <c r="G420" s="73">
        <f>IFERROR('Alloy_compnt_G&amp;L'!G420/SUM('Alloy_compnt_G&amp;L'!G$369:G$428),0)</f>
        <v>0.45183044315992288</v>
      </c>
    </row>
    <row r="421" spans="1:7" x14ac:dyDescent="0.2">
      <c r="A421" s="142" t="s">
        <v>290</v>
      </c>
      <c r="B421" s="73">
        <f>IFERROR('Alloy_compnt_G&amp;L'!B421/SUM('Alloy_compnt_G&amp;L'!B$369:B$428),0)</f>
        <v>0</v>
      </c>
      <c r="C421" s="73">
        <f>IFERROR('Alloy_compnt_G&amp;L'!C421/SUM('Alloy_compnt_G&amp;L'!C$369:C$428),0)</f>
        <v>0</v>
      </c>
      <c r="D421" s="73">
        <f>IFERROR('Alloy_compnt_G&amp;L'!D421/SUM('Alloy_compnt_G&amp;L'!D$369:D$428),0)</f>
        <v>0.45183044315992288</v>
      </c>
      <c r="E421" s="73">
        <f>IFERROR('Alloy_compnt_G&amp;L'!E421/SUM('Alloy_compnt_G&amp;L'!E$369:E$428),0)</f>
        <v>0.45183044315992293</v>
      </c>
      <c r="F421" s="73">
        <f>IFERROR('Alloy_compnt_G&amp;L'!F421/SUM('Alloy_compnt_G&amp;L'!F$369:F$428),0)</f>
        <v>0.45183044315992288</v>
      </c>
      <c r="G421" s="73">
        <f>IFERROR('Alloy_compnt_G&amp;L'!G421/SUM('Alloy_compnt_G&amp;L'!G$369:G$428),0)</f>
        <v>0.45183044315992288</v>
      </c>
    </row>
    <row r="422" spans="1:7" x14ac:dyDescent="0.2">
      <c r="A422" s="142" t="s">
        <v>291</v>
      </c>
      <c r="B422" s="73">
        <f>IFERROR('Alloy_compnt_G&amp;L'!B422/SUM('Alloy_compnt_G&amp;L'!B$369:B$428),0)</f>
        <v>0</v>
      </c>
      <c r="C422" s="73">
        <f>IFERROR('Alloy_compnt_G&amp;L'!C422/SUM('Alloy_compnt_G&amp;L'!C$369:C$428),0)</f>
        <v>0</v>
      </c>
      <c r="D422" s="73">
        <f>IFERROR('Alloy_compnt_G&amp;L'!D422/SUM('Alloy_compnt_G&amp;L'!D$369:D$428),0)</f>
        <v>0</v>
      </c>
      <c r="E422" s="73">
        <f>IFERROR('Alloy_compnt_G&amp;L'!E422/SUM('Alloy_compnt_G&amp;L'!E$369:E$428),0)</f>
        <v>0</v>
      </c>
      <c r="F422" s="73">
        <f>IFERROR('Alloy_compnt_G&amp;L'!F422/SUM('Alloy_compnt_G&amp;L'!F$369:F$428),0)</f>
        <v>0</v>
      </c>
      <c r="G422" s="73">
        <f>IFERROR('Alloy_compnt_G&amp;L'!G422/SUM('Alloy_compnt_G&amp;L'!G$369:G$428),0)</f>
        <v>0</v>
      </c>
    </row>
    <row r="423" spans="1:7" x14ac:dyDescent="0.2">
      <c r="A423" s="142" t="s">
        <v>292</v>
      </c>
      <c r="B423" s="73">
        <f>IFERROR('Alloy_compnt_G&amp;L'!B423/SUM('Alloy_compnt_G&amp;L'!B$369:B$428),0)</f>
        <v>0</v>
      </c>
      <c r="C423" s="73">
        <f>IFERROR('Alloy_compnt_G&amp;L'!C423/SUM('Alloy_compnt_G&amp;L'!C$369:C$428),0)</f>
        <v>0</v>
      </c>
      <c r="D423" s="73">
        <f>IFERROR('Alloy_compnt_G&amp;L'!D423/SUM('Alloy_compnt_G&amp;L'!D$369:D$428),0)</f>
        <v>0</v>
      </c>
      <c r="E423" s="73">
        <f>IFERROR('Alloy_compnt_G&amp;L'!E423/SUM('Alloy_compnt_G&amp;L'!E$369:E$428),0)</f>
        <v>0</v>
      </c>
      <c r="F423" s="73">
        <f>IFERROR('Alloy_compnt_G&amp;L'!F423/SUM('Alloy_compnt_G&amp;L'!F$369:F$428),0)</f>
        <v>0</v>
      </c>
      <c r="G423" s="73">
        <f>IFERROR('Alloy_compnt_G&amp;L'!G423/SUM('Alloy_compnt_G&amp;L'!G$369:G$428),0)</f>
        <v>0</v>
      </c>
    </row>
    <row r="424" spans="1:7" x14ac:dyDescent="0.2">
      <c r="A424" s="142" t="s">
        <v>293</v>
      </c>
      <c r="B424" s="73">
        <f>IFERROR('Alloy_compnt_G&amp;L'!B424/SUM('Alloy_compnt_G&amp;L'!B$369:B$428),0)</f>
        <v>0</v>
      </c>
      <c r="C424" s="73">
        <f>IFERROR('Alloy_compnt_G&amp;L'!C424/SUM('Alloy_compnt_G&amp;L'!C$369:C$428),0)</f>
        <v>0</v>
      </c>
      <c r="D424" s="73">
        <f>IFERROR('Alloy_compnt_G&amp;L'!D424/SUM('Alloy_compnt_G&amp;L'!D$369:D$428),0)</f>
        <v>0</v>
      </c>
      <c r="E424" s="73">
        <f>IFERROR('Alloy_compnt_G&amp;L'!E424/SUM('Alloy_compnt_G&amp;L'!E$369:E$428),0)</f>
        <v>0</v>
      </c>
      <c r="F424" s="73">
        <f>IFERROR('Alloy_compnt_G&amp;L'!F424/SUM('Alloy_compnt_G&amp;L'!F$369:F$428),0)</f>
        <v>0</v>
      </c>
      <c r="G424" s="73">
        <f>IFERROR('Alloy_compnt_G&amp;L'!G424/SUM('Alloy_compnt_G&amp;L'!G$369:G$428),0)</f>
        <v>0</v>
      </c>
    </row>
    <row r="425" spans="1:7" x14ac:dyDescent="0.2">
      <c r="A425" s="142" t="s">
        <v>294</v>
      </c>
      <c r="B425" s="73">
        <f>IFERROR('Alloy_compnt_G&amp;L'!B425/SUM('Alloy_compnt_G&amp;L'!B$369:B$428),0)</f>
        <v>0</v>
      </c>
      <c r="C425" s="73">
        <f>IFERROR('Alloy_compnt_G&amp;L'!C425/SUM('Alloy_compnt_G&amp;L'!C$369:C$428),0)</f>
        <v>0</v>
      </c>
      <c r="D425" s="73">
        <f>IFERROR('Alloy_compnt_G&amp;L'!D425/SUM('Alloy_compnt_G&amp;L'!D$369:D$428),0)</f>
        <v>0</v>
      </c>
      <c r="E425" s="73">
        <f>IFERROR('Alloy_compnt_G&amp;L'!E425/SUM('Alloy_compnt_G&amp;L'!E$369:E$428),0)</f>
        <v>0</v>
      </c>
      <c r="F425" s="73">
        <f>IFERROR('Alloy_compnt_G&amp;L'!F425/SUM('Alloy_compnt_G&amp;L'!F$369:F$428),0)</f>
        <v>0</v>
      </c>
      <c r="G425" s="73">
        <f>IFERROR('Alloy_compnt_G&amp;L'!G425/SUM('Alloy_compnt_G&amp;L'!G$369:G$428),0)</f>
        <v>0</v>
      </c>
    </row>
    <row r="426" spans="1:7" x14ac:dyDescent="0.2">
      <c r="A426" s="144" t="s">
        <v>295</v>
      </c>
      <c r="B426" s="73">
        <f>IFERROR('Alloy_compnt_G&amp;L'!B426/SUM('Alloy_compnt_G&amp;L'!B$369:B$428),0)</f>
        <v>0</v>
      </c>
      <c r="C426" s="73">
        <f>IFERROR('Alloy_compnt_G&amp;L'!C426/SUM('Alloy_compnt_G&amp;L'!C$369:C$428),0)</f>
        <v>0</v>
      </c>
      <c r="D426" s="73">
        <f>IFERROR('Alloy_compnt_G&amp;L'!D426/SUM('Alloy_compnt_G&amp;L'!D$369:D$428),0)</f>
        <v>0</v>
      </c>
      <c r="E426" s="73">
        <f>IFERROR('Alloy_compnt_G&amp;L'!E426/SUM('Alloy_compnt_G&amp;L'!E$369:E$428),0)</f>
        <v>0</v>
      </c>
      <c r="F426" s="73">
        <f>IFERROR('Alloy_compnt_G&amp;L'!F426/SUM('Alloy_compnt_G&amp;L'!F$369:F$428),0)</f>
        <v>0</v>
      </c>
      <c r="G426" s="73">
        <f>IFERROR('Alloy_compnt_G&amp;L'!G426/SUM('Alloy_compnt_G&amp;L'!G$369:G$428),0)</f>
        <v>0</v>
      </c>
    </row>
    <row r="427" spans="1:7" x14ac:dyDescent="0.2">
      <c r="A427" s="142" t="s">
        <v>206</v>
      </c>
      <c r="B427" s="73">
        <f>IFERROR('Alloy_compnt_G&amp;L'!B427/SUM('Alloy_compnt_G&amp;L'!B$369:B$428),0)</f>
        <v>0</v>
      </c>
      <c r="C427" s="73">
        <f>IFERROR('Alloy_compnt_G&amp;L'!C427/SUM('Alloy_compnt_G&amp;L'!C$369:C$428),0)</f>
        <v>0</v>
      </c>
      <c r="D427" s="73">
        <f>IFERROR('Alloy_compnt_G&amp;L'!D427/SUM('Alloy_compnt_G&amp;L'!D$369:D$428),0)</f>
        <v>0</v>
      </c>
      <c r="E427" s="73">
        <f>IFERROR('Alloy_compnt_G&amp;L'!E427/SUM('Alloy_compnt_G&amp;L'!E$369:E$428),0)</f>
        <v>0</v>
      </c>
      <c r="F427" s="73">
        <f>IFERROR('Alloy_compnt_G&amp;L'!F427/SUM('Alloy_compnt_G&amp;L'!F$369:F$428),0)</f>
        <v>0</v>
      </c>
      <c r="G427" s="73">
        <f>IFERROR('Alloy_compnt_G&amp;L'!G427/SUM('Alloy_compnt_G&amp;L'!G$369:G$428),0)</f>
        <v>0</v>
      </c>
    </row>
    <row r="428" spans="1:7" ht="17" thickBot="1" x14ac:dyDescent="0.25">
      <c r="A428" s="149" t="s">
        <v>208</v>
      </c>
      <c r="B428" s="73">
        <f>IFERROR('Alloy_compnt_G&amp;L'!B428/SUM('Alloy_compnt_G&amp;L'!B$369:B$428),0)</f>
        <v>0</v>
      </c>
      <c r="C428" s="73">
        <f>IFERROR('Alloy_compnt_G&amp;L'!C428/SUM('Alloy_compnt_G&amp;L'!C$369:C$428),0)</f>
        <v>0</v>
      </c>
      <c r="D428" s="73">
        <f>IFERROR('Alloy_compnt_G&amp;L'!D428/SUM('Alloy_compnt_G&amp;L'!D$369:D$428),0)</f>
        <v>0</v>
      </c>
      <c r="E428" s="73">
        <f>IFERROR('Alloy_compnt_G&amp;L'!E428/SUM('Alloy_compnt_G&amp;L'!E$369:E$428),0)</f>
        <v>0</v>
      </c>
      <c r="F428" s="73">
        <f>IFERROR('Alloy_compnt_G&amp;L'!F428/SUM('Alloy_compnt_G&amp;L'!F$369:F$428),0)</f>
        <v>0</v>
      </c>
      <c r="G428" s="73">
        <f>IFERROR('Alloy_compnt_G&amp;L'!G428/SUM('Alloy_compnt_G&amp;L'!G$369:G$428),0)</f>
        <v>0</v>
      </c>
    </row>
    <row r="429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Energy_Mix</vt:lpstr>
      <vt:lpstr>EFs</vt:lpstr>
      <vt:lpstr>Archetype_weight_Das_2016</vt:lpstr>
      <vt:lpstr>Archetype_battery</vt:lpstr>
      <vt:lpstr>Archetype_body_GREET2</vt:lpstr>
      <vt:lpstr>Archetype_body_GREET2_(virgin)</vt:lpstr>
      <vt:lpstr>Material_compnt_GREET2</vt:lpstr>
      <vt:lpstr>Alloy_compnt_G&amp;L</vt:lpstr>
      <vt:lpstr>Alloy_compnt_G&amp;L_percent</vt:lpstr>
      <vt:lpstr>Alloy_compnt_G&amp;L_percent_ori</vt:lpstr>
      <vt:lpstr>Alloy_compnt_G&amp;L_all type</vt:lpstr>
      <vt:lpstr>Al_alloy_use_compnt</vt:lpstr>
      <vt:lpstr>Al_alloy_composition</vt:lpstr>
      <vt:lpstr>All_metal_alloy_composition</vt:lpstr>
      <vt:lpstr>Alloy_spec_ori</vt:lpstr>
      <vt:lpstr>Alloy_spec</vt:lpstr>
      <vt:lpstr>Body_composition_assumptions</vt:lpstr>
      <vt:lpstr>Archetype_battery_GREET2</vt:lpstr>
      <vt:lpstr>ConversionFactors</vt:lpstr>
      <vt:lpstr>Concate_names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Tu, Qingshi (tuqi)</cp:lastModifiedBy>
  <dcterms:created xsi:type="dcterms:W3CDTF">2018-04-09T15:52:03Z</dcterms:created>
  <dcterms:modified xsi:type="dcterms:W3CDTF">2020-12-08T04:34:58Z</dcterms:modified>
</cp:coreProperties>
</file>