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rober\Desktop\GDrive\DEng\"/>
    </mc:Choice>
  </mc:AlternateContent>
  <xr:revisionPtr revIDLastSave="0" documentId="8_{4AE798C8-1417-4A7F-97D2-78F717889E87}" xr6:coauthVersionLast="47" xr6:coauthVersionMax="47" xr10:uidLastSave="{00000000-0000-0000-0000-000000000000}"/>
  <bookViews>
    <workbookView xWindow="-80" yWindow="-80" windowWidth="22560" windowHeight="13440" xr2:uid="{427B1910-0EBC-4548-B0EE-B287BA2270F7}"/>
  </bookViews>
  <sheets>
    <sheet name="Instructions" sheetId="11" r:id="rId1"/>
    <sheet name="Inputs" sheetId="1" r:id="rId2"/>
    <sheet name="Benchmark_Inputs" sheetId="3" r:id="rId3"/>
    <sheet name="Timelines" sheetId="2" state="hidden" r:id="rId4"/>
    <sheet name="License" sheetId="6" r:id="rId5"/>
  </sheets>
  <definedNames>
    <definedName name="_xlchart.v1.0" hidden="1">Benchmark_Inputs!$B$12:$B$346</definedName>
    <definedName name="_xlchart.v1.1" hidden="1">Benchmark_Inputs!$N$11</definedName>
    <definedName name="_xlchart.v1.10" hidden="1">Benchmark_Inputs!$W$12:$W$346</definedName>
    <definedName name="_xlchart.v1.11" hidden="1">Benchmark_Inputs!$X$11</definedName>
    <definedName name="_xlchart.v1.12" hidden="1">Benchmark_Inputs!$X$12:$X$346</definedName>
    <definedName name="_xlchart.v1.13" hidden="1">Benchmark_Inputs!$Y$11</definedName>
    <definedName name="_xlchart.v1.14" hidden="1">Benchmark_Inputs!$Y$12:$Y$346</definedName>
    <definedName name="_xlchart.v1.15" hidden="1">Benchmark_Inputs!$Z$11</definedName>
    <definedName name="_xlchart.v1.16" hidden="1">Benchmark_Inputs!$Z$12:$Z$346</definedName>
    <definedName name="_xlchart.v1.17" hidden="1">Benchmark_Inputs!$B$12:$B$346</definedName>
    <definedName name="_xlchart.v1.18" hidden="1">Benchmark_Inputs!$B$12:$B$348</definedName>
    <definedName name="_xlchart.v1.19" hidden="1">Benchmark_Inputs!$R$11</definedName>
    <definedName name="_xlchart.v1.2" hidden="1">Benchmark_Inputs!$N$12:$N$346</definedName>
    <definedName name="_xlchart.v1.20" hidden="1">Benchmark_Inputs!$R$12:$R$348</definedName>
    <definedName name="_xlchart.v1.21" hidden="1">Benchmark_Inputs!$S$11</definedName>
    <definedName name="_xlchart.v1.22" hidden="1">Benchmark_Inputs!$S$12:$S$346</definedName>
    <definedName name="_xlchart.v1.23" hidden="1">Benchmark_Inputs!$S$12:$S$348</definedName>
    <definedName name="_xlchart.v1.24" hidden="1">Benchmark_Inputs!$T$11</definedName>
    <definedName name="_xlchart.v1.25" hidden="1">Benchmark_Inputs!$T$12:$T$346</definedName>
    <definedName name="_xlchart.v1.26" hidden="1">Benchmark_Inputs!$T$12:$T$348</definedName>
    <definedName name="_xlchart.v1.27" hidden="1">Benchmark_Inputs!$U$11</definedName>
    <definedName name="_xlchart.v1.28" hidden="1">Benchmark_Inputs!$U$12:$U$346</definedName>
    <definedName name="_xlchart.v1.29" hidden="1">Benchmark_Inputs!$B$12:$B$346</definedName>
    <definedName name="_xlchart.v1.3" hidden="1">Benchmark_Inputs!$O$11</definedName>
    <definedName name="_xlchart.v1.30" hidden="1">Benchmark_Inputs!$B$12:$B$348</definedName>
    <definedName name="_xlchart.v1.31" hidden="1">Benchmark_Inputs!$R$11</definedName>
    <definedName name="_xlchart.v1.32" hidden="1">Benchmark_Inputs!$R$12:$R$348</definedName>
    <definedName name="_xlchart.v1.33" hidden="1">Benchmark_Inputs!$S$11</definedName>
    <definedName name="_xlchart.v1.34" hidden="1">Benchmark_Inputs!$S$12:$S$346</definedName>
    <definedName name="_xlchart.v1.35" hidden="1">Benchmark_Inputs!$S$12:$S$348</definedName>
    <definedName name="_xlchart.v1.36" hidden="1">Benchmark_Inputs!$T$11</definedName>
    <definedName name="_xlchart.v1.37" hidden="1">Benchmark_Inputs!$T$12:$T$346</definedName>
    <definedName name="_xlchart.v1.38" hidden="1">Benchmark_Inputs!$T$12:$T$348</definedName>
    <definedName name="_xlchart.v1.39" hidden="1">Benchmark_Inputs!$U$11</definedName>
    <definedName name="_xlchart.v1.4" hidden="1">Benchmark_Inputs!$O$12:$O$346</definedName>
    <definedName name="_xlchart.v1.40" hidden="1">Benchmark_Inputs!$U$12:$U$346</definedName>
    <definedName name="_xlchart.v1.41" hidden="1">Benchmark_Inputs!$B$12:$B$346</definedName>
    <definedName name="_xlchart.v1.42" hidden="1">Benchmark_Inputs!$N$11</definedName>
    <definedName name="_xlchart.v1.43" hidden="1">Benchmark_Inputs!$N$12:$N$346</definedName>
    <definedName name="_xlchart.v1.44" hidden="1">Benchmark_Inputs!$O$11</definedName>
    <definedName name="_xlchart.v1.45" hidden="1">Benchmark_Inputs!$O$12:$O$346</definedName>
    <definedName name="_xlchart.v1.46" hidden="1">Benchmark_Inputs!$P$11</definedName>
    <definedName name="_xlchart.v1.47" hidden="1">Benchmark_Inputs!$P$12:$P$346</definedName>
    <definedName name="_xlchart.v1.48" hidden="1">Benchmark_Inputs!$Q$11</definedName>
    <definedName name="_xlchart.v1.49" hidden="1">Benchmark_Inputs!$Q$12:$Q$346</definedName>
    <definedName name="_xlchart.v1.5" hidden="1">Benchmark_Inputs!$P$11</definedName>
    <definedName name="_xlchart.v1.50" hidden="1">Benchmark_Inputs!$R$11</definedName>
    <definedName name="_xlchart.v1.51" hidden="1">Benchmark_Inputs!$R$12:$R$346</definedName>
    <definedName name="_xlchart.v1.52" hidden="1">Benchmark_Inputs!$B$12:$B$346</definedName>
    <definedName name="_xlchart.v1.53" hidden="1">Benchmark_Inputs!$B$12:$B$348</definedName>
    <definedName name="_xlchart.v1.54" hidden="1">Benchmark_Inputs!$B$323:$B$346</definedName>
    <definedName name="_xlchart.v1.55" hidden="1">Benchmark_Inputs!$C$11</definedName>
    <definedName name="_xlchart.v1.56" hidden="1">Benchmark_Inputs!$C$11:$C$322</definedName>
    <definedName name="_xlchart.v1.57" hidden="1">Benchmark_Inputs!$C$12:$C$346</definedName>
    <definedName name="_xlchart.v1.58" hidden="1">Benchmark_Inputs!$C$12:$C$348</definedName>
    <definedName name="_xlchart.v1.59" hidden="1">Benchmark_Inputs!$C$323:$C$346</definedName>
    <definedName name="_xlchart.v1.6" hidden="1">Benchmark_Inputs!$P$12:$P$346</definedName>
    <definedName name="_xlchart.v1.60" hidden="1">Benchmark_Inputs!$U$11</definedName>
    <definedName name="_xlchart.v1.61" hidden="1">Benchmark_Inputs!$U$11:$U$322</definedName>
    <definedName name="_xlchart.v1.62" hidden="1">Benchmark_Inputs!$U$12:$U$348</definedName>
    <definedName name="_xlchart.v1.63" hidden="1">Benchmark_Inputs!$U$323:$U$346</definedName>
    <definedName name="_xlchart.v1.64" hidden="1">Benchmark_Inputs!$V$11</definedName>
    <definedName name="_xlchart.v1.65" hidden="1">Benchmark_Inputs!$V$12:$V$346</definedName>
    <definedName name="_xlchart.v1.7" hidden="1">Benchmark_Inputs!$Q$11</definedName>
    <definedName name="_xlchart.v1.8" hidden="1">Benchmark_Inputs!$Q$12:$Q$346</definedName>
    <definedName name="_xlchart.v1.9" hidden="1">Benchmark_Inputs!$W$11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3" l="1"/>
  <c r="E1" i="3"/>
  <c r="F1" i="3"/>
  <c r="G1" i="3"/>
  <c r="H1" i="3"/>
  <c r="I1" i="3"/>
  <c r="J1" i="3"/>
  <c r="K1" i="3"/>
  <c r="L1" i="3"/>
  <c r="M1" i="3"/>
  <c r="N1" i="3"/>
  <c r="O1" i="3"/>
  <c r="P1" i="3"/>
  <c r="Q1" i="3"/>
  <c r="R1" i="3"/>
  <c r="S1" i="3"/>
  <c r="T1" i="3"/>
  <c r="U1" i="3"/>
  <c r="W1" i="3"/>
  <c r="X1" i="3"/>
  <c r="Y1" i="3"/>
  <c r="Z1" i="3"/>
  <c r="AA1" i="3"/>
  <c r="D2" i="3"/>
  <c r="E2" i="3"/>
  <c r="F2" i="3"/>
  <c r="G2" i="3"/>
  <c r="H2" i="3"/>
  <c r="I2" i="3"/>
  <c r="J2" i="3"/>
  <c r="K2" i="3"/>
  <c r="L2" i="3"/>
  <c r="M2" i="3"/>
  <c r="N2" i="3"/>
  <c r="O2" i="3"/>
  <c r="P2" i="3"/>
  <c r="Q2" i="3"/>
  <c r="R2" i="3"/>
  <c r="S2" i="3"/>
  <c r="T2" i="3"/>
  <c r="U2" i="3"/>
  <c r="W2" i="3"/>
  <c r="X2" i="3"/>
  <c r="Y2" i="3"/>
  <c r="Z2" i="3"/>
  <c r="AA2" i="3"/>
  <c r="D3" i="3"/>
  <c r="E3" i="3"/>
  <c r="F3" i="3"/>
  <c r="G3" i="3"/>
  <c r="H3" i="3"/>
  <c r="I3" i="3"/>
  <c r="J3" i="3"/>
  <c r="K3" i="3"/>
  <c r="L3" i="3"/>
  <c r="M3" i="3"/>
  <c r="N3" i="3"/>
  <c r="O3" i="3"/>
  <c r="P3" i="3"/>
  <c r="Q3" i="3"/>
  <c r="R3" i="3"/>
  <c r="S3" i="3"/>
  <c r="T3" i="3"/>
  <c r="U3" i="3"/>
  <c r="W3" i="3"/>
  <c r="X3" i="3"/>
  <c r="Y3" i="3"/>
  <c r="Z3" i="3"/>
  <c r="AA3" i="3"/>
  <c r="D5" i="3"/>
  <c r="E5" i="3"/>
  <c r="F5" i="3"/>
  <c r="G5" i="3"/>
  <c r="H5" i="3"/>
  <c r="I5" i="3"/>
  <c r="J5" i="3"/>
  <c r="K5" i="3"/>
  <c r="L5" i="3"/>
  <c r="M5" i="3"/>
  <c r="N5" i="3"/>
  <c r="O5" i="3"/>
  <c r="P5" i="3"/>
  <c r="Q5" i="3"/>
  <c r="R5" i="3"/>
  <c r="S5" i="3"/>
  <c r="T5" i="3"/>
  <c r="U5" i="3"/>
  <c r="W5" i="3"/>
  <c r="X5" i="3"/>
  <c r="Y5" i="3"/>
  <c r="Z5" i="3"/>
  <c r="AA5" i="3"/>
  <c r="D6" i="3"/>
  <c r="E6" i="3"/>
  <c r="F6" i="3"/>
  <c r="G6" i="3"/>
  <c r="H6" i="3"/>
  <c r="I6" i="3"/>
  <c r="J6" i="3"/>
  <c r="K6" i="3"/>
  <c r="L6" i="3"/>
  <c r="M6" i="3"/>
  <c r="N6" i="3"/>
  <c r="O6" i="3"/>
  <c r="P6" i="3"/>
  <c r="Q6" i="3"/>
  <c r="R6" i="3"/>
  <c r="S6" i="3"/>
  <c r="T6" i="3"/>
  <c r="U6" i="3"/>
  <c r="W6" i="3"/>
  <c r="X6" i="3"/>
  <c r="Y6" i="3"/>
  <c r="Z6" i="3"/>
  <c r="AA6" i="3"/>
  <c r="D8" i="3"/>
  <c r="E8" i="3"/>
  <c r="F8" i="3"/>
  <c r="G8" i="3"/>
  <c r="H8" i="3"/>
  <c r="I8" i="3"/>
  <c r="J8" i="3"/>
  <c r="K8" i="3"/>
  <c r="L8" i="3"/>
  <c r="M8" i="3"/>
  <c r="N8" i="3"/>
  <c r="O8" i="3"/>
  <c r="P8" i="3"/>
  <c r="Q8" i="3"/>
  <c r="R8" i="3"/>
  <c r="S8" i="3"/>
  <c r="T8" i="3"/>
  <c r="U8" i="3"/>
  <c r="W8" i="3"/>
  <c r="X8" i="3"/>
  <c r="Y8" i="3"/>
  <c r="Z8" i="3"/>
  <c r="AA8" i="3"/>
  <c r="D9" i="3"/>
  <c r="E9" i="3"/>
  <c r="F9" i="3"/>
  <c r="G9" i="3"/>
  <c r="H9" i="3"/>
  <c r="I9" i="3"/>
  <c r="J9" i="3"/>
  <c r="K9" i="3"/>
  <c r="L9" i="3"/>
  <c r="M9" i="3"/>
  <c r="N9" i="3"/>
  <c r="O9" i="3"/>
  <c r="P9" i="3"/>
  <c r="Q9" i="3"/>
  <c r="R9" i="3"/>
  <c r="S9" i="3"/>
  <c r="T9" i="3"/>
  <c r="U9" i="3"/>
  <c r="W9" i="3"/>
  <c r="X9" i="3"/>
  <c r="Y9" i="3"/>
  <c r="Z9" i="3"/>
  <c r="AA9" i="3"/>
  <c r="C9" i="3"/>
  <c r="C8" i="3"/>
  <c r="C6" i="3"/>
  <c r="C5" i="3"/>
  <c r="C3" i="3"/>
  <c r="C2" i="3"/>
  <c r="C1" i="3"/>
  <c r="B15" i="1"/>
  <c r="C9" i="1"/>
  <c r="C15" i="1" s="1"/>
  <c r="C10" i="1"/>
  <c r="C11" i="1"/>
  <c r="C12" i="1"/>
  <c r="B12" i="1"/>
  <c r="B11" i="1"/>
  <c r="B10" i="1"/>
  <c r="B9" i="1"/>
  <c r="F11" i="2"/>
  <c r="F12" i="2"/>
  <c r="E13" i="2"/>
  <c r="F13" i="2"/>
  <c r="F14" i="2"/>
  <c r="F15" i="2"/>
  <c r="F16" i="2"/>
  <c r="F17" i="2"/>
  <c r="F18" i="2"/>
  <c r="F19" i="2"/>
  <c r="F20" i="2"/>
  <c r="F21" i="2"/>
  <c r="F22" i="2"/>
  <c r="F23" i="2"/>
  <c r="E24" i="2"/>
  <c r="F24" i="2"/>
  <c r="E25" i="2"/>
  <c r="F25" i="2"/>
  <c r="F26" i="2"/>
  <c r="F27" i="2"/>
  <c r="F28" i="2"/>
  <c r="F29" i="2"/>
  <c r="F30" i="2"/>
  <c r="F31" i="2"/>
  <c r="F32" i="2"/>
  <c r="F33" i="2"/>
  <c r="F34" i="2"/>
  <c r="F35" i="2"/>
  <c r="F36" i="2"/>
  <c r="F37" i="2"/>
  <c r="F38" i="2"/>
  <c r="F39" i="2"/>
  <c r="F40" i="2"/>
  <c r="F41" i="2"/>
  <c r="F42" i="2"/>
  <c r="F43" i="2"/>
  <c r="F44" i="2"/>
  <c r="F45" i="2"/>
  <c r="F46" i="2"/>
  <c r="E47" i="2"/>
  <c r="F47" i="2"/>
  <c r="F48" i="2"/>
  <c r="F49" i="2"/>
  <c r="F50" i="2"/>
  <c r="F51" i="2"/>
  <c r="F52" i="2"/>
  <c r="F53" i="2"/>
  <c r="F54" i="2"/>
  <c r="F55" i="2"/>
  <c r="F56" i="2"/>
  <c r="F57" i="2"/>
  <c r="F58" i="2"/>
  <c r="F59" i="2"/>
  <c r="F60" i="2"/>
  <c r="E61" i="2"/>
  <c r="F61" i="2"/>
  <c r="F62" i="2"/>
  <c r="F63" i="2"/>
  <c r="F64" i="2"/>
  <c r="F65" i="2"/>
  <c r="F66" i="2"/>
  <c r="F67" i="2"/>
  <c r="F68" i="2"/>
  <c r="F69" i="2"/>
  <c r="F70" i="2"/>
  <c r="F71" i="2"/>
  <c r="E72" i="2"/>
  <c r="F72" i="2"/>
  <c r="F73" i="2"/>
  <c r="F74" i="2"/>
  <c r="F75" i="2"/>
  <c r="F76" i="2"/>
  <c r="F77" i="2"/>
  <c r="F78" i="2"/>
  <c r="F79" i="2"/>
  <c r="F80" i="2"/>
  <c r="F81" i="2"/>
  <c r="F82" i="2"/>
  <c r="F83" i="2"/>
  <c r="F84" i="2"/>
  <c r="E85" i="2"/>
  <c r="F85" i="2"/>
  <c r="F86" i="2"/>
  <c r="F87" i="2"/>
  <c r="F88" i="2"/>
  <c r="F89" i="2"/>
  <c r="F90" i="2"/>
  <c r="F91" i="2"/>
  <c r="F92" i="2"/>
  <c r="E93" i="2"/>
  <c r="F93" i="2"/>
  <c r="F94" i="2"/>
  <c r="E95" i="2"/>
  <c r="F95" i="2"/>
  <c r="F96" i="2"/>
  <c r="F97" i="2"/>
  <c r="F98" i="2"/>
  <c r="F99" i="2"/>
  <c r="F100" i="2"/>
  <c r="F101" i="2"/>
  <c r="F102" i="2"/>
  <c r="F103" i="2"/>
  <c r="E104" i="2"/>
  <c r="F104" i="2"/>
  <c r="E105" i="2"/>
  <c r="F105" i="2"/>
  <c r="F106" i="2"/>
  <c r="F107" i="2"/>
  <c r="F108" i="2"/>
  <c r="F109" i="2"/>
  <c r="F110" i="2"/>
  <c r="F111" i="2"/>
  <c r="F112" i="2"/>
  <c r="F113" i="2"/>
  <c r="F114" i="2"/>
  <c r="F115" i="2"/>
  <c r="F116" i="2"/>
  <c r="E117" i="2"/>
  <c r="F117" i="2"/>
  <c r="F118" i="2"/>
  <c r="F119" i="2"/>
  <c r="F120" i="2"/>
  <c r="F121" i="2"/>
  <c r="F122" i="2"/>
  <c r="F123" i="2"/>
  <c r="F124" i="2"/>
  <c r="F125" i="2"/>
  <c r="F126" i="2"/>
  <c r="E127" i="2"/>
  <c r="F127" i="2"/>
  <c r="E128" i="2"/>
  <c r="F128" i="2"/>
  <c r="E129" i="2"/>
  <c r="F129" i="2"/>
  <c r="F130" i="2"/>
  <c r="F131" i="2"/>
  <c r="F132" i="2"/>
  <c r="F133" i="2"/>
  <c r="F134" i="2"/>
  <c r="F135" i="2"/>
  <c r="F136" i="2"/>
  <c r="F137" i="2"/>
  <c r="F138" i="2"/>
  <c r="F139" i="2"/>
  <c r="F140" i="2"/>
  <c r="E141" i="2"/>
  <c r="F141" i="2"/>
  <c r="F142" i="2"/>
  <c r="F143" i="2"/>
  <c r="F144" i="2"/>
  <c r="F145" i="2"/>
  <c r="F146" i="2"/>
  <c r="F147" i="2"/>
  <c r="F148" i="2"/>
  <c r="F149" i="2"/>
  <c r="F150" i="2"/>
  <c r="E151" i="2"/>
  <c r="F151" i="2"/>
  <c r="E152" i="2"/>
  <c r="F152" i="2"/>
  <c r="F153" i="2"/>
  <c r="F154" i="2"/>
  <c r="F155" i="2"/>
  <c r="F156" i="2"/>
  <c r="F157" i="2"/>
  <c r="F158" i="2"/>
  <c r="F159" i="2"/>
  <c r="F160" i="2"/>
  <c r="E161" i="2"/>
  <c r="F161" i="2"/>
  <c r="F162" i="2"/>
  <c r="F163" i="2"/>
  <c r="F164" i="2"/>
  <c r="F165" i="2"/>
  <c r="F166" i="2"/>
  <c r="F167" i="2"/>
  <c r="F168" i="2"/>
  <c r="F169" i="2"/>
  <c r="F170" i="2"/>
  <c r="F171" i="2"/>
  <c r="E172" i="2"/>
  <c r="F172" i="2"/>
  <c r="F173" i="2"/>
  <c r="F174" i="2"/>
  <c r="F175" i="2"/>
  <c r="F176" i="2"/>
  <c r="F177" i="2"/>
  <c r="F178" i="2"/>
  <c r="F179" i="2"/>
  <c r="F180" i="2"/>
  <c r="F181" i="2"/>
  <c r="F182" i="2"/>
  <c r="F183" i="2"/>
  <c r="F184" i="2"/>
  <c r="E185" i="2"/>
  <c r="F185" i="2"/>
  <c r="F186" i="2"/>
  <c r="F187" i="2"/>
  <c r="F188" i="2"/>
  <c r="F189" i="2"/>
  <c r="F190" i="2"/>
  <c r="F191" i="2"/>
  <c r="F192" i="2"/>
  <c r="F193" i="2"/>
  <c r="F194" i="2"/>
  <c r="F195" i="2"/>
  <c r="E196" i="2"/>
  <c r="F196" i="2"/>
  <c r="E197" i="2"/>
  <c r="F197" i="2"/>
  <c r="F198" i="2"/>
  <c r="F199" i="2"/>
  <c r="F200" i="2"/>
  <c r="F201" i="2"/>
  <c r="F202" i="2"/>
  <c r="F203" i="2"/>
  <c r="F204" i="2"/>
  <c r="E205" i="2"/>
  <c r="F205" i="2"/>
  <c r="F206" i="2"/>
  <c r="E207" i="2"/>
  <c r="F207" i="2"/>
  <c r="F208" i="2"/>
  <c r="F209" i="2"/>
  <c r="F210" i="2"/>
  <c r="F211" i="2"/>
  <c r="F212" i="2"/>
  <c r="F213" i="2"/>
  <c r="F214" i="2"/>
  <c r="F215" i="2"/>
  <c r="E216" i="2"/>
  <c r="F216" i="2"/>
  <c r="E217" i="2"/>
  <c r="F217" i="2"/>
  <c r="F218" i="2"/>
  <c r="F219" i="2"/>
  <c r="F220" i="2"/>
  <c r="F221" i="2"/>
  <c r="F222" i="2"/>
  <c r="F223" i="2"/>
  <c r="F224" i="2"/>
  <c r="F225" i="2"/>
  <c r="F226" i="2"/>
  <c r="F227" i="2"/>
  <c r="E228" i="2"/>
  <c r="F228" i="2"/>
  <c r="E229" i="2"/>
  <c r="F229" i="2"/>
  <c r="F230" i="2"/>
  <c r="F231" i="2"/>
  <c r="F232" i="2"/>
  <c r="F233" i="2"/>
  <c r="F234" i="2"/>
  <c r="F235" i="2"/>
  <c r="F236" i="2"/>
  <c r="F237" i="2"/>
  <c r="F238" i="2"/>
  <c r="E239" i="2"/>
  <c r="F239" i="2"/>
  <c r="E240" i="2"/>
  <c r="F240" i="2"/>
  <c r="F241" i="2"/>
  <c r="F242" i="2"/>
  <c r="F243" i="2"/>
  <c r="F244" i="2"/>
  <c r="F245" i="2"/>
  <c r="F246" i="2"/>
  <c r="F247" i="2"/>
  <c r="E248" i="2"/>
  <c r="F248" i="2"/>
  <c r="E249" i="2"/>
  <c r="F249" i="2"/>
  <c r="F250" i="2"/>
  <c r="F251" i="2"/>
  <c r="F252" i="2"/>
  <c r="F253" i="2"/>
  <c r="F254" i="2"/>
  <c r="F255" i="2"/>
  <c r="F256" i="2"/>
  <c r="F257" i="2"/>
  <c r="F258" i="2"/>
  <c r="F259" i="2"/>
  <c r="E260" i="2"/>
  <c r="F260" i="2"/>
  <c r="E261" i="2"/>
  <c r="F261" i="2"/>
  <c r="F262" i="2"/>
  <c r="F263" i="2"/>
  <c r="F3" i="2"/>
  <c r="F4" i="2"/>
  <c r="F5" i="2"/>
  <c r="F6" i="2"/>
  <c r="F7" i="2"/>
  <c r="F8" i="2"/>
  <c r="F9" i="2"/>
  <c r="F10" i="2"/>
  <c r="F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3" i="2"/>
  <c r="B4" i="2"/>
  <c r="B5" i="2"/>
  <c r="B6" i="2"/>
  <c r="B7" i="2"/>
  <c r="B8" i="2"/>
  <c r="B9" i="2"/>
  <c r="B10" i="2"/>
  <c r="B2" i="2"/>
  <c r="G151" i="2" l="1"/>
  <c r="D238" i="2"/>
  <c r="D206" i="2"/>
  <c r="D174" i="2"/>
  <c r="D158" i="2"/>
  <c r="D110" i="2"/>
  <c r="D30" i="2"/>
  <c r="D14" i="2"/>
  <c r="D254" i="2"/>
  <c r="D222" i="2"/>
  <c r="D190" i="2"/>
  <c r="D142" i="2"/>
  <c r="D126" i="2"/>
  <c r="D94" i="2"/>
  <c r="D78" i="2"/>
  <c r="D62" i="2"/>
  <c r="D46" i="2"/>
  <c r="D6" i="2"/>
  <c r="D93" i="2"/>
  <c r="D109" i="2"/>
  <c r="D221" i="2"/>
  <c r="D61" i="2"/>
  <c r="D253" i="2"/>
  <c r="D173" i="2"/>
  <c r="D77" i="2"/>
  <c r="D157" i="2"/>
  <c r="D29" i="2"/>
  <c r="D237" i="2"/>
  <c r="D45" i="2"/>
  <c r="D205" i="2"/>
  <c r="D189" i="2"/>
  <c r="D141" i="2"/>
  <c r="D125" i="2"/>
  <c r="D13" i="2"/>
  <c r="D227" i="2"/>
  <c r="D259" i="2"/>
  <c r="D67" i="2"/>
  <c r="D243" i="2"/>
  <c r="D211" i="2"/>
  <c r="D195" i="2"/>
  <c r="D179" i="2"/>
  <c r="D163" i="2"/>
  <c r="D147" i="2"/>
  <c r="D131" i="2"/>
  <c r="D115" i="2"/>
  <c r="D99" i="2"/>
  <c r="D83" i="2"/>
  <c r="D35" i="2"/>
  <c r="D51" i="2"/>
  <c r="D19" i="2"/>
  <c r="D9" i="2"/>
  <c r="D8" i="2"/>
  <c r="D7" i="2"/>
  <c r="G185" i="2"/>
  <c r="G105" i="2"/>
  <c r="G217" i="2"/>
  <c r="G161" i="2"/>
  <c r="D236" i="2"/>
  <c r="D204" i="2"/>
  <c r="D188" i="2"/>
  <c r="D156" i="2"/>
  <c r="D140" i="2"/>
  <c r="D124" i="2"/>
  <c r="D108" i="2"/>
  <c r="D92" i="2"/>
  <c r="D76" i="2"/>
  <c r="D60" i="2"/>
  <c r="D44" i="2"/>
  <c r="D28" i="2"/>
  <c r="D12" i="2"/>
  <c r="D251" i="2"/>
  <c r="D235" i="2"/>
  <c r="D219" i="2"/>
  <c r="D203" i="2"/>
  <c r="D187" i="2"/>
  <c r="D171" i="2"/>
  <c r="D155" i="2"/>
  <c r="D139" i="2"/>
  <c r="D123" i="2"/>
  <c r="D107" i="2"/>
  <c r="D91" i="2"/>
  <c r="D75" i="2"/>
  <c r="D59" i="2"/>
  <c r="D43" i="2"/>
  <c r="D27" i="2"/>
  <c r="D11" i="2"/>
  <c r="D4" i="2"/>
  <c r="D252" i="2"/>
  <c r="D220" i="2"/>
  <c r="D172" i="2"/>
  <c r="D258" i="2"/>
  <c r="D242" i="2"/>
  <c r="D226" i="2"/>
  <c r="D210" i="2"/>
  <c r="D194" i="2"/>
  <c r="D178" i="2"/>
  <c r="D162" i="2"/>
  <c r="D146" i="2"/>
  <c r="D130" i="2"/>
  <c r="D114" i="2"/>
  <c r="D98" i="2"/>
  <c r="D82" i="2"/>
  <c r="D66" i="2"/>
  <c r="D50" i="2"/>
  <c r="D34" i="2"/>
  <c r="D18" i="2"/>
  <c r="D257" i="2"/>
  <c r="D241" i="2"/>
  <c r="D225" i="2"/>
  <c r="D209" i="2"/>
  <c r="D193" i="2"/>
  <c r="D177" i="2"/>
  <c r="D161" i="2"/>
  <c r="D145" i="2"/>
  <c r="D129" i="2"/>
  <c r="D113" i="2"/>
  <c r="D97" i="2"/>
  <c r="D81" i="2"/>
  <c r="D65" i="2"/>
  <c r="D49" i="2"/>
  <c r="D33" i="2"/>
  <c r="D17" i="2"/>
  <c r="D2" i="2"/>
  <c r="D256" i="2"/>
  <c r="D240" i="2"/>
  <c r="D224" i="2"/>
  <c r="D208" i="2"/>
  <c r="D192" i="2"/>
  <c r="D176" i="2"/>
  <c r="D160" i="2"/>
  <c r="D144" i="2"/>
  <c r="D128" i="2"/>
  <c r="D112" i="2"/>
  <c r="D96" i="2"/>
  <c r="D80" i="2"/>
  <c r="D64" i="2"/>
  <c r="D48" i="2"/>
  <c r="D32" i="2"/>
  <c r="D16" i="2"/>
  <c r="D10" i="2"/>
  <c r="D255" i="2"/>
  <c r="D239" i="2"/>
  <c r="D223" i="2"/>
  <c r="D207" i="2"/>
  <c r="D191" i="2"/>
  <c r="D175" i="2"/>
  <c r="D159" i="2"/>
  <c r="D143" i="2"/>
  <c r="D127" i="2"/>
  <c r="D111" i="2"/>
  <c r="D95" i="2"/>
  <c r="D79" i="2"/>
  <c r="D63" i="2"/>
  <c r="D47" i="2"/>
  <c r="D31" i="2"/>
  <c r="D15" i="2"/>
  <c r="G261" i="2"/>
  <c r="G207" i="2"/>
  <c r="G95" i="2"/>
  <c r="G205" i="2"/>
  <c r="G141" i="2"/>
  <c r="G197" i="2"/>
  <c r="G85" i="2"/>
  <c r="G25" i="2"/>
  <c r="G249" i="2"/>
  <c r="G47" i="2"/>
  <c r="G229" i="2"/>
  <c r="G61" i="2"/>
  <c r="G129" i="2"/>
  <c r="G240" i="2"/>
  <c r="G152" i="2"/>
  <c r="G72" i="2"/>
  <c r="G228" i="2"/>
  <c r="G196" i="2"/>
  <c r="G13" i="2"/>
  <c r="G260" i="2"/>
  <c r="G248" i="2"/>
  <c r="E14" i="2"/>
  <c r="G14" i="2" s="1"/>
  <c r="E22" i="2"/>
  <c r="G22" i="2" s="1"/>
  <c r="E30" i="2"/>
  <c r="G30" i="2" s="1"/>
  <c r="E38" i="2"/>
  <c r="G38" i="2" s="1"/>
  <c r="E46" i="2"/>
  <c r="G46" i="2" s="1"/>
  <c r="E54" i="2"/>
  <c r="G54" i="2" s="1"/>
  <c r="E62" i="2"/>
  <c r="G62" i="2" s="1"/>
  <c r="E70" i="2"/>
  <c r="G70" i="2" s="1"/>
  <c r="E78" i="2"/>
  <c r="G78" i="2" s="1"/>
  <c r="E86" i="2"/>
  <c r="G86" i="2" s="1"/>
  <c r="E94" i="2"/>
  <c r="G94" i="2" s="1"/>
  <c r="E102" i="2"/>
  <c r="G102" i="2" s="1"/>
  <c r="E110" i="2"/>
  <c r="G110" i="2" s="1"/>
  <c r="E118" i="2"/>
  <c r="G118" i="2" s="1"/>
  <c r="E126" i="2"/>
  <c r="G126" i="2" s="1"/>
  <c r="E134" i="2"/>
  <c r="G134" i="2" s="1"/>
  <c r="E142" i="2"/>
  <c r="G142" i="2" s="1"/>
  <c r="E150" i="2"/>
  <c r="G150" i="2" s="1"/>
  <c r="E158" i="2"/>
  <c r="G158" i="2" s="1"/>
  <c r="E166" i="2"/>
  <c r="G166" i="2" s="1"/>
  <c r="E174" i="2"/>
  <c r="G174" i="2" s="1"/>
  <c r="E182" i="2"/>
  <c r="G182" i="2" s="1"/>
  <c r="E190" i="2"/>
  <c r="G190" i="2" s="1"/>
  <c r="E198" i="2"/>
  <c r="G198" i="2" s="1"/>
  <c r="E206" i="2"/>
  <c r="G206" i="2" s="1"/>
  <c r="E214" i="2"/>
  <c r="G214" i="2" s="1"/>
  <c r="E222" i="2"/>
  <c r="G222" i="2" s="1"/>
  <c r="E230" i="2"/>
  <c r="G230" i="2" s="1"/>
  <c r="E238" i="2"/>
  <c r="G238" i="2" s="1"/>
  <c r="E246" i="2"/>
  <c r="G246" i="2" s="1"/>
  <c r="E254" i="2"/>
  <c r="G254" i="2" s="1"/>
  <c r="E262" i="2"/>
  <c r="G262" i="2" s="1"/>
  <c r="E6" i="2"/>
  <c r="G6" i="2" s="1"/>
  <c r="E9" i="2"/>
  <c r="G9" i="2" s="1"/>
  <c r="E12" i="2"/>
  <c r="G12" i="2" s="1"/>
  <c r="E28" i="2"/>
  <c r="G28" i="2" s="1"/>
  <c r="E44" i="2"/>
  <c r="G44" i="2" s="1"/>
  <c r="E60" i="2"/>
  <c r="G60" i="2" s="1"/>
  <c r="E76" i="2"/>
  <c r="G76" i="2" s="1"/>
  <c r="E92" i="2"/>
  <c r="G92" i="2" s="1"/>
  <c r="E108" i="2"/>
  <c r="G108" i="2" s="1"/>
  <c r="E116" i="2"/>
  <c r="G116" i="2" s="1"/>
  <c r="E124" i="2"/>
  <c r="G124" i="2" s="1"/>
  <c r="E132" i="2"/>
  <c r="G132" i="2" s="1"/>
  <c r="E140" i="2"/>
  <c r="G140" i="2" s="1"/>
  <c r="E148" i="2"/>
  <c r="G148" i="2" s="1"/>
  <c r="E18" i="2"/>
  <c r="G18" i="2" s="1"/>
  <c r="E26" i="2"/>
  <c r="G26" i="2" s="1"/>
  <c r="E34" i="2"/>
  <c r="G34" i="2" s="1"/>
  <c r="E42" i="2"/>
  <c r="G42" i="2" s="1"/>
  <c r="E50" i="2"/>
  <c r="G50" i="2" s="1"/>
  <c r="E58" i="2"/>
  <c r="G58" i="2" s="1"/>
  <c r="E66" i="2"/>
  <c r="G66" i="2" s="1"/>
  <c r="E74" i="2"/>
  <c r="G74" i="2" s="1"/>
  <c r="E82" i="2"/>
  <c r="G82" i="2" s="1"/>
  <c r="E90" i="2"/>
  <c r="G90" i="2" s="1"/>
  <c r="E98" i="2"/>
  <c r="G98" i="2" s="1"/>
  <c r="E106" i="2"/>
  <c r="G106" i="2" s="1"/>
  <c r="E114" i="2"/>
  <c r="G114" i="2" s="1"/>
  <c r="E122" i="2"/>
  <c r="G122" i="2" s="1"/>
  <c r="E130" i="2"/>
  <c r="G130" i="2" s="1"/>
  <c r="E138" i="2"/>
  <c r="G138" i="2" s="1"/>
  <c r="E146" i="2"/>
  <c r="G146" i="2" s="1"/>
  <c r="E154" i="2"/>
  <c r="G154" i="2" s="1"/>
  <c r="E162" i="2"/>
  <c r="G162" i="2" s="1"/>
  <c r="E170" i="2"/>
  <c r="G170" i="2" s="1"/>
  <c r="E178" i="2"/>
  <c r="G178" i="2" s="1"/>
  <c r="E186" i="2"/>
  <c r="G186" i="2" s="1"/>
  <c r="E194" i="2"/>
  <c r="G194" i="2" s="1"/>
  <c r="E202" i="2"/>
  <c r="G202" i="2" s="1"/>
  <c r="E210" i="2"/>
  <c r="G210" i="2" s="1"/>
  <c r="E218" i="2"/>
  <c r="G218" i="2" s="1"/>
  <c r="E226" i="2"/>
  <c r="G226" i="2" s="1"/>
  <c r="E234" i="2"/>
  <c r="G234" i="2" s="1"/>
  <c r="E242" i="2"/>
  <c r="G242" i="2" s="1"/>
  <c r="E250" i="2"/>
  <c r="G250" i="2" s="1"/>
  <c r="E258" i="2"/>
  <c r="G258" i="2" s="1"/>
  <c r="E7" i="2"/>
  <c r="G7" i="2" s="1"/>
  <c r="E8" i="2"/>
  <c r="G8" i="2" s="1"/>
  <c r="E11" i="2"/>
  <c r="G11" i="2" s="1"/>
  <c r="E19" i="2"/>
  <c r="G19" i="2" s="1"/>
  <c r="E27" i="2"/>
  <c r="G27" i="2" s="1"/>
  <c r="E35" i="2"/>
  <c r="G35" i="2" s="1"/>
  <c r="E43" i="2"/>
  <c r="G43" i="2" s="1"/>
  <c r="E51" i="2"/>
  <c r="G51" i="2" s="1"/>
  <c r="E59" i="2"/>
  <c r="G59" i="2" s="1"/>
  <c r="E67" i="2"/>
  <c r="G67" i="2" s="1"/>
  <c r="E75" i="2"/>
  <c r="G75" i="2" s="1"/>
  <c r="E83" i="2"/>
  <c r="G83" i="2" s="1"/>
  <c r="E91" i="2"/>
  <c r="G91" i="2" s="1"/>
  <c r="E99" i="2"/>
  <c r="G99" i="2" s="1"/>
  <c r="E107" i="2"/>
  <c r="G107" i="2" s="1"/>
  <c r="E115" i="2"/>
  <c r="G115" i="2" s="1"/>
  <c r="E123" i="2"/>
  <c r="G123" i="2" s="1"/>
  <c r="E131" i="2"/>
  <c r="G131" i="2" s="1"/>
  <c r="E139" i="2"/>
  <c r="G139" i="2" s="1"/>
  <c r="E147" i="2"/>
  <c r="G147" i="2" s="1"/>
  <c r="E155" i="2"/>
  <c r="G155" i="2" s="1"/>
  <c r="E163" i="2"/>
  <c r="G163" i="2" s="1"/>
  <c r="E171" i="2"/>
  <c r="G171" i="2" s="1"/>
  <c r="E179" i="2"/>
  <c r="G179" i="2" s="1"/>
  <c r="E187" i="2"/>
  <c r="G187" i="2" s="1"/>
  <c r="E195" i="2"/>
  <c r="G195" i="2" s="1"/>
  <c r="E203" i="2"/>
  <c r="G203" i="2" s="1"/>
  <c r="E211" i="2"/>
  <c r="G211" i="2" s="1"/>
  <c r="E219" i="2"/>
  <c r="G219" i="2" s="1"/>
  <c r="E227" i="2"/>
  <c r="G227" i="2" s="1"/>
  <c r="E235" i="2"/>
  <c r="G235" i="2" s="1"/>
  <c r="E243" i="2"/>
  <c r="G243" i="2" s="1"/>
  <c r="E251" i="2"/>
  <c r="G251" i="2" s="1"/>
  <c r="E259" i="2"/>
  <c r="G259" i="2" s="1"/>
  <c r="E10" i="2"/>
  <c r="G10" i="2" s="1"/>
  <c r="E20" i="2"/>
  <c r="G20" i="2" s="1"/>
  <c r="E36" i="2"/>
  <c r="G36" i="2" s="1"/>
  <c r="E52" i="2"/>
  <c r="G52" i="2" s="1"/>
  <c r="E68" i="2"/>
  <c r="G68" i="2" s="1"/>
  <c r="E84" i="2"/>
  <c r="G84" i="2" s="1"/>
  <c r="E37" i="2"/>
  <c r="G37" i="2" s="1"/>
  <c r="E69" i="2"/>
  <c r="G69" i="2" s="1"/>
  <c r="E111" i="2"/>
  <c r="G111" i="2" s="1"/>
  <c r="E121" i="2"/>
  <c r="G121" i="2" s="1"/>
  <c r="E143" i="2"/>
  <c r="G143" i="2" s="1"/>
  <c r="E153" i="2"/>
  <c r="G153" i="2" s="1"/>
  <c r="E173" i="2"/>
  <c r="G173" i="2" s="1"/>
  <c r="E183" i="2"/>
  <c r="G183" i="2" s="1"/>
  <c r="E232" i="2"/>
  <c r="G232" i="2" s="1"/>
  <c r="E252" i="2"/>
  <c r="G252" i="2" s="1"/>
  <c r="E16" i="2"/>
  <c r="G16" i="2" s="1"/>
  <c r="E48" i="2"/>
  <c r="G48" i="2" s="1"/>
  <c r="E80" i="2"/>
  <c r="G80" i="2" s="1"/>
  <c r="E101" i="2"/>
  <c r="G101" i="2" s="1"/>
  <c r="E133" i="2"/>
  <c r="G133" i="2" s="1"/>
  <c r="E164" i="2"/>
  <c r="G164" i="2" s="1"/>
  <c r="E193" i="2"/>
  <c r="G193" i="2" s="1"/>
  <c r="E213" i="2"/>
  <c r="G213" i="2" s="1"/>
  <c r="E223" i="2"/>
  <c r="G223" i="2" s="1"/>
  <c r="E112" i="2"/>
  <c r="G112" i="2" s="1"/>
  <c r="E144" i="2"/>
  <c r="G144" i="2" s="1"/>
  <c r="E184" i="2"/>
  <c r="G184" i="2" s="1"/>
  <c r="E204" i="2"/>
  <c r="G204" i="2" s="1"/>
  <c r="E233" i="2"/>
  <c r="G233" i="2" s="1"/>
  <c r="E253" i="2"/>
  <c r="G253" i="2" s="1"/>
  <c r="E263" i="2"/>
  <c r="G263" i="2" s="1"/>
  <c r="E17" i="2"/>
  <c r="G17" i="2" s="1"/>
  <c r="E39" i="2"/>
  <c r="G39" i="2" s="1"/>
  <c r="E49" i="2"/>
  <c r="G49" i="2" s="1"/>
  <c r="E71" i="2"/>
  <c r="G71" i="2" s="1"/>
  <c r="E81" i="2"/>
  <c r="G81" i="2" s="1"/>
  <c r="E165" i="2"/>
  <c r="G165" i="2" s="1"/>
  <c r="E175" i="2"/>
  <c r="G175" i="2" s="1"/>
  <c r="E224" i="2"/>
  <c r="G224" i="2" s="1"/>
  <c r="E244" i="2"/>
  <c r="G244" i="2" s="1"/>
  <c r="E2" i="2"/>
  <c r="G2" i="2" s="1"/>
  <c r="E237" i="2"/>
  <c r="G237" i="2" s="1"/>
  <c r="E215" i="2"/>
  <c r="G215" i="2" s="1"/>
  <c r="E160" i="2"/>
  <c r="G160" i="2" s="1"/>
  <c r="E247" i="2"/>
  <c r="G247" i="2" s="1"/>
  <c r="E225" i="2"/>
  <c r="G225" i="2" s="1"/>
  <c r="E149" i="2"/>
  <c r="G149" i="2" s="1"/>
  <c r="E257" i="2"/>
  <c r="G257" i="2" s="1"/>
  <c r="E236" i="2"/>
  <c r="G236" i="2" s="1"/>
  <c r="E192" i="2"/>
  <c r="G192" i="2" s="1"/>
  <c r="E136" i="2"/>
  <c r="G136" i="2" s="1"/>
  <c r="E79" i="2"/>
  <c r="G79" i="2" s="1"/>
  <c r="E169" i="2"/>
  <c r="G169" i="2" s="1"/>
  <c r="E21" i="2"/>
  <c r="G21" i="2" s="1"/>
  <c r="E256" i="2"/>
  <c r="G256" i="2" s="1"/>
  <c r="E89" i="2"/>
  <c r="G89" i="2" s="1"/>
  <c r="G239" i="2"/>
  <c r="G128" i="2"/>
  <c r="G117" i="2"/>
  <c r="G216" i="2"/>
  <c r="G104" i="2"/>
  <c r="G24" i="2"/>
  <c r="G172" i="2"/>
  <c r="G127" i="2"/>
  <c r="G93" i="2"/>
  <c r="E137" i="2"/>
  <c r="G137" i="2" s="1"/>
  <c r="E103" i="2"/>
  <c r="G103" i="2" s="1"/>
  <c r="E57" i="2"/>
  <c r="G57" i="2" s="1"/>
  <c r="E33" i="2"/>
  <c r="G33" i="2" s="1"/>
  <c r="E23" i="2"/>
  <c r="G23" i="2" s="1"/>
  <c r="E45" i="2"/>
  <c r="G45" i="2" s="1"/>
  <c r="E181" i="2"/>
  <c r="G181" i="2" s="1"/>
  <c r="E159" i="2"/>
  <c r="G159" i="2" s="1"/>
  <c r="E125" i="2"/>
  <c r="G125" i="2" s="1"/>
  <c r="E113" i="2"/>
  <c r="G113" i="2" s="1"/>
  <c r="E56" i="2"/>
  <c r="G56" i="2" s="1"/>
  <c r="E32" i="2"/>
  <c r="G32" i="2" s="1"/>
  <c r="E245" i="2"/>
  <c r="G245" i="2" s="1"/>
  <c r="E212" i="2"/>
  <c r="G212" i="2" s="1"/>
  <c r="E201" i="2"/>
  <c r="G201" i="2" s="1"/>
  <c r="E191" i="2"/>
  <c r="G191" i="2" s="1"/>
  <c r="E180" i="2"/>
  <c r="G180" i="2" s="1"/>
  <c r="E135" i="2"/>
  <c r="G135" i="2" s="1"/>
  <c r="E100" i="2"/>
  <c r="G100" i="2" s="1"/>
  <c r="E65" i="2"/>
  <c r="G65" i="2" s="1"/>
  <c r="E55" i="2"/>
  <c r="G55" i="2" s="1"/>
  <c r="E31" i="2"/>
  <c r="G31" i="2" s="1"/>
  <c r="E168" i="2"/>
  <c r="G168" i="2" s="1"/>
  <c r="E157" i="2"/>
  <c r="G157" i="2" s="1"/>
  <c r="E77" i="2"/>
  <c r="G77" i="2" s="1"/>
  <c r="E255" i="2"/>
  <c r="G255" i="2" s="1"/>
  <c r="E221" i="2"/>
  <c r="G221" i="2" s="1"/>
  <c r="E200" i="2"/>
  <c r="G200" i="2" s="1"/>
  <c r="E145" i="2"/>
  <c r="G145" i="2" s="1"/>
  <c r="E88" i="2"/>
  <c r="G88" i="2" s="1"/>
  <c r="E64" i="2"/>
  <c r="G64" i="2" s="1"/>
  <c r="E41" i="2"/>
  <c r="G41" i="2" s="1"/>
  <c r="E5" i="2"/>
  <c r="G5" i="2" s="1"/>
  <c r="E189" i="2"/>
  <c r="G189" i="2" s="1"/>
  <c r="E167" i="2"/>
  <c r="G167" i="2" s="1"/>
  <c r="E156" i="2"/>
  <c r="G156" i="2" s="1"/>
  <c r="E109" i="2"/>
  <c r="G109" i="2" s="1"/>
  <c r="E53" i="2"/>
  <c r="G53" i="2" s="1"/>
  <c r="E29" i="2"/>
  <c r="G29" i="2" s="1"/>
  <c r="E4" i="2"/>
  <c r="G4" i="2" s="1"/>
  <c r="E231" i="2"/>
  <c r="G231" i="2" s="1"/>
  <c r="E220" i="2"/>
  <c r="G220" i="2" s="1"/>
  <c r="E209" i="2"/>
  <c r="G209" i="2" s="1"/>
  <c r="E199" i="2"/>
  <c r="G199" i="2" s="1"/>
  <c r="E177" i="2"/>
  <c r="G177" i="2" s="1"/>
  <c r="E120" i="2"/>
  <c r="G120" i="2" s="1"/>
  <c r="E97" i="2"/>
  <c r="G97" i="2" s="1"/>
  <c r="E87" i="2"/>
  <c r="G87" i="2" s="1"/>
  <c r="E63" i="2"/>
  <c r="G63" i="2" s="1"/>
  <c r="E40" i="2"/>
  <c r="G40" i="2" s="1"/>
  <c r="E3" i="2"/>
  <c r="G3" i="2" s="1"/>
  <c r="E241" i="2"/>
  <c r="G241" i="2" s="1"/>
  <c r="E188" i="2"/>
  <c r="G188" i="2" s="1"/>
  <c r="E208" i="2"/>
  <c r="G208" i="2" s="1"/>
  <c r="E176" i="2"/>
  <c r="G176" i="2" s="1"/>
  <c r="E119" i="2"/>
  <c r="G119" i="2" s="1"/>
  <c r="E96" i="2"/>
  <c r="G96" i="2" s="1"/>
  <c r="E73" i="2"/>
  <c r="G73" i="2" s="1"/>
  <c r="E15" i="2"/>
  <c r="G15" i="2" s="1"/>
  <c r="D261" i="2"/>
  <c r="D245" i="2"/>
  <c r="D229" i="2"/>
  <c r="D213" i="2"/>
  <c r="D197" i="2"/>
  <c r="D181" i="2"/>
  <c r="D165" i="2"/>
  <c r="D149" i="2"/>
  <c r="D133" i="2"/>
  <c r="D117" i="2"/>
  <c r="D101" i="2"/>
  <c r="D85" i="2"/>
  <c r="D69" i="2"/>
  <c r="D53" i="2"/>
  <c r="D37" i="2"/>
  <c r="D21" i="2"/>
  <c r="D260" i="2"/>
  <c r="D244" i="2"/>
  <c r="D228" i="2"/>
  <c r="D212" i="2"/>
  <c r="D196" i="2"/>
  <c r="D180" i="2"/>
  <c r="D164" i="2"/>
  <c r="D148" i="2"/>
  <c r="D132" i="2"/>
  <c r="D116" i="2"/>
  <c r="D100" i="2"/>
  <c r="D84" i="2"/>
  <c r="D68" i="2"/>
  <c r="D52" i="2"/>
  <c r="D36" i="2"/>
  <c r="D20" i="2"/>
  <c r="D5" i="2"/>
  <c r="D234" i="2"/>
  <c r="D202" i="2"/>
  <c r="D170" i="2"/>
  <c r="D138" i="2"/>
  <c r="D106" i="2"/>
  <c r="D74" i="2"/>
  <c r="D42" i="2"/>
  <c r="D249" i="2"/>
  <c r="D217" i="2"/>
  <c r="D185" i="2"/>
  <c r="D153" i="2"/>
  <c r="D121" i="2"/>
  <c r="D89" i="2"/>
  <c r="D57" i="2"/>
  <c r="D25" i="2"/>
  <c r="D3" i="2"/>
  <c r="D248" i="2"/>
  <c r="D232" i="2"/>
  <c r="D216" i="2"/>
  <c r="D200" i="2"/>
  <c r="D184" i="2"/>
  <c r="D168" i="2"/>
  <c r="D152" i="2"/>
  <c r="D136" i="2"/>
  <c r="D120" i="2"/>
  <c r="D104" i="2"/>
  <c r="D88" i="2"/>
  <c r="D72" i="2"/>
  <c r="D56" i="2"/>
  <c r="D40" i="2"/>
  <c r="D24" i="2"/>
  <c r="D263" i="2"/>
  <c r="D247" i="2"/>
  <c r="D231" i="2"/>
  <c r="D215" i="2"/>
  <c r="D199" i="2"/>
  <c r="D183" i="2"/>
  <c r="D167" i="2"/>
  <c r="D151" i="2"/>
  <c r="D135" i="2"/>
  <c r="D119" i="2"/>
  <c r="D103" i="2"/>
  <c r="D87" i="2"/>
  <c r="D71" i="2"/>
  <c r="D55" i="2"/>
  <c r="D39" i="2"/>
  <c r="D23" i="2"/>
  <c r="D250" i="2"/>
  <c r="D218" i="2"/>
  <c r="D186" i="2"/>
  <c r="D154" i="2"/>
  <c r="D122" i="2"/>
  <c r="D90" i="2"/>
  <c r="D58" i="2"/>
  <c r="D26" i="2"/>
  <c r="D233" i="2"/>
  <c r="D201" i="2"/>
  <c r="D169" i="2"/>
  <c r="D137" i="2"/>
  <c r="D105" i="2"/>
  <c r="D73" i="2"/>
  <c r="D41" i="2"/>
  <c r="D262" i="2"/>
  <c r="D246" i="2"/>
  <c r="D230" i="2"/>
  <c r="D214" i="2"/>
  <c r="D198" i="2"/>
  <c r="D182" i="2"/>
  <c r="D166" i="2"/>
  <c r="D150" i="2"/>
  <c r="D134" i="2"/>
  <c r="D118" i="2"/>
  <c r="D102" i="2"/>
  <c r="D86" i="2"/>
  <c r="D70" i="2"/>
  <c r="D54" i="2"/>
  <c r="D38" i="2"/>
  <c r="D22" i="2"/>
</calcChain>
</file>

<file path=xl/sharedStrings.xml><?xml version="1.0" encoding="utf-8"?>
<sst xmlns="http://schemas.openxmlformats.org/spreadsheetml/2006/main" count="2258" uniqueCount="890">
  <si>
    <t>Input</t>
  </si>
  <si>
    <t>Planned Arrival Rate</t>
  </si>
  <si>
    <t>Unplanned Arrival Rate</t>
  </si>
  <si>
    <t>Cancellation rate</t>
  </si>
  <si>
    <t>Service Rate</t>
  </si>
  <si>
    <t>Time</t>
  </si>
  <si>
    <t>PBIs/Day</t>
  </si>
  <si>
    <t>PBIs</t>
  </si>
  <si>
    <t>Units</t>
  </si>
  <si>
    <t>Metric</t>
  </si>
  <si>
    <t>Stability</t>
  </si>
  <si>
    <t>Curent Value</t>
  </si>
  <si>
    <t>Quality</t>
  </si>
  <si>
    <t>Control</t>
  </si>
  <si>
    <t>Mean</t>
  </si>
  <si>
    <t>Max</t>
  </si>
  <si>
    <t>Min</t>
  </si>
  <si>
    <t>Median</t>
  </si>
  <si>
    <t>Current Value</t>
  </si>
  <si>
    <t>System Size (Backlog &amp; Board)</t>
  </si>
  <si>
    <t>Target Value</t>
  </si>
  <si>
    <t>Time to System Size Zero</t>
  </si>
  <si>
    <t>Current: Arrivals</t>
  </si>
  <si>
    <t>Current: Services</t>
  </si>
  <si>
    <t>Current: Backlog</t>
  </si>
  <si>
    <t>Target: Arrivals</t>
  </si>
  <si>
    <t>Target: Services</t>
  </si>
  <si>
    <t>Target: Backlog</t>
  </si>
  <si>
    <t>Days</t>
  </si>
  <si>
    <t>Inventory Days</t>
  </si>
  <si>
    <t>days</t>
  </si>
  <si>
    <t>System</t>
  </si>
  <si>
    <t>Duration Analysed (days)</t>
  </si>
  <si>
    <t>Start Date &amp; Time (date)</t>
  </si>
  <si>
    <t>End Date &amp; Time (date)</t>
  </si>
  <si>
    <t>Total PBIs (PBIs)</t>
  </si>
  <si>
    <t>Filtered PBIs (PBIs)</t>
  </si>
  <si>
    <t>Planned Arrivals (PBIs)</t>
  </si>
  <si>
    <t>Unplanned Arrivals (PBIs)</t>
  </si>
  <si>
    <t>Cancelled Arrivals (PBIs)</t>
  </si>
  <si>
    <t>Net Arrivals (PBIs)</t>
  </si>
  <si>
    <t>Services (PBIs)</t>
  </si>
  <si>
    <t>Measured System Size (PBIs)</t>
  </si>
  <si>
    <t>Planned Arrival Rate - alpha (PBIs/day)</t>
  </si>
  <si>
    <t>Unplanned Arrival Rate - epsilon (PBIs/day)</t>
  </si>
  <si>
    <t>Cancelled Rate - gamma (PBIs/day)</t>
  </si>
  <si>
    <t>Service Rate - mu (PBIs/day)</t>
  </si>
  <si>
    <t>Psi</t>
  </si>
  <si>
    <t>Nu</t>
  </si>
  <si>
    <t>Zeta</t>
  </si>
  <si>
    <t>Strategy</t>
  </si>
  <si>
    <t>alpha R^2</t>
  </si>
  <si>
    <t>epsilon R^2</t>
  </si>
  <si>
    <t>gamma R^2</t>
  </si>
  <si>
    <t>mu R^2</t>
  </si>
  <si>
    <t>Date/Time of Analysis</t>
  </si>
  <si>
    <t>Notes</t>
  </si>
  <si>
    <t>AA</t>
  </si>
  <si>
    <t>Scale-up</t>
  </si>
  <si>
    <t>AAH</t>
  </si>
  <si>
    <t>AAPRFE</t>
  </si>
  <si>
    <t>ACA</t>
  </si>
  <si>
    <t>ACM</t>
  </si>
  <si>
    <t>AEROGEAR</t>
  </si>
  <si>
    <t>Catch-up</t>
  </si>
  <si>
    <t>AESH</t>
  </si>
  <si>
    <t>AF</t>
  </si>
  <si>
    <t>AG</t>
  </si>
  <si>
    <t>AGENT</t>
  </si>
  <si>
    <t>AMQDOC</t>
  </si>
  <si>
    <t>ANA</t>
  </si>
  <si>
    <t>API</t>
  </si>
  <si>
    <t>APIMAN</t>
  </si>
  <si>
    <t>APPAI</t>
  </si>
  <si>
    <t>APPSVC</t>
  </si>
  <si>
    <t>ARQ</t>
  </si>
  <si>
    <t>AUTH</t>
  </si>
  <si>
    <t>BUILD</t>
  </si>
  <si>
    <t>BXMSDOC</t>
  </si>
  <si>
    <t>BYTEMAN</t>
  </si>
  <si>
    <t>CCO</t>
  </si>
  <si>
    <t>CDI</t>
  </si>
  <si>
    <t>Start-up</t>
  </si>
  <si>
    <t>CDITCK</t>
  </si>
  <si>
    <t>CEQ</t>
  </si>
  <si>
    <t>CFE</t>
  </si>
  <si>
    <t>CGW</t>
  </si>
  <si>
    <t>CHE</t>
  </si>
  <si>
    <t>CLAIRDEV</t>
  </si>
  <si>
    <t>CLID</t>
  </si>
  <si>
    <t>CLOUD</t>
  </si>
  <si>
    <t>CM</t>
  </si>
  <si>
    <t>CMCS</t>
  </si>
  <si>
    <t>CMLK</t>
  </si>
  <si>
    <t>Plan-up</t>
  </si>
  <si>
    <t>CMP</t>
  </si>
  <si>
    <t>CMTOOL</t>
  </si>
  <si>
    <t>CNRDOC</t>
  </si>
  <si>
    <t>CNV</t>
  </si>
  <si>
    <t>COCKPIT</t>
  </si>
  <si>
    <t>COMPOSER</t>
  </si>
  <si>
    <t>CONSOLE</t>
  </si>
  <si>
    <t>COO</t>
  </si>
  <si>
    <t>CORS</t>
  </si>
  <si>
    <t>COST</t>
  </si>
  <si>
    <t>COS</t>
  </si>
  <si>
    <t>CPE</t>
  </si>
  <si>
    <t>CRW</t>
  </si>
  <si>
    <t>CSB</t>
  </si>
  <si>
    <t>CS</t>
  </si>
  <si>
    <t>DBAAS</t>
  </si>
  <si>
    <t>DBZ</t>
  </si>
  <si>
    <t>DESIGN</t>
  </si>
  <si>
    <t>DIRSRV</t>
  </si>
  <si>
    <t>DMR</t>
  </si>
  <si>
    <t>DROOLS</t>
  </si>
  <si>
    <t>EAPDOC</t>
  </si>
  <si>
    <t>EJBCLIENT</t>
  </si>
  <si>
    <t>EJBTHREE</t>
  </si>
  <si>
    <t>ELYEE</t>
  </si>
  <si>
    <t>ELYWEB</t>
  </si>
  <si>
    <t>ELY</t>
  </si>
  <si>
    <t>ENTESB</t>
  </si>
  <si>
    <t>ENTMQBR</t>
  </si>
  <si>
    <t>ENTMQCL</t>
  </si>
  <si>
    <t>ENTMQIC</t>
  </si>
  <si>
    <t>ENTMQMAAS</t>
  </si>
  <si>
    <t>ENTMQST</t>
  </si>
  <si>
    <t>ENTMQ</t>
  </si>
  <si>
    <t>ENTSBT</t>
  </si>
  <si>
    <t>ENTVTX</t>
  </si>
  <si>
    <t>ETCD</t>
  </si>
  <si>
    <t>FAI</t>
  </si>
  <si>
    <t>FDP</t>
  </si>
  <si>
    <t>FLPATH</t>
  </si>
  <si>
    <t>FORGE</t>
  </si>
  <si>
    <t>FUSEDOC</t>
  </si>
  <si>
    <t>FUSETOOLS</t>
  </si>
  <si>
    <t>GITOPS</t>
  </si>
  <si>
    <t>GRPA</t>
  </si>
  <si>
    <t>HAL</t>
  </si>
  <si>
    <t>HAWKULAR</t>
  </si>
  <si>
    <t>HAWNG</t>
  </si>
  <si>
    <t>HCCDDF</t>
  </si>
  <si>
    <t>HCIDOCS</t>
  </si>
  <si>
    <t>HELM</t>
  </si>
  <si>
    <t>HIVE</t>
  </si>
  <si>
    <t>HMS</t>
  </si>
  <si>
    <t>HOSTEDCP</t>
  </si>
  <si>
    <t>HRCPP</t>
  </si>
  <si>
    <t>INSTALLER</t>
  </si>
  <si>
    <t>IR</t>
  </si>
  <si>
    <t>ISPN</t>
  </si>
  <si>
    <t>JANDEX</t>
  </si>
  <si>
    <t>JBAS</t>
  </si>
  <si>
    <t>JBCS</t>
  </si>
  <si>
    <t>JBDS</t>
  </si>
  <si>
    <t>JBEAP</t>
  </si>
  <si>
    <t>JBEE</t>
  </si>
  <si>
    <t>JBERET</t>
  </si>
  <si>
    <t>JBIDE</t>
  </si>
  <si>
    <t>JBJCA</t>
  </si>
  <si>
    <t>JBLOGGING</t>
  </si>
  <si>
    <t>JBMAR</t>
  </si>
  <si>
    <t>JBMETA</t>
  </si>
  <si>
    <t>JBNAME</t>
  </si>
  <si>
    <t>JBPAPP</t>
  </si>
  <si>
    <t>JBPM</t>
  </si>
  <si>
    <t>JBTM</t>
  </si>
  <si>
    <t>JBVFS</t>
  </si>
  <si>
    <t>JBWS</t>
  </si>
  <si>
    <t>JDF</t>
  </si>
  <si>
    <t>JDG</t>
  </si>
  <si>
    <t>JGRP</t>
  </si>
  <si>
    <t>JKNS</t>
  </si>
  <si>
    <t>JWS</t>
  </si>
  <si>
    <t>KATA</t>
  </si>
  <si>
    <t>KFLUXUI</t>
  </si>
  <si>
    <t>KIECLOUD</t>
  </si>
  <si>
    <t>KOGITO</t>
  </si>
  <si>
    <t>LOGMGR</t>
  </si>
  <si>
    <t>LOG</t>
  </si>
  <si>
    <t>MAISTRA</t>
  </si>
  <si>
    <t>MCO</t>
  </si>
  <si>
    <t>MDC</t>
  </si>
  <si>
    <t>MGDAPI</t>
  </si>
  <si>
    <t>MGDOBR</t>
  </si>
  <si>
    <t>MGDSR</t>
  </si>
  <si>
    <t>MGDSTRM</t>
  </si>
  <si>
    <t>MGDX</t>
  </si>
  <si>
    <t>MIG</t>
  </si>
  <si>
    <t>MODCLUSTER</t>
  </si>
  <si>
    <t>MODE</t>
  </si>
  <si>
    <t>MODULES</t>
  </si>
  <si>
    <t>MON</t>
  </si>
  <si>
    <t>MR</t>
  </si>
  <si>
    <t>MSC</t>
  </si>
  <si>
    <t>MTA</t>
  </si>
  <si>
    <t>MTV</t>
  </si>
  <si>
    <t>MULTIARCH</t>
  </si>
  <si>
    <t>NE</t>
  </si>
  <si>
    <t>NETOBSERV</t>
  </si>
  <si>
    <t>NEXUS</t>
  </si>
  <si>
    <t>NHE</t>
  </si>
  <si>
    <t>NP</t>
  </si>
  <si>
    <t>OADP</t>
  </si>
  <si>
    <t>OBSDA</t>
  </si>
  <si>
    <t>OBSDOCS</t>
  </si>
  <si>
    <t>OCMUI</t>
  </si>
  <si>
    <t>OCPBUGS</t>
  </si>
  <si>
    <t>OCPBUILD</t>
  </si>
  <si>
    <t>OCPCLOUD</t>
  </si>
  <si>
    <t>OCPNODE</t>
  </si>
  <si>
    <t>OCPPLAN</t>
  </si>
  <si>
    <t>OCPSTRAT</t>
  </si>
  <si>
    <t>ODC</t>
  </si>
  <si>
    <t>ODH</t>
  </si>
  <si>
    <t>OKD</t>
  </si>
  <si>
    <t>OPCT</t>
  </si>
  <si>
    <t>OPECO</t>
  </si>
  <si>
    <t>OPENJDK</t>
  </si>
  <si>
    <t>OPNET</t>
  </si>
  <si>
    <t>OPRUN</t>
  </si>
  <si>
    <t>ORG</t>
  </si>
  <si>
    <t>OSASINFRA</t>
  </si>
  <si>
    <t>OSJC</t>
  </si>
  <si>
    <t>OSPK8</t>
  </si>
  <si>
    <t>OSPRH</t>
  </si>
  <si>
    <t>OSSM</t>
  </si>
  <si>
    <t>OTA</t>
  </si>
  <si>
    <t>OU</t>
  </si>
  <si>
    <t>PD</t>
  </si>
  <si>
    <t>PLANNER</t>
  </si>
  <si>
    <t>PLINK</t>
  </si>
  <si>
    <t>PODAUTO</t>
  </si>
  <si>
    <t>PROJQUAY</t>
  </si>
  <si>
    <t>PSAP</t>
  </si>
  <si>
    <t>PTL</t>
  </si>
  <si>
    <t>QDOCS</t>
  </si>
  <si>
    <t>QUARKUS</t>
  </si>
  <si>
    <t>RAT</t>
  </si>
  <si>
    <t>RDO</t>
  </si>
  <si>
    <t>REMJMX</t>
  </si>
  <si>
    <t>RESTEASY</t>
  </si>
  <si>
    <t>RFE</t>
  </si>
  <si>
    <t>RHBK</t>
  </si>
  <si>
    <t>RHBOP</t>
  </si>
  <si>
    <t>RHBPMS</t>
  </si>
  <si>
    <t>RHCLOUD</t>
  </si>
  <si>
    <t>RHDEVDOCS</t>
  </si>
  <si>
    <t>RHDM</t>
  </si>
  <si>
    <t>RHELC</t>
  </si>
  <si>
    <t>RHELDOCS</t>
  </si>
  <si>
    <t>RHEL</t>
  </si>
  <si>
    <t>RHIDP</t>
  </si>
  <si>
    <t>RHINENG</t>
  </si>
  <si>
    <t>RHODS</t>
  </si>
  <si>
    <t>RHPAM</t>
  </si>
  <si>
    <t>RHSSO</t>
  </si>
  <si>
    <t>RUN</t>
  </si>
  <si>
    <t>SAT</t>
  </si>
  <si>
    <t>SBXBUG</t>
  </si>
  <si>
    <t>SB</t>
  </si>
  <si>
    <t>SDN</t>
  </si>
  <si>
    <t>SDSTRAT</t>
  </si>
  <si>
    <t>SECDATA</t>
  </si>
  <si>
    <t>SECURITY</t>
  </si>
  <si>
    <t>SHRINKRES</t>
  </si>
  <si>
    <t>SHRINKWRAP</t>
  </si>
  <si>
    <t>SKUPPER</t>
  </si>
  <si>
    <t>SO</t>
  </si>
  <si>
    <t>SPLAT</t>
  </si>
  <si>
    <t>SRVKP</t>
  </si>
  <si>
    <t>SRVLOGIC</t>
  </si>
  <si>
    <t>SSLNTV</t>
  </si>
  <si>
    <t>STOR</t>
  </si>
  <si>
    <t>SWATCH</t>
  </si>
  <si>
    <t>SWSQE</t>
  </si>
  <si>
    <t>TACKLE</t>
  </si>
  <si>
    <t>TEIIDDES</t>
  </si>
  <si>
    <t>TEIID</t>
  </si>
  <si>
    <t>TEST</t>
  </si>
  <si>
    <t>THREESCALE</t>
  </si>
  <si>
    <t>TRACING</t>
  </si>
  <si>
    <t>TRT</t>
  </si>
  <si>
    <t>UNDERTOW</t>
  </si>
  <si>
    <t>USHIFT</t>
  </si>
  <si>
    <t>WEJBHTTP</t>
  </si>
  <si>
    <t>WELD</t>
  </si>
  <si>
    <t>WFARQ</t>
  </si>
  <si>
    <t>WFCC</t>
  </si>
  <si>
    <t>WFCOM</t>
  </si>
  <si>
    <t>WFCORE</t>
  </si>
  <si>
    <t>WFDISC</t>
  </si>
  <si>
    <t>WFLY</t>
  </si>
  <si>
    <t>WFMP</t>
  </si>
  <si>
    <t>WFNC</t>
  </si>
  <si>
    <t>WFSSL</t>
  </si>
  <si>
    <t>WFTC</t>
  </si>
  <si>
    <t>WFWIP</t>
  </si>
  <si>
    <t>WINC</t>
  </si>
  <si>
    <t>AS7</t>
  </si>
  <si>
    <t>REM3</t>
  </si>
  <si>
    <t>WINDUPRULE</t>
  </si>
  <si>
    <t>WINDUP</t>
  </si>
  <si>
    <t>WRKLDS</t>
  </si>
  <si>
    <t>WTO</t>
  </si>
  <si>
    <t>XNIO</t>
  </si>
  <si>
    <t>Mode</t>
  </si>
  <si>
    <t>Legend</t>
  </si>
  <si>
    <t>Output</t>
  </si>
  <si>
    <t>First Quartile</t>
  </si>
  <si>
    <t>Third Quartile</t>
  </si>
  <si>
    <t>All</t>
  </si>
  <si>
    <t>Last100</t>
  </si>
  <si>
    <t>Group</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</si>
  <si>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</si>
  <si>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</si>
  <si>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</si>
  <si>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</si>
  <si>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</si>
  <si>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</si>
  <si>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</si>
  <si>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</si>
  <si>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</si>
  <si>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</si>
  <si>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</si>
  <si>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</si>
  <si>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</si>
  <si>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</si>
  <si>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</si>
  <si>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</si>
  <si>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</si>
  <si>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</si>
  <si>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</si>
  <si>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</si>
  <si>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</si>
  <si>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</si>
  <si>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</si>
  <si>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</si>
  <si>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</si>
  <si>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</si>
  <si>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</si>
  <si>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</si>
  <si>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</si>
  <si>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</si>
  <si>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</si>
  <si>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</si>
  <si>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</si>
  <si>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</si>
  <si>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</si>
  <si>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</si>
  <si>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</si>
  <si>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</si>
  <si>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</si>
  <si>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</si>
  <si>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</si>
  <si>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</si>
  <si>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</si>
  <si>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</si>
  <si>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</si>
  <si>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</si>
  <si>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</si>
  <si>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</si>
  <si>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</si>
  <si>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</si>
  <si>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</si>
  <si>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</si>
  <si>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</si>
  <si>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</si>
  <si>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</si>
  <si>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</si>
  <si>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</si>
  <si>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</si>
  <si>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</si>
  <si>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</si>
  <si>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</si>
  <si>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</si>
  <si>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</si>
  <si>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</si>
  <si>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</si>
  <si>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</si>
  <si>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</si>
  <si>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</si>
  <si>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</si>
  <si>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</si>
  <si>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</si>
  <si>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</si>
  <si>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</si>
  <si>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</si>
  <si>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</si>
  <si>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</si>
  <si>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</si>
  <si>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</si>
  <si>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</si>
  <si>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</si>
  <si>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</si>
  <si>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</si>
  <si>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</si>
  <si>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</si>
  <si>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</si>
  <si>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</si>
  <si>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</si>
  <si>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</si>
  <si>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</si>
  <si>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</si>
  <si>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</si>
  <si>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</si>
  <si>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</si>
  <si>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</si>
  <si>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</si>
  <si>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</si>
  <si>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</si>
  <si>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</si>
  <si>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</si>
  <si>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</si>
  <si>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</si>
  <si>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</si>
  <si>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</si>
  <si>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</si>
  <si>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</si>
  <si>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</si>
  <si>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</si>
  <si>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</si>
  <si>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</si>
  <si>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</si>
  <si>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</si>
  <si>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</si>
  <si>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</si>
  <si>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</si>
  <si>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</si>
  <si>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</si>
  <si>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</si>
  <si>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</si>
  <si>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</si>
  <si>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</si>
  <si>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</si>
  <si>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</si>
  <si>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</si>
  <si>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</si>
  <si>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</si>
  <si>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</si>
  <si>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</si>
  <si>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</si>
  <si>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</si>
  <si>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</si>
  <si>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</si>
  <si>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</si>
  <si>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</si>
  <si>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</si>
  <si>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</si>
  <si>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</si>
  <si>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</si>
  <si>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</si>
  <si>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</si>
  <si>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</si>
  <si>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</si>
  <si>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</si>
  <si>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</si>
  <si>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</si>
  <si>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</si>
  <si>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</si>
  <si>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</si>
  <si>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</si>
  <si>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</si>
  <si>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</si>
  <si>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</si>
  <si>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</si>
  <si>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</si>
  <si>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</si>
  <si>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</si>
  <si>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</si>
  <si>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</si>
  <si>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</si>
  <si>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</si>
  <si>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</si>
  <si>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</si>
  <si>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</si>
  <si>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</si>
  <si>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</si>
  <si>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</si>
  <si>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</si>
  <si>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</si>
  <si>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</si>
  <si>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</si>
  <si>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</si>
  <si>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</si>
  <si>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</si>
  <si>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</si>
  <si>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</si>
  <si>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</si>
  <si>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</si>
  <si>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</si>
  <si>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</si>
  <si>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</si>
  <si>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</si>
  <si>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</si>
  <si>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</si>
  <si>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</si>
  <si>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</si>
  <si>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</si>
  <si>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</si>
  <si>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</si>
  <si>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</si>
  <si>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</si>
  <si>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</si>
  <si>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</si>
  <si>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</si>
  <si>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</si>
  <si>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</si>
  <si>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</si>
  <si>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</si>
  <si>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</si>
  <si>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</si>
  <si>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</si>
  <si>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</si>
  <si>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</si>
  <si>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</si>
  <si>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</si>
  <si>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</si>
  <si>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</si>
  <si>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</si>
  <si>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</si>
  <si>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</si>
  <si>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</si>
  <si>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</si>
  <si>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</si>
  <si>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</si>
  <si>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</si>
  <si>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</si>
  <si>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</si>
  <si>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</si>
  <si>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</si>
  <si>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</si>
  <si>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</si>
  <si>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</si>
  <si>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</si>
  <si>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</si>
  <si>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</si>
  <si>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</si>
  <si>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</si>
  <si>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</si>
  <si>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</si>
  <si>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</si>
  <si>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</si>
  <si>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</si>
  <si>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</si>
  <si>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</si>
  <si>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</si>
  <si>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</si>
  <si>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</si>
  <si>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</si>
  <si>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</si>
  <si>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</si>
  <si>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</si>
  <si>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</si>
  <si>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</si>
  <si>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</si>
  <si>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</si>
  <si>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</si>
  <si>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</si>
  <si>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</si>
  <si>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</si>
  <si>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</si>
  <si>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</si>
  <si>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</si>
  <si>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</si>
  <si>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</si>
  <si>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</si>
  <si>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</si>
  <si>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</si>
  <si>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</si>
  <si>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</si>
  <si>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</si>
  <si>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</si>
  <si>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</si>
  <si>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</si>
  <si>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</si>
  <si>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</si>
  <si>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</si>
  <si>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</si>
  <si>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</si>
  <si>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</si>
  <si>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</si>
  <si>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</si>
  <si>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</si>
  <si>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</si>
  <si>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</si>
  <si>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</si>
  <si>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</si>
  <si>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</si>
  <si>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</si>
  <si>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</si>
  <si>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</si>
  <si>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</si>
  <si>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</si>
  <si>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</si>
  <si>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</si>
  <si>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</si>
  <si>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</si>
  <si>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</si>
  <si>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</si>
  <si>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</si>
  <si>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</si>
  <si>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</si>
  <si>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</si>
  <si>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</si>
  <si>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</si>
  <si>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</si>
  <si>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</si>
  <si>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</si>
  <si>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</si>
  <si>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</si>
  <si>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</si>
  <si>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</si>
  <si>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</si>
  <si>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</si>
  <si>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</si>
  <si>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</si>
  <si>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</si>
  <si>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</si>
  <si>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</si>
  <si>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</si>
  <si>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</si>
  <si>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</si>
  <si>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</si>
  <si>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</si>
  <si>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</si>
  <si>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</si>
  <si>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</si>
  <si>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</si>
  <si>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</si>
  <si>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</si>
  <si>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</si>
  <si>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</si>
  <si>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</si>
  <si>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</si>
  <si>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</si>
  <si>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</si>
  <si>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</si>
  <si>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</si>
  <si>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</si>
  <si>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</si>
  <si>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</si>
  <si>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</si>
  <si>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</si>
  <si>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</si>
  <si>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</si>
  <si>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</si>
  <si>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</si>
  <si>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</si>
  <si>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</si>
  <si>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</si>
  <si>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</si>
  <si>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</si>
  <si>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</si>
  <si>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</si>
  <si>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</si>
  <si>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</si>
  <si>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</si>
  <si>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</si>
  <si>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</si>
  <si>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</si>
  <si>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</si>
  <si>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</si>
  <si>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</si>
  <si>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</si>
  <si>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</si>
  <si>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</si>
  <si>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</si>
  <si>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</si>
  <si>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</si>
  <si>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</si>
  <si>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</si>
  <si>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</si>
  <si>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</si>
  <si>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</si>
  <si>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</si>
  <si>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</si>
  <si>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</si>
  <si>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</si>
  <si>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</si>
  <si>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</si>
  <si>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</si>
  <si>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</si>
  <si>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</si>
  <si>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</si>
  <si>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</si>
  <si>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</si>
  <si>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</si>
  <si>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</si>
  <si>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</si>
  <si>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</si>
  <si>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</si>
  <si>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</si>
  <si>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</si>
  <si>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</si>
  <si>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</si>
  <si>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</si>
  <si>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</si>
  <si>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</si>
  <si>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</si>
  <si>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</si>
  <si>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</si>
  <si>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</si>
  <si>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</si>
  <si>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</si>
  <si>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</si>
  <si>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</si>
  <si>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</si>
  <si>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</si>
  <si>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</si>
  <si>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</si>
  <si>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</si>
  <si>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</si>
  <si>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</si>
  <si>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</si>
  <si>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</si>
  <si>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</si>
  <si>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</si>
  <si>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</si>
  <si>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</si>
  <si>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</si>
  <si>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</si>
  <si>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</si>
  <si>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</si>
  <si>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</si>
  <si>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</si>
  <si>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</si>
  <si>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</si>
  <si>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</si>
  <si>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</si>
  <si>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</si>
  <si>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</si>
  <si>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</si>
  <si>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</si>
  <si>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</si>
  <si>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</si>
  <si>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</si>
  <si>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</si>
  <si>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</si>
  <si>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</si>
  <si>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</si>
  <si>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</si>
  <si>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</si>
  <si>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</si>
  <si>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</si>
  <si>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</si>
  <si>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</si>
  <si>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</si>
  <si>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</si>
  <si>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</si>
  <si>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</si>
  <si>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</si>
  <si>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</si>
  <si>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</si>
  <si>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</si>
  <si>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</si>
  <si>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</si>
  <si>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</si>
  <si>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</si>
  <si>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</si>
  <si>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</si>
  <si>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</si>
  <si>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</si>
  <si>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</si>
  <si>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</si>
  <si>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</si>
  <si>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</si>
  <si>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</si>
  <si>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</si>
  <si>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</si>
  <si>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</si>
  <si>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</si>
  <si>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</si>
  <si>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</si>
  <si>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</si>
  <si>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</si>
  <si>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</si>
  <si>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</si>
  <si>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</si>
  <si>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</si>
  <si>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</si>
  <si>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</si>
  <si>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</si>
  <si>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</si>
  <si>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</si>
  <si>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</si>
  <si>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</si>
  <si>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</si>
  <si>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</si>
  <si>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</si>
  <si>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</si>
  <si>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</si>
  <si>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</si>
  <si>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</si>
  <si>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</si>
  <si>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</si>
  <si>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</si>
  <si>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</si>
  <si>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</si>
  <si>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</si>
  <si>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</si>
  <si>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</si>
  <si>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</si>
  <si>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</si>
  <si>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</si>
  <si>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</si>
  <si>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</si>
  <si>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</si>
  <si>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</si>
  <si>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</si>
  <si>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</si>
  <si>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</si>
  <si>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</si>
  <si>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</si>
  <si>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</si>
  <si>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</si>
  <si>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</si>
  <si>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</si>
  <si>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</si>
  <si>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</si>
  <si>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</si>
  <si>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</si>
  <si>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</si>
  <si>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</si>
  <si>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</si>
  <si>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</si>
  <si>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</si>
  <si>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 xml:space="preserve">            How to Apply These Terms to Your New Programs</t>
  </si>
  <si>
    <t xml:space="preserve">  If you develop a new program, and you want it to be of the greatest</t>
  </si>
  <si>
    <t>possible use to the public, the best way to achieve this is to make it</t>
  </si>
  <si>
    <t>free software which everyone can redistribute and change under these terms.</t>
  </si>
  <si>
    <t xml:space="preserve">  To do so, attach the following notices to the program.  It is safest</t>
  </si>
  <si>
    <t>to attach them to the start of each source file to most effectively</t>
  </si>
  <si>
    <t>state the exclusion of warranty; and each file should have at least</t>
  </si>
  <si>
    <t>the "copyright" line and a pointer to where the full notice is found.</t>
  </si>
  <si>
    <t xml:space="preserve">    &lt;one line to give the program's name and a brief idea of what it does.&gt;</t>
  </si>
  <si>
    <t xml:space="preserve">    Copyright (C) &lt;year&gt;  &lt;name of author&gt;</t>
  </si>
  <si>
    <t xml:space="preserve">    This program is free software: you can redistribute it and/or modify</t>
  </si>
  <si>
    <t xml:space="preserve">    it under the terms of the GNU General Public License as published by</t>
  </si>
  <si>
    <t xml:space="preserve">    the Free Software Foundation, either version 3 of the License, or</t>
  </si>
  <si>
    <t xml:space="preserve">    (at your option) any later version.</t>
  </si>
  <si>
    <t xml:space="preserve">    This program is distributed in the hope that it will be useful,</t>
  </si>
  <si>
    <t xml:space="preserve">    but WITHOUT ANY WARRANTY; without even the implied warranty of</t>
  </si>
  <si>
    <t xml:space="preserve">    MERCHANTABILITY or FITNESS FOR A PARTICULAR PURPOSE.  See the</t>
  </si>
  <si>
    <t xml:space="preserve">    GNU General Public License for more details.</t>
  </si>
  <si>
    <t xml:space="preserve">    You should have received a copy of the GNU General Public License</t>
  </si>
  <si>
    <t xml:space="preserve">    along with this program.  If not, see &lt;https://www.gnu.org/licenses/&gt;.</t>
  </si>
  <si>
    <t>Also add information on how to contact you by electronic and paper mail.</t>
  </si>
  <si>
    <t xml:space="preserve">  If the program does terminal interaction, make it output a short</t>
  </si>
  <si>
    <t>notice like this when it starts in an interactive mode:</t>
  </si>
  <si>
    <t xml:space="preserve">    &lt;program&gt;  Copyright (C) &lt;year&gt;  &lt;name of author&gt;</t>
  </si>
  <si>
    <t xml:space="preserve">    This program comes with ABSOLUTELY NO WARRANTY; for details type `show w'.</t>
  </si>
  <si>
    <t xml:space="preserve">    This is free software, and you are welcome to redistribute it</t>
  </si>
  <si>
    <t xml:space="preserve">    under certain conditions; type `show c' for details.</t>
  </si>
  <si>
    <t>The hypothetical commands `show w' and `show c' should show the appropriate</t>
  </si>
  <si>
    <t>parts of the General Public License.  Of course, your program's commands</t>
  </si>
  <si>
    <t>might be different; for a GUI interface, you would use an "about box".</t>
  </si>
  <si>
    <t xml:space="preserve">  You should also get your employer (if you work as a programmer) or school,</t>
  </si>
  <si>
    <t>if any, to sign a "copyright disclaimer" for the program, if necessary.</t>
  </si>
  <si>
    <t>For more information on this, and how to apply and follow the GNU GPL, see</t>
  </si>
  <si>
    <t>&lt;https://www.gnu.org/licenses/&gt;.</t>
  </si>
  <si>
    <t xml:space="preserve">  The GNU General Public License does not permit incorporating your program</t>
  </si>
  <si>
    <t>into proprietary programs.  If your program is a subroutine library, you</t>
  </si>
  <si>
    <t>may consider it more useful to permit linking proprietary applications with</t>
  </si>
  <si>
    <t>the library.  If this is what you want to do, use the GNU Lesser General</t>
  </si>
  <si>
    <t>Public License instead of this License.  But first, please read</t>
  </si>
  <si>
    <t>&lt;https://www.gnu.org/licenses/why-not-lgpl.html&gt;.</t>
  </si>
  <si>
    <t xml:space="preserve">The Workiac Ready Reckoner is a tool to help Engineering Managers allocate resources (people and machinery) more effectively to minimise waste and maximise throughput. Unlike previous systems that assume systems are stable, Workiac looks at both supply and demand of work recorded in a work tracking tool (for example Jira) to help determine the best course of action. A benchmark of three non-dimensional numbers helps to compare any system against hundreds of others for Stability, Quality and Control.  </t>
  </si>
  <si>
    <t>Purpose:</t>
  </si>
  <si>
    <t>V1.0</t>
  </si>
  <si>
    <t>Workiac Ready Reckoner</t>
  </si>
  <si>
    <t>Red Hat Public data extracted Sep-Dec 2024. Run 25 Feb 2025</t>
  </si>
  <si>
    <t xml:space="preserve"> </t>
  </si>
  <si>
    <t>N/A</t>
  </si>
  <si>
    <t>VIRTSTRAT</t>
  </si>
  <si>
    <t>NaN</t>
  </si>
  <si>
    <t>Indeterminate</t>
  </si>
  <si>
    <t>WAGB</t>
  </si>
  <si>
    <t>What is Workiac?</t>
  </si>
  <si>
    <t>Who is it for?</t>
  </si>
  <si>
    <r>
      <t>Workiac takes input csv files from a work tracking tool (for example Jira / ADO) and using a set of scripts extracts data for comparison. The Workiac Ready Reckoner takes some of this data to use calculate the arrival and service rates and the Stability Metric, The Quality Metric and the Control Metric and compare these against a benchmark of other systems to understand the existing sytem and make predicitions for it's performance in future.
The</t>
    </r>
    <r>
      <rPr>
        <b/>
        <sz val="11"/>
        <color theme="1"/>
        <rFont val="Aptos Narrow"/>
        <family val="2"/>
        <scheme val="minor"/>
      </rPr>
      <t xml:space="preserve"> </t>
    </r>
    <r>
      <rPr>
        <i/>
        <sz val="11"/>
        <color theme="1"/>
        <rFont val="Aptos Narrow"/>
        <family val="2"/>
        <scheme val="minor"/>
      </rPr>
      <t>Stability Metric</t>
    </r>
    <r>
      <rPr>
        <sz val="11"/>
        <color theme="1"/>
        <rFont val="Aptos Narrow"/>
        <family val="2"/>
        <scheme val="minor"/>
      </rPr>
      <t xml:space="preserve"> is a ration of the average rate work is marked as Done in a system divided by the average rate work arrives into that system. The average arrival rate is the average rate planned work arrives plus the averate rate unplanned work arrives minus the average rate work is cancelled. A Stability Metric between 0 and 1 indicates the system is unstable. A Stability Metric greater than 1 indicates the system is stable. A Stability Metric less than 0 indicates a high cancellation rate \  
The </t>
    </r>
    <r>
      <rPr>
        <i/>
        <sz val="11"/>
        <color theme="1"/>
        <rFont val="Aptos Narrow"/>
        <family val="2"/>
        <scheme val="minor"/>
      </rPr>
      <t>Quality Metric</t>
    </r>
    <r>
      <rPr>
        <sz val="11"/>
        <color theme="1"/>
        <rFont val="Aptos Narrow"/>
        <family val="2"/>
        <scheme val="minor"/>
      </rPr>
      <t xml:space="preserve"> is a ration of the average rate planned work arrives in a system divided by the sum of the average planned work rate plus the average unplanned work rate. A quality metric of 1 means the system handles only planned work. A quality metric of 0 means the system handles only unplanned work. 
The </t>
    </r>
    <r>
      <rPr>
        <i/>
        <sz val="11"/>
        <color theme="1"/>
        <rFont val="Aptos Narrow"/>
        <family val="2"/>
        <scheme val="minor"/>
      </rPr>
      <t>Control Metric</t>
    </r>
    <r>
      <rPr>
        <sz val="11"/>
        <color theme="1"/>
        <rFont val="Aptos Narrow"/>
        <family val="2"/>
        <scheme val="minor"/>
      </rPr>
      <t xml:space="preserve"> is a ration of the average arrival rate divided by the sum of the average planned rate and the average unplanned rate. The control metric shows the fraction of work that is rejected / cancelled. A control metric of 1 means no work is cancelled while a value less than 1 suggests that some cancellation is happening.
The </t>
    </r>
    <r>
      <rPr>
        <i/>
        <sz val="11"/>
        <color theme="1"/>
        <rFont val="Aptos Narrow"/>
        <family val="2"/>
        <scheme val="minor"/>
      </rPr>
      <t xml:space="preserve">Inventory Days </t>
    </r>
    <r>
      <rPr>
        <sz val="11"/>
        <color theme="1"/>
        <rFont val="Aptos Narrow"/>
        <family val="2"/>
        <scheme val="minor"/>
      </rPr>
      <t xml:space="preserve"> is a ration of the current system size divided by average service rate. It shows the number of days of inventory remaining if no additional work arrived. A low number of inventory days 
The Workiac Ready Reckoner takes 5 inputs to calculate the four metrics and generate  system predictions. The inputs are:
- Average Planned Arrival Rate
- Average Unplanned Arrival Rate
- Average Cancellation Rate
- Average Service Rate
- Current system Size.
These data can be extracted from standard system information by plotting a data fit line through cumulative flow graphs. Alternatively a set of scripts exist to extract this data. They are here: https://github.com/zerob000/workiac </t>
    </r>
  </si>
  <si>
    <t>Workiac is for people responsible for coordinating and managing systems of work. It originated by studying the work performed by Agile software development teams but isn’t limited to this. Any work that forms a queue of tasks to be performed should be analyzable.</t>
  </si>
  <si>
    <t>When to use it?</t>
  </si>
  <si>
    <t>The Ready Reckoner can be used to analyze a system, to determine its current performance and compare against hundreds of other systems . It can also be used to determine if the system is stable and, if not, what possible steps would be required to stabilise it. Finally, for stable systems it can help predict, based on historic data the answer to the question, "when will we be done?"</t>
  </si>
  <si>
    <t>The source code and examples are available at https://github.com/zerob000/workiac</t>
  </si>
  <si>
    <t>Where can I find more information / assets?</t>
  </si>
  <si>
    <t>How do I get started?</t>
  </si>
  <si>
    <r>
      <t xml:space="preserve">1. Gather the following information for your system:
- Average Planned Arrival Rate
- Average Unplanned Arrival Rate
- Average Cancellation Rate
- Average Service Rate
- Current system Size.
2. In the </t>
    </r>
    <r>
      <rPr>
        <i/>
        <sz val="11"/>
        <color theme="1"/>
        <rFont val="Aptos Narrow"/>
        <family val="2"/>
        <scheme val="minor"/>
      </rPr>
      <t>Inputs</t>
    </r>
    <r>
      <rPr>
        <sz val="11"/>
        <color theme="1"/>
        <rFont val="Aptos Narrow"/>
        <family val="2"/>
        <scheme val="minor"/>
      </rPr>
      <t xml:space="preserve"> tab, in the </t>
    </r>
    <r>
      <rPr>
        <i/>
        <sz val="11"/>
        <color theme="1"/>
        <rFont val="Aptos Narrow"/>
        <family val="2"/>
        <scheme val="minor"/>
      </rPr>
      <t>Current Values</t>
    </r>
    <r>
      <rPr>
        <sz val="11"/>
        <color theme="1"/>
        <rFont val="Aptos Narrow"/>
        <family val="2"/>
        <scheme val="minor"/>
      </rPr>
      <t xml:space="preserve"> section enter the current information.
3. In the Inputs tab, in the Target Values section enter target information.
The metrics and charts update entirely.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</si>
</sst>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Aptos Narrow"/>
      <family val="2"/>
      <scheme val="minor"/>
    </font>
    <font>
      <b/>
      <sz val="11"/>
      <color theme="1"/>
      <name val="Aptos Narrow"/>
      <family val="2"/>
      <scheme val="minor"/>
    </font>
    <font>
      <b/>
      <sz val="11"/>
      <color theme="0"/>
      <name val="Aptos Narrow"/>
      <family val="2"/>
      <scheme val="minor"/>
    </font>
    <font>
      <sz val="8"/>
      <name val="Aptos Narrow"/>
      <family val="2"/>
      <scheme val="minor"/>
    </font>
    <font>
      <b/>
      <sz val="16"/>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2"/>
        <bgColor indexed="64"/>
      </patternFill>
    </fill>
    <fill>
      <patternFill patternType="solid">
        <fgColor theme="2" tint="-0.499984740745262"/>
        <bgColor indexed="64"/>
      </patternFill>
    </fill>
    <fill>
      <patternFill patternType="solid">
        <fgColor theme="3" tint="0.749992370372631"/>
        <bgColor indexed="64"/>
      </patternFill>
    </fill>
  </fills>
  <borders count="5">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1">
    <xf numFmtId="0" fontId="0" fillId="0" borderId="0"/>
  </cellStyleXfs>
  <cellXfs count="19">
    <xf numFmtId="0" fontId="0" fillId="0" borderId="0" xfId="0"/>
    <xf numFmtId="0" fontId="1" fillId="0" borderId="0" xfId="0" applyFont="1"/>
    <xf numFmtId="1" fontId="0" fillId="0" borderId="0" xfId="0" applyNumberFormat="1"/>
    <xf numFmtId="0" fontId="0" fillId="2" borderId="0" xfId="0" applyFill="1"/>
    <xf numFmtId="2" fontId="0" fillId="3" borderId="1" xfId="0" applyNumberFormat="1" applyFill="1" applyBorder="1"/>
    <xf numFmtId="0" fontId="0" fillId="3" borderId="1" xfId="0" applyFill="1" applyBorder="1"/>
    <xf numFmtId="0" fontId="1" fillId="4" borderId="1" xfId="0" applyFont="1" applyFill="1" applyBorder="1"/>
    <xf numFmtId="0" fontId="0" fillId="4" borderId="1" xfId="0" applyFill="1" applyBorder="1"/>
    <xf numFmtId="0" fontId="2" fillId="5" borderId="1" xfId="0" applyFont="1" applyFill="1" applyBorder="1"/>
    <xf numFmtId="22" fontId="0" fillId="0" borderId="0" xfId="0" applyNumberFormat="1"/>
    <xf numFmtId="165" fontId="0" fillId="0" borderId="0" xfId="0" applyNumberFormat="1"/>
    <xf numFmtId="2" fontId="0" fillId="6" borderId="1" xfId="0" applyNumberFormat="1" applyFill="1" applyBorder="1"/>
    <xf numFmtId="164" fontId="0" fillId="4" borderId="1" xfId="0" applyNumberFormat="1" applyFill="1" applyBorder="1"/>
    <xf numFmtId="0" fontId="2" fillId="5" borderId="2" xfId="0" applyFont="1" applyFill="1" applyBorder="1"/>
    <xf numFmtId="2" fontId="0" fillId="3" borderId="3" xfId="0" applyNumberFormat="1" applyFill="1" applyBorder="1"/>
    <xf numFmtId="2" fontId="0" fillId="6" borderId="4" xfId="0" applyNumberFormat="1" applyFill="1" applyBorder="1"/>
    <xf numFmtId="0" fontId="0" fillId="0" borderId="0" xfId="0" applyAlignment="1">
      <alignment wrapText="1"/>
    </xf>
    <xf numFmtId="0" fontId="4" fillId="0" borderId="0" xfId="0" applyFont="1"/>
    <xf numFmtId="0" fontId="0" fillId="0" borderId="0" xfId="0" applyAlignment="1">
      <alignment vertical="top" wrapText="1"/>
    </xf>
  </cellXfs>
  <cellStyles count="1">
    <cellStyle name="Normal" xfId="0" builtinId="0"/>
  </cellStyles>
  <dxfs count="3">
    <dxf>
      <numFmt numFmtId="29" formatCode="mm:ss.0"/>
    </dxf>
    <dxf>
      <numFmt numFmtId="27" formatCode="dd/mm/yyyy\ hh:mm"/>
    </dxf>
    <dxf>
      <numFmt numFmtId="27" formatCode="dd/mm/yyyy\ hh:mm"/>
    </dxf>
  </dxfs>
  <tableStyles count="0" defaultTableStyle="TableStyleMedium2" defaultPivotStyle="PivotStyleLight16"/>
  <colors>
    <mruColors>
      <color rgb="FFFF8989"/>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IE" sz="2000"/>
              <a:t>System</a:t>
            </a:r>
            <a:r>
              <a:rPr lang="en-IE" sz="2000" baseline="0"/>
              <a:t> Predictions based on Current and Target Data</a:t>
            </a:r>
            <a:endParaRPr lang="en-IE"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IE"/>
        </a:p>
      </c:txPr>
    </c:title>
    <c:autoTitleDeleted val="0"/>
    <c:plotArea>
      <c:layout/>
      <c:scatterChart>
        <c:scatterStyle val="lineMarker"/>
        <c:varyColors val="0"/>
        <c:ser>
          <c:idx val="0"/>
          <c:order val="0"/>
          <c:tx>
            <c:strRef>
              <c:f>Timelines!$B$1</c:f>
              <c:strCache>
                <c:ptCount val="1"/>
                <c:pt idx="0">
                  <c:v>Current: Arrivals</c:v>
                </c:pt>
              </c:strCache>
            </c:strRef>
          </c:tx>
          <c:spPr>
            <a:ln w="19050" cap="rnd">
              <a:solidFill>
                <a:srgbClr val="FF0000"/>
              </a:solidFill>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Timelines!$B$2:$B$263</c:f>
              <c:numCache>
                <c:formatCode>0</c:formatCode>
                <c:ptCount val="262"/>
                <c:pt idx="0">
                  <c:v>1007</c:v>
                </c:pt>
                <c:pt idx="1">
                  <c:v>1051.5619999999999</c:v>
                </c:pt>
                <c:pt idx="2">
                  <c:v>1096.124</c:v>
                </c:pt>
                <c:pt idx="3">
                  <c:v>1140.6859999999999</c:v>
                </c:pt>
                <c:pt idx="4">
                  <c:v>1185.248</c:v>
                </c:pt>
                <c:pt idx="5">
                  <c:v>1229.81</c:v>
                </c:pt>
                <c:pt idx="6">
                  <c:v>1274.3720000000001</c:v>
                </c:pt>
                <c:pt idx="7">
                  <c:v>1318.934</c:v>
                </c:pt>
                <c:pt idx="8">
                  <c:v>1363.4960000000001</c:v>
                </c:pt>
                <c:pt idx="9">
                  <c:v>1408.058</c:v>
                </c:pt>
                <c:pt idx="10">
                  <c:v>1452.6200000000001</c:v>
                </c:pt>
                <c:pt idx="11">
                  <c:v>1497.182</c:v>
                </c:pt>
                <c:pt idx="12">
                  <c:v>1541.7440000000001</c:v>
                </c:pt>
                <c:pt idx="13">
                  <c:v>1586.306</c:v>
                </c:pt>
                <c:pt idx="14">
                  <c:v>1630.8679999999999</c:v>
                </c:pt>
                <c:pt idx="15">
                  <c:v>1675.43</c:v>
                </c:pt>
                <c:pt idx="16">
                  <c:v>1719.9920000000002</c:v>
                </c:pt>
                <c:pt idx="17">
                  <c:v>1764.5540000000001</c:v>
                </c:pt>
                <c:pt idx="18">
                  <c:v>1809.116</c:v>
                </c:pt>
                <c:pt idx="19">
                  <c:v>1853.6780000000001</c:v>
                </c:pt>
                <c:pt idx="20">
                  <c:v>1898.2400000000002</c:v>
                </c:pt>
                <c:pt idx="21">
                  <c:v>1942.8020000000001</c:v>
                </c:pt>
                <c:pt idx="22">
                  <c:v>1987.364</c:v>
                </c:pt>
                <c:pt idx="23">
                  <c:v>2031.9260000000002</c:v>
                </c:pt>
                <c:pt idx="24">
                  <c:v>2076.4880000000003</c:v>
                </c:pt>
                <c:pt idx="25">
                  <c:v>2121.0500000000002</c:v>
                </c:pt>
                <c:pt idx="26">
                  <c:v>2165.6120000000001</c:v>
                </c:pt>
                <c:pt idx="27">
                  <c:v>2210.174</c:v>
                </c:pt>
                <c:pt idx="28">
                  <c:v>2254.7359999999999</c:v>
                </c:pt>
                <c:pt idx="29">
                  <c:v>2299.2979999999998</c:v>
                </c:pt>
                <c:pt idx="30">
                  <c:v>2343.86</c:v>
                </c:pt>
                <c:pt idx="31">
                  <c:v>2388.422</c:v>
                </c:pt>
                <c:pt idx="32">
                  <c:v>2432.9840000000004</c:v>
                </c:pt>
                <c:pt idx="33">
                  <c:v>2477.5460000000003</c:v>
                </c:pt>
                <c:pt idx="34">
                  <c:v>2522.1080000000002</c:v>
                </c:pt>
                <c:pt idx="35">
                  <c:v>2566.67</c:v>
                </c:pt>
                <c:pt idx="36">
                  <c:v>2611.232</c:v>
                </c:pt>
                <c:pt idx="37">
                  <c:v>2655.7939999999999</c:v>
                </c:pt>
                <c:pt idx="38">
                  <c:v>2700.3560000000002</c:v>
                </c:pt>
                <c:pt idx="39">
                  <c:v>2744.9180000000001</c:v>
                </c:pt>
                <c:pt idx="40">
                  <c:v>2789.4800000000005</c:v>
                </c:pt>
                <c:pt idx="41">
                  <c:v>2834.0420000000004</c:v>
                </c:pt>
                <c:pt idx="42">
                  <c:v>2878.6040000000003</c:v>
                </c:pt>
                <c:pt idx="43">
                  <c:v>2923.1660000000002</c:v>
                </c:pt>
                <c:pt idx="44">
                  <c:v>2967.7280000000001</c:v>
                </c:pt>
                <c:pt idx="45">
                  <c:v>3012.29</c:v>
                </c:pt>
                <c:pt idx="46">
                  <c:v>3056.8520000000003</c:v>
                </c:pt>
                <c:pt idx="47">
                  <c:v>3101.4140000000002</c:v>
                </c:pt>
                <c:pt idx="48">
                  <c:v>3145.9760000000001</c:v>
                </c:pt>
                <c:pt idx="49">
                  <c:v>3190.538</c:v>
                </c:pt>
                <c:pt idx="50">
                  <c:v>3235.1000000000004</c:v>
                </c:pt>
                <c:pt idx="51">
                  <c:v>3279.6620000000003</c:v>
                </c:pt>
                <c:pt idx="52">
                  <c:v>3324.2240000000002</c:v>
                </c:pt>
                <c:pt idx="53">
                  <c:v>3368.7860000000001</c:v>
                </c:pt>
                <c:pt idx="54">
                  <c:v>3413.3480000000004</c:v>
                </c:pt>
                <c:pt idx="55">
                  <c:v>3457.9100000000003</c:v>
                </c:pt>
                <c:pt idx="56">
                  <c:v>3502.4720000000002</c:v>
                </c:pt>
                <c:pt idx="57">
                  <c:v>3547.0340000000001</c:v>
                </c:pt>
                <c:pt idx="58">
                  <c:v>3591.596</c:v>
                </c:pt>
                <c:pt idx="59">
                  <c:v>3636.1580000000004</c:v>
                </c:pt>
                <c:pt idx="60">
                  <c:v>3680.7200000000003</c:v>
                </c:pt>
                <c:pt idx="61">
                  <c:v>3725.2820000000002</c:v>
                </c:pt>
                <c:pt idx="62">
                  <c:v>3769.8440000000001</c:v>
                </c:pt>
                <c:pt idx="63">
                  <c:v>3814.4060000000004</c:v>
                </c:pt>
                <c:pt idx="64">
                  <c:v>3858.9680000000003</c:v>
                </c:pt>
                <c:pt idx="65">
                  <c:v>3903.53</c:v>
                </c:pt>
                <c:pt idx="66">
                  <c:v>3948.0920000000001</c:v>
                </c:pt>
                <c:pt idx="67">
                  <c:v>3992.6540000000005</c:v>
                </c:pt>
                <c:pt idx="68">
                  <c:v>4037.2160000000003</c:v>
                </c:pt>
                <c:pt idx="69">
                  <c:v>4081.7780000000002</c:v>
                </c:pt>
                <c:pt idx="70">
                  <c:v>4126.34</c:v>
                </c:pt>
                <c:pt idx="71">
                  <c:v>4170.902</c:v>
                </c:pt>
                <c:pt idx="72">
                  <c:v>4215.4639999999999</c:v>
                </c:pt>
                <c:pt idx="73">
                  <c:v>4260.0259999999998</c:v>
                </c:pt>
                <c:pt idx="74">
                  <c:v>4304.5879999999997</c:v>
                </c:pt>
                <c:pt idx="75">
                  <c:v>4349.1499999999996</c:v>
                </c:pt>
                <c:pt idx="76">
                  <c:v>4393.7120000000004</c:v>
                </c:pt>
                <c:pt idx="77">
                  <c:v>4438.2740000000003</c:v>
                </c:pt>
                <c:pt idx="78">
                  <c:v>4482.8360000000002</c:v>
                </c:pt>
                <c:pt idx="79">
                  <c:v>4527.3980000000001</c:v>
                </c:pt>
                <c:pt idx="80">
                  <c:v>4571.9600000000009</c:v>
                </c:pt>
                <c:pt idx="81">
                  <c:v>4616.5220000000008</c:v>
                </c:pt>
                <c:pt idx="82">
                  <c:v>4661.0840000000007</c:v>
                </c:pt>
                <c:pt idx="83">
                  <c:v>4705.6460000000006</c:v>
                </c:pt>
                <c:pt idx="84">
                  <c:v>4750.2080000000005</c:v>
                </c:pt>
                <c:pt idx="85">
                  <c:v>4794.7700000000004</c:v>
                </c:pt>
                <c:pt idx="86">
                  <c:v>4839.3320000000003</c:v>
                </c:pt>
                <c:pt idx="87">
                  <c:v>4883.8940000000002</c:v>
                </c:pt>
                <c:pt idx="88">
                  <c:v>4928.4560000000001</c:v>
                </c:pt>
                <c:pt idx="89">
                  <c:v>4973.018</c:v>
                </c:pt>
                <c:pt idx="90">
                  <c:v>5017.58</c:v>
                </c:pt>
                <c:pt idx="91">
                  <c:v>5062.1419999999998</c:v>
                </c:pt>
                <c:pt idx="92">
                  <c:v>5106.7040000000006</c:v>
                </c:pt>
                <c:pt idx="93">
                  <c:v>5151.2660000000005</c:v>
                </c:pt>
                <c:pt idx="94">
                  <c:v>5195.8280000000004</c:v>
                </c:pt>
                <c:pt idx="95">
                  <c:v>5240.3900000000003</c:v>
                </c:pt>
                <c:pt idx="96">
                  <c:v>5284.9520000000002</c:v>
                </c:pt>
                <c:pt idx="97">
                  <c:v>5329.5140000000001</c:v>
                </c:pt>
                <c:pt idx="98">
                  <c:v>5374.076</c:v>
                </c:pt>
                <c:pt idx="99">
                  <c:v>5418.6380000000008</c:v>
                </c:pt>
                <c:pt idx="100">
                  <c:v>5463.2000000000007</c:v>
                </c:pt>
                <c:pt idx="101">
                  <c:v>5507.7620000000006</c:v>
                </c:pt>
                <c:pt idx="102">
                  <c:v>5552.3240000000005</c:v>
                </c:pt>
                <c:pt idx="103">
                  <c:v>5596.8860000000004</c:v>
                </c:pt>
                <c:pt idx="104">
                  <c:v>5641.4480000000003</c:v>
                </c:pt>
                <c:pt idx="105">
                  <c:v>5686.01</c:v>
                </c:pt>
                <c:pt idx="106">
                  <c:v>5730.5720000000001</c:v>
                </c:pt>
                <c:pt idx="107">
                  <c:v>5775.134</c:v>
                </c:pt>
                <c:pt idx="108">
                  <c:v>5819.6960000000008</c:v>
                </c:pt>
                <c:pt idx="109">
                  <c:v>5864.2580000000007</c:v>
                </c:pt>
                <c:pt idx="110">
                  <c:v>5908.8200000000006</c:v>
                </c:pt>
                <c:pt idx="111">
                  <c:v>5953.3820000000005</c:v>
                </c:pt>
                <c:pt idx="112">
                  <c:v>5997.9440000000004</c:v>
                </c:pt>
                <c:pt idx="113">
                  <c:v>6042.5060000000003</c:v>
                </c:pt>
                <c:pt idx="114">
                  <c:v>6087.0680000000002</c:v>
                </c:pt>
                <c:pt idx="115">
                  <c:v>6131.63</c:v>
                </c:pt>
                <c:pt idx="116">
                  <c:v>6176.192</c:v>
                </c:pt>
                <c:pt idx="117">
                  <c:v>6220.7540000000008</c:v>
                </c:pt>
                <c:pt idx="118">
                  <c:v>6265.3160000000007</c:v>
                </c:pt>
                <c:pt idx="119">
                  <c:v>6309.8780000000006</c:v>
                </c:pt>
                <c:pt idx="120">
                  <c:v>6354.4400000000005</c:v>
                </c:pt>
                <c:pt idx="121">
                  <c:v>6399.0020000000004</c:v>
                </c:pt>
                <c:pt idx="122">
                  <c:v>6443.5640000000003</c:v>
                </c:pt>
                <c:pt idx="123">
                  <c:v>6488.1260000000002</c:v>
                </c:pt>
                <c:pt idx="124">
                  <c:v>6532.6880000000001</c:v>
                </c:pt>
                <c:pt idx="125">
                  <c:v>6577.2500000000009</c:v>
                </c:pt>
                <c:pt idx="126">
                  <c:v>6621.8120000000008</c:v>
                </c:pt>
                <c:pt idx="127">
                  <c:v>6666.3740000000007</c:v>
                </c:pt>
                <c:pt idx="128">
                  <c:v>6710.9360000000006</c:v>
                </c:pt>
                <c:pt idx="129">
                  <c:v>6755.4980000000005</c:v>
                </c:pt>
                <c:pt idx="130">
                  <c:v>6800.06</c:v>
                </c:pt>
                <c:pt idx="131">
                  <c:v>6844.6220000000003</c:v>
                </c:pt>
                <c:pt idx="132">
                  <c:v>6889.1840000000002</c:v>
                </c:pt>
                <c:pt idx="133">
                  <c:v>6933.7460000000001</c:v>
                </c:pt>
                <c:pt idx="134">
                  <c:v>6978.3080000000009</c:v>
                </c:pt>
                <c:pt idx="135">
                  <c:v>7022.8700000000008</c:v>
                </c:pt>
                <c:pt idx="136">
                  <c:v>7067.4320000000007</c:v>
                </c:pt>
                <c:pt idx="137">
                  <c:v>7111.9940000000006</c:v>
                </c:pt>
                <c:pt idx="138">
                  <c:v>7156.5560000000005</c:v>
                </c:pt>
                <c:pt idx="139">
                  <c:v>7201.1180000000004</c:v>
                </c:pt>
                <c:pt idx="140">
                  <c:v>7245.68</c:v>
                </c:pt>
                <c:pt idx="141">
                  <c:v>7290.2420000000002</c:v>
                </c:pt>
                <c:pt idx="142">
                  <c:v>7334.804000000001</c:v>
                </c:pt>
                <c:pt idx="143">
                  <c:v>7379.3660000000009</c:v>
                </c:pt>
                <c:pt idx="144">
                  <c:v>7423.9280000000008</c:v>
                </c:pt>
                <c:pt idx="145">
                  <c:v>7468.4900000000007</c:v>
                </c:pt>
                <c:pt idx="146">
                  <c:v>7513.0520000000006</c:v>
                </c:pt>
                <c:pt idx="147">
                  <c:v>7557.6140000000005</c:v>
                </c:pt>
                <c:pt idx="148">
                  <c:v>7602.1760000000004</c:v>
                </c:pt>
                <c:pt idx="149">
                  <c:v>7646.7380000000003</c:v>
                </c:pt>
                <c:pt idx="150">
                  <c:v>7691.3</c:v>
                </c:pt>
                <c:pt idx="151">
                  <c:v>7735.862000000001</c:v>
                </c:pt>
                <c:pt idx="152">
                  <c:v>7780.4240000000009</c:v>
                </c:pt>
                <c:pt idx="153">
                  <c:v>7824.9860000000008</c:v>
                </c:pt>
                <c:pt idx="154">
                  <c:v>7869.5480000000007</c:v>
                </c:pt>
                <c:pt idx="155">
                  <c:v>7914.1100000000006</c:v>
                </c:pt>
                <c:pt idx="156">
                  <c:v>7958.6720000000005</c:v>
                </c:pt>
                <c:pt idx="157">
                  <c:v>8003.2340000000004</c:v>
                </c:pt>
                <c:pt idx="158">
                  <c:v>8047.7960000000003</c:v>
                </c:pt>
                <c:pt idx="159">
                  <c:v>8092.3580000000002</c:v>
                </c:pt>
                <c:pt idx="160">
                  <c:v>8136.920000000001</c:v>
                </c:pt>
                <c:pt idx="161">
                  <c:v>8181.4820000000009</c:v>
                </c:pt>
                <c:pt idx="162">
                  <c:v>8226.0440000000017</c:v>
                </c:pt>
                <c:pt idx="163">
                  <c:v>8270.6059999999998</c:v>
                </c:pt>
                <c:pt idx="164">
                  <c:v>8315.1680000000015</c:v>
                </c:pt>
                <c:pt idx="165">
                  <c:v>8359.73</c:v>
                </c:pt>
                <c:pt idx="166">
                  <c:v>8404.2920000000013</c:v>
                </c:pt>
                <c:pt idx="167">
                  <c:v>8448.8539999999994</c:v>
                </c:pt>
                <c:pt idx="168">
                  <c:v>8493.4160000000011</c:v>
                </c:pt>
                <c:pt idx="169">
                  <c:v>8537.978000000001</c:v>
                </c:pt>
                <c:pt idx="170">
                  <c:v>8582.5400000000009</c:v>
                </c:pt>
                <c:pt idx="171">
                  <c:v>8627.1020000000008</c:v>
                </c:pt>
                <c:pt idx="172">
                  <c:v>8671.6640000000007</c:v>
                </c:pt>
                <c:pt idx="173">
                  <c:v>8716.2260000000006</c:v>
                </c:pt>
                <c:pt idx="174">
                  <c:v>8760.7880000000005</c:v>
                </c:pt>
                <c:pt idx="175">
                  <c:v>8805.35</c:v>
                </c:pt>
                <c:pt idx="176">
                  <c:v>8849.9120000000003</c:v>
                </c:pt>
                <c:pt idx="177">
                  <c:v>8894.474000000002</c:v>
                </c:pt>
                <c:pt idx="178">
                  <c:v>8939.0360000000001</c:v>
                </c:pt>
                <c:pt idx="179">
                  <c:v>8983.5980000000018</c:v>
                </c:pt>
                <c:pt idx="180">
                  <c:v>9028.16</c:v>
                </c:pt>
                <c:pt idx="181">
                  <c:v>9072.7220000000016</c:v>
                </c:pt>
                <c:pt idx="182">
                  <c:v>9117.2839999999997</c:v>
                </c:pt>
                <c:pt idx="183">
                  <c:v>9161.8460000000014</c:v>
                </c:pt>
                <c:pt idx="184">
                  <c:v>9206.4080000000013</c:v>
                </c:pt>
                <c:pt idx="185">
                  <c:v>9250.9700000000012</c:v>
                </c:pt>
                <c:pt idx="186">
                  <c:v>9295.5320000000011</c:v>
                </c:pt>
                <c:pt idx="187">
                  <c:v>9340.094000000001</c:v>
                </c:pt>
                <c:pt idx="188">
                  <c:v>9384.6560000000009</c:v>
                </c:pt>
                <c:pt idx="189">
                  <c:v>9429.2180000000008</c:v>
                </c:pt>
                <c:pt idx="190">
                  <c:v>9473.7800000000007</c:v>
                </c:pt>
                <c:pt idx="191">
                  <c:v>9518.3420000000006</c:v>
                </c:pt>
                <c:pt idx="192">
                  <c:v>9562.9040000000005</c:v>
                </c:pt>
                <c:pt idx="193">
                  <c:v>9607.4660000000003</c:v>
                </c:pt>
                <c:pt idx="194">
                  <c:v>9652.0280000000002</c:v>
                </c:pt>
                <c:pt idx="195">
                  <c:v>9696.59</c:v>
                </c:pt>
                <c:pt idx="196">
                  <c:v>9741.152</c:v>
                </c:pt>
                <c:pt idx="197">
                  <c:v>9785.7139999999999</c:v>
                </c:pt>
                <c:pt idx="198">
                  <c:v>9830.2760000000017</c:v>
                </c:pt>
                <c:pt idx="199">
                  <c:v>9874.8380000000016</c:v>
                </c:pt>
                <c:pt idx="200">
                  <c:v>9919.4000000000015</c:v>
                </c:pt>
                <c:pt idx="201">
                  <c:v>9963.9620000000014</c:v>
                </c:pt>
                <c:pt idx="202">
                  <c:v>10008.524000000001</c:v>
                </c:pt>
                <c:pt idx="203">
                  <c:v>10053.086000000001</c:v>
                </c:pt>
                <c:pt idx="204">
                  <c:v>10097.648000000001</c:v>
                </c:pt>
                <c:pt idx="205">
                  <c:v>10142.210000000001</c:v>
                </c:pt>
                <c:pt idx="206">
                  <c:v>10186.772000000001</c:v>
                </c:pt>
                <c:pt idx="207">
                  <c:v>10231.334000000001</c:v>
                </c:pt>
                <c:pt idx="208">
                  <c:v>10275.896000000001</c:v>
                </c:pt>
                <c:pt idx="209">
                  <c:v>10320.458000000001</c:v>
                </c:pt>
                <c:pt idx="210">
                  <c:v>10365.02</c:v>
                </c:pt>
                <c:pt idx="211">
                  <c:v>10409.582</c:v>
                </c:pt>
                <c:pt idx="212">
                  <c:v>10454.144</c:v>
                </c:pt>
                <c:pt idx="213">
                  <c:v>10498.706</c:v>
                </c:pt>
                <c:pt idx="214">
                  <c:v>10543.268</c:v>
                </c:pt>
                <c:pt idx="215">
                  <c:v>10587.83</c:v>
                </c:pt>
                <c:pt idx="216">
                  <c:v>10632.392000000002</c:v>
                </c:pt>
                <c:pt idx="217">
                  <c:v>10676.954000000002</c:v>
                </c:pt>
                <c:pt idx="218">
                  <c:v>10721.516000000001</c:v>
                </c:pt>
                <c:pt idx="219">
                  <c:v>10766.078000000001</c:v>
                </c:pt>
                <c:pt idx="220">
                  <c:v>10810.640000000001</c:v>
                </c:pt>
                <c:pt idx="221">
                  <c:v>10855.202000000001</c:v>
                </c:pt>
                <c:pt idx="222">
                  <c:v>10899.764000000001</c:v>
                </c:pt>
                <c:pt idx="223">
                  <c:v>10944.326000000001</c:v>
                </c:pt>
                <c:pt idx="224">
                  <c:v>10988.888000000001</c:v>
                </c:pt>
                <c:pt idx="225">
                  <c:v>11033.45</c:v>
                </c:pt>
                <c:pt idx="226">
                  <c:v>11078.012000000001</c:v>
                </c:pt>
                <c:pt idx="227">
                  <c:v>11122.574000000001</c:v>
                </c:pt>
                <c:pt idx="228">
                  <c:v>11167.136</c:v>
                </c:pt>
                <c:pt idx="229">
                  <c:v>11211.698</c:v>
                </c:pt>
                <c:pt idx="230">
                  <c:v>11256.26</c:v>
                </c:pt>
                <c:pt idx="231">
                  <c:v>11300.822</c:v>
                </c:pt>
                <c:pt idx="232">
                  <c:v>11345.384</c:v>
                </c:pt>
                <c:pt idx="233">
                  <c:v>11389.946000000002</c:v>
                </c:pt>
                <c:pt idx="234">
                  <c:v>11434.508000000002</c:v>
                </c:pt>
                <c:pt idx="235">
                  <c:v>11479.070000000002</c:v>
                </c:pt>
                <c:pt idx="236">
                  <c:v>11523.632000000001</c:v>
                </c:pt>
                <c:pt idx="237">
                  <c:v>11568.194000000001</c:v>
                </c:pt>
                <c:pt idx="238">
                  <c:v>11612.756000000001</c:v>
                </c:pt>
                <c:pt idx="239">
                  <c:v>11657.318000000001</c:v>
                </c:pt>
                <c:pt idx="240">
                  <c:v>11701.880000000001</c:v>
                </c:pt>
                <c:pt idx="241">
                  <c:v>11746.442000000001</c:v>
                </c:pt>
                <c:pt idx="242">
                  <c:v>11791.004000000001</c:v>
                </c:pt>
                <c:pt idx="243">
                  <c:v>11835.566000000001</c:v>
                </c:pt>
                <c:pt idx="244">
                  <c:v>11880.128000000001</c:v>
                </c:pt>
                <c:pt idx="245">
                  <c:v>11924.69</c:v>
                </c:pt>
                <c:pt idx="246">
                  <c:v>11969.252</c:v>
                </c:pt>
                <c:pt idx="247">
                  <c:v>12013.814</c:v>
                </c:pt>
                <c:pt idx="248">
                  <c:v>12058.376</c:v>
                </c:pt>
                <c:pt idx="249">
                  <c:v>12102.938</c:v>
                </c:pt>
                <c:pt idx="250">
                  <c:v>12147.500000000002</c:v>
                </c:pt>
                <c:pt idx="251">
                  <c:v>12192.062000000002</c:v>
                </c:pt>
                <c:pt idx="252">
                  <c:v>12236.624000000002</c:v>
                </c:pt>
                <c:pt idx="253">
                  <c:v>12281.186000000002</c:v>
                </c:pt>
                <c:pt idx="254">
                  <c:v>12325.748000000001</c:v>
                </c:pt>
                <c:pt idx="255">
                  <c:v>12370.310000000001</c:v>
                </c:pt>
                <c:pt idx="256">
                  <c:v>12414.872000000001</c:v>
                </c:pt>
                <c:pt idx="257">
                  <c:v>12459.434000000001</c:v>
                </c:pt>
                <c:pt idx="258">
                  <c:v>12503.996000000001</c:v>
                </c:pt>
                <c:pt idx="259">
                  <c:v>12548.558000000001</c:v>
                </c:pt>
                <c:pt idx="260">
                  <c:v>12593.12</c:v>
                </c:pt>
                <c:pt idx="261">
                  <c:v>12637.682000000001</c:v>
                </c:pt>
              </c:numCache>
            </c:numRef>
          </c:yVal>
          <c:smooth val="0"/>
          <c:extLst>
            <c:ext xmlns:c16="http://schemas.microsoft.com/office/drawing/2014/chart" uri="{C3380CC4-5D6E-409C-BE32-E72D297353CC}">
              <c16:uniqueId val="{00000000-B246-40DF-8122-F7290E41584C}"/>
            </c:ext>
          </c:extLst>
        </c:ser>
        <c:ser>
          <c:idx val="1"/>
          <c:order val="1"/>
          <c:tx>
            <c:strRef>
              <c:f>Timelines!$C$1</c:f>
              <c:strCache>
                <c:ptCount val="1"/>
                <c:pt idx="0">
                  <c:v>Current: Services</c:v>
                </c:pt>
              </c:strCache>
            </c:strRef>
          </c:tx>
          <c:spPr>
            <a:ln w="19050" cap="rnd">
              <a:solidFill>
                <a:srgbClr val="00B050"/>
              </a:solidFill>
              <a:prstDash val="solid"/>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Timelines!$C$2:$C$263</c:f>
              <c:numCache>
                <c:formatCode>0</c:formatCode>
                <c:ptCount val="262"/>
                <c:pt idx="0">
                  <c:v>0</c:v>
                </c:pt>
                <c:pt idx="1">
                  <c:v>41.188000000000002</c:v>
                </c:pt>
                <c:pt idx="2">
                  <c:v>82.376000000000005</c:v>
                </c:pt>
                <c:pt idx="3">
                  <c:v>123.56400000000001</c:v>
                </c:pt>
                <c:pt idx="4">
                  <c:v>164.75200000000001</c:v>
                </c:pt>
                <c:pt idx="5">
                  <c:v>205.94</c:v>
                </c:pt>
                <c:pt idx="6">
                  <c:v>247.12800000000001</c:v>
                </c:pt>
                <c:pt idx="7">
                  <c:v>288.31600000000003</c:v>
                </c:pt>
                <c:pt idx="8">
                  <c:v>329.50400000000002</c:v>
                </c:pt>
                <c:pt idx="9">
                  <c:v>370.69200000000001</c:v>
                </c:pt>
                <c:pt idx="10">
                  <c:v>411.88</c:v>
                </c:pt>
                <c:pt idx="11">
                  <c:v>453.06800000000004</c:v>
                </c:pt>
                <c:pt idx="12">
                  <c:v>494.25600000000003</c:v>
                </c:pt>
                <c:pt idx="13">
                  <c:v>535.44400000000007</c:v>
                </c:pt>
                <c:pt idx="14">
                  <c:v>576.63200000000006</c:v>
                </c:pt>
                <c:pt idx="15">
                  <c:v>617.82000000000005</c:v>
                </c:pt>
                <c:pt idx="16">
                  <c:v>659.00800000000004</c:v>
                </c:pt>
                <c:pt idx="17">
                  <c:v>700.19600000000003</c:v>
                </c:pt>
                <c:pt idx="18">
                  <c:v>741.38400000000001</c:v>
                </c:pt>
                <c:pt idx="19">
                  <c:v>782.572</c:v>
                </c:pt>
                <c:pt idx="20">
                  <c:v>823.76</c:v>
                </c:pt>
                <c:pt idx="21">
                  <c:v>864.94800000000009</c:v>
                </c:pt>
                <c:pt idx="22">
                  <c:v>906.13600000000008</c:v>
                </c:pt>
                <c:pt idx="23">
                  <c:v>947.32400000000007</c:v>
                </c:pt>
                <c:pt idx="24">
                  <c:v>988.51200000000006</c:v>
                </c:pt>
                <c:pt idx="25">
                  <c:v>1029.7</c:v>
                </c:pt>
                <c:pt idx="26">
                  <c:v>1070.8880000000001</c:v>
                </c:pt>
                <c:pt idx="27">
                  <c:v>1112.076</c:v>
                </c:pt>
                <c:pt idx="28">
                  <c:v>1153.2640000000001</c:v>
                </c:pt>
                <c:pt idx="29">
                  <c:v>1194.452</c:v>
                </c:pt>
                <c:pt idx="30">
                  <c:v>1235.6400000000001</c:v>
                </c:pt>
                <c:pt idx="31">
                  <c:v>1276.828</c:v>
                </c:pt>
                <c:pt idx="32">
                  <c:v>1318.0160000000001</c:v>
                </c:pt>
                <c:pt idx="33">
                  <c:v>1359.2040000000002</c:v>
                </c:pt>
                <c:pt idx="34">
                  <c:v>1400.3920000000001</c:v>
                </c:pt>
                <c:pt idx="35">
                  <c:v>1441.5800000000002</c:v>
                </c:pt>
                <c:pt idx="36">
                  <c:v>1482.768</c:v>
                </c:pt>
                <c:pt idx="37">
                  <c:v>1523.9560000000001</c:v>
                </c:pt>
                <c:pt idx="38">
                  <c:v>1565.144</c:v>
                </c:pt>
                <c:pt idx="39">
                  <c:v>1606.3320000000001</c:v>
                </c:pt>
                <c:pt idx="40">
                  <c:v>1647.52</c:v>
                </c:pt>
                <c:pt idx="41">
                  <c:v>1688.7080000000001</c:v>
                </c:pt>
                <c:pt idx="42">
                  <c:v>1729.8960000000002</c:v>
                </c:pt>
                <c:pt idx="43">
                  <c:v>1771.0840000000001</c:v>
                </c:pt>
                <c:pt idx="44">
                  <c:v>1812.2720000000002</c:v>
                </c:pt>
                <c:pt idx="45">
                  <c:v>1853.46</c:v>
                </c:pt>
                <c:pt idx="46">
                  <c:v>1894.6480000000001</c:v>
                </c:pt>
                <c:pt idx="47">
                  <c:v>1935.836</c:v>
                </c:pt>
                <c:pt idx="48">
                  <c:v>1977.0240000000001</c:v>
                </c:pt>
                <c:pt idx="49">
                  <c:v>2018.2120000000002</c:v>
                </c:pt>
                <c:pt idx="50">
                  <c:v>2059.4</c:v>
                </c:pt>
                <c:pt idx="51">
                  <c:v>2100.5880000000002</c:v>
                </c:pt>
                <c:pt idx="52">
                  <c:v>2141.7760000000003</c:v>
                </c:pt>
                <c:pt idx="53">
                  <c:v>2182.9639999999999</c:v>
                </c:pt>
                <c:pt idx="54">
                  <c:v>2224.152</c:v>
                </c:pt>
                <c:pt idx="55">
                  <c:v>2265.34</c:v>
                </c:pt>
                <c:pt idx="56">
                  <c:v>2306.5280000000002</c:v>
                </c:pt>
                <c:pt idx="57">
                  <c:v>2347.7160000000003</c:v>
                </c:pt>
                <c:pt idx="58">
                  <c:v>2388.904</c:v>
                </c:pt>
                <c:pt idx="59">
                  <c:v>2430.0920000000001</c:v>
                </c:pt>
                <c:pt idx="60">
                  <c:v>2471.2800000000002</c:v>
                </c:pt>
                <c:pt idx="61">
                  <c:v>2512.4680000000003</c:v>
                </c:pt>
                <c:pt idx="62">
                  <c:v>2553.6559999999999</c:v>
                </c:pt>
                <c:pt idx="63">
                  <c:v>2594.8440000000001</c:v>
                </c:pt>
                <c:pt idx="64">
                  <c:v>2636.0320000000002</c:v>
                </c:pt>
                <c:pt idx="65">
                  <c:v>2677.2200000000003</c:v>
                </c:pt>
                <c:pt idx="66">
                  <c:v>2718.4080000000004</c:v>
                </c:pt>
                <c:pt idx="67">
                  <c:v>2759.596</c:v>
                </c:pt>
                <c:pt idx="68">
                  <c:v>2800.7840000000001</c:v>
                </c:pt>
                <c:pt idx="69">
                  <c:v>2841.9720000000002</c:v>
                </c:pt>
                <c:pt idx="70">
                  <c:v>2883.1600000000003</c:v>
                </c:pt>
                <c:pt idx="71">
                  <c:v>2924.348</c:v>
                </c:pt>
                <c:pt idx="72">
                  <c:v>2965.5360000000001</c:v>
                </c:pt>
                <c:pt idx="73">
                  <c:v>3006.7240000000002</c:v>
                </c:pt>
                <c:pt idx="74">
                  <c:v>3047.9120000000003</c:v>
                </c:pt>
                <c:pt idx="75">
                  <c:v>3089.1000000000004</c:v>
                </c:pt>
                <c:pt idx="76">
                  <c:v>3130.288</c:v>
                </c:pt>
                <c:pt idx="77">
                  <c:v>3171.4760000000001</c:v>
                </c:pt>
                <c:pt idx="78">
                  <c:v>3212.6640000000002</c:v>
                </c:pt>
                <c:pt idx="79">
                  <c:v>3253.8520000000003</c:v>
                </c:pt>
                <c:pt idx="80">
                  <c:v>3295.04</c:v>
                </c:pt>
                <c:pt idx="81">
                  <c:v>3336.2280000000001</c:v>
                </c:pt>
                <c:pt idx="82">
                  <c:v>3377.4160000000002</c:v>
                </c:pt>
                <c:pt idx="83">
                  <c:v>3418.6040000000003</c:v>
                </c:pt>
                <c:pt idx="84">
                  <c:v>3459.7920000000004</c:v>
                </c:pt>
                <c:pt idx="85">
                  <c:v>3500.98</c:v>
                </c:pt>
                <c:pt idx="86">
                  <c:v>3542.1680000000001</c:v>
                </c:pt>
                <c:pt idx="87">
                  <c:v>3583.3560000000002</c:v>
                </c:pt>
                <c:pt idx="88">
                  <c:v>3624.5440000000003</c:v>
                </c:pt>
                <c:pt idx="89">
                  <c:v>3665.7320000000004</c:v>
                </c:pt>
                <c:pt idx="90">
                  <c:v>3706.92</c:v>
                </c:pt>
                <c:pt idx="91">
                  <c:v>3748.1080000000002</c:v>
                </c:pt>
                <c:pt idx="92">
                  <c:v>3789.2960000000003</c:v>
                </c:pt>
                <c:pt idx="93">
                  <c:v>3830.4840000000004</c:v>
                </c:pt>
                <c:pt idx="94">
                  <c:v>3871.672</c:v>
                </c:pt>
                <c:pt idx="95">
                  <c:v>3912.86</c:v>
                </c:pt>
                <c:pt idx="96">
                  <c:v>3954.0480000000002</c:v>
                </c:pt>
                <c:pt idx="97">
                  <c:v>3995.2360000000003</c:v>
                </c:pt>
                <c:pt idx="98">
                  <c:v>4036.4240000000004</c:v>
                </c:pt>
                <c:pt idx="99">
                  <c:v>4077.6120000000001</c:v>
                </c:pt>
                <c:pt idx="100">
                  <c:v>4118.8</c:v>
                </c:pt>
                <c:pt idx="101">
                  <c:v>4159.9880000000003</c:v>
                </c:pt>
                <c:pt idx="102">
                  <c:v>4201.1760000000004</c:v>
                </c:pt>
                <c:pt idx="103">
                  <c:v>4242.3640000000005</c:v>
                </c:pt>
                <c:pt idx="104">
                  <c:v>4283.5520000000006</c:v>
                </c:pt>
                <c:pt idx="105">
                  <c:v>4324.7400000000007</c:v>
                </c:pt>
                <c:pt idx="106">
                  <c:v>4365.9279999999999</c:v>
                </c:pt>
                <c:pt idx="107">
                  <c:v>4407.116</c:v>
                </c:pt>
                <c:pt idx="108">
                  <c:v>4448.3040000000001</c:v>
                </c:pt>
                <c:pt idx="109">
                  <c:v>4489.4920000000002</c:v>
                </c:pt>
                <c:pt idx="110">
                  <c:v>4530.68</c:v>
                </c:pt>
                <c:pt idx="111">
                  <c:v>4571.8680000000004</c:v>
                </c:pt>
                <c:pt idx="112">
                  <c:v>4613.0560000000005</c:v>
                </c:pt>
                <c:pt idx="113">
                  <c:v>4654.2440000000006</c:v>
                </c:pt>
                <c:pt idx="114">
                  <c:v>4695.4320000000007</c:v>
                </c:pt>
                <c:pt idx="115">
                  <c:v>4736.62</c:v>
                </c:pt>
                <c:pt idx="116">
                  <c:v>4777.808</c:v>
                </c:pt>
                <c:pt idx="117">
                  <c:v>4818.9960000000001</c:v>
                </c:pt>
                <c:pt idx="118">
                  <c:v>4860.1840000000002</c:v>
                </c:pt>
                <c:pt idx="119">
                  <c:v>4901.3720000000003</c:v>
                </c:pt>
                <c:pt idx="120">
                  <c:v>4942.5600000000004</c:v>
                </c:pt>
                <c:pt idx="121">
                  <c:v>4983.7480000000005</c:v>
                </c:pt>
                <c:pt idx="122">
                  <c:v>5024.9360000000006</c:v>
                </c:pt>
                <c:pt idx="123">
                  <c:v>5066.1240000000007</c:v>
                </c:pt>
                <c:pt idx="124">
                  <c:v>5107.3119999999999</c:v>
                </c:pt>
                <c:pt idx="125">
                  <c:v>5148.5</c:v>
                </c:pt>
                <c:pt idx="126">
                  <c:v>5189.6880000000001</c:v>
                </c:pt>
                <c:pt idx="127">
                  <c:v>5230.8760000000002</c:v>
                </c:pt>
                <c:pt idx="128">
                  <c:v>5272.0640000000003</c:v>
                </c:pt>
                <c:pt idx="129">
                  <c:v>5313.2520000000004</c:v>
                </c:pt>
                <c:pt idx="130">
                  <c:v>5354.4400000000005</c:v>
                </c:pt>
                <c:pt idx="131">
                  <c:v>5395.6280000000006</c:v>
                </c:pt>
                <c:pt idx="132">
                  <c:v>5436.8160000000007</c:v>
                </c:pt>
                <c:pt idx="133">
                  <c:v>5478.0039999999999</c:v>
                </c:pt>
                <c:pt idx="134">
                  <c:v>5519.192</c:v>
                </c:pt>
                <c:pt idx="135">
                  <c:v>5560.38</c:v>
                </c:pt>
                <c:pt idx="136">
                  <c:v>5601.5680000000002</c:v>
                </c:pt>
                <c:pt idx="137">
                  <c:v>5642.7560000000003</c:v>
                </c:pt>
                <c:pt idx="138">
                  <c:v>5683.9440000000004</c:v>
                </c:pt>
                <c:pt idx="139">
                  <c:v>5725.1320000000005</c:v>
                </c:pt>
                <c:pt idx="140">
                  <c:v>5766.3200000000006</c:v>
                </c:pt>
                <c:pt idx="141">
                  <c:v>5807.5080000000007</c:v>
                </c:pt>
                <c:pt idx="142">
                  <c:v>5848.6959999999999</c:v>
                </c:pt>
                <c:pt idx="143">
                  <c:v>5889.884</c:v>
                </c:pt>
                <c:pt idx="144">
                  <c:v>5931.0720000000001</c:v>
                </c:pt>
                <c:pt idx="145">
                  <c:v>5972.26</c:v>
                </c:pt>
                <c:pt idx="146">
                  <c:v>6013.4480000000003</c:v>
                </c:pt>
                <c:pt idx="147">
                  <c:v>6054.6360000000004</c:v>
                </c:pt>
                <c:pt idx="148">
                  <c:v>6095.8240000000005</c:v>
                </c:pt>
                <c:pt idx="149">
                  <c:v>6137.0120000000006</c:v>
                </c:pt>
                <c:pt idx="150">
                  <c:v>6178.2000000000007</c:v>
                </c:pt>
                <c:pt idx="151">
                  <c:v>6219.3879999999999</c:v>
                </c:pt>
                <c:pt idx="152">
                  <c:v>6260.576</c:v>
                </c:pt>
                <c:pt idx="153">
                  <c:v>6301.7640000000001</c:v>
                </c:pt>
                <c:pt idx="154">
                  <c:v>6342.9520000000002</c:v>
                </c:pt>
                <c:pt idx="155">
                  <c:v>6384.14</c:v>
                </c:pt>
                <c:pt idx="156">
                  <c:v>6425.3280000000004</c:v>
                </c:pt>
                <c:pt idx="157">
                  <c:v>6466.5160000000005</c:v>
                </c:pt>
                <c:pt idx="158">
                  <c:v>6507.7040000000006</c:v>
                </c:pt>
                <c:pt idx="159">
                  <c:v>6548.8920000000007</c:v>
                </c:pt>
                <c:pt idx="160">
                  <c:v>6590.08</c:v>
                </c:pt>
                <c:pt idx="161">
                  <c:v>6631.268</c:v>
                </c:pt>
                <c:pt idx="162">
                  <c:v>6672.4560000000001</c:v>
                </c:pt>
                <c:pt idx="163">
                  <c:v>6713.6440000000002</c:v>
                </c:pt>
                <c:pt idx="164">
                  <c:v>6754.8320000000003</c:v>
                </c:pt>
                <c:pt idx="165">
                  <c:v>6796.02</c:v>
                </c:pt>
                <c:pt idx="166">
                  <c:v>6837.2080000000005</c:v>
                </c:pt>
                <c:pt idx="167">
                  <c:v>6878.3960000000006</c:v>
                </c:pt>
                <c:pt idx="168">
                  <c:v>6919.5840000000007</c:v>
                </c:pt>
                <c:pt idx="169">
                  <c:v>6960.7720000000008</c:v>
                </c:pt>
                <c:pt idx="170">
                  <c:v>7001.96</c:v>
                </c:pt>
                <c:pt idx="171">
                  <c:v>7043.1480000000001</c:v>
                </c:pt>
                <c:pt idx="172">
                  <c:v>7084.3360000000002</c:v>
                </c:pt>
                <c:pt idx="173">
                  <c:v>7125.5240000000003</c:v>
                </c:pt>
                <c:pt idx="174">
                  <c:v>7166.7120000000004</c:v>
                </c:pt>
                <c:pt idx="175">
                  <c:v>7207.9000000000005</c:v>
                </c:pt>
                <c:pt idx="176">
                  <c:v>7249.0880000000006</c:v>
                </c:pt>
                <c:pt idx="177">
                  <c:v>7290.2760000000007</c:v>
                </c:pt>
                <c:pt idx="178">
                  <c:v>7331.4640000000009</c:v>
                </c:pt>
                <c:pt idx="179">
                  <c:v>7372.652</c:v>
                </c:pt>
                <c:pt idx="180">
                  <c:v>7413.84</c:v>
                </c:pt>
                <c:pt idx="181">
                  <c:v>7455.0280000000002</c:v>
                </c:pt>
                <c:pt idx="182">
                  <c:v>7496.2160000000003</c:v>
                </c:pt>
                <c:pt idx="183">
                  <c:v>7537.4040000000005</c:v>
                </c:pt>
                <c:pt idx="184">
                  <c:v>7578.5920000000006</c:v>
                </c:pt>
                <c:pt idx="185">
                  <c:v>7619.7800000000007</c:v>
                </c:pt>
                <c:pt idx="186">
                  <c:v>7660.9680000000008</c:v>
                </c:pt>
                <c:pt idx="187">
                  <c:v>7702.1560000000009</c:v>
                </c:pt>
                <c:pt idx="188">
                  <c:v>7743.3440000000001</c:v>
                </c:pt>
                <c:pt idx="189">
                  <c:v>7784.5320000000002</c:v>
                </c:pt>
                <c:pt idx="190">
                  <c:v>7825.72</c:v>
                </c:pt>
                <c:pt idx="191">
                  <c:v>7866.9080000000004</c:v>
                </c:pt>
                <c:pt idx="192">
                  <c:v>7908.0960000000005</c:v>
                </c:pt>
                <c:pt idx="193">
                  <c:v>7949.2840000000006</c:v>
                </c:pt>
                <c:pt idx="194">
                  <c:v>7990.4720000000007</c:v>
                </c:pt>
                <c:pt idx="195">
                  <c:v>8031.6600000000008</c:v>
                </c:pt>
                <c:pt idx="196">
                  <c:v>8072.8480000000009</c:v>
                </c:pt>
                <c:pt idx="197">
                  <c:v>8114.0360000000001</c:v>
                </c:pt>
                <c:pt idx="198">
                  <c:v>8155.2240000000002</c:v>
                </c:pt>
                <c:pt idx="199">
                  <c:v>8196.4120000000003</c:v>
                </c:pt>
                <c:pt idx="200">
                  <c:v>8237.6</c:v>
                </c:pt>
                <c:pt idx="201">
                  <c:v>8278.7880000000005</c:v>
                </c:pt>
                <c:pt idx="202">
                  <c:v>8319.9760000000006</c:v>
                </c:pt>
                <c:pt idx="203">
                  <c:v>8361.1640000000007</c:v>
                </c:pt>
                <c:pt idx="204">
                  <c:v>8402.3520000000008</c:v>
                </c:pt>
                <c:pt idx="205">
                  <c:v>8443.5400000000009</c:v>
                </c:pt>
                <c:pt idx="206">
                  <c:v>8484.728000000001</c:v>
                </c:pt>
                <c:pt idx="207">
                  <c:v>8525.9160000000011</c:v>
                </c:pt>
                <c:pt idx="208">
                  <c:v>8567.1040000000012</c:v>
                </c:pt>
                <c:pt idx="209">
                  <c:v>8608.2920000000013</c:v>
                </c:pt>
                <c:pt idx="210">
                  <c:v>8649.4800000000014</c:v>
                </c:pt>
                <c:pt idx="211">
                  <c:v>8690.6679999999997</c:v>
                </c:pt>
                <c:pt idx="212">
                  <c:v>8731.8559999999998</c:v>
                </c:pt>
                <c:pt idx="213">
                  <c:v>8773.0439999999999</c:v>
                </c:pt>
                <c:pt idx="214">
                  <c:v>8814.232</c:v>
                </c:pt>
                <c:pt idx="215">
                  <c:v>8855.42</c:v>
                </c:pt>
                <c:pt idx="216">
                  <c:v>8896.6080000000002</c:v>
                </c:pt>
                <c:pt idx="217">
                  <c:v>8937.7960000000003</c:v>
                </c:pt>
                <c:pt idx="218">
                  <c:v>8978.9840000000004</c:v>
                </c:pt>
                <c:pt idx="219">
                  <c:v>9020.1720000000005</c:v>
                </c:pt>
                <c:pt idx="220">
                  <c:v>9061.36</c:v>
                </c:pt>
                <c:pt idx="221">
                  <c:v>9102.5480000000007</c:v>
                </c:pt>
                <c:pt idx="222">
                  <c:v>9143.7360000000008</c:v>
                </c:pt>
                <c:pt idx="223">
                  <c:v>9184.9240000000009</c:v>
                </c:pt>
                <c:pt idx="224">
                  <c:v>9226.112000000001</c:v>
                </c:pt>
                <c:pt idx="225">
                  <c:v>9267.3000000000011</c:v>
                </c:pt>
                <c:pt idx="226">
                  <c:v>9308.4880000000012</c:v>
                </c:pt>
                <c:pt idx="227">
                  <c:v>9349.6760000000013</c:v>
                </c:pt>
                <c:pt idx="228">
                  <c:v>9390.8640000000014</c:v>
                </c:pt>
                <c:pt idx="229">
                  <c:v>9432.0519999999997</c:v>
                </c:pt>
                <c:pt idx="230">
                  <c:v>9473.24</c:v>
                </c:pt>
                <c:pt idx="231">
                  <c:v>9514.4279999999999</c:v>
                </c:pt>
                <c:pt idx="232">
                  <c:v>9555.616</c:v>
                </c:pt>
                <c:pt idx="233">
                  <c:v>9596.8040000000001</c:v>
                </c:pt>
                <c:pt idx="234">
                  <c:v>9637.9920000000002</c:v>
                </c:pt>
                <c:pt idx="235">
                  <c:v>9679.18</c:v>
                </c:pt>
                <c:pt idx="236">
                  <c:v>9720.3680000000004</c:v>
                </c:pt>
                <c:pt idx="237">
                  <c:v>9761.5560000000005</c:v>
                </c:pt>
                <c:pt idx="238">
                  <c:v>9802.7440000000006</c:v>
                </c:pt>
                <c:pt idx="239">
                  <c:v>9843.9320000000007</c:v>
                </c:pt>
                <c:pt idx="240">
                  <c:v>9885.1200000000008</c:v>
                </c:pt>
                <c:pt idx="241">
                  <c:v>9926.3080000000009</c:v>
                </c:pt>
                <c:pt idx="242">
                  <c:v>9967.496000000001</c:v>
                </c:pt>
                <c:pt idx="243">
                  <c:v>10008.684000000001</c:v>
                </c:pt>
                <c:pt idx="244">
                  <c:v>10049.872000000001</c:v>
                </c:pt>
                <c:pt idx="245">
                  <c:v>10091.060000000001</c:v>
                </c:pt>
                <c:pt idx="246">
                  <c:v>10132.248000000001</c:v>
                </c:pt>
                <c:pt idx="247">
                  <c:v>10173.436</c:v>
                </c:pt>
                <c:pt idx="248">
                  <c:v>10214.624</c:v>
                </c:pt>
                <c:pt idx="249">
                  <c:v>10255.812</c:v>
                </c:pt>
                <c:pt idx="250">
                  <c:v>10297</c:v>
                </c:pt>
                <c:pt idx="251">
                  <c:v>10338.188</c:v>
                </c:pt>
                <c:pt idx="252">
                  <c:v>10379.376</c:v>
                </c:pt>
                <c:pt idx="253">
                  <c:v>10420.564</c:v>
                </c:pt>
                <c:pt idx="254">
                  <c:v>10461.752</c:v>
                </c:pt>
                <c:pt idx="255">
                  <c:v>10502.94</c:v>
                </c:pt>
                <c:pt idx="256">
                  <c:v>10544.128000000001</c:v>
                </c:pt>
                <c:pt idx="257">
                  <c:v>10585.316000000001</c:v>
                </c:pt>
                <c:pt idx="258">
                  <c:v>10626.504000000001</c:v>
                </c:pt>
                <c:pt idx="259">
                  <c:v>10667.692000000001</c:v>
                </c:pt>
                <c:pt idx="260">
                  <c:v>10708.880000000001</c:v>
                </c:pt>
                <c:pt idx="261">
                  <c:v>10750.068000000001</c:v>
                </c:pt>
              </c:numCache>
            </c:numRef>
          </c:yVal>
          <c:smooth val="0"/>
          <c:extLst>
            <c:ext xmlns:c16="http://schemas.microsoft.com/office/drawing/2014/chart" uri="{C3380CC4-5D6E-409C-BE32-E72D297353CC}">
              <c16:uniqueId val="{00000001-B246-40DF-8122-F7290E41584C}"/>
            </c:ext>
          </c:extLst>
        </c:ser>
        <c:ser>
          <c:idx val="2"/>
          <c:order val="2"/>
          <c:tx>
            <c:strRef>
              <c:f>Timelines!$D$1</c:f>
              <c:strCache>
                <c:ptCount val="1"/>
                <c:pt idx="0">
                  <c:v>Current: Backlog</c:v>
                </c:pt>
              </c:strCache>
            </c:strRef>
          </c:tx>
          <c:spPr>
            <a:ln w="19050" cap="rnd">
              <a:solidFill>
                <a:srgbClr val="00B0F0"/>
              </a:solidFill>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Timelines!$D$2:$D$263</c:f>
              <c:numCache>
                <c:formatCode>0</c:formatCode>
                <c:ptCount val="262"/>
                <c:pt idx="0">
                  <c:v>1007</c:v>
                </c:pt>
                <c:pt idx="1">
                  <c:v>1010.3739999999999</c:v>
                </c:pt>
                <c:pt idx="2">
                  <c:v>1013.748</c:v>
                </c:pt>
                <c:pt idx="3">
                  <c:v>1017.122</c:v>
                </c:pt>
                <c:pt idx="4">
                  <c:v>1020.4960000000001</c:v>
                </c:pt>
                <c:pt idx="5">
                  <c:v>1023.8699999999999</c:v>
                </c:pt>
                <c:pt idx="6">
                  <c:v>1027.2440000000001</c:v>
                </c:pt>
                <c:pt idx="7">
                  <c:v>1030.6179999999999</c:v>
                </c:pt>
                <c:pt idx="8">
                  <c:v>1033.9920000000002</c:v>
                </c:pt>
                <c:pt idx="9">
                  <c:v>1037.366</c:v>
                </c:pt>
                <c:pt idx="10">
                  <c:v>1040.7400000000002</c:v>
                </c:pt>
                <c:pt idx="11">
                  <c:v>1044.114</c:v>
                </c:pt>
                <c:pt idx="12">
                  <c:v>1047.4880000000001</c:v>
                </c:pt>
                <c:pt idx="13">
                  <c:v>1050.8620000000001</c:v>
                </c:pt>
                <c:pt idx="14">
                  <c:v>1054.2359999999999</c:v>
                </c:pt>
                <c:pt idx="15">
                  <c:v>1057.6100000000001</c:v>
                </c:pt>
                <c:pt idx="16">
                  <c:v>1060.9840000000002</c:v>
                </c:pt>
                <c:pt idx="17">
                  <c:v>1064.3580000000002</c:v>
                </c:pt>
                <c:pt idx="18">
                  <c:v>1067.732</c:v>
                </c:pt>
                <c:pt idx="19">
                  <c:v>1071.1060000000002</c:v>
                </c:pt>
                <c:pt idx="20">
                  <c:v>1074.4800000000002</c:v>
                </c:pt>
                <c:pt idx="21">
                  <c:v>1077.854</c:v>
                </c:pt>
                <c:pt idx="22">
                  <c:v>1081.2280000000001</c:v>
                </c:pt>
                <c:pt idx="23">
                  <c:v>1084.6020000000001</c:v>
                </c:pt>
                <c:pt idx="24">
                  <c:v>1087.9760000000001</c:v>
                </c:pt>
                <c:pt idx="25">
                  <c:v>1091.3500000000001</c:v>
                </c:pt>
                <c:pt idx="26">
                  <c:v>1094.7239999999999</c:v>
                </c:pt>
                <c:pt idx="27">
                  <c:v>1098.098</c:v>
                </c:pt>
                <c:pt idx="28">
                  <c:v>1101.4719999999998</c:v>
                </c:pt>
                <c:pt idx="29">
                  <c:v>1104.8459999999998</c:v>
                </c:pt>
                <c:pt idx="30">
                  <c:v>1108.22</c:v>
                </c:pt>
                <c:pt idx="31">
                  <c:v>1111.5940000000001</c:v>
                </c:pt>
                <c:pt idx="32">
                  <c:v>1114.9680000000003</c:v>
                </c:pt>
                <c:pt idx="33">
                  <c:v>1118.3420000000001</c:v>
                </c:pt>
                <c:pt idx="34">
                  <c:v>1121.7160000000001</c:v>
                </c:pt>
                <c:pt idx="35">
                  <c:v>1125.0899999999999</c:v>
                </c:pt>
                <c:pt idx="36">
                  <c:v>1128.4639999999999</c:v>
                </c:pt>
                <c:pt idx="37">
                  <c:v>1131.8379999999997</c:v>
                </c:pt>
                <c:pt idx="38">
                  <c:v>1135.2120000000002</c:v>
                </c:pt>
                <c:pt idx="39">
                  <c:v>1138.586</c:v>
                </c:pt>
                <c:pt idx="40">
                  <c:v>1141.9600000000005</c:v>
                </c:pt>
                <c:pt idx="41">
                  <c:v>1145.3340000000003</c:v>
                </c:pt>
                <c:pt idx="42">
                  <c:v>1148.7080000000001</c:v>
                </c:pt>
                <c:pt idx="43">
                  <c:v>1152.0820000000001</c:v>
                </c:pt>
                <c:pt idx="44">
                  <c:v>1155.4559999999999</c:v>
                </c:pt>
                <c:pt idx="45">
                  <c:v>1158.83</c:v>
                </c:pt>
                <c:pt idx="46">
                  <c:v>1162.2040000000002</c:v>
                </c:pt>
                <c:pt idx="47">
                  <c:v>1165.5780000000002</c:v>
                </c:pt>
                <c:pt idx="48">
                  <c:v>1168.952</c:v>
                </c:pt>
                <c:pt idx="49">
                  <c:v>1172.3259999999998</c:v>
                </c:pt>
                <c:pt idx="50">
                  <c:v>1175.7000000000003</c:v>
                </c:pt>
                <c:pt idx="51">
                  <c:v>1179.0740000000001</c:v>
                </c:pt>
                <c:pt idx="52">
                  <c:v>1182.4479999999999</c:v>
                </c:pt>
                <c:pt idx="53">
                  <c:v>1185.8220000000001</c:v>
                </c:pt>
                <c:pt idx="54">
                  <c:v>1189.1960000000004</c:v>
                </c:pt>
                <c:pt idx="55">
                  <c:v>1192.5700000000002</c:v>
                </c:pt>
                <c:pt idx="56">
                  <c:v>1195.944</c:v>
                </c:pt>
                <c:pt idx="57">
                  <c:v>1199.3179999999998</c:v>
                </c:pt>
                <c:pt idx="58">
                  <c:v>1202.692</c:v>
                </c:pt>
                <c:pt idx="59">
                  <c:v>1206.0660000000003</c:v>
                </c:pt>
                <c:pt idx="60">
                  <c:v>1209.44</c:v>
                </c:pt>
                <c:pt idx="61">
                  <c:v>1212.8139999999999</c:v>
                </c:pt>
                <c:pt idx="62">
                  <c:v>1216.1880000000001</c:v>
                </c:pt>
                <c:pt idx="63">
                  <c:v>1219.5620000000004</c:v>
                </c:pt>
                <c:pt idx="64">
                  <c:v>1222.9360000000001</c:v>
                </c:pt>
                <c:pt idx="65">
                  <c:v>1226.31</c:v>
                </c:pt>
                <c:pt idx="66">
                  <c:v>1229.6839999999997</c:v>
                </c:pt>
                <c:pt idx="67">
                  <c:v>1233.0580000000004</c:v>
                </c:pt>
                <c:pt idx="68">
                  <c:v>1236.4320000000002</c:v>
                </c:pt>
                <c:pt idx="69">
                  <c:v>1239.806</c:v>
                </c:pt>
                <c:pt idx="70">
                  <c:v>1243.1799999999998</c:v>
                </c:pt>
                <c:pt idx="71">
                  <c:v>1246.5540000000001</c:v>
                </c:pt>
                <c:pt idx="72">
                  <c:v>1249.9279999999999</c:v>
                </c:pt>
                <c:pt idx="73">
                  <c:v>1253.3019999999997</c:v>
                </c:pt>
                <c:pt idx="74">
                  <c:v>1256.6759999999995</c:v>
                </c:pt>
                <c:pt idx="75">
                  <c:v>1260.0499999999993</c:v>
                </c:pt>
                <c:pt idx="76">
                  <c:v>1263.4240000000004</c:v>
                </c:pt>
                <c:pt idx="77">
                  <c:v>1266.7980000000002</c:v>
                </c:pt>
                <c:pt idx="78">
                  <c:v>1270.172</c:v>
                </c:pt>
                <c:pt idx="79">
                  <c:v>1273.5459999999998</c:v>
                </c:pt>
                <c:pt idx="80">
                  <c:v>1276.920000000001</c:v>
                </c:pt>
                <c:pt idx="81">
                  <c:v>1280.2940000000008</c:v>
                </c:pt>
                <c:pt idx="82">
                  <c:v>1283.6680000000006</c:v>
                </c:pt>
                <c:pt idx="83">
                  <c:v>1287.0420000000004</c:v>
                </c:pt>
                <c:pt idx="84">
                  <c:v>1290.4160000000002</c:v>
                </c:pt>
                <c:pt idx="85">
                  <c:v>1293.7900000000004</c:v>
                </c:pt>
                <c:pt idx="86">
                  <c:v>1297.1640000000002</c:v>
                </c:pt>
                <c:pt idx="87">
                  <c:v>1300.538</c:v>
                </c:pt>
                <c:pt idx="88">
                  <c:v>1303.9119999999998</c:v>
                </c:pt>
                <c:pt idx="89">
                  <c:v>1307.2859999999996</c:v>
                </c:pt>
                <c:pt idx="90">
                  <c:v>1310.6599999999999</c:v>
                </c:pt>
                <c:pt idx="91">
                  <c:v>1314.0339999999997</c:v>
                </c:pt>
                <c:pt idx="92">
                  <c:v>1317.4080000000004</c:v>
                </c:pt>
                <c:pt idx="93">
                  <c:v>1320.7820000000002</c:v>
                </c:pt>
                <c:pt idx="94">
                  <c:v>1324.1560000000004</c:v>
                </c:pt>
                <c:pt idx="95">
                  <c:v>1327.5300000000002</c:v>
                </c:pt>
                <c:pt idx="96">
                  <c:v>1330.904</c:v>
                </c:pt>
                <c:pt idx="97">
                  <c:v>1334.2779999999998</c:v>
                </c:pt>
                <c:pt idx="98">
                  <c:v>1337.6519999999996</c:v>
                </c:pt>
                <c:pt idx="99">
                  <c:v>1341.0260000000007</c:v>
                </c:pt>
                <c:pt idx="100">
                  <c:v>1344.4000000000005</c:v>
                </c:pt>
                <c:pt idx="101">
                  <c:v>1347.7740000000003</c:v>
                </c:pt>
                <c:pt idx="102">
                  <c:v>1351.1480000000001</c:v>
                </c:pt>
                <c:pt idx="103">
                  <c:v>1354.5219999999999</c:v>
                </c:pt>
                <c:pt idx="104">
                  <c:v>1357.8959999999997</c:v>
                </c:pt>
                <c:pt idx="105">
                  <c:v>1361.2699999999995</c:v>
                </c:pt>
                <c:pt idx="106">
                  <c:v>1364.6440000000002</c:v>
                </c:pt>
                <c:pt idx="107">
                  <c:v>1368.018</c:v>
                </c:pt>
                <c:pt idx="108">
                  <c:v>1371.3920000000007</c:v>
                </c:pt>
                <c:pt idx="109">
                  <c:v>1374.7660000000005</c:v>
                </c:pt>
                <c:pt idx="110">
                  <c:v>1378.1400000000003</c:v>
                </c:pt>
                <c:pt idx="111">
                  <c:v>1381.5140000000001</c:v>
                </c:pt>
                <c:pt idx="112">
                  <c:v>1384.8879999999999</c:v>
                </c:pt>
                <c:pt idx="113">
                  <c:v>1388.2619999999997</c:v>
                </c:pt>
                <c:pt idx="114">
                  <c:v>1391.6359999999995</c:v>
                </c:pt>
                <c:pt idx="115">
                  <c:v>1395.0100000000002</c:v>
                </c:pt>
                <c:pt idx="116">
                  <c:v>1398.384</c:v>
                </c:pt>
                <c:pt idx="117">
                  <c:v>1401.7580000000007</c:v>
                </c:pt>
                <c:pt idx="118">
                  <c:v>1405.1320000000005</c:v>
                </c:pt>
                <c:pt idx="119">
                  <c:v>1408.5060000000003</c:v>
                </c:pt>
                <c:pt idx="120">
                  <c:v>1411.88</c:v>
                </c:pt>
                <c:pt idx="121">
                  <c:v>1415.2539999999999</c:v>
                </c:pt>
                <c:pt idx="122">
                  <c:v>1418.6279999999997</c:v>
                </c:pt>
                <c:pt idx="123">
                  <c:v>1422.0019999999995</c:v>
                </c:pt>
                <c:pt idx="124">
                  <c:v>1425.3760000000002</c:v>
                </c:pt>
                <c:pt idx="125">
                  <c:v>1428.7500000000009</c:v>
                </c:pt>
                <c:pt idx="126">
                  <c:v>1432.1240000000007</c:v>
                </c:pt>
                <c:pt idx="127">
                  <c:v>1435.4980000000005</c:v>
                </c:pt>
                <c:pt idx="128">
                  <c:v>1438.8720000000003</c:v>
                </c:pt>
                <c:pt idx="129">
                  <c:v>1442.2460000000001</c:v>
                </c:pt>
                <c:pt idx="130">
                  <c:v>1445.62</c:v>
                </c:pt>
                <c:pt idx="131">
                  <c:v>1448.9939999999997</c:v>
                </c:pt>
                <c:pt idx="132">
                  <c:v>1452.3679999999995</c:v>
                </c:pt>
                <c:pt idx="133">
                  <c:v>1455.7420000000002</c:v>
                </c:pt>
                <c:pt idx="134">
                  <c:v>1459.1160000000009</c:v>
                </c:pt>
                <c:pt idx="135">
                  <c:v>1462.4900000000007</c:v>
                </c:pt>
                <c:pt idx="136">
                  <c:v>1465.8640000000005</c:v>
                </c:pt>
                <c:pt idx="137">
                  <c:v>1469.2380000000003</c:v>
                </c:pt>
                <c:pt idx="138">
                  <c:v>1472.6120000000001</c:v>
                </c:pt>
                <c:pt idx="139">
                  <c:v>1475.9859999999999</c:v>
                </c:pt>
                <c:pt idx="140">
                  <c:v>1479.3599999999997</c:v>
                </c:pt>
                <c:pt idx="141">
                  <c:v>1482.7339999999995</c:v>
                </c:pt>
                <c:pt idx="142">
                  <c:v>1486.1080000000011</c:v>
                </c:pt>
                <c:pt idx="143">
                  <c:v>1489.4820000000009</c:v>
                </c:pt>
                <c:pt idx="144">
                  <c:v>1492.8560000000007</c:v>
                </c:pt>
                <c:pt idx="145">
                  <c:v>1496.2300000000005</c:v>
                </c:pt>
                <c:pt idx="146">
                  <c:v>1499.6040000000003</c:v>
                </c:pt>
                <c:pt idx="147">
                  <c:v>1502.9780000000001</c:v>
                </c:pt>
                <c:pt idx="148">
                  <c:v>1506.3519999999999</c:v>
                </c:pt>
                <c:pt idx="149">
                  <c:v>1509.7259999999997</c:v>
                </c:pt>
                <c:pt idx="150">
                  <c:v>1513.0999999999995</c:v>
                </c:pt>
                <c:pt idx="151">
                  <c:v>1516.4740000000011</c:v>
                </c:pt>
                <c:pt idx="152">
                  <c:v>1519.8480000000009</c:v>
                </c:pt>
                <c:pt idx="153">
                  <c:v>1523.2220000000007</c:v>
                </c:pt>
                <c:pt idx="154">
                  <c:v>1526.5960000000005</c:v>
                </c:pt>
                <c:pt idx="155">
                  <c:v>1529.9700000000003</c:v>
                </c:pt>
                <c:pt idx="156">
                  <c:v>1533.3440000000001</c:v>
                </c:pt>
                <c:pt idx="157">
                  <c:v>1536.7179999999998</c:v>
                </c:pt>
                <c:pt idx="158">
                  <c:v>1540.0919999999996</c:v>
                </c:pt>
                <c:pt idx="159">
                  <c:v>1543.4659999999994</c:v>
                </c:pt>
                <c:pt idx="160">
                  <c:v>1546.8400000000011</c:v>
                </c:pt>
                <c:pt idx="161">
                  <c:v>1550.2140000000009</c:v>
                </c:pt>
                <c:pt idx="162">
                  <c:v>1553.5880000000016</c:v>
                </c:pt>
                <c:pt idx="163">
                  <c:v>1556.9619999999995</c:v>
                </c:pt>
                <c:pt idx="164">
                  <c:v>1560.3360000000011</c:v>
                </c:pt>
                <c:pt idx="165">
                  <c:v>1563.7099999999991</c:v>
                </c:pt>
                <c:pt idx="166">
                  <c:v>1567.0840000000007</c:v>
                </c:pt>
                <c:pt idx="167">
                  <c:v>1570.4579999999987</c:v>
                </c:pt>
                <c:pt idx="168">
                  <c:v>1573.8320000000003</c:v>
                </c:pt>
                <c:pt idx="169">
                  <c:v>1577.2060000000001</c:v>
                </c:pt>
                <c:pt idx="170">
                  <c:v>1580.5800000000008</c:v>
                </c:pt>
                <c:pt idx="171">
                  <c:v>1583.9540000000006</c:v>
                </c:pt>
                <c:pt idx="172">
                  <c:v>1587.3280000000004</c:v>
                </c:pt>
                <c:pt idx="173">
                  <c:v>1590.7020000000002</c:v>
                </c:pt>
                <c:pt idx="174">
                  <c:v>1594.076</c:v>
                </c:pt>
                <c:pt idx="175">
                  <c:v>1597.4499999999998</c:v>
                </c:pt>
                <c:pt idx="176">
                  <c:v>1600.8239999999996</c:v>
                </c:pt>
                <c:pt idx="177">
                  <c:v>1604.1980000000012</c:v>
                </c:pt>
                <c:pt idx="178">
                  <c:v>1607.5719999999992</c:v>
                </c:pt>
                <c:pt idx="179">
                  <c:v>1610.9460000000017</c:v>
                </c:pt>
                <c:pt idx="180">
                  <c:v>1614.3199999999997</c:v>
                </c:pt>
                <c:pt idx="181">
                  <c:v>1617.6940000000013</c:v>
                </c:pt>
                <c:pt idx="182">
                  <c:v>1621.0679999999993</c:v>
                </c:pt>
                <c:pt idx="183">
                  <c:v>1624.4420000000009</c:v>
                </c:pt>
                <c:pt idx="184">
                  <c:v>1627.8160000000007</c:v>
                </c:pt>
                <c:pt idx="185">
                  <c:v>1631.1900000000005</c:v>
                </c:pt>
                <c:pt idx="186">
                  <c:v>1634.5640000000003</c:v>
                </c:pt>
                <c:pt idx="187">
                  <c:v>1637.9380000000001</c:v>
                </c:pt>
                <c:pt idx="188">
                  <c:v>1641.3120000000008</c:v>
                </c:pt>
                <c:pt idx="189">
                  <c:v>1644.6860000000006</c:v>
                </c:pt>
                <c:pt idx="190">
                  <c:v>1648.0600000000004</c:v>
                </c:pt>
                <c:pt idx="191">
                  <c:v>1651.4340000000002</c:v>
                </c:pt>
                <c:pt idx="192">
                  <c:v>1654.808</c:v>
                </c:pt>
                <c:pt idx="193">
                  <c:v>1658.1819999999998</c:v>
                </c:pt>
                <c:pt idx="194">
                  <c:v>1661.5559999999996</c:v>
                </c:pt>
                <c:pt idx="195">
                  <c:v>1664.9299999999994</c:v>
                </c:pt>
                <c:pt idx="196">
                  <c:v>1668.3039999999992</c:v>
                </c:pt>
                <c:pt idx="197">
                  <c:v>1671.6779999999999</c:v>
                </c:pt>
                <c:pt idx="198">
                  <c:v>1675.0520000000015</c:v>
                </c:pt>
                <c:pt idx="199">
                  <c:v>1678.4260000000013</c:v>
                </c:pt>
                <c:pt idx="200">
                  <c:v>1681.8000000000011</c:v>
                </c:pt>
                <c:pt idx="201">
                  <c:v>1685.1740000000009</c:v>
                </c:pt>
                <c:pt idx="202">
                  <c:v>1688.5480000000007</c:v>
                </c:pt>
                <c:pt idx="203">
                  <c:v>1691.9220000000005</c:v>
                </c:pt>
                <c:pt idx="204">
                  <c:v>1695.2960000000003</c:v>
                </c:pt>
                <c:pt idx="205">
                  <c:v>1698.67</c:v>
                </c:pt>
                <c:pt idx="206">
                  <c:v>1702.0439999999999</c:v>
                </c:pt>
                <c:pt idx="207">
                  <c:v>1705.4179999999997</c:v>
                </c:pt>
                <c:pt idx="208">
                  <c:v>1708.7919999999995</c:v>
                </c:pt>
                <c:pt idx="209">
                  <c:v>1712.1659999999993</c:v>
                </c:pt>
                <c:pt idx="210">
                  <c:v>1715.5399999999991</c:v>
                </c:pt>
                <c:pt idx="211">
                  <c:v>1718.9140000000007</c:v>
                </c:pt>
                <c:pt idx="212">
                  <c:v>1722.2880000000005</c:v>
                </c:pt>
                <c:pt idx="213">
                  <c:v>1725.6620000000003</c:v>
                </c:pt>
                <c:pt idx="214">
                  <c:v>1729.0360000000001</c:v>
                </c:pt>
                <c:pt idx="215">
                  <c:v>1732.4099999999999</c:v>
                </c:pt>
                <c:pt idx="216">
                  <c:v>1735.7840000000015</c:v>
                </c:pt>
                <c:pt idx="217">
                  <c:v>1739.1580000000013</c:v>
                </c:pt>
                <c:pt idx="218">
                  <c:v>1742.5320000000011</c:v>
                </c:pt>
                <c:pt idx="219">
                  <c:v>1745.9060000000009</c:v>
                </c:pt>
                <c:pt idx="220">
                  <c:v>1749.2800000000007</c:v>
                </c:pt>
                <c:pt idx="221">
                  <c:v>1752.6540000000005</c:v>
                </c:pt>
                <c:pt idx="222">
                  <c:v>1756.0280000000002</c:v>
                </c:pt>
                <c:pt idx="223">
                  <c:v>1759.402</c:v>
                </c:pt>
                <c:pt idx="224">
                  <c:v>1762.7759999999998</c:v>
                </c:pt>
                <c:pt idx="225">
                  <c:v>1766.1499999999996</c:v>
                </c:pt>
                <c:pt idx="226">
                  <c:v>1769.5239999999994</c:v>
                </c:pt>
                <c:pt idx="227">
                  <c:v>1772.8979999999992</c:v>
                </c:pt>
                <c:pt idx="228">
                  <c:v>1776.271999999999</c:v>
                </c:pt>
                <c:pt idx="229">
                  <c:v>1779.6460000000006</c:v>
                </c:pt>
                <c:pt idx="230">
                  <c:v>1783.0200000000004</c:v>
                </c:pt>
                <c:pt idx="231">
                  <c:v>1786.3940000000002</c:v>
                </c:pt>
                <c:pt idx="232">
                  <c:v>1789.768</c:v>
                </c:pt>
                <c:pt idx="233">
                  <c:v>1793.1420000000016</c:v>
                </c:pt>
                <c:pt idx="234">
                  <c:v>1796.5160000000014</c:v>
                </c:pt>
                <c:pt idx="235">
                  <c:v>1799.8900000000012</c:v>
                </c:pt>
                <c:pt idx="236">
                  <c:v>1803.264000000001</c:v>
                </c:pt>
                <c:pt idx="237">
                  <c:v>1806.6380000000008</c:v>
                </c:pt>
                <c:pt idx="238">
                  <c:v>1810.0120000000006</c:v>
                </c:pt>
                <c:pt idx="239">
                  <c:v>1813.3860000000004</c:v>
                </c:pt>
                <c:pt idx="240">
                  <c:v>1816.7600000000002</c:v>
                </c:pt>
                <c:pt idx="241">
                  <c:v>1820.134</c:v>
                </c:pt>
                <c:pt idx="242">
                  <c:v>1823.5079999999998</c:v>
                </c:pt>
                <c:pt idx="243">
                  <c:v>1826.8819999999996</c:v>
                </c:pt>
                <c:pt idx="244">
                  <c:v>1830.2559999999994</c:v>
                </c:pt>
                <c:pt idx="245">
                  <c:v>1833.6299999999992</c:v>
                </c:pt>
                <c:pt idx="246">
                  <c:v>1837.003999999999</c:v>
                </c:pt>
                <c:pt idx="247">
                  <c:v>1840.3780000000006</c:v>
                </c:pt>
                <c:pt idx="248">
                  <c:v>1843.7520000000004</c:v>
                </c:pt>
                <c:pt idx="249">
                  <c:v>1847.1260000000002</c:v>
                </c:pt>
                <c:pt idx="250">
                  <c:v>1850.5000000000018</c:v>
                </c:pt>
                <c:pt idx="251">
                  <c:v>1853.8740000000016</c:v>
                </c:pt>
                <c:pt idx="252">
                  <c:v>1857.2480000000014</c:v>
                </c:pt>
                <c:pt idx="253">
                  <c:v>1860.6220000000012</c:v>
                </c:pt>
                <c:pt idx="254">
                  <c:v>1863.996000000001</c:v>
                </c:pt>
                <c:pt idx="255">
                  <c:v>1867.3700000000008</c:v>
                </c:pt>
                <c:pt idx="256">
                  <c:v>1870.7440000000006</c:v>
                </c:pt>
                <c:pt idx="257">
                  <c:v>1874.1180000000004</c:v>
                </c:pt>
                <c:pt idx="258">
                  <c:v>1877.4920000000002</c:v>
                </c:pt>
                <c:pt idx="259">
                  <c:v>1880.866</c:v>
                </c:pt>
                <c:pt idx="260">
                  <c:v>1884.2399999999998</c:v>
                </c:pt>
                <c:pt idx="261">
                  <c:v>1887.6139999999996</c:v>
                </c:pt>
              </c:numCache>
            </c:numRef>
          </c:yVal>
          <c:smooth val="0"/>
          <c:extLst>
            <c:ext xmlns:c16="http://schemas.microsoft.com/office/drawing/2014/chart" uri="{C3380CC4-5D6E-409C-BE32-E72D297353CC}">
              <c16:uniqueId val="{00000002-B246-40DF-8122-F7290E41584C}"/>
            </c:ext>
          </c:extLst>
        </c:ser>
        <c:ser>
          <c:idx val="3"/>
          <c:order val="3"/>
          <c:tx>
            <c:strRef>
              <c:f>Timelines!$E$1</c:f>
              <c:strCache>
                <c:ptCount val="1"/>
                <c:pt idx="0">
                  <c:v>Target: Arrivals</c:v>
                </c:pt>
              </c:strCache>
            </c:strRef>
          </c:tx>
          <c:spPr>
            <a:ln w="19050" cap="rnd">
              <a:solidFill>
                <a:srgbClr val="FF8989"/>
              </a:solidFill>
              <a:prstDash val="sysDash"/>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Timelines!$E$2:$E$263</c:f>
              <c:numCache>
                <c:formatCode>0</c:formatCode>
                <c:ptCount val="262"/>
                <c:pt idx="0">
                  <c:v>500</c:v>
                </c:pt>
                <c:pt idx="1">
                  <c:v>542</c:v>
                </c:pt>
                <c:pt idx="2">
                  <c:v>584</c:v>
                </c:pt>
                <c:pt idx="3">
                  <c:v>626</c:v>
                </c:pt>
                <c:pt idx="4">
                  <c:v>668</c:v>
                </c:pt>
                <c:pt idx="5">
                  <c:v>710</c:v>
                </c:pt>
                <c:pt idx="6">
                  <c:v>752</c:v>
                </c:pt>
                <c:pt idx="7">
                  <c:v>794</c:v>
                </c:pt>
                <c:pt idx="8">
                  <c:v>836</c:v>
                </c:pt>
                <c:pt idx="9">
                  <c:v>878</c:v>
                </c:pt>
                <c:pt idx="10">
                  <c:v>920</c:v>
                </c:pt>
                <c:pt idx="11">
                  <c:v>962</c:v>
                </c:pt>
                <c:pt idx="12">
                  <c:v>1004</c:v>
                </c:pt>
                <c:pt idx="13">
                  <c:v>1046</c:v>
                </c:pt>
                <c:pt idx="14">
                  <c:v>1088</c:v>
                </c:pt>
                <c:pt idx="15">
                  <c:v>1130</c:v>
                </c:pt>
                <c:pt idx="16">
                  <c:v>1172</c:v>
                </c:pt>
                <c:pt idx="17">
                  <c:v>1214</c:v>
                </c:pt>
                <c:pt idx="18">
                  <c:v>1256</c:v>
                </c:pt>
                <c:pt idx="19">
                  <c:v>1298</c:v>
                </c:pt>
                <c:pt idx="20">
                  <c:v>1340</c:v>
                </c:pt>
                <c:pt idx="21">
                  <c:v>1382</c:v>
                </c:pt>
                <c:pt idx="22">
                  <c:v>1424</c:v>
                </c:pt>
                <c:pt idx="23">
                  <c:v>1466</c:v>
                </c:pt>
                <c:pt idx="24">
                  <c:v>1508</c:v>
                </c:pt>
                <c:pt idx="25">
                  <c:v>1550</c:v>
                </c:pt>
                <c:pt idx="26">
                  <c:v>1592</c:v>
                </c:pt>
                <c:pt idx="27">
                  <c:v>1634</c:v>
                </c:pt>
                <c:pt idx="28">
                  <c:v>1676</c:v>
                </c:pt>
                <c:pt idx="29">
                  <c:v>1718</c:v>
                </c:pt>
                <c:pt idx="30">
                  <c:v>1760</c:v>
                </c:pt>
                <c:pt idx="31">
                  <c:v>1802</c:v>
                </c:pt>
                <c:pt idx="32">
                  <c:v>1844</c:v>
                </c:pt>
                <c:pt idx="33">
                  <c:v>1886</c:v>
                </c:pt>
                <c:pt idx="34">
                  <c:v>1928</c:v>
                </c:pt>
                <c:pt idx="35">
                  <c:v>1970</c:v>
                </c:pt>
                <c:pt idx="36">
                  <c:v>2012</c:v>
                </c:pt>
                <c:pt idx="37">
                  <c:v>2054</c:v>
                </c:pt>
                <c:pt idx="38">
                  <c:v>2096</c:v>
                </c:pt>
                <c:pt idx="39">
                  <c:v>2138</c:v>
                </c:pt>
                <c:pt idx="40">
                  <c:v>2180</c:v>
                </c:pt>
                <c:pt idx="41">
                  <c:v>2222</c:v>
                </c:pt>
                <c:pt idx="42">
                  <c:v>2264</c:v>
                </c:pt>
                <c:pt idx="43">
                  <c:v>2306</c:v>
                </c:pt>
                <c:pt idx="44">
                  <c:v>2348</c:v>
                </c:pt>
                <c:pt idx="45">
                  <c:v>2390</c:v>
                </c:pt>
                <c:pt idx="46">
                  <c:v>2432</c:v>
                </c:pt>
                <c:pt idx="47">
                  <c:v>2474</c:v>
                </c:pt>
                <c:pt idx="48">
                  <c:v>2516</c:v>
                </c:pt>
                <c:pt idx="49">
                  <c:v>2558</c:v>
                </c:pt>
                <c:pt idx="50">
                  <c:v>2600</c:v>
                </c:pt>
                <c:pt idx="51">
                  <c:v>2642</c:v>
                </c:pt>
                <c:pt idx="52">
                  <c:v>2684</c:v>
                </c:pt>
                <c:pt idx="53">
                  <c:v>2726</c:v>
                </c:pt>
                <c:pt idx="54">
                  <c:v>2768</c:v>
                </c:pt>
                <c:pt idx="55">
                  <c:v>2810</c:v>
                </c:pt>
                <c:pt idx="56">
                  <c:v>2852</c:v>
                </c:pt>
                <c:pt idx="57">
                  <c:v>2894</c:v>
                </c:pt>
                <c:pt idx="58">
                  <c:v>2936</c:v>
                </c:pt>
                <c:pt idx="59">
                  <c:v>2978</c:v>
                </c:pt>
                <c:pt idx="60">
                  <c:v>3020</c:v>
                </c:pt>
                <c:pt idx="61">
                  <c:v>3062</c:v>
                </c:pt>
                <c:pt idx="62">
                  <c:v>3104</c:v>
                </c:pt>
                <c:pt idx="63">
                  <c:v>3146</c:v>
                </c:pt>
                <c:pt idx="64">
                  <c:v>3188</c:v>
                </c:pt>
                <c:pt idx="65">
                  <c:v>3230</c:v>
                </c:pt>
                <c:pt idx="66">
                  <c:v>3272</c:v>
                </c:pt>
                <c:pt idx="67">
                  <c:v>3314</c:v>
                </c:pt>
                <c:pt idx="68">
                  <c:v>3356</c:v>
                </c:pt>
                <c:pt idx="69">
                  <c:v>3398</c:v>
                </c:pt>
                <c:pt idx="70">
                  <c:v>3440</c:v>
                </c:pt>
                <c:pt idx="71">
                  <c:v>3482</c:v>
                </c:pt>
                <c:pt idx="72">
                  <c:v>3524</c:v>
                </c:pt>
                <c:pt idx="73">
                  <c:v>3566</c:v>
                </c:pt>
                <c:pt idx="74">
                  <c:v>3608</c:v>
                </c:pt>
                <c:pt idx="75">
                  <c:v>3650</c:v>
                </c:pt>
                <c:pt idx="76">
                  <c:v>3692</c:v>
                </c:pt>
                <c:pt idx="77">
                  <c:v>3734</c:v>
                </c:pt>
                <c:pt idx="78">
                  <c:v>3776</c:v>
                </c:pt>
                <c:pt idx="79">
                  <c:v>3818</c:v>
                </c:pt>
                <c:pt idx="80">
                  <c:v>3860</c:v>
                </c:pt>
                <c:pt idx="81">
                  <c:v>3902</c:v>
                </c:pt>
                <c:pt idx="82">
                  <c:v>3944</c:v>
                </c:pt>
                <c:pt idx="83">
                  <c:v>3986</c:v>
                </c:pt>
                <c:pt idx="84">
                  <c:v>4028</c:v>
                </c:pt>
                <c:pt idx="85">
                  <c:v>4070</c:v>
                </c:pt>
                <c:pt idx="86">
                  <c:v>4112</c:v>
                </c:pt>
                <c:pt idx="87">
                  <c:v>4154</c:v>
                </c:pt>
                <c:pt idx="88">
                  <c:v>4196</c:v>
                </c:pt>
                <c:pt idx="89">
                  <c:v>4238</c:v>
                </c:pt>
                <c:pt idx="90">
                  <c:v>4280</c:v>
                </c:pt>
                <c:pt idx="91">
                  <c:v>4322</c:v>
                </c:pt>
                <c:pt idx="92">
                  <c:v>4364</c:v>
                </c:pt>
                <c:pt idx="93">
                  <c:v>4406</c:v>
                </c:pt>
                <c:pt idx="94">
                  <c:v>4448</c:v>
                </c:pt>
                <c:pt idx="95">
                  <c:v>4490</c:v>
                </c:pt>
                <c:pt idx="96">
                  <c:v>4532</c:v>
                </c:pt>
                <c:pt idx="97">
                  <c:v>4574</c:v>
                </c:pt>
                <c:pt idx="98">
                  <c:v>4616</c:v>
                </c:pt>
                <c:pt idx="99">
                  <c:v>4658</c:v>
                </c:pt>
                <c:pt idx="100">
                  <c:v>4700</c:v>
                </c:pt>
                <c:pt idx="101">
                  <c:v>4742</c:v>
                </c:pt>
                <c:pt idx="102">
                  <c:v>4784</c:v>
                </c:pt>
                <c:pt idx="103">
                  <c:v>4826</c:v>
                </c:pt>
                <c:pt idx="104">
                  <c:v>4868</c:v>
                </c:pt>
                <c:pt idx="105">
                  <c:v>4910</c:v>
                </c:pt>
                <c:pt idx="106">
                  <c:v>4952</c:v>
                </c:pt>
                <c:pt idx="107">
                  <c:v>4994</c:v>
                </c:pt>
                <c:pt idx="108">
                  <c:v>5036</c:v>
                </c:pt>
                <c:pt idx="109">
                  <c:v>5078</c:v>
                </c:pt>
                <c:pt idx="110">
                  <c:v>5120</c:v>
                </c:pt>
                <c:pt idx="111">
                  <c:v>5162</c:v>
                </c:pt>
                <c:pt idx="112">
                  <c:v>5204</c:v>
                </c:pt>
                <c:pt idx="113">
                  <c:v>5246</c:v>
                </c:pt>
                <c:pt idx="114">
                  <c:v>5288</c:v>
                </c:pt>
                <c:pt idx="115">
                  <c:v>5330</c:v>
                </c:pt>
                <c:pt idx="116">
                  <c:v>5372</c:v>
                </c:pt>
                <c:pt idx="117">
                  <c:v>5414</c:v>
                </c:pt>
                <c:pt idx="118">
                  <c:v>5456</c:v>
                </c:pt>
                <c:pt idx="119">
                  <c:v>5498</c:v>
                </c:pt>
                <c:pt idx="120">
                  <c:v>5540</c:v>
                </c:pt>
                <c:pt idx="121">
                  <c:v>5582</c:v>
                </c:pt>
                <c:pt idx="122">
                  <c:v>5624</c:v>
                </c:pt>
                <c:pt idx="123">
                  <c:v>5666</c:v>
                </c:pt>
                <c:pt idx="124">
                  <c:v>5708</c:v>
                </c:pt>
                <c:pt idx="125">
                  <c:v>5750</c:v>
                </c:pt>
                <c:pt idx="126">
                  <c:v>5792</c:v>
                </c:pt>
                <c:pt idx="127">
                  <c:v>5834</c:v>
                </c:pt>
                <c:pt idx="128">
                  <c:v>5876</c:v>
                </c:pt>
                <c:pt idx="129">
                  <c:v>5918</c:v>
                </c:pt>
                <c:pt idx="130">
                  <c:v>5960</c:v>
                </c:pt>
                <c:pt idx="131">
                  <c:v>6002</c:v>
                </c:pt>
                <c:pt idx="132">
                  <c:v>6044</c:v>
                </c:pt>
                <c:pt idx="133">
                  <c:v>6086</c:v>
                </c:pt>
                <c:pt idx="134">
                  <c:v>6128</c:v>
                </c:pt>
                <c:pt idx="135">
                  <c:v>6170</c:v>
                </c:pt>
                <c:pt idx="136">
                  <c:v>6212</c:v>
                </c:pt>
                <c:pt idx="137">
                  <c:v>6254</c:v>
                </c:pt>
                <c:pt idx="138">
                  <c:v>6296</c:v>
                </c:pt>
                <c:pt idx="139">
                  <c:v>6338</c:v>
                </c:pt>
                <c:pt idx="140">
                  <c:v>6380</c:v>
                </c:pt>
                <c:pt idx="141">
                  <c:v>6422</c:v>
                </c:pt>
                <c:pt idx="142">
                  <c:v>6464</c:v>
                </c:pt>
                <c:pt idx="143">
                  <c:v>6506</c:v>
                </c:pt>
                <c:pt idx="144">
                  <c:v>6548</c:v>
                </c:pt>
                <c:pt idx="145">
                  <c:v>6590</c:v>
                </c:pt>
                <c:pt idx="146">
                  <c:v>6632</c:v>
                </c:pt>
                <c:pt idx="147">
                  <c:v>6674</c:v>
                </c:pt>
                <c:pt idx="148">
                  <c:v>6716</c:v>
                </c:pt>
                <c:pt idx="149">
                  <c:v>6758</c:v>
                </c:pt>
                <c:pt idx="150">
                  <c:v>6800</c:v>
                </c:pt>
                <c:pt idx="151">
                  <c:v>6842</c:v>
                </c:pt>
                <c:pt idx="152">
                  <c:v>6884</c:v>
                </c:pt>
                <c:pt idx="153">
                  <c:v>6926</c:v>
                </c:pt>
                <c:pt idx="154">
                  <c:v>6968</c:v>
                </c:pt>
                <c:pt idx="155">
                  <c:v>7010</c:v>
                </c:pt>
                <c:pt idx="156">
                  <c:v>7052</c:v>
                </c:pt>
                <c:pt idx="157">
                  <c:v>7094</c:v>
                </c:pt>
                <c:pt idx="158">
                  <c:v>7136</c:v>
                </c:pt>
                <c:pt idx="159">
                  <c:v>7178</c:v>
                </c:pt>
                <c:pt idx="160">
                  <c:v>7220</c:v>
                </c:pt>
                <c:pt idx="161">
                  <c:v>7262</c:v>
                </c:pt>
                <c:pt idx="162">
                  <c:v>7304</c:v>
                </c:pt>
                <c:pt idx="163">
                  <c:v>7346</c:v>
                </c:pt>
                <c:pt idx="164">
                  <c:v>7388</c:v>
                </c:pt>
                <c:pt idx="165">
                  <c:v>7430</c:v>
                </c:pt>
                <c:pt idx="166">
                  <c:v>7472</c:v>
                </c:pt>
                <c:pt idx="167">
                  <c:v>7514</c:v>
                </c:pt>
                <c:pt idx="168">
                  <c:v>7556</c:v>
                </c:pt>
                <c:pt idx="169">
                  <c:v>7598</c:v>
                </c:pt>
                <c:pt idx="170">
                  <c:v>7640</c:v>
                </c:pt>
                <c:pt idx="171">
                  <c:v>7682</c:v>
                </c:pt>
                <c:pt idx="172">
                  <c:v>7724</c:v>
                </c:pt>
                <c:pt idx="173">
                  <c:v>7766</c:v>
                </c:pt>
                <c:pt idx="174">
                  <c:v>7808</c:v>
                </c:pt>
                <c:pt idx="175">
                  <c:v>7850</c:v>
                </c:pt>
                <c:pt idx="176">
                  <c:v>7892</c:v>
                </c:pt>
                <c:pt idx="177">
                  <c:v>7934</c:v>
                </c:pt>
                <c:pt idx="178">
                  <c:v>7976</c:v>
                </c:pt>
                <c:pt idx="179">
                  <c:v>8018</c:v>
                </c:pt>
                <c:pt idx="180">
                  <c:v>8060</c:v>
                </c:pt>
                <c:pt idx="181">
                  <c:v>8102</c:v>
                </c:pt>
                <c:pt idx="182">
                  <c:v>8144</c:v>
                </c:pt>
                <c:pt idx="183">
                  <c:v>8186</c:v>
                </c:pt>
                <c:pt idx="184">
                  <c:v>8228</c:v>
                </c:pt>
                <c:pt idx="185">
                  <c:v>8270</c:v>
                </c:pt>
                <c:pt idx="186">
                  <c:v>8312</c:v>
                </c:pt>
                <c:pt idx="187">
                  <c:v>8354</c:v>
                </c:pt>
                <c:pt idx="188">
                  <c:v>8396</c:v>
                </c:pt>
                <c:pt idx="189">
                  <c:v>8438</c:v>
                </c:pt>
                <c:pt idx="190">
                  <c:v>8480</c:v>
                </c:pt>
                <c:pt idx="191">
                  <c:v>8522</c:v>
                </c:pt>
                <c:pt idx="192">
                  <c:v>8564</c:v>
                </c:pt>
                <c:pt idx="193">
                  <c:v>8606</c:v>
                </c:pt>
                <c:pt idx="194">
                  <c:v>8648</c:v>
                </c:pt>
                <c:pt idx="195">
                  <c:v>8690</c:v>
                </c:pt>
                <c:pt idx="196">
                  <c:v>8732</c:v>
                </c:pt>
                <c:pt idx="197">
                  <c:v>8774</c:v>
                </c:pt>
                <c:pt idx="198">
                  <c:v>8816</c:v>
                </c:pt>
                <c:pt idx="199">
                  <c:v>8858</c:v>
                </c:pt>
                <c:pt idx="200">
                  <c:v>8900</c:v>
                </c:pt>
                <c:pt idx="201">
                  <c:v>8942</c:v>
                </c:pt>
                <c:pt idx="202">
                  <c:v>8984</c:v>
                </c:pt>
                <c:pt idx="203">
                  <c:v>9026</c:v>
                </c:pt>
                <c:pt idx="204">
                  <c:v>9068</c:v>
                </c:pt>
                <c:pt idx="205">
                  <c:v>9110</c:v>
                </c:pt>
                <c:pt idx="206">
                  <c:v>9152</c:v>
                </c:pt>
                <c:pt idx="207">
                  <c:v>9194</c:v>
                </c:pt>
                <c:pt idx="208">
                  <c:v>9236</c:v>
                </c:pt>
                <c:pt idx="209">
                  <c:v>9278</c:v>
                </c:pt>
                <c:pt idx="210">
                  <c:v>9320</c:v>
                </c:pt>
                <c:pt idx="211">
                  <c:v>9362</c:v>
                </c:pt>
                <c:pt idx="212">
                  <c:v>9404</c:v>
                </c:pt>
                <c:pt idx="213">
                  <c:v>9446</c:v>
                </c:pt>
                <c:pt idx="214">
                  <c:v>9488</c:v>
                </c:pt>
                <c:pt idx="215">
                  <c:v>9530</c:v>
                </c:pt>
                <c:pt idx="216">
                  <c:v>9572</c:v>
                </c:pt>
                <c:pt idx="217">
                  <c:v>9614</c:v>
                </c:pt>
                <c:pt idx="218">
                  <c:v>9656</c:v>
                </c:pt>
                <c:pt idx="219">
                  <c:v>9698</c:v>
                </c:pt>
                <c:pt idx="220">
                  <c:v>9740</c:v>
                </c:pt>
                <c:pt idx="221">
                  <c:v>9782</c:v>
                </c:pt>
                <c:pt idx="222">
                  <c:v>9824</c:v>
                </c:pt>
                <c:pt idx="223">
                  <c:v>9866</c:v>
                </c:pt>
                <c:pt idx="224">
                  <c:v>9908</c:v>
                </c:pt>
                <c:pt idx="225">
                  <c:v>9950</c:v>
                </c:pt>
                <c:pt idx="226">
                  <c:v>9992</c:v>
                </c:pt>
                <c:pt idx="227">
                  <c:v>10034</c:v>
                </c:pt>
                <c:pt idx="228">
                  <c:v>10076</c:v>
                </c:pt>
                <c:pt idx="229">
                  <c:v>10118</c:v>
                </c:pt>
                <c:pt idx="230">
                  <c:v>10160</c:v>
                </c:pt>
                <c:pt idx="231">
                  <c:v>10202</c:v>
                </c:pt>
                <c:pt idx="232">
                  <c:v>10244</c:v>
                </c:pt>
                <c:pt idx="233">
                  <c:v>10286</c:v>
                </c:pt>
                <c:pt idx="234">
                  <c:v>10328</c:v>
                </c:pt>
                <c:pt idx="235">
                  <c:v>10370</c:v>
                </c:pt>
                <c:pt idx="236">
                  <c:v>10412</c:v>
                </c:pt>
                <c:pt idx="237">
                  <c:v>10454</c:v>
                </c:pt>
                <c:pt idx="238">
                  <c:v>10496</c:v>
                </c:pt>
                <c:pt idx="239">
                  <c:v>10538</c:v>
                </c:pt>
                <c:pt idx="240">
                  <c:v>10580</c:v>
                </c:pt>
                <c:pt idx="241">
                  <c:v>10622</c:v>
                </c:pt>
                <c:pt idx="242">
                  <c:v>10664</c:v>
                </c:pt>
                <c:pt idx="243">
                  <c:v>10706</c:v>
                </c:pt>
                <c:pt idx="244">
                  <c:v>10748</c:v>
                </c:pt>
                <c:pt idx="245">
                  <c:v>10790</c:v>
                </c:pt>
                <c:pt idx="246">
                  <c:v>10832</c:v>
                </c:pt>
                <c:pt idx="247">
                  <c:v>10874</c:v>
                </c:pt>
                <c:pt idx="248">
                  <c:v>10916</c:v>
                </c:pt>
                <c:pt idx="249">
                  <c:v>10958</c:v>
                </c:pt>
                <c:pt idx="250">
                  <c:v>11000</c:v>
                </c:pt>
                <c:pt idx="251">
                  <c:v>11042</c:v>
                </c:pt>
                <c:pt idx="252">
                  <c:v>11084</c:v>
                </c:pt>
                <c:pt idx="253">
                  <c:v>11126</c:v>
                </c:pt>
                <c:pt idx="254">
                  <c:v>11168</c:v>
                </c:pt>
                <c:pt idx="255">
                  <c:v>11210</c:v>
                </c:pt>
                <c:pt idx="256">
                  <c:v>11252</c:v>
                </c:pt>
                <c:pt idx="257">
                  <c:v>11294</c:v>
                </c:pt>
                <c:pt idx="258">
                  <c:v>11336</c:v>
                </c:pt>
                <c:pt idx="259">
                  <c:v>11378</c:v>
                </c:pt>
                <c:pt idx="260">
                  <c:v>11420</c:v>
                </c:pt>
                <c:pt idx="261">
                  <c:v>11462</c:v>
                </c:pt>
              </c:numCache>
            </c:numRef>
          </c:yVal>
          <c:smooth val="0"/>
          <c:extLst>
            <c:ext xmlns:c16="http://schemas.microsoft.com/office/drawing/2014/chart" uri="{C3380CC4-5D6E-409C-BE32-E72D297353CC}">
              <c16:uniqueId val="{00000003-B246-40DF-8122-F7290E41584C}"/>
            </c:ext>
          </c:extLst>
        </c:ser>
        <c:ser>
          <c:idx val="4"/>
          <c:order val="4"/>
          <c:tx>
            <c:strRef>
              <c:f>Timelines!$F$1</c:f>
              <c:strCache>
                <c:ptCount val="1"/>
                <c:pt idx="0">
                  <c:v>Target: Services</c:v>
                </c:pt>
              </c:strCache>
            </c:strRef>
          </c:tx>
          <c:spPr>
            <a:ln w="19050" cap="rnd">
              <a:solidFill>
                <a:schemeClr val="accent6">
                  <a:lumMod val="40000"/>
                  <a:lumOff val="60000"/>
                </a:schemeClr>
              </a:solidFill>
              <a:prstDash val="sysDash"/>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Timelines!$F$2:$F$263</c:f>
              <c:numCache>
                <c:formatCode>General</c:formatCode>
                <c:ptCount val="262"/>
                <c:pt idx="0">
                  <c:v>0</c:v>
                </c:pt>
                <c:pt idx="1">
                  <c:v>47.6</c:v>
                </c:pt>
                <c:pt idx="2">
                  <c:v>95.2</c:v>
                </c:pt>
                <c:pt idx="3">
                  <c:v>142.79999999999998</c:v>
                </c:pt>
                <c:pt idx="4">
                  <c:v>190.4</c:v>
                </c:pt>
                <c:pt idx="5">
                  <c:v>238</c:v>
                </c:pt>
                <c:pt idx="6">
                  <c:v>285.59999999999997</c:v>
                </c:pt>
                <c:pt idx="7">
                  <c:v>333.2</c:v>
                </c:pt>
                <c:pt idx="8">
                  <c:v>380.8</c:v>
                </c:pt>
                <c:pt idx="9">
                  <c:v>428.4</c:v>
                </c:pt>
                <c:pt idx="10">
                  <c:v>476</c:v>
                </c:pt>
                <c:pt idx="11">
                  <c:v>523.6</c:v>
                </c:pt>
                <c:pt idx="12">
                  <c:v>571.19999999999993</c:v>
                </c:pt>
                <c:pt idx="13">
                  <c:v>618.79999999999995</c:v>
                </c:pt>
                <c:pt idx="14">
                  <c:v>666.4</c:v>
                </c:pt>
                <c:pt idx="15">
                  <c:v>714</c:v>
                </c:pt>
                <c:pt idx="16">
                  <c:v>761.6</c:v>
                </c:pt>
                <c:pt idx="17">
                  <c:v>809.19999999999993</c:v>
                </c:pt>
                <c:pt idx="18">
                  <c:v>856.8</c:v>
                </c:pt>
                <c:pt idx="19">
                  <c:v>904.4</c:v>
                </c:pt>
                <c:pt idx="20">
                  <c:v>952</c:v>
                </c:pt>
                <c:pt idx="21">
                  <c:v>999.6</c:v>
                </c:pt>
                <c:pt idx="22">
                  <c:v>1047.2</c:v>
                </c:pt>
                <c:pt idx="23">
                  <c:v>1094.8</c:v>
                </c:pt>
                <c:pt idx="24">
                  <c:v>1142.3999999999999</c:v>
                </c:pt>
                <c:pt idx="25">
                  <c:v>1190</c:v>
                </c:pt>
                <c:pt idx="26">
                  <c:v>1237.5999999999999</c:v>
                </c:pt>
                <c:pt idx="27">
                  <c:v>1285.2</c:v>
                </c:pt>
                <c:pt idx="28">
                  <c:v>1332.8</c:v>
                </c:pt>
                <c:pt idx="29">
                  <c:v>1380.3999999999999</c:v>
                </c:pt>
                <c:pt idx="30">
                  <c:v>1428</c:v>
                </c:pt>
                <c:pt idx="31">
                  <c:v>1475.6</c:v>
                </c:pt>
                <c:pt idx="32">
                  <c:v>1523.2</c:v>
                </c:pt>
                <c:pt idx="33">
                  <c:v>1570.8</c:v>
                </c:pt>
                <c:pt idx="34">
                  <c:v>1618.3999999999999</c:v>
                </c:pt>
                <c:pt idx="35">
                  <c:v>1666</c:v>
                </c:pt>
                <c:pt idx="36">
                  <c:v>1713.6</c:v>
                </c:pt>
                <c:pt idx="37">
                  <c:v>1761.2</c:v>
                </c:pt>
                <c:pt idx="38">
                  <c:v>1808.8</c:v>
                </c:pt>
                <c:pt idx="39">
                  <c:v>1856.3999999999999</c:v>
                </c:pt>
                <c:pt idx="40">
                  <c:v>1904</c:v>
                </c:pt>
                <c:pt idx="41">
                  <c:v>1951.6</c:v>
                </c:pt>
                <c:pt idx="42">
                  <c:v>1999.2</c:v>
                </c:pt>
                <c:pt idx="43">
                  <c:v>2046.8</c:v>
                </c:pt>
                <c:pt idx="44">
                  <c:v>2094.4</c:v>
                </c:pt>
                <c:pt idx="45">
                  <c:v>2142</c:v>
                </c:pt>
                <c:pt idx="46">
                  <c:v>2189.6</c:v>
                </c:pt>
                <c:pt idx="47">
                  <c:v>2237.1999999999998</c:v>
                </c:pt>
                <c:pt idx="48">
                  <c:v>2284.7999999999997</c:v>
                </c:pt>
                <c:pt idx="49">
                  <c:v>2332.4</c:v>
                </c:pt>
                <c:pt idx="50">
                  <c:v>2380</c:v>
                </c:pt>
                <c:pt idx="51">
                  <c:v>2427.6</c:v>
                </c:pt>
                <c:pt idx="52">
                  <c:v>2475.1999999999998</c:v>
                </c:pt>
                <c:pt idx="53">
                  <c:v>2522.7999999999997</c:v>
                </c:pt>
                <c:pt idx="54">
                  <c:v>2570.4</c:v>
                </c:pt>
                <c:pt idx="55">
                  <c:v>2618</c:v>
                </c:pt>
                <c:pt idx="56">
                  <c:v>2665.6</c:v>
                </c:pt>
                <c:pt idx="57">
                  <c:v>2713.2</c:v>
                </c:pt>
                <c:pt idx="58">
                  <c:v>2760.7999999999997</c:v>
                </c:pt>
                <c:pt idx="59">
                  <c:v>2808.4</c:v>
                </c:pt>
                <c:pt idx="60">
                  <c:v>2856</c:v>
                </c:pt>
                <c:pt idx="61">
                  <c:v>2903.6</c:v>
                </c:pt>
                <c:pt idx="62">
                  <c:v>2951.2</c:v>
                </c:pt>
                <c:pt idx="63">
                  <c:v>2998.7999999999997</c:v>
                </c:pt>
                <c:pt idx="64">
                  <c:v>3046.4</c:v>
                </c:pt>
                <c:pt idx="65">
                  <c:v>3094</c:v>
                </c:pt>
                <c:pt idx="66">
                  <c:v>3141.6</c:v>
                </c:pt>
                <c:pt idx="67">
                  <c:v>3189.2</c:v>
                </c:pt>
                <c:pt idx="68">
                  <c:v>3236.7999999999997</c:v>
                </c:pt>
                <c:pt idx="69">
                  <c:v>3284.4</c:v>
                </c:pt>
                <c:pt idx="70">
                  <c:v>3332</c:v>
                </c:pt>
                <c:pt idx="71">
                  <c:v>3379.6</c:v>
                </c:pt>
                <c:pt idx="72">
                  <c:v>3427.2</c:v>
                </c:pt>
                <c:pt idx="73">
                  <c:v>3474.7999999999997</c:v>
                </c:pt>
                <c:pt idx="74">
                  <c:v>3522.4</c:v>
                </c:pt>
                <c:pt idx="75">
                  <c:v>3570</c:v>
                </c:pt>
                <c:pt idx="76">
                  <c:v>3617.6</c:v>
                </c:pt>
                <c:pt idx="77">
                  <c:v>3665.2</c:v>
                </c:pt>
                <c:pt idx="78">
                  <c:v>3712.7999999999997</c:v>
                </c:pt>
                <c:pt idx="79">
                  <c:v>3760.4</c:v>
                </c:pt>
                <c:pt idx="80">
                  <c:v>3808</c:v>
                </c:pt>
                <c:pt idx="81">
                  <c:v>3855.6</c:v>
                </c:pt>
                <c:pt idx="82">
                  <c:v>3903.2</c:v>
                </c:pt>
                <c:pt idx="83">
                  <c:v>3950.7999999999997</c:v>
                </c:pt>
                <c:pt idx="84">
                  <c:v>3998.4</c:v>
                </c:pt>
                <c:pt idx="85">
                  <c:v>4046</c:v>
                </c:pt>
                <c:pt idx="86">
                  <c:v>4093.6</c:v>
                </c:pt>
                <c:pt idx="87">
                  <c:v>4141.2</c:v>
                </c:pt>
                <c:pt idx="88">
                  <c:v>4188.8</c:v>
                </c:pt>
                <c:pt idx="89">
                  <c:v>4236.3999999999996</c:v>
                </c:pt>
                <c:pt idx="90">
                  <c:v>4284</c:v>
                </c:pt>
                <c:pt idx="91">
                  <c:v>4331.5999999999995</c:v>
                </c:pt>
                <c:pt idx="92">
                  <c:v>4379.2</c:v>
                </c:pt>
                <c:pt idx="93">
                  <c:v>4426.8</c:v>
                </c:pt>
                <c:pt idx="94">
                  <c:v>4474.3999999999996</c:v>
                </c:pt>
                <c:pt idx="95">
                  <c:v>4522</c:v>
                </c:pt>
                <c:pt idx="96">
                  <c:v>4569.5999999999995</c:v>
                </c:pt>
                <c:pt idx="97">
                  <c:v>4617.2</c:v>
                </c:pt>
                <c:pt idx="98">
                  <c:v>4664.8</c:v>
                </c:pt>
                <c:pt idx="99">
                  <c:v>4712.3999999999996</c:v>
                </c:pt>
                <c:pt idx="100">
                  <c:v>4760</c:v>
                </c:pt>
                <c:pt idx="101">
                  <c:v>4807.5999999999995</c:v>
                </c:pt>
                <c:pt idx="102">
                  <c:v>4855.2</c:v>
                </c:pt>
                <c:pt idx="103">
                  <c:v>4902.8</c:v>
                </c:pt>
                <c:pt idx="104">
                  <c:v>4950.3999999999996</c:v>
                </c:pt>
                <c:pt idx="105">
                  <c:v>4998</c:v>
                </c:pt>
                <c:pt idx="106">
                  <c:v>5045.5999999999995</c:v>
                </c:pt>
                <c:pt idx="107">
                  <c:v>5093.2</c:v>
                </c:pt>
                <c:pt idx="108">
                  <c:v>5140.8</c:v>
                </c:pt>
                <c:pt idx="109">
                  <c:v>5188.3999999999996</c:v>
                </c:pt>
                <c:pt idx="110">
                  <c:v>5236</c:v>
                </c:pt>
                <c:pt idx="111">
                  <c:v>5283.5999999999995</c:v>
                </c:pt>
                <c:pt idx="112">
                  <c:v>5331.2</c:v>
                </c:pt>
                <c:pt idx="113">
                  <c:v>5378.8</c:v>
                </c:pt>
                <c:pt idx="114">
                  <c:v>5426.4</c:v>
                </c:pt>
                <c:pt idx="115">
                  <c:v>5474</c:v>
                </c:pt>
                <c:pt idx="116">
                  <c:v>5521.5999999999995</c:v>
                </c:pt>
                <c:pt idx="117">
                  <c:v>5569.2</c:v>
                </c:pt>
                <c:pt idx="118">
                  <c:v>5616.8</c:v>
                </c:pt>
                <c:pt idx="119">
                  <c:v>5664.4</c:v>
                </c:pt>
                <c:pt idx="120">
                  <c:v>5712</c:v>
                </c:pt>
                <c:pt idx="121">
                  <c:v>5759.5999999999995</c:v>
                </c:pt>
                <c:pt idx="122">
                  <c:v>5807.2</c:v>
                </c:pt>
                <c:pt idx="123">
                  <c:v>5854.8</c:v>
                </c:pt>
                <c:pt idx="124">
                  <c:v>5902.4</c:v>
                </c:pt>
                <c:pt idx="125">
                  <c:v>5950</c:v>
                </c:pt>
                <c:pt idx="126">
                  <c:v>5997.5999999999995</c:v>
                </c:pt>
                <c:pt idx="127">
                  <c:v>6045.2</c:v>
                </c:pt>
                <c:pt idx="128">
                  <c:v>6092.8</c:v>
                </c:pt>
                <c:pt idx="129">
                  <c:v>6140.4</c:v>
                </c:pt>
                <c:pt idx="130">
                  <c:v>6188</c:v>
                </c:pt>
                <c:pt idx="131">
                  <c:v>6235.5999999999995</c:v>
                </c:pt>
                <c:pt idx="132">
                  <c:v>6283.2</c:v>
                </c:pt>
                <c:pt idx="133">
                  <c:v>6330.8</c:v>
                </c:pt>
                <c:pt idx="134">
                  <c:v>6378.4</c:v>
                </c:pt>
                <c:pt idx="135">
                  <c:v>6426</c:v>
                </c:pt>
                <c:pt idx="136">
                  <c:v>6473.5999999999995</c:v>
                </c:pt>
                <c:pt idx="137">
                  <c:v>6521.2</c:v>
                </c:pt>
                <c:pt idx="138">
                  <c:v>6568.8</c:v>
                </c:pt>
                <c:pt idx="139">
                  <c:v>6616.4</c:v>
                </c:pt>
                <c:pt idx="140">
                  <c:v>6664</c:v>
                </c:pt>
                <c:pt idx="141">
                  <c:v>6711.5999999999995</c:v>
                </c:pt>
                <c:pt idx="142">
                  <c:v>6759.2</c:v>
                </c:pt>
                <c:pt idx="143">
                  <c:v>6806.8</c:v>
                </c:pt>
                <c:pt idx="144">
                  <c:v>6854.4</c:v>
                </c:pt>
                <c:pt idx="145">
                  <c:v>6902</c:v>
                </c:pt>
                <c:pt idx="146">
                  <c:v>6949.5999999999995</c:v>
                </c:pt>
                <c:pt idx="147">
                  <c:v>6997.2</c:v>
                </c:pt>
                <c:pt idx="148">
                  <c:v>7044.8</c:v>
                </c:pt>
                <c:pt idx="149">
                  <c:v>7092.4</c:v>
                </c:pt>
                <c:pt idx="150">
                  <c:v>7140</c:v>
                </c:pt>
                <c:pt idx="151">
                  <c:v>7187.5999999999995</c:v>
                </c:pt>
                <c:pt idx="152">
                  <c:v>7235.2</c:v>
                </c:pt>
                <c:pt idx="153">
                  <c:v>7282.8</c:v>
                </c:pt>
                <c:pt idx="154">
                  <c:v>7330.4</c:v>
                </c:pt>
                <c:pt idx="155">
                  <c:v>7378</c:v>
                </c:pt>
                <c:pt idx="156">
                  <c:v>7425.5999999999995</c:v>
                </c:pt>
                <c:pt idx="157">
                  <c:v>7473.2</c:v>
                </c:pt>
                <c:pt idx="158">
                  <c:v>7520.8</c:v>
                </c:pt>
                <c:pt idx="159">
                  <c:v>7568.4</c:v>
                </c:pt>
                <c:pt idx="160">
                  <c:v>7616</c:v>
                </c:pt>
                <c:pt idx="161">
                  <c:v>7663.5999999999995</c:v>
                </c:pt>
                <c:pt idx="162">
                  <c:v>7711.2</c:v>
                </c:pt>
                <c:pt idx="163">
                  <c:v>7758.8</c:v>
                </c:pt>
                <c:pt idx="164">
                  <c:v>7806.4</c:v>
                </c:pt>
                <c:pt idx="165">
                  <c:v>7854</c:v>
                </c:pt>
                <c:pt idx="166">
                  <c:v>7901.5999999999995</c:v>
                </c:pt>
                <c:pt idx="167">
                  <c:v>7949.2</c:v>
                </c:pt>
                <c:pt idx="168">
                  <c:v>7996.8</c:v>
                </c:pt>
                <c:pt idx="169">
                  <c:v>8044.4</c:v>
                </c:pt>
                <c:pt idx="170">
                  <c:v>8092</c:v>
                </c:pt>
                <c:pt idx="171">
                  <c:v>8139.5999999999995</c:v>
                </c:pt>
                <c:pt idx="172">
                  <c:v>8187.2</c:v>
                </c:pt>
                <c:pt idx="173">
                  <c:v>8234.7999999999993</c:v>
                </c:pt>
                <c:pt idx="174">
                  <c:v>8282.4</c:v>
                </c:pt>
                <c:pt idx="175">
                  <c:v>8330</c:v>
                </c:pt>
                <c:pt idx="176">
                  <c:v>8377.6</c:v>
                </c:pt>
                <c:pt idx="177">
                  <c:v>8425.1999999999989</c:v>
                </c:pt>
                <c:pt idx="178">
                  <c:v>8472.7999999999993</c:v>
                </c:pt>
                <c:pt idx="179">
                  <c:v>8520.4</c:v>
                </c:pt>
                <c:pt idx="180">
                  <c:v>8568</c:v>
                </c:pt>
                <c:pt idx="181">
                  <c:v>8615.6</c:v>
                </c:pt>
                <c:pt idx="182">
                  <c:v>8663.1999999999989</c:v>
                </c:pt>
                <c:pt idx="183">
                  <c:v>8710.7999999999993</c:v>
                </c:pt>
                <c:pt idx="184">
                  <c:v>8758.4</c:v>
                </c:pt>
                <c:pt idx="185">
                  <c:v>8806</c:v>
                </c:pt>
                <c:pt idx="186">
                  <c:v>8853.6</c:v>
                </c:pt>
                <c:pt idx="187">
                  <c:v>8901.1999999999989</c:v>
                </c:pt>
                <c:pt idx="188">
                  <c:v>8948.7999999999993</c:v>
                </c:pt>
                <c:pt idx="189">
                  <c:v>8996.4</c:v>
                </c:pt>
                <c:pt idx="190">
                  <c:v>9044</c:v>
                </c:pt>
                <c:pt idx="191">
                  <c:v>9091.6</c:v>
                </c:pt>
                <c:pt idx="192">
                  <c:v>9139.1999999999989</c:v>
                </c:pt>
                <c:pt idx="193">
                  <c:v>9186.7999999999993</c:v>
                </c:pt>
                <c:pt idx="194">
                  <c:v>9234.4</c:v>
                </c:pt>
                <c:pt idx="195">
                  <c:v>9282</c:v>
                </c:pt>
                <c:pt idx="196">
                  <c:v>9329.6</c:v>
                </c:pt>
                <c:pt idx="197">
                  <c:v>9377.1999999999989</c:v>
                </c:pt>
                <c:pt idx="198">
                  <c:v>9424.7999999999993</c:v>
                </c:pt>
                <c:pt idx="199">
                  <c:v>9472.4</c:v>
                </c:pt>
                <c:pt idx="200">
                  <c:v>9520</c:v>
                </c:pt>
                <c:pt idx="201">
                  <c:v>9567.6</c:v>
                </c:pt>
                <c:pt idx="202">
                  <c:v>9615.1999999999989</c:v>
                </c:pt>
                <c:pt idx="203">
                  <c:v>9662.7999999999993</c:v>
                </c:pt>
                <c:pt idx="204">
                  <c:v>9710.4</c:v>
                </c:pt>
                <c:pt idx="205">
                  <c:v>9758</c:v>
                </c:pt>
                <c:pt idx="206">
                  <c:v>9805.6</c:v>
                </c:pt>
                <c:pt idx="207">
                  <c:v>9853.1999999999989</c:v>
                </c:pt>
                <c:pt idx="208">
                  <c:v>9900.7999999999993</c:v>
                </c:pt>
                <c:pt idx="209">
                  <c:v>9948.4</c:v>
                </c:pt>
                <c:pt idx="210">
                  <c:v>9996</c:v>
                </c:pt>
                <c:pt idx="211">
                  <c:v>10043.6</c:v>
                </c:pt>
                <c:pt idx="212">
                  <c:v>10091.199999999999</c:v>
                </c:pt>
                <c:pt idx="213">
                  <c:v>10138.799999999999</c:v>
                </c:pt>
                <c:pt idx="214">
                  <c:v>10186.4</c:v>
                </c:pt>
                <c:pt idx="215">
                  <c:v>10234</c:v>
                </c:pt>
                <c:pt idx="216">
                  <c:v>10281.6</c:v>
                </c:pt>
                <c:pt idx="217">
                  <c:v>10329.199999999999</c:v>
                </c:pt>
                <c:pt idx="218">
                  <c:v>10376.799999999999</c:v>
                </c:pt>
                <c:pt idx="219">
                  <c:v>10424.4</c:v>
                </c:pt>
                <c:pt idx="220">
                  <c:v>10472</c:v>
                </c:pt>
                <c:pt idx="221">
                  <c:v>10519.6</c:v>
                </c:pt>
                <c:pt idx="222">
                  <c:v>10567.199999999999</c:v>
                </c:pt>
                <c:pt idx="223">
                  <c:v>10614.8</c:v>
                </c:pt>
                <c:pt idx="224">
                  <c:v>10662.4</c:v>
                </c:pt>
                <c:pt idx="225">
                  <c:v>10710</c:v>
                </c:pt>
                <c:pt idx="226">
                  <c:v>10757.6</c:v>
                </c:pt>
                <c:pt idx="227">
                  <c:v>10805.199999999999</c:v>
                </c:pt>
                <c:pt idx="228">
                  <c:v>10852.8</c:v>
                </c:pt>
                <c:pt idx="229">
                  <c:v>10900.4</c:v>
                </c:pt>
                <c:pt idx="230">
                  <c:v>10948</c:v>
                </c:pt>
                <c:pt idx="231">
                  <c:v>10995.6</c:v>
                </c:pt>
                <c:pt idx="232">
                  <c:v>11043.199999999999</c:v>
                </c:pt>
                <c:pt idx="233">
                  <c:v>11090.8</c:v>
                </c:pt>
                <c:pt idx="234">
                  <c:v>11138.4</c:v>
                </c:pt>
                <c:pt idx="235">
                  <c:v>11186</c:v>
                </c:pt>
                <c:pt idx="236">
                  <c:v>11233.6</c:v>
                </c:pt>
                <c:pt idx="237">
                  <c:v>11281.199999999999</c:v>
                </c:pt>
                <c:pt idx="238">
                  <c:v>11328.8</c:v>
                </c:pt>
                <c:pt idx="239">
                  <c:v>11376.4</c:v>
                </c:pt>
                <c:pt idx="240">
                  <c:v>11424</c:v>
                </c:pt>
                <c:pt idx="241">
                  <c:v>11471.6</c:v>
                </c:pt>
                <c:pt idx="242">
                  <c:v>11519.199999999999</c:v>
                </c:pt>
                <c:pt idx="243">
                  <c:v>11566.8</c:v>
                </c:pt>
                <c:pt idx="244">
                  <c:v>11614.4</c:v>
                </c:pt>
                <c:pt idx="245">
                  <c:v>11662</c:v>
                </c:pt>
                <c:pt idx="246">
                  <c:v>11709.6</c:v>
                </c:pt>
                <c:pt idx="247">
                  <c:v>11757.199999999999</c:v>
                </c:pt>
                <c:pt idx="248">
                  <c:v>11804.8</c:v>
                </c:pt>
                <c:pt idx="249">
                  <c:v>11852.4</c:v>
                </c:pt>
                <c:pt idx="250">
                  <c:v>11900</c:v>
                </c:pt>
                <c:pt idx="251">
                  <c:v>11947.6</c:v>
                </c:pt>
                <c:pt idx="252">
                  <c:v>11995.199999999999</c:v>
                </c:pt>
                <c:pt idx="253">
                  <c:v>12042.8</c:v>
                </c:pt>
                <c:pt idx="254">
                  <c:v>12090.4</c:v>
                </c:pt>
                <c:pt idx="255">
                  <c:v>12138</c:v>
                </c:pt>
                <c:pt idx="256">
                  <c:v>12185.6</c:v>
                </c:pt>
                <c:pt idx="257">
                  <c:v>12233.199999999999</c:v>
                </c:pt>
                <c:pt idx="258">
                  <c:v>12280.8</c:v>
                </c:pt>
                <c:pt idx="259">
                  <c:v>12328.4</c:v>
                </c:pt>
                <c:pt idx="260">
                  <c:v>12376</c:v>
                </c:pt>
                <c:pt idx="261">
                  <c:v>12423.6</c:v>
                </c:pt>
              </c:numCache>
            </c:numRef>
          </c:yVal>
          <c:smooth val="0"/>
          <c:extLst>
            <c:ext xmlns:c16="http://schemas.microsoft.com/office/drawing/2014/chart" uri="{C3380CC4-5D6E-409C-BE32-E72D297353CC}">
              <c16:uniqueId val="{00000004-B246-40DF-8122-F7290E41584C}"/>
            </c:ext>
          </c:extLst>
        </c:ser>
        <c:ser>
          <c:idx val="5"/>
          <c:order val="5"/>
          <c:tx>
            <c:strRef>
              <c:f>Timelines!$G$1</c:f>
              <c:strCache>
                <c:ptCount val="1"/>
                <c:pt idx="0">
                  <c:v>Target: Backlog</c:v>
                </c:pt>
              </c:strCache>
            </c:strRef>
          </c:tx>
          <c:spPr>
            <a:ln w="19050" cap="rnd">
              <a:solidFill>
                <a:schemeClr val="accent1">
                  <a:lumMod val="40000"/>
                  <a:lumOff val="60000"/>
                </a:schemeClr>
              </a:solidFill>
              <a:prstDash val="sysDash"/>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Timelines!$G$2:$G$263</c:f>
              <c:numCache>
                <c:formatCode>0</c:formatCode>
                <c:ptCount val="262"/>
                <c:pt idx="0">
                  <c:v>500</c:v>
                </c:pt>
                <c:pt idx="1">
                  <c:v>494.4</c:v>
                </c:pt>
                <c:pt idx="2">
                  <c:v>488.8</c:v>
                </c:pt>
                <c:pt idx="3">
                  <c:v>483.20000000000005</c:v>
                </c:pt>
                <c:pt idx="4">
                  <c:v>477.6</c:v>
                </c:pt>
                <c:pt idx="5">
                  <c:v>472</c:v>
                </c:pt>
                <c:pt idx="6">
                  <c:v>466.40000000000003</c:v>
                </c:pt>
                <c:pt idx="7">
                  <c:v>460.8</c:v>
                </c:pt>
                <c:pt idx="8">
                  <c:v>455.2</c:v>
                </c:pt>
                <c:pt idx="9">
                  <c:v>449.6</c:v>
                </c:pt>
                <c:pt idx="10">
                  <c:v>444</c:v>
                </c:pt>
                <c:pt idx="11">
                  <c:v>438.4</c:v>
                </c:pt>
                <c:pt idx="12">
                  <c:v>432.80000000000007</c:v>
                </c:pt>
                <c:pt idx="13">
                  <c:v>427.20000000000005</c:v>
                </c:pt>
                <c:pt idx="14">
                  <c:v>421.6</c:v>
                </c:pt>
                <c:pt idx="15">
                  <c:v>416</c:v>
                </c:pt>
                <c:pt idx="16">
                  <c:v>410.4</c:v>
                </c:pt>
                <c:pt idx="17">
                  <c:v>404.80000000000007</c:v>
                </c:pt>
                <c:pt idx="18">
                  <c:v>399.20000000000005</c:v>
                </c:pt>
                <c:pt idx="19">
                  <c:v>393.6</c:v>
                </c:pt>
                <c:pt idx="20">
                  <c:v>388</c:v>
                </c:pt>
                <c:pt idx="21">
                  <c:v>382.4</c:v>
                </c:pt>
                <c:pt idx="22">
                  <c:v>376.79999999999995</c:v>
                </c:pt>
                <c:pt idx="23">
                  <c:v>371.20000000000005</c:v>
                </c:pt>
                <c:pt idx="24">
                  <c:v>365.60000000000014</c:v>
                </c:pt>
                <c:pt idx="25">
                  <c:v>360</c:v>
                </c:pt>
                <c:pt idx="26">
                  <c:v>354.40000000000009</c:v>
                </c:pt>
                <c:pt idx="27">
                  <c:v>348.79999999999995</c:v>
                </c:pt>
                <c:pt idx="28">
                  <c:v>343.20000000000005</c:v>
                </c:pt>
                <c:pt idx="29">
                  <c:v>337.60000000000014</c:v>
                </c:pt>
                <c:pt idx="30">
                  <c:v>332</c:v>
                </c:pt>
                <c:pt idx="31">
                  <c:v>326.40000000000009</c:v>
                </c:pt>
                <c:pt idx="32">
                  <c:v>320.79999999999995</c:v>
                </c:pt>
                <c:pt idx="33">
                  <c:v>315.20000000000005</c:v>
                </c:pt>
                <c:pt idx="34">
                  <c:v>309.60000000000014</c:v>
                </c:pt>
                <c:pt idx="35">
                  <c:v>304</c:v>
                </c:pt>
                <c:pt idx="36">
                  <c:v>298.40000000000009</c:v>
                </c:pt>
                <c:pt idx="37">
                  <c:v>292.79999999999995</c:v>
                </c:pt>
                <c:pt idx="38">
                  <c:v>287.20000000000005</c:v>
                </c:pt>
                <c:pt idx="39">
                  <c:v>281.60000000000014</c:v>
                </c:pt>
                <c:pt idx="40">
                  <c:v>276</c:v>
                </c:pt>
                <c:pt idx="41">
                  <c:v>270.40000000000009</c:v>
                </c:pt>
                <c:pt idx="42">
                  <c:v>264.79999999999995</c:v>
                </c:pt>
                <c:pt idx="43">
                  <c:v>259.20000000000005</c:v>
                </c:pt>
                <c:pt idx="44">
                  <c:v>253.59999999999991</c:v>
                </c:pt>
                <c:pt idx="45">
                  <c:v>248</c:v>
                </c:pt>
                <c:pt idx="46">
                  <c:v>242.40000000000009</c:v>
                </c:pt>
                <c:pt idx="47">
                  <c:v>236.80000000000018</c:v>
                </c:pt>
                <c:pt idx="48">
                  <c:v>231.20000000000027</c:v>
                </c:pt>
                <c:pt idx="49">
                  <c:v>225.59999999999991</c:v>
                </c:pt>
                <c:pt idx="50">
                  <c:v>220</c:v>
                </c:pt>
                <c:pt idx="51">
                  <c:v>214.40000000000009</c:v>
                </c:pt>
                <c:pt idx="52">
                  <c:v>208.80000000000018</c:v>
                </c:pt>
                <c:pt idx="53">
                  <c:v>203.20000000000027</c:v>
                </c:pt>
                <c:pt idx="54">
                  <c:v>197.59999999999991</c:v>
                </c:pt>
                <c:pt idx="55">
                  <c:v>192</c:v>
                </c:pt>
                <c:pt idx="56">
                  <c:v>186.40000000000009</c:v>
                </c:pt>
                <c:pt idx="57">
                  <c:v>180.80000000000018</c:v>
                </c:pt>
                <c:pt idx="58">
                  <c:v>175.20000000000027</c:v>
                </c:pt>
                <c:pt idx="59">
                  <c:v>169.59999999999991</c:v>
                </c:pt>
                <c:pt idx="60">
                  <c:v>164</c:v>
                </c:pt>
                <c:pt idx="61">
                  <c:v>158.40000000000009</c:v>
                </c:pt>
                <c:pt idx="62">
                  <c:v>152.80000000000018</c:v>
                </c:pt>
                <c:pt idx="63">
                  <c:v>147.20000000000027</c:v>
                </c:pt>
                <c:pt idx="64">
                  <c:v>141.59999999999991</c:v>
                </c:pt>
                <c:pt idx="65">
                  <c:v>136</c:v>
                </c:pt>
                <c:pt idx="66">
                  <c:v>130.40000000000009</c:v>
                </c:pt>
                <c:pt idx="67">
                  <c:v>124.80000000000018</c:v>
                </c:pt>
                <c:pt idx="68">
                  <c:v>119.20000000000027</c:v>
                </c:pt>
                <c:pt idx="69">
                  <c:v>113.59999999999991</c:v>
                </c:pt>
                <c:pt idx="70">
                  <c:v>108</c:v>
                </c:pt>
                <c:pt idx="71">
                  <c:v>102.40000000000009</c:v>
                </c:pt>
                <c:pt idx="72">
                  <c:v>96.800000000000182</c:v>
                </c:pt>
                <c:pt idx="73">
                  <c:v>91.200000000000273</c:v>
                </c:pt>
                <c:pt idx="74">
                  <c:v>85.599999999999909</c:v>
                </c:pt>
                <c:pt idx="75">
                  <c:v>80</c:v>
                </c:pt>
                <c:pt idx="76">
                  <c:v>74.400000000000091</c:v>
                </c:pt>
                <c:pt idx="77">
                  <c:v>68.800000000000182</c:v>
                </c:pt>
                <c:pt idx="78">
                  <c:v>63.200000000000273</c:v>
                </c:pt>
                <c:pt idx="79">
                  <c:v>57.599999999999909</c:v>
                </c:pt>
                <c:pt idx="80">
                  <c:v>52</c:v>
                </c:pt>
                <c:pt idx="81">
                  <c:v>46.400000000000091</c:v>
                </c:pt>
                <c:pt idx="82">
                  <c:v>40.800000000000182</c:v>
                </c:pt>
                <c:pt idx="83">
                  <c:v>35.200000000000273</c:v>
                </c:pt>
                <c:pt idx="84">
                  <c:v>29.599999999999909</c:v>
                </c:pt>
                <c:pt idx="85">
                  <c:v>24</c:v>
                </c:pt>
                <c:pt idx="86">
                  <c:v>18.400000000000091</c:v>
                </c:pt>
                <c:pt idx="87">
                  <c:v>12.800000000000182</c:v>
                </c:pt>
                <c:pt idx="88">
                  <c:v>7.1999999999998181</c:v>
                </c:pt>
                <c:pt idx="89">
                  <c:v>1.6000000000003638</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numCache>
            </c:numRef>
          </c:yVal>
          <c:smooth val="0"/>
          <c:extLst>
            <c:ext xmlns:c16="http://schemas.microsoft.com/office/drawing/2014/chart" uri="{C3380CC4-5D6E-409C-BE32-E72D297353CC}">
              <c16:uniqueId val="{00000005-B246-40DF-8122-F7290E41584C}"/>
            </c:ext>
          </c:extLst>
        </c:ser>
        <c:dLbls>
          <c:showLegendKey val="0"/>
          <c:showVal val="0"/>
          <c:showCatName val="0"/>
          <c:showSerName val="0"/>
          <c:showPercent val="0"/>
          <c:showBubbleSize val="0"/>
        </c:dLbls>
        <c:axId val="1262314368"/>
        <c:axId val="1262312928"/>
      </c:scatterChart>
      <c:valAx>
        <c:axId val="1262314368"/>
        <c:scaling>
          <c:orientation val="minMax"/>
          <c:max val="18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E" sz="1600"/>
                  <a:t>Days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2312928"/>
        <c:crosses val="autoZero"/>
        <c:crossBetween val="midCat"/>
        <c:majorUnit val="365"/>
      </c:valAx>
      <c:valAx>
        <c:axId val="126231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E" sz="1600"/>
                  <a:t>PBIs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23143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IE" sz="2000"/>
              <a:t>Stability vs Inventory Days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894348659273371"/>
          <c:y val="7.9398544776088695E-2"/>
          <c:w val="0.78636677012778344"/>
          <c:h val="0.71690883586925769"/>
        </c:manualLayout>
      </c:layout>
      <c:scatterChart>
        <c:scatterStyle val="lineMarker"/>
        <c:varyColors val="0"/>
        <c:ser>
          <c:idx val="0"/>
          <c:order val="0"/>
          <c:tx>
            <c:v>Current Value</c:v>
          </c:tx>
          <c:spPr>
            <a:ln w="38100" cap="rnd">
              <a:noFill/>
              <a:round/>
            </a:ln>
            <a:effectLst/>
          </c:spPr>
          <c:marker>
            <c:symbol val="square"/>
            <c:size val="8"/>
            <c:spPr>
              <a:solidFill>
                <a:schemeClr val="accent2"/>
              </a:solidFill>
              <a:ln w="9525">
                <a:noFill/>
              </a:ln>
              <a:effectLst/>
            </c:spPr>
          </c:marker>
          <c:xVal>
            <c:numRef>
              <c:f>Inputs!$B$12</c:f>
              <c:numCache>
                <c:formatCode>0.00</c:formatCode>
                <c:ptCount val="1"/>
                <c:pt idx="0">
                  <c:v>171.14208021753907</c:v>
                </c:pt>
              </c:numCache>
            </c:numRef>
          </c:xVal>
          <c:yVal>
            <c:numRef>
              <c:f>Inputs!$B$9</c:f>
              <c:numCache>
                <c:formatCode>0.00</c:formatCode>
                <c:ptCount val="1"/>
                <c:pt idx="0">
                  <c:v>0.9242852654728243</c:v>
                </c:pt>
              </c:numCache>
            </c:numRef>
          </c:yVal>
          <c:smooth val="0"/>
          <c:extLst>
            <c:ext xmlns:c16="http://schemas.microsoft.com/office/drawing/2014/chart" uri="{C3380CC4-5D6E-409C-BE32-E72D297353CC}">
              <c16:uniqueId val="{00000000-DB1F-40EB-9670-82FA87E2F9B0}"/>
            </c:ext>
          </c:extLst>
        </c:ser>
        <c:ser>
          <c:idx val="1"/>
          <c:order val="1"/>
          <c:tx>
            <c:v>Target Value</c:v>
          </c:tx>
          <c:spPr>
            <a:ln w="25400" cap="rnd">
              <a:noFill/>
              <a:round/>
            </a:ln>
            <a:effectLst/>
          </c:spPr>
          <c:marker>
            <c:symbol val="diamond"/>
            <c:size val="8"/>
            <c:spPr>
              <a:solidFill>
                <a:srgbClr val="7030A0"/>
              </a:solidFill>
              <a:ln w="9525">
                <a:noFill/>
              </a:ln>
              <a:effectLst/>
            </c:spPr>
          </c:marker>
          <c:xVal>
            <c:numRef>
              <c:f>Inputs!$C$12</c:f>
              <c:numCache>
                <c:formatCode>0.00</c:formatCode>
                <c:ptCount val="1"/>
                <c:pt idx="0">
                  <c:v>73.529411764705884</c:v>
                </c:pt>
              </c:numCache>
            </c:numRef>
          </c:xVal>
          <c:yVal>
            <c:numRef>
              <c:f>Inputs!$C$9</c:f>
              <c:numCache>
                <c:formatCode>0.00</c:formatCode>
                <c:ptCount val="1"/>
                <c:pt idx="0">
                  <c:v>1.1333333333333333</c:v>
                </c:pt>
              </c:numCache>
            </c:numRef>
          </c:yVal>
          <c:smooth val="0"/>
          <c:extLst>
            <c:ext xmlns:c16="http://schemas.microsoft.com/office/drawing/2014/chart" uri="{C3380CC4-5D6E-409C-BE32-E72D297353CC}">
              <c16:uniqueId val="{00000001-DB1F-40EB-9670-82FA87E2F9B0}"/>
            </c:ext>
          </c:extLst>
        </c:ser>
        <c:ser>
          <c:idx val="2"/>
          <c:order val="2"/>
          <c:tx>
            <c:v>"Benchmark Sample Data"</c:v>
          </c:tx>
          <c:spPr>
            <a:ln w="25400" cap="rnd">
              <a:noFill/>
              <a:round/>
            </a:ln>
            <a:effectLst/>
          </c:spPr>
          <c:marker>
            <c:symbol val="plus"/>
            <c:size val="5"/>
            <c:spPr>
              <a:noFill/>
              <a:ln w="9525">
                <a:solidFill>
                  <a:schemeClr val="accent1">
                    <a:alpha val="50000"/>
                  </a:schemeClr>
                </a:solidFill>
              </a:ln>
              <a:effectLst/>
            </c:spPr>
          </c:marker>
          <c:xVal>
            <c:numRef>
              <c:f>Benchmark_Inputs!$U$12:$U$112</c:f>
              <c:numCache>
                <c:formatCode>General</c:formatCode>
                <c:ptCount val="78"/>
                <c:pt idx="0">
                  <c:v>49.563000000000002</c:v>
                </c:pt>
                <c:pt idx="1">
                  <c:v>56.15</c:v>
                </c:pt>
                <c:pt idx="2">
                  <c:v>11013.333000000001</c:v>
                </c:pt>
                <c:pt idx="3">
                  <c:v>252.696</c:v>
                </c:pt>
                <c:pt idx="4">
                  <c:v>196.98599999999999</c:v>
                </c:pt>
                <c:pt idx="5">
                  <c:v>58.027999999999999</c:v>
                </c:pt>
                <c:pt idx="6">
                  <c:v>115.152</c:v>
                </c:pt>
                <c:pt idx="7">
                  <c:v>987.07600000000002</c:v>
                </c:pt>
                <c:pt idx="8">
                  <c:v>62.5</c:v>
                </c:pt>
                <c:pt idx="9">
                  <c:v>590.29600000000005</c:v>
                </c:pt>
                <c:pt idx="10">
                  <c:v>635.22</c:v>
                </c:pt>
                <c:pt idx="11">
                  <c:v>467.15300000000002</c:v>
                </c:pt>
                <c:pt idx="12">
                  <c:v>2377.049</c:v>
                </c:pt>
                <c:pt idx="13">
                  <c:v>607.27300000000002</c:v>
                </c:pt>
                <c:pt idx="14">
                  <c:v>75.676000000000002</c:v>
                </c:pt>
                <c:pt idx="15">
                  <c:v>283.29300000000001</c:v>
                </c:pt>
                <c:pt idx="16">
                  <c:v>964.05899999999997</c:v>
                </c:pt>
                <c:pt idx="17">
                  <c:v>333.33300000000003</c:v>
                </c:pt>
                <c:pt idx="18">
                  <c:v>514.49300000000005</c:v>
                </c:pt>
                <c:pt idx="19">
                  <c:v>124.614</c:v>
                </c:pt>
                <c:pt idx="20">
                  <c:v>367.64699999999999</c:v>
                </c:pt>
                <c:pt idx="21">
                  <c:v>568.49300000000005</c:v>
                </c:pt>
                <c:pt idx="22">
                  <c:v>0</c:v>
                </c:pt>
                <c:pt idx="23">
                  <c:v>44.247999999999998</c:v>
                </c:pt>
                <c:pt idx="24">
                  <c:v>83.756</c:v>
                </c:pt>
                <c:pt idx="25">
                  <c:v>272.93599999999998</c:v>
                </c:pt>
                <c:pt idx="26">
                  <c:v>152.86600000000001</c:v>
                </c:pt>
                <c:pt idx="27">
                  <c:v>111.111</c:v>
                </c:pt>
                <c:pt idx="28">
                  <c:v>1674.4190000000001</c:v>
                </c:pt>
                <c:pt idx="29">
                  <c:v>207.547</c:v>
                </c:pt>
                <c:pt idx="30">
                  <c:v>970.76</c:v>
                </c:pt>
                <c:pt idx="31">
                  <c:v>326.24099999999999</c:v>
                </c:pt>
                <c:pt idx="32">
                  <c:v>161.29</c:v>
                </c:pt>
                <c:pt idx="33">
                  <c:v>4.0979999999999999</c:v>
                </c:pt>
                <c:pt idx="34">
                  <c:v>367.15</c:v>
                </c:pt>
                <c:pt idx="35">
                  <c:v>119.565</c:v>
                </c:pt>
                <c:pt idx="36">
                  <c:v>1058.8240000000001</c:v>
                </c:pt>
                <c:pt idx="37">
                  <c:v>297.596</c:v>
                </c:pt>
                <c:pt idx="38">
                  <c:v>555.55600000000004</c:v>
                </c:pt>
                <c:pt idx="39">
                  <c:v>460</c:v>
                </c:pt>
                <c:pt idx="40">
                  <c:v>871.79499999999996</c:v>
                </c:pt>
                <c:pt idx="41">
                  <c:v>100.15600000000001</c:v>
                </c:pt>
                <c:pt idx="42">
                  <c:v>640.30100000000004</c:v>
                </c:pt>
                <c:pt idx="43">
                  <c:v>441.69799999999998</c:v>
                </c:pt>
                <c:pt idx="44">
                  <c:v>276.76</c:v>
                </c:pt>
                <c:pt idx="45">
                  <c:v>51.558</c:v>
                </c:pt>
                <c:pt idx="46">
                  <c:v>236.69499999999999</c:v>
                </c:pt>
                <c:pt idx="47">
                  <c:v>100.437</c:v>
                </c:pt>
                <c:pt idx="48">
                  <c:v>93.980999999999995</c:v>
                </c:pt>
                <c:pt idx="49">
                  <c:v>237.143</c:v>
                </c:pt>
                <c:pt idx="50">
                  <c:v>585.89599999999996</c:v>
                </c:pt>
                <c:pt idx="51">
                  <c:v>312.05700000000002</c:v>
                </c:pt>
                <c:pt idx="52">
                  <c:v>1857.143</c:v>
                </c:pt>
                <c:pt idx="53">
                  <c:v>625</c:v>
                </c:pt>
                <c:pt idx="54">
                  <c:v>496.76799999999997</c:v>
                </c:pt>
                <c:pt idx="55">
                  <c:v>625</c:v>
                </c:pt>
                <c:pt idx="56">
                  <c:v>619.048</c:v>
                </c:pt>
                <c:pt idx="57">
                  <c:v>650.16499999999996</c:v>
                </c:pt>
                <c:pt idx="58">
                  <c:v>100</c:v>
                </c:pt>
                <c:pt idx="59">
                  <c:v>175.25800000000001</c:v>
                </c:pt>
                <c:pt idx="60">
                  <c:v>569.06100000000004</c:v>
                </c:pt>
                <c:pt idx="61">
                  <c:v>8.9480000000000004</c:v>
                </c:pt>
                <c:pt idx="62">
                  <c:v>545.53</c:v>
                </c:pt>
                <c:pt idx="63">
                  <c:v>547.82600000000002</c:v>
                </c:pt>
                <c:pt idx="64">
                  <c:v>220.779</c:v>
                </c:pt>
                <c:pt idx="65">
                  <c:v>166.197</c:v>
                </c:pt>
                <c:pt idx="66">
                  <c:v>206.24</c:v>
                </c:pt>
                <c:pt idx="67">
                  <c:v>19.138999999999999</c:v>
                </c:pt>
                <c:pt idx="68">
                  <c:v>317.64699999999999</c:v>
                </c:pt>
                <c:pt idx="69">
                  <c:v>38.462000000000003</c:v>
                </c:pt>
                <c:pt idx="70">
                  <c:v>574.32399999999996</c:v>
                </c:pt>
                <c:pt idx="71">
                  <c:v>349.036</c:v>
                </c:pt>
                <c:pt idx="72">
                  <c:v>466.197</c:v>
                </c:pt>
                <c:pt idx="73">
                  <c:v>167.74199999999999</c:v>
                </c:pt>
                <c:pt idx="74">
                  <c:v>315.08699999999999</c:v>
                </c:pt>
                <c:pt idx="75">
                  <c:v>86.956999999999994</c:v>
                </c:pt>
                <c:pt idx="76">
                  <c:v>1033.7550000000001</c:v>
                </c:pt>
                <c:pt idx="77">
                  <c:v>172.45099999999999</c:v>
                </c:pt>
              </c:numCache>
            </c:numRef>
          </c:xVal>
          <c:yVal>
            <c:numRef>
              <c:f>Benchmark_Inputs!$R$12:$R$112</c:f>
              <c:numCache>
                <c:formatCode>General</c:formatCode>
                <c:ptCount val="78"/>
                <c:pt idx="0">
                  <c:v>0.92200000000000004</c:v>
                </c:pt>
                <c:pt idx="1">
                  <c:v>0.92300000000000004</c:v>
                </c:pt>
                <c:pt idx="2">
                  <c:v>7.9000000000000001E-2</c:v>
                </c:pt>
                <c:pt idx="3">
                  <c:v>0.90400000000000003</c:v>
                </c:pt>
                <c:pt idx="4">
                  <c:v>0.86299999999999999</c:v>
                </c:pt>
                <c:pt idx="5">
                  <c:v>1.0029999999999999</c:v>
                </c:pt>
                <c:pt idx="6">
                  <c:v>0.90200000000000002</c:v>
                </c:pt>
                <c:pt idx="7">
                  <c:v>0.752</c:v>
                </c:pt>
                <c:pt idx="8">
                  <c:v>0.97599999999999998</c:v>
                </c:pt>
                <c:pt idx="9">
                  <c:v>0.66500000000000004</c:v>
                </c:pt>
                <c:pt idx="10">
                  <c:v>0.71899999999999997</c:v>
                </c:pt>
                <c:pt idx="11">
                  <c:v>0.749</c:v>
                </c:pt>
                <c:pt idx="12">
                  <c:v>0.38400000000000001</c:v>
                </c:pt>
                <c:pt idx="13">
                  <c:v>0.63300000000000001</c:v>
                </c:pt>
                <c:pt idx="14">
                  <c:v>0.76800000000000002</c:v>
                </c:pt>
                <c:pt idx="15">
                  <c:v>0.92400000000000004</c:v>
                </c:pt>
                <c:pt idx="16">
                  <c:v>0.754</c:v>
                </c:pt>
                <c:pt idx="17">
                  <c:v>0.85699999999999998</c:v>
                </c:pt>
                <c:pt idx="18">
                  <c:v>1.087</c:v>
                </c:pt>
                <c:pt idx="19">
                  <c:v>0.86</c:v>
                </c:pt>
                <c:pt idx="20">
                  <c:v>0.94399999999999995</c:v>
                </c:pt>
                <c:pt idx="21">
                  <c:v>0.69899999999999995</c:v>
                </c:pt>
                <c:pt idx="22">
                  <c:v>0.79700000000000004</c:v>
                </c:pt>
                <c:pt idx="23">
                  <c:v>1.0369999999999999</c:v>
                </c:pt>
                <c:pt idx="24">
                  <c:v>0.90200000000000002</c:v>
                </c:pt>
                <c:pt idx="25">
                  <c:v>0.83799999999999997</c:v>
                </c:pt>
                <c:pt idx="26">
                  <c:v>0.82599999999999996</c:v>
                </c:pt>
                <c:pt idx="27">
                  <c:v>0.11</c:v>
                </c:pt>
                <c:pt idx="28">
                  <c:v>0.69399999999999995</c:v>
                </c:pt>
                <c:pt idx="29">
                  <c:v>1.2330000000000001</c:v>
                </c:pt>
                <c:pt idx="30">
                  <c:v>0.69</c:v>
                </c:pt>
                <c:pt idx="31">
                  <c:v>0.81</c:v>
                </c:pt>
                <c:pt idx="32">
                  <c:v>0.36499999999999999</c:v>
                </c:pt>
                <c:pt idx="33">
                  <c:v>2.5680000000000001</c:v>
                </c:pt>
                <c:pt idx="34">
                  <c:v>0.85499999999999998</c:v>
                </c:pt>
                <c:pt idx="35">
                  <c:v>0.95799999999999996</c:v>
                </c:pt>
                <c:pt idx="36">
                  <c:v>0.54</c:v>
                </c:pt>
                <c:pt idx="37">
                  <c:v>0.80400000000000005</c:v>
                </c:pt>
                <c:pt idx="38">
                  <c:v>0.76400000000000001</c:v>
                </c:pt>
                <c:pt idx="39">
                  <c:v>0.61699999999999999</c:v>
                </c:pt>
                <c:pt idx="40">
                  <c:v>0.70699999999999996</c:v>
                </c:pt>
                <c:pt idx="41">
                  <c:v>0.97099999999999997</c:v>
                </c:pt>
                <c:pt idx="42">
                  <c:v>0.72599999999999998</c:v>
                </c:pt>
                <c:pt idx="43">
                  <c:v>0.88</c:v>
                </c:pt>
                <c:pt idx="44">
                  <c:v>0.81200000000000006</c:v>
                </c:pt>
                <c:pt idx="45">
                  <c:v>0.97299999999999998</c:v>
                </c:pt>
                <c:pt idx="46">
                  <c:v>0.90900000000000003</c:v>
                </c:pt>
                <c:pt idx="47">
                  <c:v>0.94099999999999995</c:v>
                </c:pt>
                <c:pt idx="48">
                  <c:v>1.046</c:v>
                </c:pt>
                <c:pt idx="49">
                  <c:v>0.64500000000000002</c:v>
                </c:pt>
                <c:pt idx="50">
                  <c:v>0.81899999999999995</c:v>
                </c:pt>
                <c:pt idx="51">
                  <c:v>0.97599999999999998</c:v>
                </c:pt>
                <c:pt idx="52">
                  <c:v>-1.474</c:v>
                </c:pt>
                <c:pt idx="53">
                  <c:v>1</c:v>
                </c:pt>
                <c:pt idx="54">
                  <c:v>0.95699999999999996</c:v>
                </c:pt>
                <c:pt idx="55">
                  <c:v>0.59399999999999997</c:v>
                </c:pt>
                <c:pt idx="56">
                  <c:v>0.85699999999999998</c:v>
                </c:pt>
                <c:pt idx="57">
                  <c:v>0.69499999999999995</c:v>
                </c:pt>
                <c:pt idx="58">
                  <c:v>0.76900000000000002</c:v>
                </c:pt>
                <c:pt idx="59">
                  <c:v>0.99</c:v>
                </c:pt>
                <c:pt idx="60">
                  <c:v>0.88100000000000001</c:v>
                </c:pt>
                <c:pt idx="61">
                  <c:v>0.88500000000000001</c:v>
                </c:pt>
                <c:pt idx="62">
                  <c:v>0.88400000000000001</c:v>
                </c:pt>
                <c:pt idx="63">
                  <c:v>0.83299999999999996</c:v>
                </c:pt>
                <c:pt idx="64">
                  <c:v>0.84599999999999997</c:v>
                </c:pt>
                <c:pt idx="65">
                  <c:v>0.87</c:v>
                </c:pt>
                <c:pt idx="66">
                  <c:v>0.97399999999999998</c:v>
                </c:pt>
                <c:pt idx="67">
                  <c:v>1.032</c:v>
                </c:pt>
                <c:pt idx="68">
                  <c:v>0.82499999999999996</c:v>
                </c:pt>
                <c:pt idx="69">
                  <c:v>1</c:v>
                </c:pt>
                <c:pt idx="70">
                  <c:v>0.72199999999999998</c:v>
                </c:pt>
                <c:pt idx="71">
                  <c:v>0.70499999999999996</c:v>
                </c:pt>
                <c:pt idx="72">
                  <c:v>0.92400000000000004</c:v>
                </c:pt>
                <c:pt idx="73">
                  <c:v>0.85599999999999998</c:v>
                </c:pt>
                <c:pt idx="74">
                  <c:v>0.82599999999999996</c:v>
                </c:pt>
                <c:pt idx="75">
                  <c:v>1.095</c:v>
                </c:pt>
                <c:pt idx="76">
                  <c:v>0.76200000000000001</c:v>
                </c:pt>
                <c:pt idx="77">
                  <c:v>0.92200000000000004</c:v>
                </c:pt>
              </c:numCache>
            </c:numRef>
          </c:yVal>
          <c:smooth val="0"/>
          <c:extLst>
            <c:ext xmlns:c16="http://schemas.microsoft.com/office/drawing/2014/chart" uri="{C3380CC4-5D6E-409C-BE32-E72D297353CC}">
              <c16:uniqueId val="{00000001-9F45-4D8C-B2A7-49322622A79E}"/>
            </c:ext>
          </c:extLst>
        </c:ser>
        <c:dLbls>
          <c:showLegendKey val="0"/>
          <c:showVal val="0"/>
          <c:showCatName val="0"/>
          <c:showSerName val="0"/>
          <c:showPercent val="0"/>
          <c:showBubbleSize val="0"/>
        </c:dLbls>
        <c:axId val="1520749183"/>
        <c:axId val="1520759743"/>
      </c:scatterChart>
      <c:valAx>
        <c:axId val="1520749183"/>
        <c:scaling>
          <c:logBase val="10"/>
          <c:orientation val="minMax"/>
          <c:max val="300000"/>
          <c:min val="3.0000000000000009E-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E" sz="1600"/>
                  <a:t>Inventory Days (days)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20759743"/>
        <c:crossesAt val="1"/>
        <c:crossBetween val="midCat"/>
        <c:majorUnit val="100"/>
      </c:valAx>
      <c:valAx>
        <c:axId val="152075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E" sz="1600"/>
                  <a:t>Stability Metric, </a:t>
                </a:r>
                <a:r>
                  <a:rPr lang="el-GR" sz="1600"/>
                  <a:t>ψ</a:t>
                </a:r>
                <a:endParaRPr lang="en-IE" sz="1600"/>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IE"/>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20749183"/>
        <c:crossesAt val="3.0000000000000009E-3"/>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_xlchart.v1.30</cx:f>
      </cx:strDim>
      <cx:numDim type="val">
        <cx:f>_xlchart.v1.35</cx:f>
      </cx:numDim>
    </cx:data>
    <cx:data id="1">
      <cx:strDim type="cat">
        <cx:f>_xlchart.v1.30</cx:f>
      </cx:strDim>
      <cx:numDim type="val">
        <cx:f>_xlchart.v1.38</cx:f>
      </cx:numDim>
    </cx:data>
    <cx:data id="2">
      <cx:strDim type="cat">
        <cx:f>_xlchart.v1.30</cx:f>
      </cx:strDim>
      <cx:numDim type="val">
        <cx:f>_xlchart.v1.32</cx:f>
      </cx:numDim>
    </cx:data>
  </cx:chartData>
  <cx:chart>
    <cx:title pos="t" align="ctr" overlay="0">
      <cx:tx>
        <cx:txData>
          <cx:v>Metric Distributions</cx:v>
        </cx:txData>
      </cx:tx>
      <cx:txPr>
        <a:bodyPr spcFirstLastPara="1" vertOverflow="ellipsis" horzOverflow="overflow" wrap="square" lIns="0" tIns="0" rIns="0" bIns="0" anchor="ctr" anchorCtr="1"/>
        <a:lstStyle/>
        <a:p>
          <a:pPr algn="ctr" rtl="0">
            <a:defRPr sz="2000"/>
          </a:pPr>
          <a:r>
            <a:rPr lang="en-US" sz="2000" b="0" i="0" u="none" strike="noStrike" baseline="0">
              <a:solidFill>
                <a:sysClr val="windowText" lastClr="000000">
                  <a:lumMod val="65000"/>
                  <a:lumOff val="35000"/>
                </a:sysClr>
              </a:solidFill>
              <a:latin typeface="Aptos Narrow" panose="02110004020202020204"/>
            </a:rPr>
            <a:t>Metric Distributions</a:t>
          </a:r>
        </a:p>
      </cx:txPr>
    </cx:title>
    <cx:plotArea>
      <cx:plotAreaRegion>
        <cx:series layoutId="boxWhisker" uniqueId="{CBF7922F-97EE-4573-99A0-3FA59D3043EB}">
          <cx:tx>
            <cx:txData>
              <cx:f>_xlchart.v1.33</cx:f>
              <cx:v>Nu</cx:v>
            </cx:txData>
          </cx:tx>
          <cx:dataId val="0"/>
          <cx:layoutPr>
            <cx:visibility meanLine="0" meanMarker="1" nonoutliers="0" outliers="0"/>
            <cx:statistics quartileMethod="exclusive"/>
          </cx:layoutPr>
        </cx:series>
        <cx:series layoutId="boxWhisker" uniqueId="{B7E7E747-D20F-4DD1-969E-37E42E56799B}">
          <cx:tx>
            <cx:txData>
              <cx:f>_xlchart.v1.36</cx:f>
              <cx:v>Zeta</cx:v>
            </cx:txData>
          </cx:tx>
          <cx:dataId val="1"/>
          <cx:layoutPr>
            <cx:visibility meanLine="0" meanMarker="1" nonoutliers="0" outliers="0"/>
            <cx:statistics quartileMethod="exclusive"/>
          </cx:layoutPr>
        </cx:series>
        <cx:series layoutId="boxWhisker" uniqueId="{AF96246E-97BE-4738-9043-12BA0FE9CDE0}">
          <cx:tx>
            <cx:txData>
              <cx:f>_xlchart.v1.31</cx:f>
              <cx:v>Psi</cx:v>
            </cx:txData>
          </cx:tx>
          <cx:dataId val="2"/>
          <cx:layoutPr>
            <cx:visibility meanLine="0" meanMarker="1" nonoutliers="0" outliers="0"/>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axis id="1">
        <cx:valScaling/>
        <cx:majorGridlines/>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plotArea>
    <cx:legend pos="b" align="ctr" overlay="0">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_xlchart.v1.53</cx:f>
      </cx:strDim>
      <cx:numDim type="val">
        <cx:f>_xlchart.v1.58</cx:f>
      </cx:numDim>
    </cx:data>
    <cx:data id="1">
      <cx:strDim type="cat">
        <cx:f>_xlchart.v1.53</cx:f>
      </cx:strDim>
      <cx:numDim type="val">
        <cx:f>_xlchart.v1.62</cx:f>
      </cx:numDim>
    </cx:data>
  </cx:chartData>
  <cx:chart>
    <cx:title pos="t" align="ctr" overlay="0">
      <cx:tx>
        <cx:txData>
          <cx:v>Time Distributions</cx:v>
        </cx:txData>
      </cx:tx>
      <cx:txPr>
        <a:bodyPr spcFirstLastPara="1" vertOverflow="ellipsis" horzOverflow="overflow" wrap="square" lIns="0" tIns="0" rIns="0" bIns="0" anchor="ctr" anchorCtr="1"/>
        <a:lstStyle/>
        <a:p>
          <a:pPr algn="ctr" rtl="0">
            <a:defRPr sz="2000"/>
          </a:pPr>
          <a:r>
            <a:rPr lang="en-US" sz="2000" b="0" i="0" u="none" strike="noStrike" baseline="0">
              <a:solidFill>
                <a:sysClr val="windowText" lastClr="000000">
                  <a:lumMod val="65000"/>
                  <a:lumOff val="35000"/>
                </a:sysClr>
              </a:solidFill>
              <a:latin typeface="Aptos Narrow" panose="02110004020202020204"/>
            </a:rPr>
            <a:t>Time Distributions</a:t>
          </a:r>
        </a:p>
      </cx:txPr>
    </cx:title>
    <cx:plotArea>
      <cx:plotAreaRegion>
        <cx:series layoutId="boxWhisker" uniqueId="{A88496AF-CC13-4969-A8FA-E977EE7A79EA}">
          <cx:tx>
            <cx:txData>
              <cx:f>_xlchart.v1.55</cx:f>
              <cx:v>Duration Analysed (days)</cx:v>
            </cx:txData>
          </cx:tx>
          <cx:spPr>
            <a:solidFill>
              <a:schemeClr val="accent5"/>
            </a:solidFill>
          </cx:spPr>
          <cx:dataId val="0"/>
          <cx:layoutPr>
            <cx:visibility nonoutliers="0" outliers="0"/>
            <cx:statistics quartileMethod="exclusive"/>
          </cx:layoutPr>
        </cx:series>
        <cx:series layoutId="boxWhisker" uniqueId="{4A0CE9BE-5F6A-4FCB-9C89-A5EB38EB3163}">
          <cx:tx>
            <cx:txData>
              <cx:f>_xlchart.v1.60</cx:f>
              <cx:v>Inventory Days</cx:v>
            </cx:txData>
          </cx:tx>
          <cx:spPr>
            <a:solidFill>
              <a:srgbClr val="002060"/>
            </a:solidFill>
          </cx:spPr>
          <cx:dataId val="1"/>
          <cx:layoutPr>
            <cx:visibility nonoutliers="0" outliers="0"/>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axis id="1">
        <cx:valScaling/>
        <cx:title>
          <cx:tx>
            <cx:txData>
              <cx:v>Days</cx:v>
            </cx:txData>
          </cx:tx>
          <cx:txPr>
            <a:bodyPr spcFirstLastPara="1" vertOverflow="ellipsis" horzOverflow="overflow" wrap="square" lIns="0" tIns="0" rIns="0" bIns="0" anchor="ctr" anchorCtr="1"/>
            <a:lstStyle/>
            <a:p>
              <a:pPr algn="ctr" rtl="0">
                <a:defRPr sz="1400"/>
              </a:pPr>
              <a:r>
                <a:rPr lang="en-US" sz="1400" b="0" i="0" u="none" strike="noStrike" baseline="0">
                  <a:solidFill>
                    <a:sysClr val="windowText" lastClr="000000">
                      <a:lumMod val="65000"/>
                      <a:lumOff val="35000"/>
                    </a:sysClr>
                  </a:solidFill>
                  <a:latin typeface="Aptos Narrow" panose="02110004020202020204"/>
                </a:rPr>
                <a:t>Days</a:t>
              </a:r>
            </a:p>
          </cx:txPr>
        </cx:title>
        <cx:majorGridlines/>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plotArea>
    <cx:legend pos="b" align="ctr" overlay="0">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_xlchart.v1.41</cx:f>
      </cx:strDim>
      <cx:numDim type="val">
        <cx:f>_xlchart.v1.43</cx:f>
      </cx:numDim>
    </cx:data>
    <cx:data id="1">
      <cx:strDim type="cat">
        <cx:f>_xlchart.v1.41</cx:f>
      </cx:strDim>
      <cx:numDim type="val">
        <cx:f>_xlchart.v1.45</cx:f>
      </cx:numDim>
    </cx:data>
    <cx:data id="2">
      <cx:strDim type="cat">
        <cx:f>_xlchart.v1.41</cx:f>
      </cx:strDim>
      <cx:numDim type="val">
        <cx:f>_xlchart.v1.47</cx:f>
      </cx:numDim>
    </cx:data>
    <cx:data id="3">
      <cx:strDim type="cat">
        <cx:f>_xlchart.v1.41</cx:f>
      </cx:strDim>
      <cx:numDim type="val">
        <cx:f>_xlchart.v1.49</cx:f>
      </cx:numDim>
    </cx:data>
  </cx:chartData>
  <cx:chart>
    <cx:title pos="t" align="ctr" overlay="0">
      <cx:tx>
        <cx:txData>
          <cx:v>Rate Distributions</cx:v>
        </cx:txData>
      </cx:tx>
      <cx:txPr>
        <a:bodyPr spcFirstLastPara="1" vertOverflow="ellipsis" horzOverflow="overflow" wrap="square" lIns="0" tIns="0" rIns="0" bIns="0" anchor="ctr" anchorCtr="1"/>
        <a:lstStyle/>
        <a:p>
          <a:pPr algn="ctr" rtl="0">
            <a:defRPr sz="2000"/>
          </a:pPr>
          <a:r>
            <a:rPr lang="en-US" sz="2000" b="0" i="0" u="none" strike="noStrike" baseline="0">
              <a:solidFill>
                <a:sysClr val="windowText" lastClr="000000">
                  <a:lumMod val="65000"/>
                  <a:lumOff val="35000"/>
                </a:sysClr>
              </a:solidFill>
              <a:latin typeface="Aptos Narrow" panose="02110004020202020204"/>
            </a:rPr>
            <a:t>Rate Distributions</a:t>
          </a:r>
        </a:p>
      </cx:txPr>
    </cx:title>
    <cx:plotArea>
      <cx:plotAreaRegion>
        <cx:series layoutId="boxWhisker" uniqueId="{1625F053-9EF2-4A8E-AF38-561D55E49E64}" formatIdx="0">
          <cx:tx>
            <cx:txData>
              <cx:f>_xlchart.v1.42</cx:f>
              <cx:v>Planned Arrival Rate - alpha (PBIs/day)</cx:v>
            </cx:txData>
          </cx:tx>
          <cx:dataId val="0"/>
          <cx:layoutPr>
            <cx:visibility nonoutliers="0" outliers="0"/>
            <cx:statistics quartileMethod="exclusive"/>
          </cx:layoutPr>
        </cx:series>
        <cx:series layoutId="boxWhisker" uniqueId="{65E14DCC-2FE4-4DDD-BCB4-CA55A2824D3F}" formatIdx="1">
          <cx:tx>
            <cx:txData>
              <cx:f>_xlchart.v1.44</cx:f>
              <cx:v>Unplanned Arrival Rate - epsilon (PBIs/day)</cx:v>
            </cx:txData>
          </cx:tx>
          <cx:dataId val="1"/>
          <cx:layoutPr>
            <cx:visibility nonoutliers="0" outliers="0"/>
            <cx:statistics quartileMethod="exclusive"/>
          </cx:layoutPr>
        </cx:series>
        <cx:series layoutId="boxWhisker" uniqueId="{3DEA4784-998C-4D6F-9596-8FBD71EA3158}" formatIdx="2">
          <cx:tx>
            <cx:txData>
              <cx:f>_xlchart.v1.46</cx:f>
              <cx:v>Cancelled Rate - gamma (PBIs/day)</cx:v>
            </cx:txData>
          </cx:tx>
          <cx:dataId val="2"/>
          <cx:layoutPr>
            <cx:visibility nonoutliers="0" outliers="0"/>
            <cx:statistics quartileMethod="exclusive"/>
          </cx:layoutPr>
        </cx:series>
        <cx:series layoutId="boxWhisker" uniqueId="{A80B5A9D-98DF-4643-A5B9-8D2FED3878A6}" formatIdx="3">
          <cx:tx>
            <cx:txData>
              <cx:f>_xlchart.v1.48</cx:f>
              <cx:v>Service Rate - mu (PBIs/day)</cx:v>
            </cx:txData>
          </cx:tx>
          <cx:dataId val="3"/>
          <cx:layoutPr>
            <cx:visibility nonoutliers="0" outliers="0"/>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axis id="1">
        <cx:valScaling/>
        <cx:title>
          <cx:tx>
            <cx:txData>
              <cx:v>PBIs/day</cx:v>
            </cx:txData>
          </cx:tx>
          <cx:txPr>
            <a:bodyPr spcFirstLastPara="1" vertOverflow="ellipsis" horzOverflow="overflow" wrap="square" lIns="0" tIns="0" rIns="0" bIns="0" anchor="ctr" anchorCtr="1"/>
            <a:lstStyle/>
            <a:p>
              <a:pPr algn="ctr" rtl="0">
                <a:defRPr sz="1400"/>
              </a:pPr>
              <a:r>
                <a:rPr lang="en-US" sz="1400" b="0" i="0" u="none" strike="noStrike" baseline="0">
                  <a:solidFill>
                    <a:sysClr val="windowText" lastClr="000000">
                      <a:lumMod val="65000"/>
                      <a:lumOff val="35000"/>
                    </a:sysClr>
                  </a:solidFill>
                  <a:latin typeface="Aptos Narrow" panose="02110004020202020204"/>
                </a:rPr>
                <a:t>PBIs/day</a:t>
              </a:r>
            </a:p>
          </cx:txPr>
        </cx:title>
        <cx:majorGridlines/>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plotArea>
    <cx:legend pos="b" align="ctr" overlay="0">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_xlchart.v1.10</cx:f>
      </cx:numDim>
    </cx:data>
    <cx:data id="1">
      <cx:strDim type="cat">
        <cx:f>_xlchart.v1.0</cx:f>
      </cx:strDim>
      <cx:numDim type="val">
        <cx:f>_xlchart.v1.12</cx:f>
      </cx:numDim>
    </cx:data>
    <cx:data id="2">
      <cx:strDim type="cat">
        <cx:f>_xlchart.v1.0</cx:f>
      </cx:strDim>
      <cx:numDim type="val">
        <cx:f>_xlchart.v1.14</cx:f>
      </cx:numDim>
    </cx:data>
    <cx:data id="3">
      <cx:strDim type="cat">
        <cx:f>_xlchart.v1.0</cx:f>
      </cx:strDim>
      <cx:numDim type="val">
        <cx:f>_xlchart.v1.16</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R^2 Distributions</a:t>
            </a:r>
            <a:endParaRPr lang="en-IE" sz="2000">
              <a:effectLst/>
            </a:endParaRPr>
          </a:p>
        </cx:rich>
      </cx:tx>
    </cx:title>
    <cx:plotArea>
      <cx:plotAreaRegion>
        <cx:series layoutId="boxWhisker" uniqueId="{9E9A4AE2-F187-4633-948B-02CD7429A388}">
          <cx:tx>
            <cx:txData>
              <cx:f>_xlchart.v1.9</cx:f>
              <cx:v>alpha R^2</cx:v>
            </cx:txData>
          </cx:tx>
          <cx:dataId val="0"/>
          <cx:layoutPr>
            <cx:visibility nonoutliers="0" outliers="0"/>
            <cx:statistics quartileMethod="exclusive"/>
          </cx:layoutPr>
        </cx:series>
        <cx:series layoutId="boxWhisker" uniqueId="{0CFFA37C-F837-4338-8DC3-BE57EE56EC71}">
          <cx:tx>
            <cx:txData>
              <cx:f>_xlchart.v1.11</cx:f>
              <cx:v>epsilon R^2</cx:v>
            </cx:txData>
          </cx:tx>
          <cx:dataId val="1"/>
          <cx:layoutPr>
            <cx:visibility nonoutliers="0" outliers="0"/>
            <cx:statistics quartileMethod="exclusive"/>
          </cx:layoutPr>
        </cx:series>
        <cx:series layoutId="boxWhisker" uniqueId="{AD2386E8-F7D2-49DA-9A96-825DAA83B8BF}">
          <cx:tx>
            <cx:txData>
              <cx:f>_xlchart.v1.13</cx:f>
              <cx:v>gamma R^2</cx:v>
            </cx:txData>
          </cx:tx>
          <cx:dataId val="2"/>
          <cx:layoutPr>
            <cx:visibility nonoutliers="0" outliers="0"/>
            <cx:statistics quartileMethod="exclusive"/>
          </cx:layoutPr>
        </cx:series>
        <cx:series layoutId="boxWhisker" uniqueId="{AD326875-123E-4498-BF9D-B751245A2C4E}">
          <cx:tx>
            <cx:txData>
              <cx:f>_xlchart.v1.15</cx:f>
              <cx:v>mu R^2</cx:v>
            </cx:txData>
          </cx:tx>
          <cx:dataId val="3"/>
          <cx:layoutPr>
            <cx:visibility nonoutliers="0" outliers="0"/>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axis id="1">
        <cx:valScaling max="1"/>
        <cx:majorGridlines/>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plotArea>
    <cx:legend pos="b" align="ctr" overlay="0">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4.xml"/><Relationship Id="rId5" Type="http://schemas.microsoft.com/office/2014/relationships/chartEx" Target="../charts/chartEx3.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9</xdr:col>
      <xdr:colOff>123824</xdr:colOff>
      <xdr:row>0</xdr:row>
      <xdr:rowOff>88900</xdr:rowOff>
    </xdr:from>
    <xdr:to>
      <xdr:col>21</xdr:col>
      <xdr:colOff>381000</xdr:colOff>
      <xdr:row>42</xdr:row>
      <xdr:rowOff>162128</xdr:rowOff>
    </xdr:to>
    <xdr:graphicFrame macro="">
      <xdr:nvGraphicFramePr>
        <xdr:cNvPr id="2" name="Chart 1">
          <a:extLst>
            <a:ext uri="{FF2B5EF4-FFF2-40B4-BE49-F238E27FC236}">
              <a16:creationId xmlns:a16="http://schemas.microsoft.com/office/drawing/2014/main" id="{763AFD09-A3C9-445A-29CD-89E9C48B7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absoluteAnchor>
    <xdr:pos x="110689" y="3145873"/>
    <xdr:ext cx="7107340" cy="4916879"/>
    <xdr:graphicFrame macro="">
      <xdr:nvGraphicFramePr>
        <xdr:cNvPr id="5" name="Chart 4">
          <a:extLst>
            <a:ext uri="{FF2B5EF4-FFF2-40B4-BE49-F238E27FC236}">
              <a16:creationId xmlns:a16="http://schemas.microsoft.com/office/drawing/2014/main" id="{DFB87ADB-F5F8-47BF-B6F8-35044673B0B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twoCellAnchor>
    <xdr:from>
      <xdr:col>0</xdr:col>
      <xdr:colOff>118973</xdr:colOff>
      <xdr:row>44</xdr:row>
      <xdr:rowOff>58516</xdr:rowOff>
    </xdr:from>
    <xdr:to>
      <xdr:col>9</xdr:col>
      <xdr:colOff>6343</xdr:colOff>
      <xdr:row>65</xdr:row>
      <xdr:rowOff>64342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0F90D31-2E98-4868-AE10-373C820DA2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2148" y="8040466"/>
              <a:ext cx="7107320" cy="3809476"/>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112889</xdr:colOff>
      <xdr:row>65</xdr:row>
      <xdr:rowOff>141111</xdr:rowOff>
    </xdr:from>
    <xdr:to>
      <xdr:col>9</xdr:col>
      <xdr:colOff>14111</xdr:colOff>
      <xdr:row>86</xdr:row>
      <xdr:rowOff>146936</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E01DA95F-DCAE-4064-8E4B-A9177E4544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2889" y="11926711"/>
              <a:ext cx="7117997" cy="3799950"/>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230480</xdr:colOff>
      <xdr:row>44</xdr:row>
      <xdr:rowOff>70555</xdr:rowOff>
    </xdr:from>
    <xdr:to>
      <xdr:col>21</xdr:col>
      <xdr:colOff>352778</xdr:colOff>
      <xdr:row>86</xdr:row>
      <xdr:rowOff>94074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69529797-4D43-41D1-8D3D-613B27DDDF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450430" y="8049330"/>
              <a:ext cx="7434323" cy="7627644"/>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235749</xdr:colOff>
      <xdr:row>87</xdr:row>
      <xdr:rowOff>10095</xdr:rowOff>
    </xdr:from>
    <xdr:to>
      <xdr:col>21</xdr:col>
      <xdr:colOff>354872</xdr:colOff>
      <xdr:row>118</xdr:row>
      <xdr:rowOff>121596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8A8285B-691B-4602-BDB5-FDEB194AF6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450430" y="15878340"/>
              <a:ext cx="7414868" cy="5765703"/>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5E8531-189F-4487-879A-D5A72CBCAC7C}" name="Table3" displayName="Table3" ref="A11:AB348" totalsRowShown="0">
  <autoFilter ref="A11:AB348" xr:uid="{2D5E8531-189F-4487-879A-D5A72CBCAC7C}">
    <filterColumn colId="1">
      <filters>
        <filter val="All"/>
      </filters>
    </filterColumn>
  </autoFilter>
  <tableColumns count="28">
    <tableColumn id="1" xr3:uid="{385C1E84-0424-44C0-91F1-04C6D90E41CF}" name="System"/>
    <tableColumn id="2" xr3:uid="{0CB96E7B-C114-4646-AD1E-6355B50D12A5}" name="Group"/>
    <tableColumn id="3" xr3:uid="{3693A43A-CE8A-4457-BE44-3A344CD7AE86}" name="Duration Analysed (days)"/>
    <tableColumn id="4" xr3:uid="{49E679E3-B580-455F-8222-9A501EA7634E}" name="Start Date &amp; Time (date)" dataDxfId="2"/>
    <tableColumn id="5" xr3:uid="{585B5BEC-B4DB-44D1-8E9E-968D7742E006}" name="End Date &amp; Time (date)" dataDxfId="1"/>
    <tableColumn id="6" xr3:uid="{73C60F8A-698C-440F-9713-41F2D2FC231A}" name="Total PBIs (PBIs)"/>
    <tableColumn id="7" xr3:uid="{E1F41B38-06A1-4671-96BD-2DF95B173E77}" name="Filtered PBIs (PBIs)"/>
    <tableColumn id="8" xr3:uid="{567CEF69-DB12-4333-91F6-B95E3837B766}" name="Planned Arrivals (PBIs)"/>
    <tableColumn id="9" xr3:uid="{6FE1B9C8-BCC7-4DC7-A1FA-96FAB1019997}" name="Unplanned Arrivals (PBIs)"/>
    <tableColumn id="10" xr3:uid="{7B131712-6535-48D7-BD86-7C31B874EAB7}" name="Cancelled Arrivals (PBIs)"/>
    <tableColumn id="11" xr3:uid="{76EEBD85-7BE2-4976-9C83-BB1B9201BC34}" name="Net Arrivals (PBIs)"/>
    <tableColumn id="12" xr3:uid="{4744759D-C4ED-4C42-A35E-B4ED65D87E20}" name="Services (PBIs)"/>
    <tableColumn id="13" xr3:uid="{B4FBF6F4-F9B6-41BB-9438-F4F74B0C394F}" name="Measured System Size (PBIs)"/>
    <tableColumn id="14" xr3:uid="{D7DC67D9-68E7-43FD-91D4-4C07EF164198}" name="Planned Arrival Rate - alpha (PBIs/day)"/>
    <tableColumn id="15" xr3:uid="{8C82AEC5-0270-4E3F-B74F-04140B205198}" name="Unplanned Arrival Rate - epsilon (PBIs/day)"/>
    <tableColumn id="16" xr3:uid="{7EA66160-01E6-4EC5-B183-64B1AE93237B}" name="Cancelled Rate - gamma (PBIs/day)"/>
    <tableColumn id="17" xr3:uid="{25EF586B-CFCD-4AD8-BE51-2175E95BB823}" name="Service Rate - mu (PBIs/day)"/>
    <tableColumn id="18" xr3:uid="{9C4A5C62-1088-47F8-B3D1-7A7D0188032F}" name="Psi"/>
    <tableColumn id="19" xr3:uid="{5D1E5842-8AD6-41DC-BFFE-034F0F1E629F}" name="Nu"/>
    <tableColumn id="20" xr3:uid="{725FDE17-E798-4206-A219-5331681FA087}" name="Zeta"/>
    <tableColumn id="21" xr3:uid="{C78C2287-9984-4DA0-BE87-C4162569D90B}" name="Inventory Days"/>
    <tableColumn id="22" xr3:uid="{86F2A9E1-E1BF-4F56-9567-6615A67AE656}" name="Strategy"/>
    <tableColumn id="23" xr3:uid="{76DB7EE4-7CE5-4567-8343-637ED791383E}" name="alpha R^2"/>
    <tableColumn id="24" xr3:uid="{51F882FE-0682-49E4-94D9-A32242F9EC1B}" name="epsilon R^2"/>
    <tableColumn id="25" xr3:uid="{1E64C8A8-5691-457B-9EF2-5FADCC5D4183}" name="gamma R^2"/>
    <tableColumn id="26" xr3:uid="{4CED5B07-30B8-41E2-A139-21E2B9E9B8D2}" name="mu R^2"/>
    <tableColumn id="27" xr3:uid="{5167DAEB-D5B1-46A4-B295-8D0A927D30C9}" name="Date/Time of Analysis" dataDxfId="0"/>
    <tableColumn id="28" xr3:uid="{BFA66D7B-4567-4498-8128-112040C67F28}" name="Note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1D56-6CE1-4109-894A-E8D1CE14A4C6}">
  <dimension ref="A1:A19"/>
  <sheetViews>
    <sheetView tabSelected="1" workbookViewId="0">
      <selection activeCell="A7" sqref="A7"/>
    </sheetView>
  </sheetViews>
  <sheetFormatPr defaultRowHeight="14.5" x14ac:dyDescent="0.35"/>
  <cols>
    <col min="1" max="1" width="100.26953125" customWidth="1"/>
  </cols>
  <sheetData>
    <row r="1" spans="1:1" ht="21" x14ac:dyDescent="0.5">
      <c r="A1" s="17" t="s">
        <v>872</v>
      </c>
    </row>
    <row r="2" spans="1:1" x14ac:dyDescent="0.35">
      <c r="A2" s="1" t="s">
        <v>871</v>
      </c>
    </row>
    <row r="3" spans="1:1" x14ac:dyDescent="0.35">
      <c r="A3" s="1" t="s">
        <v>870</v>
      </c>
    </row>
    <row r="4" spans="1:1" ht="72.5" x14ac:dyDescent="0.35">
      <c r="A4" s="18" t="s">
        <v>869</v>
      </c>
    </row>
    <row r="6" spans="1:1" x14ac:dyDescent="0.35">
      <c r="A6" s="1" t="s">
        <v>880</v>
      </c>
    </row>
    <row r="7" spans="1:1" ht="409.5" customHeight="1" x14ac:dyDescent="0.35">
      <c r="A7" s="18" t="s">
        <v>882</v>
      </c>
    </row>
    <row r="9" spans="1:1" x14ac:dyDescent="0.35">
      <c r="A9" s="1" t="s">
        <v>881</v>
      </c>
    </row>
    <row r="10" spans="1:1" ht="43.5" x14ac:dyDescent="0.35">
      <c r="A10" s="16" t="s">
        <v>883</v>
      </c>
    </row>
    <row r="12" spans="1:1" x14ac:dyDescent="0.35">
      <c r="A12" s="1" t="s">
        <v>884</v>
      </c>
    </row>
    <row r="13" spans="1:1" ht="58" x14ac:dyDescent="0.35">
      <c r="A13" s="16" t="s">
        <v>885</v>
      </c>
    </row>
    <row r="15" spans="1:1" x14ac:dyDescent="0.35">
      <c r="A15" s="1" t="s">
        <v>887</v>
      </c>
    </row>
    <row r="16" spans="1:1" x14ac:dyDescent="0.35">
      <c r="A16" t="s">
        <v>886</v>
      </c>
    </row>
    <row r="18" spans="1:1" x14ac:dyDescent="0.35">
      <c r="A18" s="1" t="s">
        <v>888</v>
      </c>
    </row>
    <row r="19" spans="1:1" ht="174" x14ac:dyDescent="0.35">
      <c r="A19" s="16" t="s">
        <v>889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9CCA-656A-4BCB-A86B-754B7AD6F9C9}">
  <sheetPr>
    <tabColor rgb="FFFFFF00"/>
  </sheetPr>
  <dimension ref="A1:AGA475"/>
  <sheetViews>
    <sheetView zoomScale="95" workbookViewId="0">
      <selection activeCell="D95" sqref="D95"/>
    </sheetView>
  </sheetViews>
  <sheetFormatPr defaultRowHeight="14.5" x14ac:dyDescent="0.35"/>
  <cols>
    <col min="1" max="1" width="24.36328125" customWidth="1"/>
    <col min="2" max="2" width="18.1796875" customWidth="1"/>
    <col min="3" max="3" width="14.08984375" customWidth="1"/>
    <col min="9" max="9" width="3.08984375" style="3" customWidth="1"/>
    <col min="10" max="859" width="8.7265625" style="3"/>
  </cols>
  <sheetData>
    <row r="1" spans="1:9" ht="15" thickBot="1" x14ac:dyDescent="0.4">
      <c r="A1" s="8" t="s">
        <v>0</v>
      </c>
      <c r="B1" s="8" t="s">
        <v>18</v>
      </c>
      <c r="C1" s="8" t="s">
        <v>20</v>
      </c>
      <c r="D1" s="8" t="s">
        <v>8</v>
      </c>
      <c r="E1" s="1"/>
      <c r="F1" s="1"/>
      <c r="G1" s="1"/>
      <c r="H1" s="1"/>
      <c r="I1"/>
    </row>
    <row r="2" spans="1:9" x14ac:dyDescent="0.35">
      <c r="A2" s="7" t="s">
        <v>1</v>
      </c>
      <c r="B2" s="4">
        <v>6.4390000000000001</v>
      </c>
      <c r="C2" s="4">
        <v>6</v>
      </c>
      <c r="D2" s="7" t="s">
        <v>6</v>
      </c>
      <c r="G2" s="13" t="s">
        <v>309</v>
      </c>
      <c r="I2"/>
    </row>
    <row r="3" spans="1:9" x14ac:dyDescent="0.35">
      <c r="A3" s="7" t="s">
        <v>2</v>
      </c>
      <c r="B3" s="4">
        <v>1.216</v>
      </c>
      <c r="C3" s="4">
        <v>0.5</v>
      </c>
      <c r="D3" s="7" t="s">
        <v>6</v>
      </c>
      <c r="G3" s="14" t="s">
        <v>0</v>
      </c>
      <c r="I3"/>
    </row>
    <row r="4" spans="1:9" ht="15" thickBot="1" x14ac:dyDescent="0.4">
      <c r="A4" s="7" t="s">
        <v>3</v>
      </c>
      <c r="B4" s="4">
        <v>1.2889999999999999</v>
      </c>
      <c r="C4" s="4">
        <v>0.5</v>
      </c>
      <c r="D4" s="7" t="s">
        <v>6</v>
      </c>
      <c r="G4" s="15" t="s">
        <v>310</v>
      </c>
      <c r="I4"/>
    </row>
    <row r="5" spans="1:9" x14ac:dyDescent="0.35">
      <c r="A5" s="7" t="s">
        <v>4</v>
      </c>
      <c r="B5" s="4">
        <v>5.8840000000000003</v>
      </c>
      <c r="C5" s="5">
        <v>6.8</v>
      </c>
      <c r="D5" s="7" t="s">
        <v>6</v>
      </c>
      <c r="I5"/>
    </row>
    <row r="6" spans="1:9" x14ac:dyDescent="0.35">
      <c r="A6" s="7" t="s">
        <v>19</v>
      </c>
      <c r="B6" s="5">
        <v>1007</v>
      </c>
      <c r="C6" s="5">
        <v>500</v>
      </c>
      <c r="D6" s="7" t="s">
        <v>7</v>
      </c>
      <c r="I6"/>
    </row>
    <row r="7" spans="1:9" x14ac:dyDescent="0.35">
      <c r="I7"/>
    </row>
    <row r="8" spans="1:9" x14ac:dyDescent="0.35">
      <c r="A8" s="8" t="s">
        <v>9</v>
      </c>
      <c r="B8" s="8" t="s">
        <v>11</v>
      </c>
      <c r="C8" s="8" t="s">
        <v>20</v>
      </c>
      <c r="D8" s="8" t="s">
        <v>8</v>
      </c>
      <c r="E8" s="8" t="s">
        <v>14</v>
      </c>
      <c r="F8" s="8" t="s">
        <v>15</v>
      </c>
      <c r="G8" s="8" t="s">
        <v>16</v>
      </c>
      <c r="H8" s="8" t="s">
        <v>17</v>
      </c>
      <c r="I8"/>
    </row>
    <row r="9" spans="1:9" x14ac:dyDescent="0.35">
      <c r="A9" s="7" t="s">
        <v>10</v>
      </c>
      <c r="B9" s="11">
        <f>IF(B2+B3&lt;&gt;B4,B5/(B2+B3-B4),"All work cancelled")</f>
        <v>0.9242852654728243</v>
      </c>
      <c r="C9" s="11">
        <f>IF(C2+C3&lt;&gt;C4,C5/(C2+C3-C4),"All work cancelled")</f>
        <v>1.1333333333333333</v>
      </c>
      <c r="D9" s="7"/>
      <c r="E9" s="12">
        <v>0.76518100890207696</v>
      </c>
      <c r="F9" s="7">
        <v>18.545000000000002</v>
      </c>
      <c r="G9" s="7">
        <v>-33.25</v>
      </c>
      <c r="H9" s="7">
        <v>0.85699999999999998</v>
      </c>
      <c r="I9"/>
    </row>
    <row r="10" spans="1:9" x14ac:dyDescent="0.35">
      <c r="A10" s="7" t="s">
        <v>12</v>
      </c>
      <c r="B10" s="11">
        <f>IF(B2+B3&lt;&gt;0,B2/(B2+B3),"No work")</f>
        <v>0.84114957544088831</v>
      </c>
      <c r="C10" s="11">
        <f>IF(C2+C3&lt;&gt;0,C2/(C2+C3),"No work")</f>
        <v>0.92307692307692313</v>
      </c>
      <c r="D10" s="7"/>
      <c r="E10" s="12">
        <v>0.66977448071216661</v>
      </c>
      <c r="F10" s="7">
        <v>1</v>
      </c>
      <c r="G10" s="7">
        <v>0</v>
      </c>
      <c r="H10" s="7">
        <v>0.70299999999999996</v>
      </c>
      <c r="I10"/>
    </row>
    <row r="11" spans="1:9" x14ac:dyDescent="0.35">
      <c r="A11" s="7" t="s">
        <v>13</v>
      </c>
      <c r="B11" s="11">
        <f>IF(B2+B3&lt;&gt;0,(B2+B3-B4)/(B2+B3),"No work")</f>
        <v>0.8316133246244285</v>
      </c>
      <c r="C11" s="11">
        <f>IF(C2+C3&lt;&gt;0,(C2+C3-C4)/(C2+C3),"No work")</f>
        <v>0.92307692307692313</v>
      </c>
      <c r="D11" s="7"/>
      <c r="E11" s="12">
        <v>0.77640059347181023</v>
      </c>
      <c r="F11" s="7">
        <v>1</v>
      </c>
      <c r="G11" s="7">
        <v>-3.5409999999999999</v>
      </c>
      <c r="H11" s="7">
        <v>0.84399999999999997</v>
      </c>
      <c r="I11"/>
    </row>
    <row r="12" spans="1:9" x14ac:dyDescent="0.35">
      <c r="A12" s="7" t="s">
        <v>29</v>
      </c>
      <c r="B12" s="11">
        <f>IF(B5&lt;&gt;0,B6/B5,"No workers - work will never get done")</f>
        <v>171.14208021753907</v>
      </c>
      <c r="C12" s="11">
        <f>IF(C5&lt;&gt;0,C6/C5,"No workers - work will never get done")</f>
        <v>73.529411764705884</v>
      </c>
      <c r="D12" s="7" t="s">
        <v>30</v>
      </c>
      <c r="E12" s="7"/>
      <c r="F12" s="7"/>
      <c r="G12" s="7"/>
      <c r="H12" s="7"/>
      <c r="I12"/>
    </row>
    <row r="13" spans="1:9" x14ac:dyDescent="0.35">
      <c r="I13"/>
    </row>
    <row r="14" spans="1:9" x14ac:dyDescent="0.35">
      <c r="A14" s="8"/>
      <c r="B14" s="8" t="s">
        <v>18</v>
      </c>
      <c r="C14" s="8" t="s">
        <v>20</v>
      </c>
      <c r="D14" s="8" t="s">
        <v>8</v>
      </c>
      <c r="I14"/>
    </row>
    <row r="15" spans="1:9" x14ac:dyDescent="0.35">
      <c r="A15" s="6" t="s">
        <v>21</v>
      </c>
      <c r="B15" s="11" t="str">
        <f>IF(B9&gt;0,IF(B9&gt;1,B6/(B5-(B2+B3-B4)),"Never, Unsustainable system"),ROUND(B6/(B5-(B2+B3-B4)),2)&amp;". Caution - High cancellation rate")</f>
        <v>Never, Unsustainable system</v>
      </c>
      <c r="C15" s="11">
        <f>IF(C9&gt;0,IF(C9&gt;1,C6/(C5-(C2+C3-C4)),"Never, Unsustainable system"),ROUND(C6/(C5-(C2+C3-C4)),2)&amp;". Caution - High cancellation rate")</f>
        <v>625.00000000000011</v>
      </c>
      <c r="D15" s="7" t="s">
        <v>28</v>
      </c>
      <c r="I15"/>
    </row>
    <row r="16" spans="1:9" x14ac:dyDescent="0.35">
      <c r="I16"/>
    </row>
    <row r="17" s="3" customFormat="1" x14ac:dyDescent="0.35"/>
    <row r="18" s="3" customFormat="1" x14ac:dyDescent="0.35"/>
    <row r="19" s="3" customFormat="1" x14ac:dyDescent="0.35"/>
    <row r="20" s="3" customFormat="1" x14ac:dyDescent="0.35"/>
    <row r="21" s="3" customFormat="1" x14ac:dyDescent="0.35"/>
    <row r="22" s="3" customFormat="1" x14ac:dyDescent="0.35"/>
    <row r="23" s="3" customFormat="1" x14ac:dyDescent="0.35"/>
    <row r="24" s="3" customFormat="1" x14ac:dyDescent="0.35"/>
    <row r="25" s="3" customFormat="1" x14ac:dyDescent="0.35"/>
    <row r="26" s="3" customFormat="1" x14ac:dyDescent="0.35"/>
    <row r="27" s="3" customFormat="1" x14ac:dyDescent="0.35"/>
    <row r="28" s="3" customFormat="1" x14ac:dyDescent="0.35"/>
    <row r="29" s="3" customFormat="1" x14ac:dyDescent="0.35"/>
    <row r="30" s="3" customFormat="1" x14ac:dyDescent="0.35"/>
    <row r="31" s="3" customFormat="1" x14ac:dyDescent="0.35"/>
    <row r="32" s="3" customFormat="1" x14ac:dyDescent="0.35"/>
    <row r="33" s="3" customFormat="1" x14ac:dyDescent="0.35"/>
    <row r="34" s="3" customFormat="1" x14ac:dyDescent="0.35"/>
    <row r="35" s="3" customFormat="1" x14ac:dyDescent="0.35"/>
    <row r="36" s="3" customFormat="1" x14ac:dyDescent="0.35"/>
    <row r="37" s="3" customFormat="1" x14ac:dyDescent="0.35"/>
    <row r="38" s="3" customFormat="1" x14ac:dyDescent="0.35"/>
    <row r="39" s="3" customFormat="1" x14ac:dyDescent="0.35"/>
    <row r="40" s="3" customFormat="1" x14ac:dyDescent="0.35"/>
    <row r="41" s="3" customFormat="1" x14ac:dyDescent="0.35"/>
    <row r="42" s="3" customFormat="1" x14ac:dyDescent="0.35"/>
    <row r="43" s="3" customFormat="1" x14ac:dyDescent="0.35"/>
    <row r="44" s="3" customFormat="1" x14ac:dyDescent="0.35"/>
    <row r="45" s="3" customFormat="1" x14ac:dyDescent="0.35"/>
    <row r="46" s="3" customFormat="1" x14ac:dyDescent="0.35"/>
    <row r="47" s="3" customFormat="1" x14ac:dyDescent="0.35"/>
    <row r="48" s="3" customFormat="1" x14ac:dyDescent="0.35"/>
    <row r="49" s="3" customFormat="1" x14ac:dyDescent="0.35"/>
    <row r="50" s="3" customFormat="1" x14ac:dyDescent="0.35"/>
    <row r="51" s="3" customFormat="1" x14ac:dyDescent="0.35"/>
    <row r="52" s="3" customFormat="1" x14ac:dyDescent="0.35"/>
    <row r="53" s="3" customFormat="1" x14ac:dyDescent="0.35"/>
    <row r="54" s="3" customFormat="1" x14ac:dyDescent="0.35"/>
    <row r="55" s="3" customFormat="1" x14ac:dyDescent="0.35"/>
    <row r="56" s="3" customFormat="1" x14ac:dyDescent="0.35"/>
    <row r="57" s="3" customFormat="1" x14ac:dyDescent="0.35"/>
    <row r="58" s="3" customFormat="1" x14ac:dyDescent="0.35"/>
    <row r="59" s="3" customFormat="1" x14ac:dyDescent="0.35"/>
    <row r="60" s="3" customFormat="1" x14ac:dyDescent="0.35"/>
    <row r="61" s="3" customFormat="1" x14ac:dyDescent="0.35"/>
    <row r="62" s="3" customFormat="1" x14ac:dyDescent="0.35"/>
    <row r="63" s="3" customFormat="1" x14ac:dyDescent="0.35"/>
    <row r="64" s="3" customFormat="1" x14ac:dyDescent="0.35"/>
    <row r="65" s="3" customFormat="1" x14ac:dyDescent="0.35"/>
    <row r="66" s="3" customFormat="1" x14ac:dyDescent="0.35"/>
    <row r="67" s="3" customFormat="1" x14ac:dyDescent="0.35"/>
    <row r="68" s="3" customFormat="1" x14ac:dyDescent="0.35"/>
    <row r="69" s="3" customFormat="1" x14ac:dyDescent="0.35"/>
    <row r="70" s="3" customFormat="1" x14ac:dyDescent="0.35"/>
    <row r="71" s="3" customFormat="1" x14ac:dyDescent="0.35"/>
    <row r="72" s="3" customFormat="1" x14ac:dyDescent="0.35"/>
    <row r="73" s="3" customFormat="1" x14ac:dyDescent="0.35"/>
    <row r="74" s="3" customFormat="1" x14ac:dyDescent="0.35"/>
    <row r="75" s="3" customFormat="1" x14ac:dyDescent="0.35"/>
    <row r="76" s="3" customFormat="1" x14ac:dyDescent="0.35"/>
    <row r="77" s="3" customFormat="1" x14ac:dyDescent="0.35"/>
    <row r="78" s="3" customFormat="1" x14ac:dyDescent="0.35"/>
    <row r="79" s="3" customFormat="1" x14ac:dyDescent="0.35"/>
    <row r="80" s="3" customFormat="1" x14ac:dyDescent="0.35"/>
    <row r="81" s="3" customFormat="1" x14ac:dyDescent="0.35"/>
    <row r="82" s="3" customFormat="1" x14ac:dyDescent="0.35"/>
    <row r="83" s="3" customFormat="1" x14ac:dyDescent="0.35"/>
    <row r="84" s="3" customFormat="1" x14ac:dyDescent="0.35"/>
    <row r="85" s="3" customFormat="1" x14ac:dyDescent="0.35"/>
    <row r="86" s="3" customFormat="1" x14ac:dyDescent="0.35"/>
    <row r="87" s="3" customFormat="1" x14ac:dyDescent="0.35"/>
    <row r="88" s="3" customFormat="1" x14ac:dyDescent="0.35"/>
    <row r="89" s="3" customFormat="1" x14ac:dyDescent="0.35"/>
    <row r="90" s="3" customFormat="1" x14ac:dyDescent="0.35"/>
    <row r="91" s="3" customFormat="1" x14ac:dyDescent="0.35"/>
    <row r="92" s="3" customFormat="1" x14ac:dyDescent="0.35"/>
    <row r="93" s="3" customFormat="1" x14ac:dyDescent="0.35"/>
    <row r="94" s="3" customFormat="1" x14ac:dyDescent="0.35"/>
    <row r="95" s="3" customFormat="1" x14ac:dyDescent="0.35"/>
    <row r="96" s="3" customFormat="1" x14ac:dyDescent="0.35"/>
    <row r="97" s="3" customFormat="1" x14ac:dyDescent="0.35"/>
    <row r="98" s="3" customFormat="1" x14ac:dyDescent="0.35"/>
    <row r="99" s="3" customFormat="1" x14ac:dyDescent="0.35"/>
    <row r="100" s="3" customFormat="1" x14ac:dyDescent="0.35"/>
    <row r="101" s="3" customFormat="1" x14ac:dyDescent="0.35"/>
    <row r="102" s="3" customFormat="1" x14ac:dyDescent="0.35"/>
    <row r="103" s="3" customFormat="1" x14ac:dyDescent="0.35"/>
    <row r="104" s="3" customFormat="1" x14ac:dyDescent="0.35"/>
    <row r="105" s="3" customFormat="1" x14ac:dyDescent="0.35"/>
    <row r="106" s="3" customFormat="1" x14ac:dyDescent="0.35"/>
    <row r="107" s="3" customFormat="1" x14ac:dyDescent="0.35"/>
    <row r="108" s="3" customFormat="1" x14ac:dyDescent="0.35"/>
    <row r="109" s="3" customFormat="1" x14ac:dyDescent="0.35"/>
    <row r="110" s="3" customFormat="1" x14ac:dyDescent="0.35"/>
    <row r="111" s="3" customFormat="1" x14ac:dyDescent="0.35"/>
    <row r="112" s="3" customFormat="1" x14ac:dyDescent="0.35"/>
    <row r="113" s="3" customFormat="1" x14ac:dyDescent="0.35"/>
    <row r="114" s="3" customFormat="1" x14ac:dyDescent="0.35"/>
    <row r="115" s="3" customFormat="1" x14ac:dyDescent="0.35"/>
    <row r="116" s="3" customFormat="1" x14ac:dyDescent="0.35"/>
    <row r="117" s="3" customFormat="1" x14ac:dyDescent="0.35"/>
    <row r="118" s="3" customFormat="1" x14ac:dyDescent="0.35"/>
    <row r="119" s="3" customFormat="1" x14ac:dyDescent="0.35"/>
    <row r="120" s="3" customFormat="1" x14ac:dyDescent="0.35"/>
    <row r="121" s="3" customFormat="1" x14ac:dyDescent="0.35"/>
    <row r="122" s="3" customFormat="1" x14ac:dyDescent="0.35"/>
    <row r="123" s="3" customFormat="1" x14ac:dyDescent="0.35"/>
    <row r="124" s="3" customFormat="1" x14ac:dyDescent="0.35"/>
    <row r="125" s="3" customFormat="1" x14ac:dyDescent="0.35"/>
    <row r="126" s="3" customFormat="1" x14ac:dyDescent="0.35"/>
    <row r="127" s="3" customFormat="1" x14ac:dyDescent="0.35"/>
    <row r="128" s="3" customFormat="1" x14ac:dyDescent="0.35"/>
    <row r="129" s="3" customFormat="1" x14ac:dyDescent="0.35"/>
    <row r="130" s="3" customFormat="1" x14ac:dyDescent="0.35"/>
    <row r="131" s="3" customFormat="1" x14ac:dyDescent="0.35"/>
    <row r="132" s="3" customFormat="1" x14ac:dyDescent="0.35"/>
    <row r="133" s="3" customFormat="1" x14ac:dyDescent="0.35"/>
    <row r="134" s="3" customFormat="1" x14ac:dyDescent="0.35"/>
    <row r="135" s="3" customFormat="1" x14ac:dyDescent="0.35"/>
    <row r="136" s="3" customFormat="1" x14ac:dyDescent="0.35"/>
    <row r="137" s="3" customFormat="1" x14ac:dyDescent="0.35"/>
    <row r="138" s="3" customFormat="1" x14ac:dyDescent="0.35"/>
    <row r="139" s="3" customFormat="1" x14ac:dyDescent="0.35"/>
    <row r="140" s="3" customFormat="1" x14ac:dyDescent="0.35"/>
    <row r="141" s="3" customFormat="1" x14ac:dyDescent="0.35"/>
    <row r="142" s="3" customFormat="1" x14ac:dyDescent="0.35"/>
    <row r="143" s="3" customFormat="1" x14ac:dyDescent="0.35"/>
    <row r="144" s="3" customFormat="1" x14ac:dyDescent="0.35"/>
    <row r="145" s="3" customFormat="1" x14ac:dyDescent="0.35"/>
    <row r="146" s="3" customFormat="1" x14ac:dyDescent="0.35"/>
    <row r="147" s="3" customFormat="1" x14ac:dyDescent="0.35"/>
    <row r="148" s="3" customFormat="1" x14ac:dyDescent="0.35"/>
    <row r="149" s="3" customFormat="1" x14ac:dyDescent="0.35"/>
    <row r="150" s="3" customFormat="1" x14ac:dyDescent="0.35"/>
    <row r="151" s="3" customFormat="1" x14ac:dyDescent="0.35"/>
    <row r="152" s="3" customFormat="1" x14ac:dyDescent="0.35"/>
    <row r="153" s="3" customFormat="1" x14ac:dyDescent="0.35"/>
    <row r="154" s="3" customFormat="1" x14ac:dyDescent="0.35"/>
    <row r="155" s="3" customFormat="1" x14ac:dyDescent="0.35"/>
    <row r="156" s="3" customFormat="1" x14ac:dyDescent="0.35"/>
    <row r="157" s="3" customFormat="1" x14ac:dyDescent="0.35"/>
    <row r="158" s="3" customFormat="1" x14ac:dyDescent="0.35"/>
    <row r="159" s="3" customFormat="1" x14ac:dyDescent="0.35"/>
    <row r="160" s="3" customFormat="1" x14ac:dyDescent="0.35"/>
    <row r="161" s="3" customFormat="1" x14ac:dyDescent="0.35"/>
    <row r="162" s="3" customFormat="1" x14ac:dyDescent="0.35"/>
    <row r="163" s="3" customFormat="1" x14ac:dyDescent="0.35"/>
    <row r="164" s="3" customFormat="1" x14ac:dyDescent="0.35"/>
    <row r="165" s="3" customFormat="1" x14ac:dyDescent="0.35"/>
    <row r="166" s="3" customFormat="1" x14ac:dyDescent="0.35"/>
    <row r="167" s="3" customFormat="1" x14ac:dyDescent="0.35"/>
    <row r="168" s="3" customFormat="1" x14ac:dyDescent="0.35"/>
    <row r="169" s="3" customFormat="1" x14ac:dyDescent="0.35"/>
    <row r="170" s="3" customFormat="1" x14ac:dyDescent="0.35"/>
    <row r="171" s="3" customFormat="1" x14ac:dyDescent="0.35"/>
    <row r="172" s="3" customFormat="1" x14ac:dyDescent="0.35"/>
    <row r="173" s="3" customFormat="1" x14ac:dyDescent="0.35"/>
    <row r="174" s="3" customFormat="1" x14ac:dyDescent="0.35"/>
    <row r="175" s="3" customFormat="1" x14ac:dyDescent="0.35"/>
    <row r="176" s="3" customFormat="1" x14ac:dyDescent="0.35"/>
    <row r="177" s="3" customFormat="1" x14ac:dyDescent="0.35"/>
    <row r="178" s="3" customFormat="1" x14ac:dyDescent="0.35"/>
    <row r="179" s="3" customFormat="1" x14ac:dyDescent="0.35"/>
    <row r="180" s="3" customFormat="1" x14ac:dyDescent="0.35"/>
    <row r="181" s="3" customFormat="1" x14ac:dyDescent="0.35"/>
    <row r="182" s="3" customFormat="1" x14ac:dyDescent="0.35"/>
    <row r="183" s="3" customFormat="1" x14ac:dyDescent="0.35"/>
    <row r="184" s="3" customFormat="1" x14ac:dyDescent="0.35"/>
    <row r="185" s="3" customFormat="1" x14ac:dyDescent="0.35"/>
    <row r="186" s="3" customFormat="1" x14ac:dyDescent="0.35"/>
    <row r="187" s="3" customFormat="1" x14ac:dyDescent="0.35"/>
    <row r="188" s="3" customFormat="1" x14ac:dyDescent="0.35"/>
    <row r="189" s="3" customFormat="1" x14ac:dyDescent="0.35"/>
    <row r="190" s="3" customFormat="1" x14ac:dyDescent="0.35"/>
    <row r="191" s="3" customFormat="1" x14ac:dyDescent="0.35"/>
    <row r="192" s="3" customFormat="1" x14ac:dyDescent="0.35"/>
    <row r="193" s="3" customFormat="1" x14ac:dyDescent="0.35"/>
    <row r="194" s="3" customFormat="1" x14ac:dyDescent="0.35"/>
    <row r="195" s="3" customFormat="1" x14ac:dyDescent="0.35"/>
    <row r="196" s="3" customFormat="1" x14ac:dyDescent="0.35"/>
    <row r="197" s="3" customFormat="1" x14ac:dyDescent="0.35"/>
    <row r="198" s="3" customFormat="1" x14ac:dyDescent="0.35"/>
    <row r="199" s="3" customFormat="1" x14ac:dyDescent="0.35"/>
    <row r="200" s="3" customFormat="1" x14ac:dyDescent="0.35"/>
    <row r="201" s="3" customFormat="1" x14ac:dyDescent="0.35"/>
    <row r="202" s="3" customFormat="1" x14ac:dyDescent="0.35"/>
    <row r="203" s="3" customFormat="1" x14ac:dyDescent="0.35"/>
    <row r="204" s="3" customFormat="1" x14ac:dyDescent="0.35"/>
    <row r="205" s="3" customFormat="1" x14ac:dyDescent="0.35"/>
    <row r="206" s="3" customFormat="1" x14ac:dyDescent="0.35"/>
    <row r="207" s="3" customFormat="1" x14ac:dyDescent="0.35"/>
    <row r="208" s="3" customFormat="1" x14ac:dyDescent="0.35"/>
    <row r="209" s="3" customFormat="1" x14ac:dyDescent="0.35"/>
    <row r="210" s="3" customFormat="1" x14ac:dyDescent="0.35"/>
    <row r="211" s="3" customFormat="1" x14ac:dyDescent="0.35"/>
    <row r="212" s="3" customFormat="1" x14ac:dyDescent="0.35"/>
    <row r="213" s="3" customFormat="1" x14ac:dyDescent="0.35"/>
    <row r="214" s="3" customFormat="1" x14ac:dyDescent="0.35"/>
    <row r="215" s="3" customFormat="1" x14ac:dyDescent="0.35"/>
    <row r="216" s="3" customFormat="1" x14ac:dyDescent="0.35"/>
    <row r="217" s="3" customFormat="1" x14ac:dyDescent="0.35"/>
    <row r="218" s="3" customFormat="1" x14ac:dyDescent="0.35"/>
    <row r="219" s="3" customFormat="1" x14ac:dyDescent="0.35"/>
    <row r="220" s="3" customFormat="1" x14ac:dyDescent="0.35"/>
    <row r="221" s="3" customFormat="1" x14ac:dyDescent="0.35"/>
    <row r="222" s="3" customFormat="1" x14ac:dyDescent="0.35"/>
    <row r="223" s="3" customFormat="1" x14ac:dyDescent="0.35"/>
    <row r="224" s="3" customFormat="1" x14ac:dyDescent="0.35"/>
    <row r="225" s="3" customFormat="1" x14ac:dyDescent="0.35"/>
    <row r="226" s="3" customFormat="1" x14ac:dyDescent="0.35"/>
    <row r="227" s="3" customFormat="1" x14ac:dyDescent="0.35"/>
    <row r="228" s="3" customFormat="1" x14ac:dyDescent="0.35"/>
    <row r="229" s="3" customFormat="1" x14ac:dyDescent="0.35"/>
    <row r="230" s="3" customFormat="1" x14ac:dyDescent="0.35"/>
    <row r="231" s="3" customFormat="1" x14ac:dyDescent="0.35"/>
    <row r="232" s="3" customFormat="1" x14ac:dyDescent="0.35"/>
    <row r="233" s="3" customFormat="1" x14ac:dyDescent="0.35"/>
    <row r="234" s="3" customFormat="1" x14ac:dyDescent="0.35"/>
    <row r="235" s="3" customFormat="1" x14ac:dyDescent="0.35"/>
    <row r="236" s="3" customFormat="1" x14ac:dyDescent="0.35"/>
    <row r="237" s="3" customFormat="1" x14ac:dyDescent="0.35"/>
    <row r="238" s="3" customFormat="1" x14ac:dyDescent="0.35"/>
    <row r="239" s="3" customFormat="1" x14ac:dyDescent="0.35"/>
    <row r="240" s="3" customFormat="1" x14ac:dyDescent="0.35"/>
    <row r="241" s="3" customFormat="1" x14ac:dyDescent="0.35"/>
    <row r="242" s="3" customFormat="1" x14ac:dyDescent="0.35"/>
    <row r="243" s="3" customFormat="1" x14ac:dyDescent="0.35"/>
    <row r="244" s="3" customFormat="1" x14ac:dyDescent="0.35"/>
    <row r="245" s="3" customFormat="1" x14ac:dyDescent="0.35"/>
    <row r="246" s="3" customFormat="1" x14ac:dyDescent="0.35"/>
    <row r="247" s="3" customFormat="1" x14ac:dyDescent="0.35"/>
    <row r="248" s="3" customFormat="1" x14ac:dyDescent="0.35"/>
    <row r="249" s="3" customFormat="1" x14ac:dyDescent="0.35"/>
    <row r="250" s="3" customFormat="1" x14ac:dyDescent="0.35"/>
    <row r="251" s="3" customFormat="1" x14ac:dyDescent="0.35"/>
    <row r="252" s="3" customFormat="1" x14ac:dyDescent="0.35"/>
    <row r="253" s="3" customFormat="1" x14ac:dyDescent="0.35"/>
    <row r="254" s="3" customFormat="1" x14ac:dyDescent="0.35"/>
    <row r="255" s="3" customFormat="1" x14ac:dyDescent="0.35"/>
    <row r="256" s="3" customFormat="1" x14ac:dyDescent="0.35"/>
    <row r="257" s="3" customFormat="1" x14ac:dyDescent="0.35"/>
    <row r="258" s="3" customFormat="1" x14ac:dyDescent="0.35"/>
    <row r="259" s="3" customFormat="1" x14ac:dyDescent="0.35"/>
    <row r="260" s="3" customFormat="1" x14ac:dyDescent="0.35"/>
    <row r="261" s="3" customFormat="1" x14ac:dyDescent="0.35"/>
    <row r="262" s="3" customFormat="1" x14ac:dyDescent="0.35"/>
    <row r="263" s="3" customFormat="1" x14ac:dyDescent="0.35"/>
    <row r="264" s="3" customFormat="1" x14ac:dyDescent="0.35"/>
    <row r="265" s="3" customFormat="1" x14ac:dyDescent="0.35"/>
    <row r="266" s="3" customFormat="1" x14ac:dyDescent="0.35"/>
    <row r="267" s="3" customFormat="1" x14ac:dyDescent="0.35"/>
    <row r="268" s="3" customFormat="1" x14ac:dyDescent="0.35"/>
    <row r="269" s="3" customFormat="1" x14ac:dyDescent="0.35"/>
    <row r="270" s="3" customFormat="1" x14ac:dyDescent="0.35"/>
    <row r="271" s="3" customFormat="1" x14ac:dyDescent="0.35"/>
    <row r="272" s="3" customFormat="1" x14ac:dyDescent="0.35"/>
    <row r="273" s="3" customFormat="1" x14ac:dyDescent="0.35"/>
    <row r="274" s="3" customFormat="1" x14ac:dyDescent="0.35"/>
    <row r="275" s="3" customFormat="1" x14ac:dyDescent="0.35"/>
    <row r="276" s="3" customFormat="1" x14ac:dyDescent="0.35"/>
    <row r="277" s="3" customFormat="1" x14ac:dyDescent="0.35"/>
    <row r="278" s="3" customFormat="1" x14ac:dyDescent="0.35"/>
    <row r="279" s="3" customFormat="1" x14ac:dyDescent="0.35"/>
    <row r="280" s="3" customFormat="1" x14ac:dyDescent="0.35"/>
    <row r="281" s="3" customFormat="1" x14ac:dyDescent="0.35"/>
    <row r="282" s="3" customFormat="1" x14ac:dyDescent="0.35"/>
    <row r="283" s="3" customFormat="1" x14ac:dyDescent="0.35"/>
    <row r="284" s="3" customFormat="1" x14ac:dyDescent="0.35"/>
    <row r="285" s="3" customFormat="1" x14ac:dyDescent="0.35"/>
    <row r="286" s="3" customFormat="1" x14ac:dyDescent="0.35"/>
    <row r="287" s="3" customFormat="1" x14ac:dyDescent="0.35"/>
    <row r="288" s="3" customFormat="1" x14ac:dyDescent="0.35"/>
    <row r="289" s="3" customFormat="1" x14ac:dyDescent="0.35"/>
    <row r="290" s="3" customFormat="1" x14ac:dyDescent="0.35"/>
    <row r="291" s="3" customFormat="1" x14ac:dyDescent="0.35"/>
    <row r="292" s="3" customFormat="1" x14ac:dyDescent="0.35"/>
    <row r="293" s="3" customFormat="1" x14ac:dyDescent="0.35"/>
    <row r="294" s="3" customFormat="1" x14ac:dyDescent="0.35"/>
    <row r="295" s="3" customFormat="1" x14ac:dyDescent="0.35"/>
    <row r="296" s="3" customFormat="1" x14ac:dyDescent="0.35"/>
    <row r="297" s="3" customFormat="1" x14ac:dyDescent="0.35"/>
    <row r="298" s="3" customFormat="1" x14ac:dyDescent="0.35"/>
    <row r="299" s="3" customFormat="1" x14ac:dyDescent="0.35"/>
    <row r="300" s="3" customFormat="1" x14ac:dyDescent="0.35"/>
    <row r="301" s="3" customFormat="1" x14ac:dyDescent="0.35"/>
    <row r="302" s="3" customFormat="1" x14ac:dyDescent="0.35"/>
    <row r="303" s="3" customFormat="1" x14ac:dyDescent="0.35"/>
    <row r="304" s="3" customFormat="1" x14ac:dyDescent="0.35"/>
    <row r="305" s="3" customFormat="1" x14ac:dyDescent="0.35"/>
    <row r="306" s="3" customFormat="1" x14ac:dyDescent="0.35"/>
    <row r="307" s="3" customFormat="1" x14ac:dyDescent="0.35"/>
    <row r="308" s="3" customFormat="1" x14ac:dyDescent="0.35"/>
    <row r="309" s="3" customFormat="1" x14ac:dyDescent="0.35"/>
    <row r="310" s="3" customFormat="1" x14ac:dyDescent="0.35"/>
    <row r="311" s="3" customFormat="1" x14ac:dyDescent="0.35"/>
    <row r="312" s="3" customFormat="1" x14ac:dyDescent="0.35"/>
    <row r="313" s="3" customFormat="1" x14ac:dyDescent="0.35"/>
    <row r="314" s="3" customFormat="1" x14ac:dyDescent="0.35"/>
    <row r="315" s="3" customFormat="1" x14ac:dyDescent="0.35"/>
    <row r="316" s="3" customFormat="1" x14ac:dyDescent="0.35"/>
    <row r="317" s="3" customFormat="1" x14ac:dyDescent="0.35"/>
    <row r="318" s="3" customFormat="1" x14ac:dyDescent="0.35"/>
    <row r="319" s="3" customFormat="1" x14ac:dyDescent="0.35"/>
    <row r="320" s="3" customFormat="1" x14ac:dyDescent="0.35"/>
    <row r="321" s="3" customFormat="1" x14ac:dyDescent="0.35"/>
    <row r="322" s="3" customFormat="1" x14ac:dyDescent="0.35"/>
    <row r="323" s="3" customFormat="1" x14ac:dyDescent="0.35"/>
    <row r="324" s="3" customFormat="1" x14ac:dyDescent="0.35"/>
    <row r="325" s="3" customFormat="1" x14ac:dyDescent="0.35"/>
    <row r="326" s="3" customFormat="1" x14ac:dyDescent="0.35"/>
    <row r="327" s="3" customFormat="1" x14ac:dyDescent="0.35"/>
    <row r="328" s="3" customFormat="1" x14ac:dyDescent="0.35"/>
    <row r="329" s="3" customFormat="1" x14ac:dyDescent="0.35"/>
    <row r="330" s="3" customFormat="1" x14ac:dyDescent="0.35"/>
    <row r="331" s="3" customFormat="1" x14ac:dyDescent="0.35"/>
    <row r="332" s="3" customFormat="1" x14ac:dyDescent="0.35"/>
    <row r="333" s="3" customFormat="1" x14ac:dyDescent="0.35"/>
    <row r="334" s="3" customFormat="1" x14ac:dyDescent="0.35"/>
    <row r="335" s="3" customFormat="1" x14ac:dyDescent="0.35"/>
    <row r="336" s="3" customFormat="1" x14ac:dyDescent="0.35"/>
    <row r="337" s="3" customFormat="1" x14ac:dyDescent="0.35"/>
    <row r="338" s="3" customFormat="1" x14ac:dyDescent="0.35"/>
    <row r="339" s="3" customFormat="1" x14ac:dyDescent="0.35"/>
    <row r="340" s="3" customFormat="1" x14ac:dyDescent="0.35"/>
    <row r="341" s="3" customFormat="1" x14ac:dyDescent="0.35"/>
    <row r="342" s="3" customFormat="1" x14ac:dyDescent="0.35"/>
    <row r="343" s="3" customFormat="1" x14ac:dyDescent="0.35"/>
    <row r="344" s="3" customFormat="1" x14ac:dyDescent="0.35"/>
    <row r="345" s="3" customFormat="1" x14ac:dyDescent="0.35"/>
    <row r="346" s="3" customFormat="1" x14ac:dyDescent="0.35"/>
    <row r="347" s="3" customFormat="1" x14ac:dyDescent="0.35"/>
    <row r="348" s="3" customFormat="1" x14ac:dyDescent="0.35"/>
    <row r="349" s="3" customFormat="1" x14ac:dyDescent="0.35"/>
    <row r="350" s="3" customFormat="1" x14ac:dyDescent="0.35"/>
    <row r="351" s="3" customFormat="1" x14ac:dyDescent="0.35"/>
    <row r="352" s="3" customFormat="1" x14ac:dyDescent="0.35"/>
    <row r="353" s="3" customFormat="1" x14ac:dyDescent="0.35"/>
    <row r="354" s="3" customFormat="1" x14ac:dyDescent="0.35"/>
    <row r="355" s="3" customFormat="1" x14ac:dyDescent="0.35"/>
    <row r="356" s="3" customFormat="1" x14ac:dyDescent="0.35"/>
    <row r="357" s="3" customFormat="1" x14ac:dyDescent="0.35"/>
    <row r="358" s="3" customFormat="1" x14ac:dyDescent="0.35"/>
    <row r="359" s="3" customFormat="1" x14ac:dyDescent="0.35"/>
    <row r="360" s="3" customFormat="1" x14ac:dyDescent="0.35"/>
    <row r="361" s="3" customFormat="1" x14ac:dyDescent="0.35"/>
    <row r="362" s="3" customFormat="1" x14ac:dyDescent="0.35"/>
    <row r="363" s="3" customFormat="1" x14ac:dyDescent="0.35"/>
    <row r="364" s="3" customFormat="1" x14ac:dyDescent="0.35"/>
    <row r="365" s="3" customFormat="1" x14ac:dyDescent="0.35"/>
    <row r="366" s="3" customFormat="1" x14ac:dyDescent="0.35"/>
    <row r="367" s="3" customFormat="1" x14ac:dyDescent="0.35"/>
    <row r="368" s="3" customFormat="1" x14ac:dyDescent="0.35"/>
    <row r="369" s="3" customFormat="1" x14ac:dyDescent="0.35"/>
    <row r="370" s="3" customFormat="1" x14ac:dyDescent="0.35"/>
    <row r="371" s="3" customFormat="1" x14ac:dyDescent="0.35"/>
    <row r="372" s="3" customFormat="1" x14ac:dyDescent="0.35"/>
    <row r="373" s="3" customFormat="1" x14ac:dyDescent="0.35"/>
    <row r="374" s="3" customFormat="1" x14ac:dyDescent="0.35"/>
    <row r="375" s="3" customFormat="1" x14ac:dyDescent="0.35"/>
    <row r="376" s="3" customFormat="1" x14ac:dyDescent="0.35"/>
    <row r="377" s="3" customFormat="1" x14ac:dyDescent="0.35"/>
    <row r="378" s="3" customFormat="1" x14ac:dyDescent="0.35"/>
    <row r="379" s="3" customFormat="1" x14ac:dyDescent="0.35"/>
    <row r="380" s="3" customFormat="1" x14ac:dyDescent="0.35"/>
    <row r="381" s="3" customFormat="1" x14ac:dyDescent="0.35"/>
    <row r="382" s="3" customFormat="1" x14ac:dyDescent="0.35"/>
    <row r="383" s="3" customFormat="1" x14ac:dyDescent="0.35"/>
    <row r="384" s="3" customFormat="1" x14ac:dyDescent="0.35"/>
    <row r="385" s="3" customFormat="1" x14ac:dyDescent="0.35"/>
    <row r="386" s="3" customFormat="1" x14ac:dyDescent="0.35"/>
    <row r="387" s="3" customFormat="1" x14ac:dyDescent="0.35"/>
    <row r="388" s="3" customFormat="1" x14ac:dyDescent="0.35"/>
    <row r="389" s="3" customFormat="1" x14ac:dyDescent="0.35"/>
    <row r="390" s="3" customFormat="1" x14ac:dyDescent="0.35"/>
    <row r="391" s="3" customFormat="1" x14ac:dyDescent="0.35"/>
    <row r="392" s="3" customFormat="1" x14ac:dyDescent="0.35"/>
    <row r="393" s="3" customFormat="1" x14ac:dyDescent="0.35"/>
    <row r="394" s="3" customFormat="1" x14ac:dyDescent="0.35"/>
    <row r="395" s="3" customFormat="1" x14ac:dyDescent="0.35"/>
    <row r="396" s="3" customFormat="1" x14ac:dyDescent="0.35"/>
    <row r="397" s="3" customFormat="1" x14ac:dyDescent="0.35"/>
    <row r="398" s="3" customFormat="1" x14ac:dyDescent="0.35"/>
    <row r="399" s="3" customFormat="1" x14ac:dyDescent="0.35"/>
    <row r="400" s="3" customFormat="1" x14ac:dyDescent="0.35"/>
    <row r="401" s="3" customFormat="1" x14ac:dyDescent="0.35"/>
    <row r="402" s="3" customFormat="1" x14ac:dyDescent="0.35"/>
    <row r="403" s="3" customFormat="1" x14ac:dyDescent="0.35"/>
    <row r="404" s="3" customFormat="1" x14ac:dyDescent="0.35"/>
    <row r="405" s="3" customFormat="1" x14ac:dyDescent="0.35"/>
    <row r="406" s="3" customFormat="1" x14ac:dyDescent="0.35"/>
    <row r="407" s="3" customFormat="1" x14ac:dyDescent="0.35"/>
    <row r="408" s="3" customFormat="1" x14ac:dyDescent="0.35"/>
    <row r="409" s="3" customFormat="1" x14ac:dyDescent="0.35"/>
    <row r="410" s="3" customFormat="1" x14ac:dyDescent="0.35"/>
    <row r="411" s="3" customFormat="1" x14ac:dyDescent="0.35"/>
    <row r="412" s="3" customFormat="1" x14ac:dyDescent="0.35"/>
    <row r="413" s="3" customFormat="1" x14ac:dyDescent="0.35"/>
    <row r="414" s="3" customFormat="1" x14ac:dyDescent="0.35"/>
    <row r="415" s="3" customFormat="1" x14ac:dyDescent="0.35"/>
    <row r="416" s="3" customFormat="1" x14ac:dyDescent="0.35"/>
    <row r="417" s="3" customFormat="1" x14ac:dyDescent="0.35"/>
    <row r="418" s="3" customFormat="1" x14ac:dyDescent="0.35"/>
    <row r="419" s="3" customFormat="1" x14ac:dyDescent="0.35"/>
    <row r="420" s="3" customFormat="1" x14ac:dyDescent="0.35"/>
    <row r="421" s="3" customFormat="1" x14ac:dyDescent="0.35"/>
    <row r="422" s="3" customFormat="1" x14ac:dyDescent="0.35"/>
    <row r="423" s="3" customFormat="1" x14ac:dyDescent="0.35"/>
    <row r="424" s="3" customFormat="1" x14ac:dyDescent="0.35"/>
    <row r="425" s="3" customFormat="1" x14ac:dyDescent="0.35"/>
    <row r="426" s="3" customFormat="1" x14ac:dyDescent="0.35"/>
    <row r="427" s="3" customFormat="1" x14ac:dyDescent="0.35"/>
    <row r="428" s="3" customFormat="1" x14ac:dyDescent="0.35"/>
    <row r="429" s="3" customFormat="1" x14ac:dyDescent="0.35"/>
    <row r="430" s="3" customFormat="1" x14ac:dyDescent="0.35"/>
    <row r="431" s="3" customFormat="1" x14ac:dyDescent="0.35"/>
    <row r="432" s="3" customFormat="1" x14ac:dyDescent="0.35"/>
    <row r="433" s="3" customFormat="1" x14ac:dyDescent="0.35"/>
    <row r="434" s="3" customFormat="1" x14ac:dyDescent="0.35"/>
    <row r="435" s="3" customFormat="1" x14ac:dyDescent="0.35"/>
    <row r="436" s="3" customFormat="1" x14ac:dyDescent="0.35"/>
    <row r="437" s="3" customFormat="1" x14ac:dyDescent="0.35"/>
    <row r="438" s="3" customFormat="1" x14ac:dyDescent="0.35"/>
    <row r="439" s="3" customFormat="1" x14ac:dyDescent="0.35"/>
    <row r="440" s="3" customFormat="1" x14ac:dyDescent="0.35"/>
    <row r="441" s="3" customFormat="1" x14ac:dyDescent="0.35"/>
    <row r="442" s="3" customFormat="1" x14ac:dyDescent="0.35"/>
    <row r="443" s="3" customFormat="1" x14ac:dyDescent="0.35"/>
    <row r="444" s="3" customFormat="1" x14ac:dyDescent="0.35"/>
    <row r="445" s="3" customFormat="1" x14ac:dyDescent="0.35"/>
    <row r="446" s="3" customFormat="1" x14ac:dyDescent="0.35"/>
    <row r="447" s="3" customFormat="1" x14ac:dyDescent="0.35"/>
    <row r="448" s="3" customFormat="1" x14ac:dyDescent="0.35"/>
    <row r="449" s="3" customFormat="1" x14ac:dyDescent="0.35"/>
    <row r="450" s="3" customFormat="1" x14ac:dyDescent="0.35"/>
    <row r="451" s="3" customFormat="1" x14ac:dyDescent="0.35"/>
    <row r="452" s="3" customFormat="1" x14ac:dyDescent="0.35"/>
    <row r="453" s="3" customFormat="1" x14ac:dyDescent="0.35"/>
    <row r="454" s="3" customFormat="1" x14ac:dyDescent="0.35"/>
    <row r="455" s="3" customFormat="1" x14ac:dyDescent="0.35"/>
    <row r="456" s="3" customFormat="1" x14ac:dyDescent="0.35"/>
    <row r="457" s="3" customFormat="1" x14ac:dyDescent="0.35"/>
    <row r="458" s="3" customFormat="1" x14ac:dyDescent="0.35"/>
    <row r="459" s="3" customFormat="1" x14ac:dyDescent="0.35"/>
    <row r="460" s="3" customFormat="1" x14ac:dyDescent="0.35"/>
    <row r="461" s="3" customFormat="1" x14ac:dyDescent="0.35"/>
    <row r="462" s="3" customFormat="1" x14ac:dyDescent="0.35"/>
    <row r="463" s="3" customFormat="1" x14ac:dyDescent="0.35"/>
    <row r="464" s="3" customFormat="1" x14ac:dyDescent="0.35"/>
    <row r="465" s="3" customFormat="1" x14ac:dyDescent="0.35"/>
    <row r="466" s="3" customFormat="1" x14ac:dyDescent="0.35"/>
    <row r="467" s="3" customFormat="1" x14ac:dyDescent="0.35"/>
    <row r="468" s="3" customFormat="1" x14ac:dyDescent="0.35"/>
    <row r="469" s="3" customFormat="1" x14ac:dyDescent="0.35"/>
    <row r="470" s="3" customFormat="1" x14ac:dyDescent="0.35"/>
    <row r="471" s="3" customFormat="1" x14ac:dyDescent="0.35"/>
    <row r="472" s="3" customFormat="1" x14ac:dyDescent="0.35"/>
    <row r="473" s="3" customFormat="1" x14ac:dyDescent="0.35"/>
    <row r="474" s="3" customFormat="1" x14ac:dyDescent="0.35"/>
    <row r="475" s="3" customFormat="1"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F9B8C-C814-4956-B7E2-C5F5641EFAF0}">
  <sheetPr>
    <tabColor rgb="FF0070C0"/>
  </sheetPr>
  <dimension ref="A1:AC348"/>
  <sheetViews>
    <sheetView workbookViewId="0">
      <pane xSplit="1" ySplit="11" topLeftCell="N12" activePane="bottomRight" state="frozen"/>
      <selection pane="topRight" activeCell="B1" sqref="B1"/>
      <selection pane="bottomLeft" activeCell="A9" sqref="A9"/>
      <selection pane="bottomRight" activeCell="Q269" sqref="Q269"/>
    </sheetView>
  </sheetViews>
  <sheetFormatPr defaultRowHeight="14.5" x14ac:dyDescent="0.35"/>
  <cols>
    <col min="3" max="3" width="22.81640625" customWidth="1"/>
    <col min="4" max="4" width="22.08984375" customWidth="1"/>
    <col min="5" max="5" width="21.1796875" customWidth="1"/>
    <col min="6" max="6" width="15.90625" customWidth="1"/>
    <col min="7" max="7" width="18.08984375" customWidth="1"/>
    <col min="8" max="8" width="20.90625" customWidth="1"/>
    <col min="9" max="9" width="23.08984375" customWidth="1"/>
    <col min="10" max="10" width="22.54296875" customWidth="1"/>
    <col min="11" max="11" width="17.26953125" customWidth="1"/>
    <col min="12" max="12" width="14.81640625" customWidth="1"/>
    <col min="13" max="13" width="25.90625" customWidth="1"/>
    <col min="14" max="14" width="33.36328125" customWidth="1"/>
    <col min="15" max="15" width="36.90625" customWidth="1"/>
    <col min="16" max="16" width="31.08984375" customWidth="1"/>
    <col min="17" max="17" width="31.26953125" customWidth="1"/>
    <col min="18" max="18" width="25.36328125" customWidth="1"/>
    <col min="22" max="22" width="14.54296875" customWidth="1"/>
    <col min="23" max="23" width="9.453125" customWidth="1"/>
    <col min="24" max="24" width="10.7265625" customWidth="1"/>
    <col min="25" max="25" width="12.08984375" customWidth="1"/>
    <col min="26" max="27" width="12.26953125" customWidth="1"/>
    <col min="28" max="28" width="8.81640625" customWidth="1"/>
    <col min="29" max="29" width="20.1796875" customWidth="1"/>
  </cols>
  <sheetData>
    <row r="1" spans="1:29" x14ac:dyDescent="0.35">
      <c r="A1" s="1" t="s">
        <v>14</v>
      </c>
      <c r="B1" s="1"/>
      <c r="C1" s="10">
        <f>AVERAGE(Table3[Duration Analysed (days)])</f>
        <v>2139.6557863501484</v>
      </c>
      <c r="D1" s="10">
        <f>AVERAGE(Table3[Start Date &amp; Time (date)])</f>
        <v>43367.233362182633</v>
      </c>
      <c r="E1" s="10">
        <f>AVERAGE(Table3[End Date &amp; Time (date)])</f>
        <v>45507.347045004957</v>
      </c>
      <c r="F1" s="10">
        <f>AVERAGE(Table3[Total PBIs (PBIs)])</f>
        <v>2025.0763052208836</v>
      </c>
      <c r="G1" s="10">
        <f>AVERAGE(Table3[Filtered PBIs (PBIs)])</f>
        <v>1971.8755020080321</v>
      </c>
      <c r="H1" s="10">
        <f>AVERAGE(Table3[Planned Arrivals (PBIs)])</f>
        <v>830.58753709198811</v>
      </c>
      <c r="I1" s="10">
        <f>AVERAGE(Table3[Unplanned Arrivals (PBIs)])</f>
        <v>686.13649851632044</v>
      </c>
      <c r="J1" s="10">
        <f>AVERAGE(Table3[Cancelled Arrivals (PBIs)])</f>
        <v>287.2166172106825</v>
      </c>
      <c r="K1" s="10">
        <f>AVERAGE(Table3[Net Arrivals (PBIs)])</f>
        <v>1601.1485943775101</v>
      </c>
      <c r="L1" s="10">
        <f>AVERAGE(Table3[Services (PBIs)])</f>
        <v>1027.8278931750742</v>
      </c>
      <c r="M1" s="10">
        <f>AVERAGE(Table3[Measured System Size (PBIs)])</f>
        <v>201.82789317507419</v>
      </c>
      <c r="N1" s="10">
        <f>AVERAGE(Table3[Planned Arrival Rate - alpha (PBIs/day)])</f>
        <v>0.89059050445103927</v>
      </c>
      <c r="O1" s="10">
        <f>AVERAGE(Table3[Unplanned Arrival Rate - epsilon (PBIs/day)])</f>
        <v>0.59912166172106796</v>
      </c>
      <c r="P1" s="10">
        <f>AVERAGE(Table3[Cancelled Rate - gamma (PBIs/day)])</f>
        <v>0.33121661721068252</v>
      </c>
      <c r="Q1" s="10">
        <f>AVERAGE(Table3[Service Rate - mu (PBIs/day)])</f>
        <v>1.029011869436202</v>
      </c>
      <c r="R1" s="10">
        <f>AVERAGE(Table3[Psi])</f>
        <v>0.76518100890207696</v>
      </c>
      <c r="S1" s="10">
        <f>AVERAGE(Table3[Nu])</f>
        <v>0.66977448071216661</v>
      </c>
      <c r="T1" s="10">
        <f>AVERAGE(Table3[Zeta])</f>
        <v>0.77640059347181023</v>
      </c>
      <c r="U1" s="10">
        <f>AVERAGE(Table3[Inventory Days])</f>
        <v>622.29103283582106</v>
      </c>
      <c r="V1" s="10"/>
      <c r="W1" s="10">
        <f>AVERAGE(Table3[alpha R^2])</f>
        <v>0.90325222551928808</v>
      </c>
      <c r="X1" s="10">
        <f>AVERAGE(Table3[epsilon R^2])</f>
        <v>0.87852522255192944</v>
      </c>
      <c r="Y1" s="10">
        <f>AVERAGE(Table3[gamma R^2])</f>
        <v>0.83654302670623137</v>
      </c>
      <c r="Z1" s="10">
        <f>AVERAGE(Table3[mu R^2])</f>
        <v>0.91141543026706295</v>
      </c>
      <c r="AA1" s="10">
        <f>AVERAGE(Table3[Date/Time of Analysis])</f>
        <v>45713.650371668307</v>
      </c>
      <c r="AB1" s="10"/>
      <c r="AC1" s="9"/>
    </row>
    <row r="2" spans="1:29" x14ac:dyDescent="0.35">
      <c r="A2" s="1" t="s">
        <v>17</v>
      </c>
      <c r="B2" s="1"/>
      <c r="C2">
        <f>MEDIAN(Table3[Duration Analysed (days)])</f>
        <v>1491</v>
      </c>
      <c r="D2">
        <f>MEDIAN(Table3[Start Date &amp; Time (date)])</f>
        <v>44090.569444444445</v>
      </c>
      <c r="E2">
        <f>MEDIAN(Table3[End Date &amp; Time (date)])</f>
        <v>45604.643750000003</v>
      </c>
      <c r="F2">
        <f>MEDIAN(Table3[Total PBIs (PBIs)])</f>
        <v>785</v>
      </c>
      <c r="G2">
        <f>MEDIAN(Table3[Filtered PBIs (PBIs)])</f>
        <v>760</v>
      </c>
      <c r="H2">
        <f>MEDIAN(Table3[Planned Arrivals (PBIs)])</f>
        <v>260</v>
      </c>
      <c r="I2">
        <f>MEDIAN(Table3[Unplanned Arrivals (PBIs)])</f>
        <v>91</v>
      </c>
      <c r="J2">
        <f>MEDIAN(Table3[Cancelled Arrivals (PBIs)])</f>
        <v>61</v>
      </c>
      <c r="K2">
        <f>MEDIAN(Table3[Net Arrivals (PBIs)])</f>
        <v>639</v>
      </c>
      <c r="L2">
        <f>MEDIAN(Table3[Services (PBIs)])</f>
        <v>298</v>
      </c>
      <c r="M2">
        <f>MEDIAN(Table3[Measured System Size (PBIs)])</f>
        <v>55</v>
      </c>
      <c r="N2">
        <f>MEDIAN(Table3[Planned Arrival Rate - alpha (PBIs/day)])</f>
        <v>0.44400000000000001</v>
      </c>
      <c r="O2">
        <f>MEDIAN(Table3[Unplanned Arrival Rate - epsilon (PBIs/day)])</f>
        <v>0.13300000000000001</v>
      </c>
      <c r="P2">
        <f>MEDIAN(Table3[Cancelled Rate - gamma (PBIs/day)])</f>
        <v>0.10299999999999999</v>
      </c>
      <c r="Q2">
        <f>MEDIAN(Table3[Service Rate - mu (PBIs/day)])</f>
        <v>0.44400000000000001</v>
      </c>
      <c r="R2">
        <f>MEDIAN(Table3[Psi])</f>
        <v>0.85699999999999998</v>
      </c>
      <c r="S2">
        <f>MEDIAN(Table3[Nu])</f>
        <v>0.70299999999999996</v>
      </c>
      <c r="T2">
        <f>MEDIAN(Table3[Zeta])</f>
        <v>0.84399999999999997</v>
      </c>
      <c r="U2">
        <f>MEDIAN(Table3[Inventory Days])</f>
        <v>284.25400000000002</v>
      </c>
      <c r="W2">
        <f>MEDIAN(Table3[alpha R^2])</f>
        <v>0.94699999999999995</v>
      </c>
      <c r="X2">
        <f>MEDIAN(Table3[epsilon R^2])</f>
        <v>0.94299999999999995</v>
      </c>
      <c r="Y2">
        <f>MEDIAN(Table3[gamma R^2])</f>
        <v>0.91800000000000004</v>
      </c>
      <c r="Z2">
        <f>MEDIAN(Table3[mu R^2])</f>
        <v>0.95599999999999996</v>
      </c>
      <c r="AA2">
        <f>MEDIAN(Table3[Date/Time of Analysis])</f>
        <v>45713.675530682871</v>
      </c>
      <c r="AC2" s="9"/>
    </row>
    <row r="3" spans="1:29" x14ac:dyDescent="0.35">
      <c r="A3" s="1" t="s">
        <v>308</v>
      </c>
      <c r="B3" s="1"/>
      <c r="C3">
        <f>MODE(Table3[Duration Analysed (days)])</f>
        <v>99</v>
      </c>
      <c r="D3" t="e">
        <f>MODE(Table3[Start Date &amp; Time (date)])</f>
        <v>#N/A</v>
      </c>
      <c r="E3">
        <f>MODE(Table3[End Date &amp; Time (date)])</f>
        <v>45609.640972222223</v>
      </c>
      <c r="F3">
        <f>MODE(Table3[Total PBIs (PBIs)])</f>
        <v>231</v>
      </c>
      <c r="G3">
        <f>MODE(Table3[Filtered PBIs (PBIs)])</f>
        <v>479</v>
      </c>
      <c r="H3">
        <f>MODE(Table3[Planned Arrivals (PBIs)])</f>
        <v>7</v>
      </c>
      <c r="I3">
        <f>MODE(Table3[Unplanned Arrivals (PBIs)])</f>
        <v>3</v>
      </c>
      <c r="J3">
        <f>MODE(Table3[Cancelled Arrivals (PBIs)])</f>
        <v>5</v>
      </c>
      <c r="K3">
        <f>MODE(Table3[Net Arrivals (PBIs)])</f>
        <v>570</v>
      </c>
      <c r="L3">
        <f>MODE(Table3[Services (PBIs)])</f>
        <v>149</v>
      </c>
      <c r="M3">
        <f>MODE(Table3[Measured System Size (PBIs)])</f>
        <v>0</v>
      </c>
      <c r="N3">
        <f>MODE(Table3[Planned Arrival Rate - alpha (PBIs/day)])</f>
        <v>0.04</v>
      </c>
      <c r="O3">
        <f>MODE(Table3[Unplanned Arrival Rate - epsilon (PBIs/day)])</f>
        <v>0</v>
      </c>
      <c r="P3">
        <f>MODE(Table3[Cancelled Rate - gamma (PBIs/day)])</f>
        <v>0</v>
      </c>
      <c r="Q3">
        <f>MODE(Table3[Service Rate - mu (PBIs/day)])</f>
        <v>0.159</v>
      </c>
      <c r="R3">
        <f>MODE(Table3[Psi])</f>
        <v>0.90400000000000003</v>
      </c>
      <c r="S3">
        <f>MODE(Table3[Nu])</f>
        <v>1</v>
      </c>
      <c r="T3">
        <f>MODE(Table3[Zeta])</f>
        <v>1</v>
      </c>
      <c r="U3">
        <f>MODE(Table3[Inventory Days])</f>
        <v>0</v>
      </c>
      <c r="W3">
        <f>MODE(Table3[alpha R^2])</f>
        <v>0.98299999999999998</v>
      </c>
      <c r="X3">
        <f>MODE(Table3[epsilon R^2])</f>
        <v>0</v>
      </c>
      <c r="Y3">
        <f>MODE(Table3[gamma R^2])</f>
        <v>0</v>
      </c>
      <c r="Z3">
        <f>MODE(Table3[mu R^2])</f>
        <v>0.996</v>
      </c>
      <c r="AA3" t="e">
        <f>MODE(Table3[Date/Time of Analysis])</f>
        <v>#N/A</v>
      </c>
    </row>
    <row r="4" spans="1:29" x14ac:dyDescent="0.35">
      <c r="A4" s="1"/>
      <c r="B4" s="1"/>
    </row>
    <row r="5" spans="1:29" x14ac:dyDescent="0.35">
      <c r="A5" s="1" t="s">
        <v>311</v>
      </c>
      <c r="B5" s="1"/>
      <c r="C5">
        <f>_xlfn.QUARTILE.EXC(Table3[Duration Analysed (days)],1)</f>
        <v>100</v>
      </c>
      <c r="D5">
        <f>_xlfn.QUARTILE.EXC(Table3[Start Date &amp; Time (date)],1)</f>
        <v>42042.845486111109</v>
      </c>
      <c r="E5">
        <f>_xlfn.QUARTILE.EXC(Table3[End Date &amp; Time (date)],1)</f>
        <v>45565.539236111115</v>
      </c>
      <c r="F5">
        <f>_xlfn.QUARTILE.EXC(Table3[Total PBIs (PBIs)],1)</f>
        <v>299.5</v>
      </c>
      <c r="G5">
        <f>_xlfn.QUARTILE.EXC(Table3[Filtered PBIs (PBIs)],1)</f>
        <v>282</v>
      </c>
      <c r="H5">
        <f>_xlfn.QUARTILE.EXC(Table3[Planned Arrivals (PBIs)],1)</f>
        <v>94.5</v>
      </c>
      <c r="I5">
        <f>_xlfn.QUARTILE.EXC(Table3[Unplanned Arrivals (PBIs)],1)</f>
        <v>16.5</v>
      </c>
      <c r="J5">
        <f>_xlfn.QUARTILE.EXC(Table3[Cancelled Arrivals (PBIs)],1)</f>
        <v>15</v>
      </c>
      <c r="K5">
        <f>_xlfn.QUARTILE.EXC(Table3[Net Arrivals (PBIs)],1)</f>
        <v>260.5</v>
      </c>
      <c r="L5">
        <f>_xlfn.QUARTILE.EXC(Table3[Services (PBIs)],1)</f>
        <v>92</v>
      </c>
      <c r="M5">
        <f>_xlfn.QUARTILE.EXC(Table3[Measured System Size (PBIs)],1)</f>
        <v>12</v>
      </c>
      <c r="N5">
        <f>_xlfn.QUARTILE.EXC(Table3[Planned Arrival Rate - alpha (PBIs/day)],1)</f>
        <v>0.13400000000000001</v>
      </c>
      <c r="O5">
        <f>_xlfn.QUARTILE.EXC(Table3[Unplanned Arrival Rate - epsilon (PBIs/day)],1)</f>
        <v>3.1E-2</v>
      </c>
      <c r="P5">
        <f>_xlfn.QUARTILE.EXC(Table3[Cancelled Rate - gamma (PBIs/day)],1)</f>
        <v>3.2500000000000001E-2</v>
      </c>
      <c r="Q5">
        <f>_xlfn.QUARTILE.EXC(Table3[Service Rate - mu (PBIs/day)],1)</f>
        <v>0.14099999999999999</v>
      </c>
      <c r="R5">
        <f>_xlfn.QUARTILE.EXC(Table3[Psi],1)</f>
        <v>0.71799999999999997</v>
      </c>
      <c r="S5">
        <f>_xlfn.QUARTILE.EXC(Table3[Nu],1)</f>
        <v>0.499</v>
      </c>
      <c r="T5">
        <f>_xlfn.QUARTILE.EXC(Table3[Zeta],1)</f>
        <v>0.75350000000000006</v>
      </c>
      <c r="U5">
        <f>_xlfn.QUARTILE.EXC(Table3[Inventory Days],1)</f>
        <v>145.09200000000001</v>
      </c>
      <c r="W5">
        <f>_xlfn.QUARTILE.EXC(Table3[alpha R^2],1)</f>
        <v>0.88800000000000001</v>
      </c>
      <c r="X5">
        <f>_xlfn.QUARTILE.EXC(Table3[epsilon R^2],1)</f>
        <v>0.86199999999999999</v>
      </c>
      <c r="Y5">
        <f>_xlfn.QUARTILE.EXC(Table3[gamma R^2],1)</f>
        <v>0.80300000000000005</v>
      </c>
      <c r="Z5">
        <f>_xlfn.QUARTILE.EXC(Table3[mu R^2],1)</f>
        <v>0.89900000000000002</v>
      </c>
      <c r="AA5">
        <f>_xlfn.QUARTILE.EXC(Table3[Date/Time of Analysis],1)</f>
        <v>45713.61298551505</v>
      </c>
      <c r="AC5" s="9"/>
    </row>
    <row r="6" spans="1:29" x14ac:dyDescent="0.35">
      <c r="A6" s="1" t="s">
        <v>312</v>
      </c>
      <c r="B6" s="1"/>
      <c r="C6">
        <f>_xlfn.QUARTILE.EXC(Table3[Duration Analysed (days)],3)</f>
        <v>3463</v>
      </c>
      <c r="D6">
        <f>_xlfn.QUARTILE.EXC(Table3[Start Date &amp; Time (date)],3)</f>
        <v>45490.512152777781</v>
      </c>
      <c r="E6">
        <f>_xlfn.QUARTILE.EXC(Table3[End Date &amp; Time (date)],3)</f>
        <v>45609.41909722222</v>
      </c>
      <c r="F6">
        <f>_xlfn.QUARTILE.EXC(Table3[Total PBIs (PBIs)],3)</f>
        <v>2081</v>
      </c>
      <c r="G6">
        <f>_xlfn.QUARTILE.EXC(Table3[Filtered PBIs (PBIs)],3)</f>
        <v>2068.5</v>
      </c>
      <c r="H6">
        <f>_xlfn.QUARTILE.EXC(Table3[Planned Arrivals (PBIs)],3)</f>
        <v>1026</v>
      </c>
      <c r="I6">
        <f>_xlfn.QUARTILE.EXC(Table3[Unplanned Arrivals (PBIs)],3)</f>
        <v>374</v>
      </c>
      <c r="J6">
        <f>_xlfn.QUARTILE.EXC(Table3[Cancelled Arrivals (PBIs)],3)</f>
        <v>245</v>
      </c>
      <c r="K6">
        <f>_xlfn.QUARTILE.EXC(Table3[Net Arrivals (PBIs)],3)</f>
        <v>1722.5</v>
      </c>
      <c r="L6">
        <f>_xlfn.QUARTILE.EXC(Table3[Services (PBIs)],3)</f>
        <v>967.5</v>
      </c>
      <c r="M6">
        <f>_xlfn.QUARTILE.EXC(Table3[Measured System Size (PBIs)],3)</f>
        <v>179</v>
      </c>
      <c r="N6">
        <f>_xlfn.QUARTILE.EXC(Table3[Planned Arrival Rate - alpha (PBIs/day)],3)</f>
        <v>0.99299999999999988</v>
      </c>
      <c r="O6">
        <f>_xlfn.QUARTILE.EXC(Table3[Unplanned Arrival Rate - epsilon (PBIs/day)],3)</f>
        <v>0.497</v>
      </c>
      <c r="P6">
        <f>_xlfn.QUARTILE.EXC(Table3[Cancelled Rate - gamma (PBIs/day)],3)</f>
        <v>0.26150000000000001</v>
      </c>
      <c r="Q6">
        <f>_xlfn.QUARTILE.EXC(Table3[Service Rate - mu (PBIs/day)],3)</f>
        <v>1.032</v>
      </c>
      <c r="R6">
        <f>_xlfn.QUARTILE.EXC(Table3[Psi],3)</f>
        <v>0.97499999999999998</v>
      </c>
      <c r="S6">
        <f>_xlfn.QUARTILE.EXC(Table3[Nu],3)</f>
        <v>0.87</v>
      </c>
      <c r="T6">
        <f>_xlfn.QUARTILE.EXC(Table3[Zeta],3)</f>
        <v>0.90250000000000008</v>
      </c>
      <c r="U6">
        <f>_xlfn.QUARTILE.EXC(Table3[Inventory Days],3)</f>
        <v>585.89599999999996</v>
      </c>
      <c r="W6">
        <f>_xlfn.QUARTILE.EXC(Table3[alpha R^2],3)</f>
        <v>0.97750000000000004</v>
      </c>
      <c r="X6">
        <f>_xlfn.QUARTILE.EXC(Table3[epsilon R^2],3)</f>
        <v>0.97199999999999998</v>
      </c>
      <c r="Y6">
        <f>_xlfn.QUARTILE.EXC(Table3[gamma R^2],3)</f>
        <v>0.96399999999999997</v>
      </c>
      <c r="Z6">
        <f>_xlfn.QUARTILE.EXC(Table3[mu R^2],3)</f>
        <v>0.97899999999999998</v>
      </c>
      <c r="AA6">
        <f>_xlfn.QUARTILE.EXC(Table3[Date/Time of Analysis],3)</f>
        <v>45713.681427592586</v>
      </c>
      <c r="AC6" s="9"/>
    </row>
    <row r="7" spans="1:29" x14ac:dyDescent="0.35">
      <c r="A7" s="1"/>
      <c r="B7" s="1"/>
    </row>
    <row r="8" spans="1:29" x14ac:dyDescent="0.35">
      <c r="A8" s="1" t="s">
        <v>16</v>
      </c>
      <c r="B8" s="1"/>
      <c r="C8">
        <f>MIN(Table3[Duration Analysed (days)])</f>
        <v>77</v>
      </c>
      <c r="D8">
        <f>MIN(Table3[Start Date &amp; Time (date)])</f>
        <v>36987.15902777778</v>
      </c>
      <c r="E8">
        <f>MIN(Table3[End Date &amp; Time (date)])</f>
        <v>41537.211805555555</v>
      </c>
      <c r="F8">
        <f>MIN(Table3[Total PBIs (PBIs)])</f>
        <v>37</v>
      </c>
      <c r="G8">
        <f>MIN(Table3[Filtered PBIs (PBIs)])</f>
        <v>37</v>
      </c>
      <c r="H8">
        <f>MIN(Table3[Planned Arrivals (PBIs)])</f>
        <v>0</v>
      </c>
      <c r="I8">
        <f>MIN(Table3[Unplanned Arrivals (PBIs)])</f>
        <v>0</v>
      </c>
      <c r="J8">
        <f>MIN(Table3[Cancelled Arrivals (PBIs)])</f>
        <v>0</v>
      </c>
      <c r="K8">
        <f>MIN(Table3[Net Arrivals (PBIs)])</f>
        <v>28</v>
      </c>
      <c r="L8">
        <f>MIN(Table3[Services (PBIs)])</f>
        <v>0</v>
      </c>
      <c r="M8">
        <f>MIN(Table3[Measured System Size (PBIs)])</f>
        <v>-166</v>
      </c>
      <c r="N8">
        <f>MIN(Table3[Planned Arrival Rate - alpha (PBIs/day)])</f>
        <v>0</v>
      </c>
      <c r="O8">
        <f>MIN(Table3[Unplanned Arrival Rate - epsilon (PBIs/day)])</f>
        <v>0</v>
      </c>
      <c r="P8">
        <f>MIN(Table3[Cancelled Rate - gamma (PBIs/day)])</f>
        <v>0</v>
      </c>
      <c r="Q8">
        <f>MIN(Table3[Service Rate - mu (PBIs/day)])</f>
        <v>0</v>
      </c>
      <c r="R8">
        <f>MIN(Table3[Psi])</f>
        <v>-33.25</v>
      </c>
      <c r="S8">
        <f>MIN(Table3[Nu])</f>
        <v>0</v>
      </c>
      <c r="T8">
        <f>MIN(Table3[Zeta])</f>
        <v>-3.5409999999999999</v>
      </c>
      <c r="U8">
        <f>MIN(Table3[Inventory Days])</f>
        <v>0</v>
      </c>
      <c r="W8">
        <f>MIN(Table3[alpha R^2])</f>
        <v>0</v>
      </c>
      <c r="X8">
        <f>MIN(Table3[epsilon R^2])</f>
        <v>0</v>
      </c>
      <c r="Y8">
        <f>MIN(Table3[gamma R^2])</f>
        <v>0</v>
      </c>
      <c r="Z8">
        <f>MIN(Table3[mu R^2])</f>
        <v>0</v>
      </c>
      <c r="AA8">
        <f>MIN(Table3[Date/Time of Analysis])</f>
        <v>45713.607352766201</v>
      </c>
      <c r="AC8" s="9"/>
    </row>
    <row r="9" spans="1:29" x14ac:dyDescent="0.35">
      <c r="A9" s="1" t="s">
        <v>15</v>
      </c>
      <c r="B9" s="1"/>
      <c r="C9">
        <f>MAX(Table3[Duration Analysed (days)])</f>
        <v>8223</v>
      </c>
      <c r="D9">
        <f>MAX(Table3[Start Date &amp; Time (date)])</f>
        <v>45526.347222222219</v>
      </c>
      <c r="E9">
        <f>MAX(Table3[End Date &amp; Time (date)])</f>
        <v>45623.614583333336</v>
      </c>
      <c r="F9">
        <f>MAX(Table3[Total PBIs (PBIs)])</f>
        <v>25361</v>
      </c>
      <c r="G9">
        <f>MAX(Table3[Filtered PBIs (PBIs)])</f>
        <v>25361</v>
      </c>
      <c r="H9">
        <f>MAX(Table3[Planned Arrivals (PBIs)])</f>
        <v>9471</v>
      </c>
      <c r="I9">
        <f>MAX(Table3[Unplanned Arrivals (PBIs)])</f>
        <v>25361</v>
      </c>
      <c r="J9">
        <f>MAX(Table3[Cancelled Arrivals (PBIs)])</f>
        <v>5708</v>
      </c>
      <c r="K9">
        <f>MAX(Table3[Net Arrivals (PBIs)])</f>
        <v>19923</v>
      </c>
      <c r="L9">
        <f>MAX(Table3[Services (PBIs)])</f>
        <v>18775</v>
      </c>
      <c r="M9">
        <f>MAX(Table3[Measured System Size (PBIs)])</f>
        <v>5972</v>
      </c>
      <c r="N9">
        <f>MAX(Table3[Planned Arrival Rate - alpha (PBIs/day)])</f>
        <v>14.394</v>
      </c>
      <c r="O9">
        <f>MAX(Table3[Unplanned Arrival Rate - epsilon (PBIs/day)])</f>
        <v>27.427</v>
      </c>
      <c r="P9">
        <f>MAX(Table3[Cancelled Rate - gamma (PBIs/day)])</f>
        <v>7.431</v>
      </c>
      <c r="Q9">
        <f>MAX(Table3[Service Rate - mu (PBIs/day)])</f>
        <v>20.306000000000001</v>
      </c>
      <c r="R9">
        <f>MAX(Table3[Psi])</f>
        <v>18.545000000000002</v>
      </c>
      <c r="S9">
        <f>MAX(Table3[Nu])</f>
        <v>1</v>
      </c>
      <c r="T9">
        <f>MAX(Table3[Zeta])</f>
        <v>1</v>
      </c>
      <c r="U9">
        <f>MAX(Table3[Inventory Days])</f>
        <v>40000</v>
      </c>
      <c r="W9">
        <f>MAX(Table3[alpha R^2])</f>
        <v>1</v>
      </c>
      <c r="X9">
        <f>MAX(Table3[epsilon R^2])</f>
        <v>1</v>
      </c>
      <c r="Y9">
        <f>MAX(Table3[gamma R^2])</f>
        <v>1</v>
      </c>
      <c r="Z9">
        <f>MAX(Table3[mu R^2])</f>
        <v>0.999</v>
      </c>
      <c r="AA9">
        <f>MAX(Table3[Date/Time of Analysis])</f>
        <v>45713.68781560185</v>
      </c>
      <c r="AC9" s="9"/>
    </row>
    <row r="11" spans="1:29" x14ac:dyDescent="0.35">
      <c r="A11" t="s">
        <v>31</v>
      </c>
      <c r="B11" t="s">
        <v>315</v>
      </c>
      <c r="C11" t="s">
        <v>32</v>
      </c>
      <c r="D11" t="s">
        <v>33</v>
      </c>
      <c r="E11" t="s">
        <v>34</v>
      </c>
      <c r="F11" t="s">
        <v>35</v>
      </c>
      <c r="G11" t="s">
        <v>36</v>
      </c>
      <c r="H11" t="s">
        <v>37</v>
      </c>
      <c r="I11" t="s">
        <v>38</v>
      </c>
      <c r="J11" t="s">
        <v>39</v>
      </c>
      <c r="K11" t="s">
        <v>40</v>
      </c>
      <c r="L11" t="s">
        <v>41</v>
      </c>
      <c r="M11" t="s">
        <v>42</v>
      </c>
      <c r="N11" t="s">
        <v>43</v>
      </c>
      <c r="O11" t="s">
        <v>44</v>
      </c>
      <c r="P11" t="s">
        <v>45</v>
      </c>
      <c r="Q11" t="s">
        <v>46</v>
      </c>
      <c r="R11" t="s">
        <v>47</v>
      </c>
      <c r="S11" t="s">
        <v>48</v>
      </c>
      <c r="T11" t="s">
        <v>49</v>
      </c>
      <c r="U11" t="s">
        <v>29</v>
      </c>
      <c r="V11" t="s">
        <v>50</v>
      </c>
      <c r="W11" t="s">
        <v>51</v>
      </c>
      <c r="X11" t="s">
        <v>52</v>
      </c>
      <c r="Y11" t="s">
        <v>53</v>
      </c>
      <c r="Z11" t="s">
        <v>54</v>
      </c>
      <c r="AA11" t="s">
        <v>55</v>
      </c>
      <c r="AB11" t="s">
        <v>56</v>
      </c>
    </row>
    <row r="12" spans="1:29" x14ac:dyDescent="0.35">
      <c r="A12" t="s">
        <v>57</v>
      </c>
      <c r="B12" t="s">
        <v>313</v>
      </c>
      <c r="C12">
        <v>1330</v>
      </c>
      <c r="D12" s="9">
        <v>44165.600694444445</v>
      </c>
      <c r="E12" s="9">
        <v>45495.634722222225</v>
      </c>
      <c r="F12">
        <v>883</v>
      </c>
      <c r="G12">
        <v>883</v>
      </c>
      <c r="H12">
        <v>658</v>
      </c>
      <c r="I12">
        <v>225</v>
      </c>
      <c r="J12">
        <v>163</v>
      </c>
      <c r="K12">
        <v>720</v>
      </c>
      <c r="L12">
        <v>686</v>
      </c>
      <c r="M12">
        <v>34</v>
      </c>
      <c r="N12">
        <v>0.68</v>
      </c>
      <c r="O12">
        <v>0.22500000000000001</v>
      </c>
      <c r="P12">
        <v>0.161</v>
      </c>
      <c r="Q12">
        <v>0.68600000000000005</v>
      </c>
      <c r="R12">
        <v>0.92200000000000004</v>
      </c>
      <c r="S12">
        <v>0.751</v>
      </c>
      <c r="T12">
        <v>0.82199999999999995</v>
      </c>
      <c r="U12">
        <v>49.563000000000002</v>
      </c>
      <c r="V12" t="s">
        <v>58</v>
      </c>
      <c r="W12">
        <v>0.98</v>
      </c>
      <c r="X12">
        <v>0.94899999999999995</v>
      </c>
      <c r="Y12">
        <v>0.98</v>
      </c>
      <c r="Z12">
        <v>0.97799999999999998</v>
      </c>
      <c r="AA12" s="9">
        <v>45713.607352766201</v>
      </c>
      <c r="AB12" t="s">
        <v>873</v>
      </c>
      <c r="AC12" s="9"/>
    </row>
    <row r="13" spans="1:29" x14ac:dyDescent="0.35">
      <c r="A13" t="s">
        <v>59</v>
      </c>
      <c r="B13" t="s">
        <v>313</v>
      </c>
      <c r="C13">
        <v>1479</v>
      </c>
      <c r="D13" s="9">
        <v>44109.356249999997</v>
      </c>
      <c r="E13" s="9">
        <v>45588.808333333334</v>
      </c>
      <c r="F13">
        <v>1697</v>
      </c>
      <c r="G13">
        <v>1697</v>
      </c>
      <c r="H13">
        <v>1200</v>
      </c>
      <c r="I13">
        <v>497</v>
      </c>
      <c r="J13">
        <v>334</v>
      </c>
      <c r="K13">
        <v>1363</v>
      </c>
      <c r="L13">
        <v>1300</v>
      </c>
      <c r="M13">
        <v>63</v>
      </c>
      <c r="N13">
        <v>1.08</v>
      </c>
      <c r="O13">
        <v>0.42</v>
      </c>
      <c r="P13">
        <v>0.28499999999999998</v>
      </c>
      <c r="Q13">
        <v>1.1220000000000001</v>
      </c>
      <c r="R13">
        <v>0.92300000000000004</v>
      </c>
      <c r="S13">
        <v>0.72</v>
      </c>
      <c r="T13">
        <v>0.81</v>
      </c>
      <c r="U13">
        <v>56.15</v>
      </c>
      <c r="V13" t="s">
        <v>58</v>
      </c>
      <c r="W13">
        <v>0.98899999999999999</v>
      </c>
      <c r="X13">
        <v>0.98599999999999999</v>
      </c>
      <c r="Y13">
        <v>0.98</v>
      </c>
      <c r="Z13">
        <v>0.99299999999999999</v>
      </c>
      <c r="AA13" s="9">
        <v>45713.607427986113</v>
      </c>
      <c r="AB13" t="s">
        <v>873</v>
      </c>
      <c r="AC13" s="9"/>
    </row>
    <row r="14" spans="1:29" x14ac:dyDescent="0.35">
      <c r="A14" t="s">
        <v>60</v>
      </c>
      <c r="B14" t="s">
        <v>313</v>
      </c>
      <c r="C14">
        <v>1101</v>
      </c>
      <c r="D14" s="9">
        <v>44502.698611111111</v>
      </c>
      <c r="E14" s="9">
        <v>45604.643750000003</v>
      </c>
      <c r="F14">
        <v>1110</v>
      </c>
      <c r="G14">
        <v>1110</v>
      </c>
      <c r="H14">
        <v>1110</v>
      </c>
      <c r="I14">
        <v>0</v>
      </c>
      <c r="J14">
        <v>216</v>
      </c>
      <c r="K14">
        <v>894</v>
      </c>
      <c r="L14">
        <v>68</v>
      </c>
      <c r="M14">
        <v>826</v>
      </c>
      <c r="N14">
        <v>1.1679999999999999</v>
      </c>
      <c r="O14">
        <v>0</v>
      </c>
      <c r="P14">
        <v>0.21299999999999999</v>
      </c>
      <c r="Q14">
        <v>7.4999999999999997E-2</v>
      </c>
      <c r="R14">
        <v>7.9000000000000001E-2</v>
      </c>
      <c r="S14">
        <v>1</v>
      </c>
      <c r="T14">
        <v>0.81799999999999995</v>
      </c>
      <c r="U14">
        <v>11013.333000000001</v>
      </c>
      <c r="V14" t="s">
        <v>58</v>
      </c>
      <c r="W14">
        <v>0.99099999999999999</v>
      </c>
      <c r="X14">
        <v>0</v>
      </c>
      <c r="Y14">
        <v>0.97199999999999998</v>
      </c>
      <c r="Z14">
        <v>0.98799999999999999</v>
      </c>
      <c r="AA14" s="9">
        <v>45713.607498518519</v>
      </c>
      <c r="AB14" t="s">
        <v>873</v>
      </c>
      <c r="AC14" s="9"/>
    </row>
    <row r="15" spans="1:29" x14ac:dyDescent="0.35">
      <c r="A15" t="s">
        <v>61</v>
      </c>
      <c r="B15" t="s">
        <v>313</v>
      </c>
      <c r="C15">
        <v>1380</v>
      </c>
      <c r="D15" s="9">
        <v>44223.4375</v>
      </c>
      <c r="E15" s="9">
        <v>45603.786111111112</v>
      </c>
      <c r="F15">
        <v>1273</v>
      </c>
      <c r="G15">
        <v>1273</v>
      </c>
      <c r="H15">
        <v>918</v>
      </c>
      <c r="I15">
        <v>355</v>
      </c>
      <c r="J15">
        <v>96</v>
      </c>
      <c r="K15">
        <v>1177</v>
      </c>
      <c r="L15">
        <v>1013</v>
      </c>
      <c r="M15">
        <v>164</v>
      </c>
      <c r="N15">
        <v>0.57199999999999995</v>
      </c>
      <c r="O15">
        <v>0.249</v>
      </c>
      <c r="P15">
        <v>0.10299999999999999</v>
      </c>
      <c r="Q15">
        <v>0.64900000000000002</v>
      </c>
      <c r="R15">
        <v>0.90400000000000003</v>
      </c>
      <c r="S15">
        <v>0.69699999999999995</v>
      </c>
      <c r="T15">
        <v>0.875</v>
      </c>
      <c r="U15">
        <v>252.696</v>
      </c>
      <c r="V15" t="s">
        <v>58</v>
      </c>
      <c r="W15">
        <v>0.95199999999999996</v>
      </c>
      <c r="X15">
        <v>0.92500000000000004</v>
      </c>
      <c r="Y15">
        <v>0.68400000000000005</v>
      </c>
      <c r="Z15">
        <v>0.95899999999999996</v>
      </c>
      <c r="AA15" s="9">
        <v>45713.607572743058</v>
      </c>
      <c r="AB15" t="s">
        <v>873</v>
      </c>
      <c r="AC15" s="9"/>
    </row>
    <row r="16" spans="1:29" hidden="1" x14ac:dyDescent="0.35">
      <c r="A16" t="s">
        <v>61</v>
      </c>
      <c r="B16" t="s">
        <v>314</v>
      </c>
      <c r="C16">
        <v>99</v>
      </c>
      <c r="D16" s="9">
        <v>45504.557638888888</v>
      </c>
      <c r="E16" s="9">
        <v>45603.786111111112</v>
      </c>
      <c r="F16" t="s">
        <v>874</v>
      </c>
      <c r="G16" t="s">
        <v>874</v>
      </c>
      <c r="H16">
        <v>114</v>
      </c>
      <c r="I16">
        <v>55</v>
      </c>
      <c r="J16">
        <v>10</v>
      </c>
      <c r="K16" t="s">
        <v>875</v>
      </c>
      <c r="L16">
        <v>149</v>
      </c>
      <c r="M16">
        <v>9</v>
      </c>
      <c r="N16">
        <v>1.1759999999999999</v>
      </c>
      <c r="O16">
        <v>0.60399999999999998</v>
      </c>
      <c r="P16">
        <v>0.14000000000000001</v>
      </c>
      <c r="Q16">
        <v>1.5109999999999999</v>
      </c>
      <c r="R16">
        <v>0.92100000000000004</v>
      </c>
      <c r="S16">
        <v>0.66100000000000003</v>
      </c>
      <c r="T16">
        <v>0.92100000000000004</v>
      </c>
      <c r="U16">
        <v>108.53700000000001</v>
      </c>
      <c r="V16" t="s">
        <v>58</v>
      </c>
      <c r="W16">
        <v>0.96899999999999997</v>
      </c>
      <c r="X16">
        <v>0.93100000000000005</v>
      </c>
      <c r="Y16">
        <v>0.54100000000000004</v>
      </c>
      <c r="Z16">
        <v>0.99099999999999999</v>
      </c>
      <c r="AA16" s="9">
        <v>45713.607588865743</v>
      </c>
      <c r="AB16" t="s">
        <v>873</v>
      </c>
      <c r="AC16" s="9"/>
    </row>
    <row r="17" spans="1:29" x14ac:dyDescent="0.35">
      <c r="A17" t="s">
        <v>62</v>
      </c>
      <c r="B17" t="s">
        <v>313</v>
      </c>
      <c r="C17">
        <v>1173</v>
      </c>
      <c r="D17" s="9">
        <v>44449.577777777777</v>
      </c>
      <c r="E17" s="9">
        <v>45623.504861111112</v>
      </c>
      <c r="F17">
        <v>8200</v>
      </c>
      <c r="G17">
        <v>7174</v>
      </c>
      <c r="H17">
        <v>4768</v>
      </c>
      <c r="I17">
        <v>2406</v>
      </c>
      <c r="J17">
        <v>776</v>
      </c>
      <c r="K17">
        <v>6398</v>
      </c>
      <c r="L17">
        <v>5104</v>
      </c>
      <c r="M17">
        <v>1294</v>
      </c>
      <c r="N17">
        <v>5.6950000000000003</v>
      </c>
      <c r="O17">
        <v>2.92</v>
      </c>
      <c r="P17">
        <v>1</v>
      </c>
      <c r="Q17">
        <v>6.569</v>
      </c>
      <c r="R17">
        <v>0.86299999999999999</v>
      </c>
      <c r="S17">
        <v>0.66100000000000003</v>
      </c>
      <c r="T17">
        <v>0.88400000000000001</v>
      </c>
      <c r="U17">
        <v>196.98599999999999</v>
      </c>
      <c r="V17" t="s">
        <v>58</v>
      </c>
      <c r="W17">
        <v>0.98</v>
      </c>
      <c r="X17">
        <v>0.98699999999999999</v>
      </c>
      <c r="Y17">
        <v>0.98199999999999998</v>
      </c>
      <c r="Z17">
        <v>0.98799999999999999</v>
      </c>
      <c r="AA17" s="9">
        <v>45713.607677569446</v>
      </c>
      <c r="AB17" t="s">
        <v>873</v>
      </c>
      <c r="AC17" s="9"/>
    </row>
    <row r="18" spans="1:29" hidden="1" x14ac:dyDescent="0.35">
      <c r="A18" t="s">
        <v>62</v>
      </c>
      <c r="B18" t="s">
        <v>314</v>
      </c>
      <c r="C18">
        <v>100</v>
      </c>
      <c r="D18" s="9">
        <v>45523.43472222222</v>
      </c>
      <c r="E18" s="9">
        <v>45623.504861111112</v>
      </c>
      <c r="F18" t="s">
        <v>874</v>
      </c>
      <c r="G18" t="s">
        <v>874</v>
      </c>
      <c r="H18">
        <v>764</v>
      </c>
      <c r="I18">
        <v>291</v>
      </c>
      <c r="J18">
        <v>124</v>
      </c>
      <c r="K18" t="s">
        <v>875</v>
      </c>
      <c r="L18">
        <v>876</v>
      </c>
      <c r="M18">
        <v>56</v>
      </c>
      <c r="N18">
        <v>7.3049999999999997</v>
      </c>
      <c r="O18">
        <v>3.0009999999999999</v>
      </c>
      <c r="P18">
        <v>1.306</v>
      </c>
      <c r="Q18">
        <v>9.202</v>
      </c>
      <c r="R18">
        <v>1.022</v>
      </c>
      <c r="S18">
        <v>0.70899999999999996</v>
      </c>
      <c r="T18">
        <v>0.873</v>
      </c>
      <c r="U18">
        <v>140.62200000000001</v>
      </c>
      <c r="V18" t="s">
        <v>64</v>
      </c>
      <c r="W18">
        <v>0.996</v>
      </c>
      <c r="X18">
        <v>0.98899999999999999</v>
      </c>
      <c r="Y18">
        <v>0.98199999999999998</v>
      </c>
      <c r="Z18">
        <v>0.996</v>
      </c>
      <c r="AA18" s="9">
        <v>45713.607695416664</v>
      </c>
      <c r="AB18" t="s">
        <v>873</v>
      </c>
      <c r="AC18" s="9"/>
    </row>
    <row r="19" spans="1:29" x14ac:dyDescent="0.35">
      <c r="A19" t="s">
        <v>63</v>
      </c>
      <c r="B19" t="s">
        <v>313</v>
      </c>
      <c r="C19">
        <v>4676</v>
      </c>
      <c r="D19" s="9">
        <v>40847.660416666666</v>
      </c>
      <c r="E19" s="9">
        <v>45524.352777777778</v>
      </c>
      <c r="F19">
        <v>7765</v>
      </c>
      <c r="G19">
        <v>7765</v>
      </c>
      <c r="H19">
        <v>6360</v>
      </c>
      <c r="I19">
        <v>1405</v>
      </c>
      <c r="J19">
        <v>2119</v>
      </c>
      <c r="K19">
        <v>5646</v>
      </c>
      <c r="L19">
        <v>5543</v>
      </c>
      <c r="M19">
        <v>103</v>
      </c>
      <c r="N19">
        <v>2.0470000000000002</v>
      </c>
      <c r="O19">
        <v>0.44400000000000001</v>
      </c>
      <c r="P19">
        <v>0.72199999999999998</v>
      </c>
      <c r="Q19">
        <v>1.7749999999999999</v>
      </c>
      <c r="R19">
        <v>1.0029999999999999</v>
      </c>
      <c r="S19">
        <v>0.82199999999999995</v>
      </c>
      <c r="T19">
        <v>0.71</v>
      </c>
      <c r="U19">
        <v>58.027999999999999</v>
      </c>
      <c r="V19" t="s">
        <v>64</v>
      </c>
      <c r="W19">
        <v>0.95399999999999996</v>
      </c>
      <c r="X19">
        <v>0.97299999999999998</v>
      </c>
      <c r="Y19">
        <v>0.89300000000000002</v>
      </c>
      <c r="Z19">
        <v>0.95199999999999996</v>
      </c>
      <c r="AA19" s="9">
        <v>45713.607782025465</v>
      </c>
      <c r="AB19" t="s">
        <v>873</v>
      </c>
      <c r="AC19" s="9"/>
    </row>
    <row r="20" spans="1:29" x14ac:dyDescent="0.35">
      <c r="A20" t="s">
        <v>65</v>
      </c>
      <c r="B20" t="s">
        <v>313</v>
      </c>
      <c r="C20">
        <v>4083</v>
      </c>
      <c r="D20" s="9">
        <v>41183.223611111112</v>
      </c>
      <c r="E20" s="9">
        <v>45266.399305555555</v>
      </c>
      <c r="F20">
        <v>483</v>
      </c>
      <c r="G20">
        <v>483</v>
      </c>
      <c r="H20">
        <v>277</v>
      </c>
      <c r="I20">
        <v>206</v>
      </c>
      <c r="J20">
        <v>34</v>
      </c>
      <c r="K20">
        <v>449</v>
      </c>
      <c r="L20">
        <v>430</v>
      </c>
      <c r="M20">
        <v>19</v>
      </c>
      <c r="N20">
        <v>0.11899999999999999</v>
      </c>
      <c r="O20">
        <v>0.08</v>
      </c>
      <c r="P20">
        <v>1.6E-2</v>
      </c>
      <c r="Q20">
        <v>0.16500000000000001</v>
      </c>
      <c r="R20">
        <v>0.90200000000000002</v>
      </c>
      <c r="S20">
        <v>0.59799999999999998</v>
      </c>
      <c r="T20">
        <v>0.92</v>
      </c>
      <c r="U20">
        <v>115.152</v>
      </c>
      <c r="V20" t="s">
        <v>58</v>
      </c>
      <c r="W20">
        <v>0.79900000000000004</v>
      </c>
      <c r="X20">
        <v>0.95799999999999996</v>
      </c>
      <c r="Y20">
        <v>0.97899999999999998</v>
      </c>
      <c r="Z20">
        <v>0.90500000000000003</v>
      </c>
      <c r="AA20" s="9">
        <v>45713.607857824078</v>
      </c>
      <c r="AB20" t="s">
        <v>873</v>
      </c>
      <c r="AC20" s="9"/>
    </row>
    <row r="21" spans="1:29" x14ac:dyDescent="0.35">
      <c r="A21" t="s">
        <v>66</v>
      </c>
      <c r="B21" t="s">
        <v>313</v>
      </c>
      <c r="C21">
        <v>5579</v>
      </c>
      <c r="D21" s="9">
        <v>39860.946527777778</v>
      </c>
      <c r="E21" s="9">
        <v>45440.324999999997</v>
      </c>
      <c r="F21">
        <v>2502</v>
      </c>
      <c r="G21">
        <v>2502</v>
      </c>
      <c r="H21">
        <v>1353</v>
      </c>
      <c r="I21">
        <v>1149</v>
      </c>
      <c r="J21">
        <v>401</v>
      </c>
      <c r="K21">
        <v>2101</v>
      </c>
      <c r="L21">
        <v>1490</v>
      </c>
      <c r="M21">
        <v>611</v>
      </c>
      <c r="N21">
        <v>0.50800000000000001</v>
      </c>
      <c r="O21">
        <v>0.46300000000000002</v>
      </c>
      <c r="P21">
        <v>0.14799999999999999</v>
      </c>
      <c r="Q21">
        <v>0.61899999999999999</v>
      </c>
      <c r="R21">
        <v>0.752</v>
      </c>
      <c r="S21">
        <v>0.52300000000000002</v>
      </c>
      <c r="T21">
        <v>0.84799999999999998</v>
      </c>
      <c r="U21">
        <v>987.07600000000002</v>
      </c>
      <c r="V21" t="s">
        <v>58</v>
      </c>
      <c r="W21">
        <v>0.84899999999999998</v>
      </c>
      <c r="X21">
        <v>0.96199999999999997</v>
      </c>
      <c r="Y21">
        <v>0.92200000000000004</v>
      </c>
      <c r="Z21">
        <v>0.89700000000000002</v>
      </c>
      <c r="AA21" s="9">
        <v>45713.607934490741</v>
      </c>
      <c r="AB21" t="s">
        <v>873</v>
      </c>
      <c r="AC21" s="9"/>
    </row>
    <row r="22" spans="1:29" x14ac:dyDescent="0.35">
      <c r="A22" t="s">
        <v>67</v>
      </c>
      <c r="B22" t="s">
        <v>313</v>
      </c>
      <c r="C22">
        <v>2764</v>
      </c>
      <c r="D22" s="9">
        <v>42759.4375</v>
      </c>
      <c r="E22" s="9">
        <v>45523.48333333333</v>
      </c>
      <c r="F22">
        <v>246</v>
      </c>
      <c r="G22">
        <v>246</v>
      </c>
      <c r="H22">
        <v>108</v>
      </c>
      <c r="I22">
        <v>138</v>
      </c>
      <c r="J22">
        <v>6</v>
      </c>
      <c r="K22">
        <v>240</v>
      </c>
      <c r="L22">
        <v>236</v>
      </c>
      <c r="M22">
        <v>5</v>
      </c>
      <c r="N22">
        <v>3.3000000000000002E-2</v>
      </c>
      <c r="O22">
        <v>5.1999999999999998E-2</v>
      </c>
      <c r="P22">
        <v>3.0000000000000001E-3</v>
      </c>
      <c r="Q22">
        <v>0.08</v>
      </c>
      <c r="R22">
        <v>0.97599999999999998</v>
      </c>
      <c r="S22">
        <v>0.38800000000000001</v>
      </c>
      <c r="T22">
        <v>0.96499999999999997</v>
      </c>
      <c r="U22">
        <v>62.5</v>
      </c>
      <c r="V22" t="s">
        <v>58</v>
      </c>
      <c r="W22">
        <v>0.97899999999999998</v>
      </c>
      <c r="X22">
        <v>0.92200000000000004</v>
      </c>
      <c r="Y22">
        <v>0.93799999999999994</v>
      </c>
      <c r="Z22">
        <v>0.95899999999999996</v>
      </c>
      <c r="AA22" s="9">
        <v>45713.608006273149</v>
      </c>
      <c r="AB22" t="s">
        <v>873</v>
      </c>
      <c r="AC22" s="9"/>
    </row>
    <row r="23" spans="1:29" x14ac:dyDescent="0.35">
      <c r="A23" t="s">
        <v>68</v>
      </c>
      <c r="B23" t="s">
        <v>313</v>
      </c>
      <c r="C23">
        <v>1051</v>
      </c>
      <c r="D23" s="9">
        <v>44553.245138888888</v>
      </c>
      <c r="E23" s="9">
        <v>45604.893750000003</v>
      </c>
      <c r="F23">
        <v>756</v>
      </c>
      <c r="G23">
        <v>756</v>
      </c>
      <c r="H23">
        <v>730</v>
      </c>
      <c r="I23">
        <v>26</v>
      </c>
      <c r="J23">
        <v>164</v>
      </c>
      <c r="K23">
        <v>592</v>
      </c>
      <c r="L23">
        <v>373</v>
      </c>
      <c r="M23">
        <v>219</v>
      </c>
      <c r="N23">
        <v>0.70299999999999996</v>
      </c>
      <c r="O23">
        <v>2.7E-2</v>
      </c>
      <c r="P23">
        <v>0.17199999999999999</v>
      </c>
      <c r="Q23">
        <v>0.371</v>
      </c>
      <c r="R23">
        <v>0.66500000000000004</v>
      </c>
      <c r="S23">
        <v>0.96299999999999997</v>
      </c>
      <c r="T23">
        <v>0.76400000000000001</v>
      </c>
      <c r="U23">
        <v>590.29600000000005</v>
      </c>
      <c r="V23" t="s">
        <v>58</v>
      </c>
      <c r="W23">
        <v>0.98299999999999998</v>
      </c>
      <c r="X23">
        <v>0.96899999999999997</v>
      </c>
      <c r="Y23">
        <v>0.95599999999999996</v>
      </c>
      <c r="Z23">
        <v>0.96799999999999997</v>
      </c>
      <c r="AA23" s="9">
        <v>45713.608085659725</v>
      </c>
      <c r="AB23" t="s">
        <v>873</v>
      </c>
      <c r="AC23" s="9"/>
    </row>
    <row r="24" spans="1:29" x14ac:dyDescent="0.35">
      <c r="A24" t="s">
        <v>69</v>
      </c>
      <c r="B24" t="s">
        <v>313</v>
      </c>
      <c r="C24">
        <v>3971</v>
      </c>
      <c r="D24" s="9">
        <v>41611.567361111112</v>
      </c>
      <c r="E24" s="9">
        <v>45583.529861111114</v>
      </c>
      <c r="F24">
        <v>812</v>
      </c>
      <c r="G24">
        <v>812</v>
      </c>
      <c r="H24">
        <v>495</v>
      </c>
      <c r="I24">
        <v>317</v>
      </c>
      <c r="J24">
        <v>242</v>
      </c>
      <c r="K24">
        <v>570</v>
      </c>
      <c r="L24">
        <v>469</v>
      </c>
      <c r="M24">
        <v>101</v>
      </c>
      <c r="N24">
        <v>0.17399999999999999</v>
      </c>
      <c r="O24">
        <v>0.122</v>
      </c>
      <c r="P24">
        <v>7.4999999999999997E-2</v>
      </c>
      <c r="Q24">
        <v>0.159</v>
      </c>
      <c r="R24">
        <v>0.71899999999999997</v>
      </c>
      <c r="S24">
        <v>0.58799999999999997</v>
      </c>
      <c r="T24">
        <v>0.747</v>
      </c>
      <c r="U24">
        <v>635.22</v>
      </c>
      <c r="V24" t="s">
        <v>58</v>
      </c>
      <c r="W24">
        <v>0.94599999999999995</v>
      </c>
      <c r="X24">
        <v>0.77800000000000002</v>
      </c>
      <c r="Y24">
        <v>0.96399999999999997</v>
      </c>
      <c r="Z24">
        <v>0.89900000000000002</v>
      </c>
      <c r="AA24" s="9">
        <v>45713.608162013887</v>
      </c>
      <c r="AB24" t="s">
        <v>873</v>
      </c>
      <c r="AC24" s="9"/>
    </row>
    <row r="25" spans="1:29" hidden="1" x14ac:dyDescent="0.35">
      <c r="A25" t="s">
        <v>69</v>
      </c>
      <c r="B25" t="s">
        <v>314</v>
      </c>
      <c r="C25">
        <v>98</v>
      </c>
      <c r="D25" s="9">
        <v>45485.477083333331</v>
      </c>
      <c r="E25" s="9">
        <v>45583.529861111114</v>
      </c>
      <c r="F25" t="s">
        <v>874</v>
      </c>
      <c r="G25" t="s">
        <v>874</v>
      </c>
      <c r="H25">
        <v>7</v>
      </c>
      <c r="I25">
        <v>3</v>
      </c>
      <c r="J25">
        <v>34</v>
      </c>
      <c r="K25" t="s">
        <v>875</v>
      </c>
      <c r="L25">
        <v>7</v>
      </c>
      <c r="M25">
        <v>-32</v>
      </c>
      <c r="N25">
        <v>0.04</v>
      </c>
      <c r="O25">
        <v>5.8000000000000003E-2</v>
      </c>
      <c r="P25">
        <v>0.20100000000000001</v>
      </c>
      <c r="Q25">
        <v>7.8E-2</v>
      </c>
      <c r="R25">
        <v>-0.75700000000000001</v>
      </c>
      <c r="S25">
        <v>0.40799999999999997</v>
      </c>
      <c r="T25">
        <v>-1.0509999999999999</v>
      </c>
      <c r="U25">
        <v>1294.8720000000001</v>
      </c>
      <c r="V25" t="s">
        <v>58</v>
      </c>
      <c r="W25">
        <v>0.76200000000000001</v>
      </c>
      <c r="X25">
        <v>0.77800000000000002</v>
      </c>
      <c r="Y25">
        <v>0.28799999999999998</v>
      </c>
      <c r="Z25">
        <v>0.69499999999999995</v>
      </c>
      <c r="AA25" s="9">
        <v>45713.608177627313</v>
      </c>
      <c r="AB25" t="s">
        <v>873</v>
      </c>
      <c r="AC25" s="9"/>
    </row>
    <row r="26" spans="1:29" x14ac:dyDescent="0.35">
      <c r="A26" t="s">
        <v>70</v>
      </c>
      <c r="B26" t="s">
        <v>313</v>
      </c>
      <c r="C26">
        <v>1396</v>
      </c>
      <c r="D26" s="9">
        <v>44208.149305555555</v>
      </c>
      <c r="E26" s="9">
        <v>45604.652083333334</v>
      </c>
      <c r="F26">
        <v>311</v>
      </c>
      <c r="G26">
        <v>311</v>
      </c>
      <c r="H26">
        <v>300</v>
      </c>
      <c r="I26">
        <v>11</v>
      </c>
      <c r="J26">
        <v>31</v>
      </c>
      <c r="K26">
        <v>280</v>
      </c>
      <c r="L26">
        <v>216</v>
      </c>
      <c r="M26">
        <v>64</v>
      </c>
      <c r="N26">
        <v>0.184</v>
      </c>
      <c r="O26">
        <v>2.1999999999999999E-2</v>
      </c>
      <c r="P26">
        <v>2.3E-2</v>
      </c>
      <c r="Q26">
        <v>0.13700000000000001</v>
      </c>
      <c r="R26">
        <v>0.749</v>
      </c>
      <c r="S26">
        <v>0.89300000000000002</v>
      </c>
      <c r="T26">
        <v>0.88800000000000001</v>
      </c>
      <c r="U26">
        <v>467.15300000000002</v>
      </c>
      <c r="V26" t="s">
        <v>58</v>
      </c>
      <c r="W26">
        <v>0.95099999999999996</v>
      </c>
      <c r="X26">
        <v>0.96299999999999997</v>
      </c>
      <c r="Y26">
        <v>0.56899999999999995</v>
      </c>
      <c r="Z26">
        <v>0.92300000000000004</v>
      </c>
      <c r="AA26" s="9">
        <v>45713.6082518287</v>
      </c>
      <c r="AB26" t="s">
        <v>873</v>
      </c>
      <c r="AC26" s="9"/>
    </row>
    <row r="27" spans="1:29" hidden="1" x14ac:dyDescent="0.35">
      <c r="A27" t="s">
        <v>70</v>
      </c>
      <c r="B27" t="s">
        <v>314</v>
      </c>
      <c r="C27">
        <v>95</v>
      </c>
      <c r="D27" s="9">
        <v>45509.490972222222</v>
      </c>
      <c r="E27" s="9">
        <v>45604.652083333334</v>
      </c>
      <c r="F27" t="s">
        <v>874</v>
      </c>
      <c r="G27" t="s">
        <v>874</v>
      </c>
      <c r="H27">
        <v>42</v>
      </c>
      <c r="I27">
        <v>4</v>
      </c>
      <c r="J27">
        <v>14</v>
      </c>
      <c r="K27" t="s">
        <v>875</v>
      </c>
      <c r="L27">
        <v>40</v>
      </c>
      <c r="M27">
        <v>-7</v>
      </c>
      <c r="N27">
        <v>0.42599999999999999</v>
      </c>
      <c r="O27">
        <v>6.2E-2</v>
      </c>
      <c r="P27">
        <v>0.11700000000000001</v>
      </c>
      <c r="Q27">
        <v>0.47399999999999998</v>
      </c>
      <c r="R27">
        <v>1.278</v>
      </c>
      <c r="S27">
        <v>0.873</v>
      </c>
      <c r="T27">
        <v>0.76</v>
      </c>
      <c r="U27">
        <v>135.02099999999999</v>
      </c>
      <c r="V27" t="s">
        <v>64</v>
      </c>
      <c r="W27">
        <v>0.96599999999999997</v>
      </c>
      <c r="X27">
        <v>0.92</v>
      </c>
      <c r="Y27">
        <v>0.70399999999999996</v>
      </c>
      <c r="Z27">
        <v>0.89900000000000002</v>
      </c>
      <c r="AA27" s="9">
        <v>45713.608268310185</v>
      </c>
      <c r="AB27" t="s">
        <v>873</v>
      </c>
      <c r="AC27" s="9"/>
    </row>
    <row r="28" spans="1:29" x14ac:dyDescent="0.35">
      <c r="A28" t="s">
        <v>71</v>
      </c>
      <c r="B28" t="s">
        <v>313</v>
      </c>
      <c r="C28">
        <v>1896</v>
      </c>
      <c r="D28" s="9">
        <v>43706.547222222223</v>
      </c>
      <c r="E28" s="9">
        <v>45603.443749999999</v>
      </c>
      <c r="F28">
        <v>335</v>
      </c>
      <c r="G28">
        <v>270</v>
      </c>
      <c r="H28">
        <v>258</v>
      </c>
      <c r="I28">
        <v>12</v>
      </c>
      <c r="J28">
        <v>50</v>
      </c>
      <c r="K28">
        <v>220</v>
      </c>
      <c r="L28">
        <v>75</v>
      </c>
      <c r="M28">
        <v>145</v>
      </c>
      <c r="N28">
        <v>0.19</v>
      </c>
      <c r="O28">
        <v>1.0999999999999999E-2</v>
      </c>
      <c r="P28">
        <v>4.2000000000000003E-2</v>
      </c>
      <c r="Q28">
        <v>6.0999999999999999E-2</v>
      </c>
      <c r="R28">
        <v>0.38400000000000001</v>
      </c>
      <c r="S28">
        <v>0.94499999999999995</v>
      </c>
      <c r="T28">
        <v>0.79100000000000004</v>
      </c>
      <c r="U28">
        <v>2377.049</v>
      </c>
      <c r="V28" t="s">
        <v>58</v>
      </c>
      <c r="W28">
        <v>0.85099999999999998</v>
      </c>
      <c r="X28">
        <v>0.91500000000000004</v>
      </c>
      <c r="Y28">
        <v>0.88200000000000001</v>
      </c>
      <c r="Z28">
        <v>0.95899999999999996</v>
      </c>
      <c r="AA28" s="9">
        <v>45713.608344363427</v>
      </c>
      <c r="AB28" t="s">
        <v>873</v>
      </c>
      <c r="AC28" s="9"/>
    </row>
    <row r="29" spans="1:29" x14ac:dyDescent="0.35">
      <c r="A29" t="s">
        <v>72</v>
      </c>
      <c r="B29" t="s">
        <v>313</v>
      </c>
      <c r="C29">
        <v>3612</v>
      </c>
      <c r="D29" s="9">
        <v>41753.563194444447</v>
      </c>
      <c r="E29" s="9">
        <v>45365.670138888891</v>
      </c>
      <c r="F29">
        <v>1197</v>
      </c>
      <c r="G29">
        <v>1197</v>
      </c>
      <c r="H29">
        <v>672</v>
      </c>
      <c r="I29">
        <v>525</v>
      </c>
      <c r="J29">
        <v>164</v>
      </c>
      <c r="K29">
        <v>1033</v>
      </c>
      <c r="L29">
        <v>699</v>
      </c>
      <c r="M29">
        <v>334</v>
      </c>
      <c r="N29">
        <v>0.56299999999999994</v>
      </c>
      <c r="O29">
        <v>0.33600000000000002</v>
      </c>
      <c r="P29">
        <v>0.03</v>
      </c>
      <c r="Q29">
        <v>0.55000000000000004</v>
      </c>
      <c r="R29">
        <v>0.63300000000000001</v>
      </c>
      <c r="S29">
        <v>0.626</v>
      </c>
      <c r="T29">
        <v>0.96699999999999997</v>
      </c>
      <c r="U29">
        <v>607.27300000000002</v>
      </c>
      <c r="V29" t="s">
        <v>58</v>
      </c>
      <c r="W29">
        <v>0.80100000000000005</v>
      </c>
      <c r="X29">
        <v>0.66400000000000003</v>
      </c>
      <c r="Y29">
        <v>0.83599999999999997</v>
      </c>
      <c r="Z29">
        <v>0.80400000000000005</v>
      </c>
      <c r="AA29" s="9">
        <v>45713.608420555553</v>
      </c>
      <c r="AB29" t="s">
        <v>873</v>
      </c>
      <c r="AC29" s="9"/>
    </row>
    <row r="30" spans="1:29" x14ac:dyDescent="0.35">
      <c r="A30" t="s">
        <v>73</v>
      </c>
      <c r="B30" t="s">
        <v>313</v>
      </c>
      <c r="C30">
        <v>1112</v>
      </c>
      <c r="D30" s="9">
        <v>44216.246527777781</v>
      </c>
      <c r="E30" s="9">
        <v>45328.728472222225</v>
      </c>
      <c r="F30">
        <v>292</v>
      </c>
      <c r="G30">
        <v>283</v>
      </c>
      <c r="H30">
        <v>227</v>
      </c>
      <c r="I30">
        <v>56</v>
      </c>
      <c r="J30">
        <v>6</v>
      </c>
      <c r="K30">
        <v>277</v>
      </c>
      <c r="L30">
        <v>249</v>
      </c>
      <c r="M30">
        <v>28</v>
      </c>
      <c r="N30">
        <v>0.35599999999999998</v>
      </c>
      <c r="O30">
        <v>0.126</v>
      </c>
      <c r="P30">
        <v>0</v>
      </c>
      <c r="Q30">
        <v>0.37</v>
      </c>
      <c r="R30">
        <v>0.76800000000000002</v>
      </c>
      <c r="S30">
        <v>0.73899999999999999</v>
      </c>
      <c r="T30">
        <v>1</v>
      </c>
      <c r="U30">
        <v>75.676000000000002</v>
      </c>
      <c r="V30" t="s">
        <v>58</v>
      </c>
      <c r="W30">
        <v>0.67700000000000005</v>
      </c>
      <c r="X30">
        <v>0.93200000000000005</v>
      </c>
      <c r="Y30">
        <v>0</v>
      </c>
      <c r="Z30">
        <v>0.69399999999999995</v>
      </c>
      <c r="AA30" s="9">
        <v>45713.608492638887</v>
      </c>
      <c r="AB30" t="s">
        <v>873</v>
      </c>
      <c r="AC30" s="9"/>
    </row>
    <row r="31" spans="1:29" x14ac:dyDescent="0.35">
      <c r="A31" t="s">
        <v>74</v>
      </c>
      <c r="B31" t="s">
        <v>313</v>
      </c>
      <c r="C31">
        <v>1952</v>
      </c>
      <c r="D31" s="9">
        <v>43605.890277777777</v>
      </c>
      <c r="E31" s="9">
        <v>45558.154166666667</v>
      </c>
      <c r="F31">
        <v>974</v>
      </c>
      <c r="G31">
        <v>872</v>
      </c>
      <c r="H31">
        <v>766</v>
      </c>
      <c r="I31">
        <v>106</v>
      </c>
      <c r="J31">
        <v>87</v>
      </c>
      <c r="K31">
        <v>785</v>
      </c>
      <c r="L31">
        <v>668</v>
      </c>
      <c r="M31">
        <v>117</v>
      </c>
      <c r="N31">
        <v>0.46300000000000002</v>
      </c>
      <c r="O31">
        <v>6.6000000000000003E-2</v>
      </c>
      <c r="P31">
        <v>8.2000000000000003E-2</v>
      </c>
      <c r="Q31">
        <v>0.41299999999999998</v>
      </c>
      <c r="R31">
        <v>0.92400000000000004</v>
      </c>
      <c r="S31">
        <v>0.875</v>
      </c>
      <c r="T31">
        <v>0.84499999999999997</v>
      </c>
      <c r="U31">
        <v>283.29300000000001</v>
      </c>
      <c r="V31" t="s">
        <v>58</v>
      </c>
      <c r="W31">
        <v>0.98799999999999999</v>
      </c>
      <c r="X31">
        <v>0.94199999999999995</v>
      </c>
      <c r="Y31">
        <v>0.76200000000000001</v>
      </c>
      <c r="Z31">
        <v>0.99099999999999999</v>
      </c>
      <c r="AA31" s="9">
        <v>45713.608569826392</v>
      </c>
      <c r="AB31" t="s">
        <v>873</v>
      </c>
      <c r="AC31" s="9"/>
    </row>
    <row r="32" spans="1:29" x14ac:dyDescent="0.35">
      <c r="A32" t="s">
        <v>75</v>
      </c>
      <c r="B32" t="s">
        <v>313</v>
      </c>
      <c r="C32">
        <v>5555</v>
      </c>
      <c r="D32" s="9">
        <v>40031.338888888888</v>
      </c>
      <c r="E32" s="9">
        <v>45587.308333333334</v>
      </c>
      <c r="F32">
        <v>2140</v>
      </c>
      <c r="G32">
        <v>2140</v>
      </c>
      <c r="H32">
        <v>1406</v>
      </c>
      <c r="I32">
        <v>734</v>
      </c>
      <c r="J32">
        <v>228</v>
      </c>
      <c r="K32">
        <v>1912</v>
      </c>
      <c r="L32">
        <v>1456</v>
      </c>
      <c r="M32">
        <v>456</v>
      </c>
      <c r="N32">
        <v>0.46700000000000003</v>
      </c>
      <c r="O32">
        <v>0.218</v>
      </c>
      <c r="P32">
        <v>5.8000000000000003E-2</v>
      </c>
      <c r="Q32">
        <v>0.47299999999999998</v>
      </c>
      <c r="R32">
        <v>0.754</v>
      </c>
      <c r="S32">
        <v>0.68200000000000005</v>
      </c>
      <c r="T32">
        <v>0.91500000000000004</v>
      </c>
      <c r="U32">
        <v>964.05899999999997</v>
      </c>
      <c r="V32" t="s">
        <v>58</v>
      </c>
      <c r="W32">
        <v>0.81699999999999995</v>
      </c>
      <c r="X32">
        <v>0.84799999999999998</v>
      </c>
      <c r="Y32">
        <v>0.83299999999999996</v>
      </c>
      <c r="Z32">
        <v>0.84899999999999998</v>
      </c>
      <c r="AA32" s="9">
        <v>45713.608643969907</v>
      </c>
      <c r="AB32" t="s">
        <v>873</v>
      </c>
      <c r="AC32" s="9"/>
    </row>
    <row r="33" spans="1:29" x14ac:dyDescent="0.35">
      <c r="A33" t="s">
        <v>76</v>
      </c>
      <c r="B33" t="s">
        <v>313</v>
      </c>
      <c r="C33">
        <v>2218</v>
      </c>
      <c r="D33" s="9">
        <v>43385.613888888889</v>
      </c>
      <c r="E33" s="9">
        <v>45604.527777777781</v>
      </c>
      <c r="F33">
        <v>404</v>
      </c>
      <c r="G33">
        <v>366</v>
      </c>
      <c r="H33">
        <v>348</v>
      </c>
      <c r="I33">
        <v>18</v>
      </c>
      <c r="J33">
        <v>106</v>
      </c>
      <c r="K33">
        <v>260</v>
      </c>
      <c r="L33">
        <v>204</v>
      </c>
      <c r="M33">
        <v>56</v>
      </c>
      <c r="N33">
        <v>0.27</v>
      </c>
      <c r="O33">
        <v>1.6E-2</v>
      </c>
      <c r="P33">
        <v>0.09</v>
      </c>
      <c r="Q33">
        <v>0.16800000000000001</v>
      </c>
      <c r="R33">
        <v>0.85699999999999998</v>
      </c>
      <c r="S33">
        <v>0.94399999999999995</v>
      </c>
      <c r="T33">
        <v>0.68500000000000005</v>
      </c>
      <c r="U33">
        <v>333.33300000000003</v>
      </c>
      <c r="V33" t="s">
        <v>58</v>
      </c>
      <c r="W33">
        <v>0.95799999999999996</v>
      </c>
      <c r="X33">
        <v>0.81599999999999995</v>
      </c>
      <c r="Y33">
        <v>0.94199999999999995</v>
      </c>
      <c r="Z33">
        <v>0.95699999999999996</v>
      </c>
      <c r="AA33" s="9">
        <v>45713.608719756943</v>
      </c>
      <c r="AB33" t="s">
        <v>873</v>
      </c>
      <c r="AC33" s="9"/>
    </row>
    <row r="34" spans="1:29" x14ac:dyDescent="0.35">
      <c r="A34" t="s">
        <v>77</v>
      </c>
      <c r="B34" t="s">
        <v>313</v>
      </c>
      <c r="C34">
        <v>1994</v>
      </c>
      <c r="D34" s="9">
        <v>43614.54583333333</v>
      </c>
      <c r="E34" s="9">
        <v>45609.425694444442</v>
      </c>
      <c r="F34">
        <v>459</v>
      </c>
      <c r="G34">
        <v>386</v>
      </c>
      <c r="H34">
        <v>348</v>
      </c>
      <c r="I34">
        <v>38</v>
      </c>
      <c r="J34">
        <v>88</v>
      </c>
      <c r="K34">
        <v>298</v>
      </c>
      <c r="L34">
        <v>227</v>
      </c>
      <c r="M34">
        <v>71</v>
      </c>
      <c r="N34">
        <v>0.189</v>
      </c>
      <c r="O34">
        <v>2.7E-2</v>
      </c>
      <c r="P34">
        <v>8.8999999999999996E-2</v>
      </c>
      <c r="Q34">
        <v>0.13800000000000001</v>
      </c>
      <c r="R34">
        <v>1.087</v>
      </c>
      <c r="S34">
        <v>0.875</v>
      </c>
      <c r="T34">
        <v>0.58799999999999997</v>
      </c>
      <c r="U34">
        <v>514.49300000000005</v>
      </c>
      <c r="V34" t="s">
        <v>64</v>
      </c>
      <c r="W34">
        <v>0.95899999999999996</v>
      </c>
      <c r="X34">
        <v>0.63500000000000001</v>
      </c>
      <c r="Y34">
        <v>0.94899999999999995</v>
      </c>
      <c r="Z34">
        <v>0.96199999999999997</v>
      </c>
      <c r="AA34" s="9">
        <v>45713.608799837966</v>
      </c>
      <c r="AB34" t="s">
        <v>873</v>
      </c>
      <c r="AC34" s="9"/>
    </row>
    <row r="35" spans="1:29" hidden="1" x14ac:dyDescent="0.35">
      <c r="A35" t="s">
        <v>77</v>
      </c>
      <c r="B35" t="s">
        <v>314</v>
      </c>
      <c r="C35">
        <v>85</v>
      </c>
      <c r="D35" s="9">
        <v>45523.804166666669</v>
      </c>
      <c r="E35" s="9">
        <v>45609.425694444442</v>
      </c>
      <c r="F35" t="s">
        <v>874</v>
      </c>
      <c r="G35" t="s">
        <v>874</v>
      </c>
      <c r="H35">
        <v>29</v>
      </c>
      <c r="I35">
        <v>7</v>
      </c>
      <c r="J35">
        <v>22</v>
      </c>
      <c r="K35" t="s">
        <v>875</v>
      </c>
      <c r="L35">
        <v>19</v>
      </c>
      <c r="M35">
        <v>-6</v>
      </c>
      <c r="N35">
        <v>0.35699999999999998</v>
      </c>
      <c r="O35">
        <v>6.8000000000000005E-2</v>
      </c>
      <c r="P35">
        <v>0.41399999999999998</v>
      </c>
      <c r="Q35">
        <v>0.20399999999999999</v>
      </c>
      <c r="R35">
        <v>18.545000000000002</v>
      </c>
      <c r="S35">
        <v>0.84</v>
      </c>
      <c r="T35">
        <v>2.5999999999999999E-2</v>
      </c>
      <c r="U35">
        <v>348.03899999999999</v>
      </c>
      <c r="V35" t="s">
        <v>64</v>
      </c>
      <c r="W35">
        <v>0.94199999999999995</v>
      </c>
      <c r="X35">
        <v>0.97499999999999998</v>
      </c>
      <c r="Y35">
        <v>0.57899999999999996</v>
      </c>
      <c r="Z35">
        <v>0.94199999999999995</v>
      </c>
      <c r="AA35" s="9">
        <v>45713.608815335647</v>
      </c>
      <c r="AB35" t="s">
        <v>873</v>
      </c>
      <c r="AC35" s="9"/>
    </row>
    <row r="36" spans="1:29" x14ac:dyDescent="0.35">
      <c r="A36" t="s">
        <v>78</v>
      </c>
      <c r="B36" t="s">
        <v>313</v>
      </c>
      <c r="C36">
        <v>3836</v>
      </c>
      <c r="D36" s="9">
        <v>41753.263888888891</v>
      </c>
      <c r="E36" s="9">
        <v>45589.443749999999</v>
      </c>
      <c r="F36">
        <v>2189</v>
      </c>
      <c r="G36">
        <v>2189</v>
      </c>
      <c r="H36">
        <v>1866</v>
      </c>
      <c r="I36">
        <v>323</v>
      </c>
      <c r="J36">
        <v>40</v>
      </c>
      <c r="K36">
        <v>2149</v>
      </c>
      <c r="L36">
        <v>2028</v>
      </c>
      <c r="M36">
        <v>121</v>
      </c>
      <c r="N36">
        <v>1.0640000000000001</v>
      </c>
      <c r="O36">
        <v>0.114</v>
      </c>
      <c r="P36">
        <v>4.9000000000000002E-2</v>
      </c>
      <c r="Q36">
        <v>0.97099999999999997</v>
      </c>
      <c r="R36">
        <v>0.86</v>
      </c>
      <c r="S36">
        <v>0.90300000000000002</v>
      </c>
      <c r="T36">
        <v>0.95799999999999996</v>
      </c>
      <c r="U36">
        <v>124.614</v>
      </c>
      <c r="V36" t="s">
        <v>58</v>
      </c>
      <c r="W36">
        <v>0.90100000000000002</v>
      </c>
      <c r="X36">
        <v>0.96499999999999997</v>
      </c>
      <c r="Y36">
        <v>0.81799999999999995</v>
      </c>
      <c r="Z36">
        <v>0.90100000000000002</v>
      </c>
      <c r="AA36" s="9">
        <v>45713.608891446762</v>
      </c>
      <c r="AB36" t="s">
        <v>873</v>
      </c>
      <c r="AC36" s="9"/>
    </row>
    <row r="37" spans="1:29" x14ac:dyDescent="0.35">
      <c r="A37" t="s">
        <v>79</v>
      </c>
      <c r="B37" t="s">
        <v>313</v>
      </c>
      <c r="C37">
        <v>5571</v>
      </c>
      <c r="D37" s="9">
        <v>40002.269444444442</v>
      </c>
      <c r="E37" s="9">
        <v>45573.70416666667</v>
      </c>
      <c r="F37">
        <v>435</v>
      </c>
      <c r="G37">
        <v>435</v>
      </c>
      <c r="H37">
        <v>195</v>
      </c>
      <c r="I37">
        <v>240</v>
      </c>
      <c r="J37">
        <v>45</v>
      </c>
      <c r="K37">
        <v>390</v>
      </c>
      <c r="L37">
        <v>365</v>
      </c>
      <c r="M37">
        <v>25</v>
      </c>
      <c r="N37">
        <v>3.5999999999999997E-2</v>
      </c>
      <c r="O37">
        <v>4.5999999999999999E-2</v>
      </c>
      <c r="P37">
        <v>0.01</v>
      </c>
      <c r="Q37">
        <v>6.8000000000000005E-2</v>
      </c>
      <c r="R37">
        <v>0.94399999999999995</v>
      </c>
      <c r="S37">
        <v>0.439</v>
      </c>
      <c r="T37">
        <v>0.878</v>
      </c>
      <c r="U37">
        <v>367.64699999999999</v>
      </c>
      <c r="V37" t="s">
        <v>58</v>
      </c>
      <c r="W37">
        <v>0.93200000000000005</v>
      </c>
      <c r="X37">
        <v>0.9</v>
      </c>
      <c r="Y37">
        <v>0.97799999999999998</v>
      </c>
      <c r="Z37">
        <v>0.90500000000000003</v>
      </c>
      <c r="AA37" s="9">
        <v>45713.608965474537</v>
      </c>
      <c r="AB37" t="s">
        <v>873</v>
      </c>
      <c r="AC37" s="9"/>
    </row>
    <row r="38" spans="1:29" x14ac:dyDescent="0.35">
      <c r="A38" t="s">
        <v>80</v>
      </c>
      <c r="B38" t="s">
        <v>313</v>
      </c>
      <c r="C38">
        <v>1396</v>
      </c>
      <c r="D38" s="9">
        <v>44207.632638888892</v>
      </c>
      <c r="E38" s="9">
        <v>45603.761805555558</v>
      </c>
      <c r="F38">
        <v>423</v>
      </c>
      <c r="G38">
        <v>370</v>
      </c>
      <c r="H38">
        <v>357</v>
      </c>
      <c r="I38">
        <v>13</v>
      </c>
      <c r="J38">
        <v>74</v>
      </c>
      <c r="K38">
        <v>296</v>
      </c>
      <c r="L38">
        <v>213</v>
      </c>
      <c r="M38">
        <v>83</v>
      </c>
      <c r="N38">
        <v>0.25</v>
      </c>
      <c r="O38">
        <v>0.01</v>
      </c>
      <c r="P38">
        <v>5.0999999999999997E-2</v>
      </c>
      <c r="Q38">
        <v>0.14599999999999999</v>
      </c>
      <c r="R38">
        <v>0.69899999999999995</v>
      </c>
      <c r="S38">
        <v>0.96199999999999997</v>
      </c>
      <c r="T38">
        <v>0.80400000000000005</v>
      </c>
      <c r="U38">
        <v>568.49300000000005</v>
      </c>
      <c r="V38" t="s">
        <v>58</v>
      </c>
      <c r="W38">
        <v>0.95599999999999996</v>
      </c>
      <c r="X38">
        <v>0.94699999999999995</v>
      </c>
      <c r="Y38">
        <v>0.77600000000000002</v>
      </c>
      <c r="Z38">
        <v>0.91200000000000003</v>
      </c>
      <c r="AA38" s="9">
        <v>45713.609043159726</v>
      </c>
      <c r="AB38" t="s">
        <v>873</v>
      </c>
      <c r="AC38" s="9"/>
    </row>
    <row r="39" spans="1:29" x14ac:dyDescent="0.35">
      <c r="A39" t="s">
        <v>81</v>
      </c>
      <c r="B39" t="s">
        <v>313</v>
      </c>
      <c r="C39">
        <v>4190</v>
      </c>
      <c r="D39" s="9">
        <v>40144.981944444444</v>
      </c>
      <c r="E39" s="9">
        <v>44335.30972222222</v>
      </c>
      <c r="F39">
        <v>722</v>
      </c>
      <c r="G39">
        <v>722</v>
      </c>
      <c r="H39">
        <v>284</v>
      </c>
      <c r="I39">
        <v>438</v>
      </c>
      <c r="J39">
        <v>353</v>
      </c>
      <c r="K39">
        <v>369</v>
      </c>
      <c r="L39">
        <v>369</v>
      </c>
      <c r="M39">
        <v>0</v>
      </c>
      <c r="N39">
        <v>0.09</v>
      </c>
      <c r="O39">
        <v>0.159</v>
      </c>
      <c r="P39">
        <v>6.2E-2</v>
      </c>
      <c r="Q39">
        <v>0.14899999999999999</v>
      </c>
      <c r="R39">
        <v>0.79700000000000004</v>
      </c>
      <c r="S39">
        <v>0.36099999999999999</v>
      </c>
      <c r="T39">
        <v>0.751</v>
      </c>
      <c r="U39">
        <v>0</v>
      </c>
      <c r="V39" t="s">
        <v>82</v>
      </c>
      <c r="W39">
        <v>0.95499999999999996</v>
      </c>
      <c r="X39">
        <v>0.95799999999999996</v>
      </c>
      <c r="Y39">
        <v>0.63300000000000001</v>
      </c>
      <c r="Z39">
        <v>0.92400000000000004</v>
      </c>
      <c r="AA39" s="9">
        <v>45713.609116388892</v>
      </c>
      <c r="AB39" t="s">
        <v>873</v>
      </c>
      <c r="AC39" s="9"/>
    </row>
    <row r="40" spans="1:29" x14ac:dyDescent="0.35">
      <c r="A40" t="s">
        <v>83</v>
      </c>
      <c r="B40" t="s">
        <v>313</v>
      </c>
      <c r="C40">
        <v>3749</v>
      </c>
      <c r="D40" s="9">
        <v>39801.320833333331</v>
      </c>
      <c r="E40" s="9">
        <v>43550.478472222225</v>
      </c>
      <c r="F40">
        <v>452</v>
      </c>
      <c r="G40">
        <v>452</v>
      </c>
      <c r="H40">
        <v>147</v>
      </c>
      <c r="I40">
        <v>305</v>
      </c>
      <c r="J40">
        <v>69</v>
      </c>
      <c r="K40">
        <v>383</v>
      </c>
      <c r="L40">
        <v>378</v>
      </c>
      <c r="M40">
        <v>5</v>
      </c>
      <c r="N40">
        <v>4.5999999999999999E-2</v>
      </c>
      <c r="O40">
        <v>8.1000000000000003E-2</v>
      </c>
      <c r="P40">
        <v>1.7999999999999999E-2</v>
      </c>
      <c r="Q40">
        <v>0.113</v>
      </c>
      <c r="R40">
        <v>1.0369999999999999</v>
      </c>
      <c r="S40">
        <v>0.36199999999999999</v>
      </c>
      <c r="T40">
        <v>0.85799999999999998</v>
      </c>
      <c r="U40">
        <v>44.247999999999998</v>
      </c>
      <c r="V40" t="s">
        <v>64</v>
      </c>
      <c r="W40">
        <v>0.98499999999999999</v>
      </c>
      <c r="X40">
        <v>0.94</v>
      </c>
      <c r="Y40">
        <v>0.96799999999999997</v>
      </c>
      <c r="Z40">
        <v>0.97199999999999998</v>
      </c>
      <c r="AA40" s="9">
        <v>45713.609195115743</v>
      </c>
      <c r="AB40" t="s">
        <v>873</v>
      </c>
      <c r="AC40" s="9"/>
    </row>
    <row r="41" spans="1:29" x14ac:dyDescent="0.35">
      <c r="A41" t="s">
        <v>84</v>
      </c>
      <c r="B41" t="s">
        <v>313</v>
      </c>
      <c r="C41">
        <v>1306</v>
      </c>
      <c r="D41" s="9">
        <v>44305.305555555555</v>
      </c>
      <c r="E41" s="9">
        <v>45611.626388888886</v>
      </c>
      <c r="F41">
        <v>606</v>
      </c>
      <c r="G41">
        <v>604</v>
      </c>
      <c r="H41">
        <v>331</v>
      </c>
      <c r="I41">
        <v>273</v>
      </c>
      <c r="J41">
        <v>51</v>
      </c>
      <c r="K41">
        <v>553</v>
      </c>
      <c r="L41">
        <v>520</v>
      </c>
      <c r="M41">
        <v>33</v>
      </c>
      <c r="N41">
        <v>0.217</v>
      </c>
      <c r="O41">
        <v>0.26600000000000001</v>
      </c>
      <c r="P41">
        <v>4.5999999999999999E-2</v>
      </c>
      <c r="Q41">
        <v>0.39400000000000002</v>
      </c>
      <c r="R41">
        <v>0.90200000000000002</v>
      </c>
      <c r="S41">
        <v>0.44900000000000001</v>
      </c>
      <c r="T41">
        <v>0.90500000000000003</v>
      </c>
      <c r="U41">
        <v>83.756</v>
      </c>
      <c r="V41" t="s">
        <v>58</v>
      </c>
      <c r="W41">
        <v>0.63800000000000001</v>
      </c>
      <c r="X41">
        <v>0.17599999999999999</v>
      </c>
      <c r="Y41">
        <v>0.92100000000000004</v>
      </c>
      <c r="Z41">
        <v>0.41</v>
      </c>
      <c r="AA41" s="9">
        <v>45713.609297627314</v>
      </c>
      <c r="AB41" t="s">
        <v>873</v>
      </c>
      <c r="AC41" s="9"/>
    </row>
    <row r="42" spans="1:29" hidden="1" x14ac:dyDescent="0.35">
      <c r="A42" t="s">
        <v>84</v>
      </c>
      <c r="B42" t="s">
        <v>314</v>
      </c>
      <c r="C42">
        <v>87</v>
      </c>
      <c r="D42" s="9">
        <v>45524.309027777781</v>
      </c>
      <c r="E42" s="9">
        <v>45611.626388888886</v>
      </c>
      <c r="F42" t="s">
        <v>874</v>
      </c>
      <c r="G42" t="s">
        <v>874</v>
      </c>
      <c r="H42">
        <v>52</v>
      </c>
      <c r="I42">
        <v>3</v>
      </c>
      <c r="J42">
        <v>8</v>
      </c>
      <c r="K42" t="s">
        <v>875</v>
      </c>
      <c r="L42">
        <v>25</v>
      </c>
      <c r="M42">
        <v>23</v>
      </c>
      <c r="N42">
        <v>0.52300000000000002</v>
      </c>
      <c r="O42">
        <v>0.03</v>
      </c>
      <c r="P42">
        <v>0.28399999999999997</v>
      </c>
      <c r="Q42">
        <v>0.32300000000000001</v>
      </c>
      <c r="R42">
        <v>1.2010000000000001</v>
      </c>
      <c r="S42">
        <v>0.94599999999999995</v>
      </c>
      <c r="T42">
        <v>0.48599999999999999</v>
      </c>
      <c r="U42">
        <v>102.167</v>
      </c>
      <c r="V42" t="s">
        <v>64</v>
      </c>
      <c r="W42">
        <v>0.89600000000000002</v>
      </c>
      <c r="X42">
        <v>0.99099999999999999</v>
      </c>
      <c r="Y42">
        <v>0.59199999999999997</v>
      </c>
      <c r="Z42">
        <v>0.91800000000000004</v>
      </c>
      <c r="AA42" s="9">
        <v>45713.609320069445</v>
      </c>
      <c r="AB42" t="s">
        <v>873</v>
      </c>
      <c r="AC42" s="9"/>
    </row>
    <row r="43" spans="1:29" x14ac:dyDescent="0.35">
      <c r="A43" t="s">
        <v>85</v>
      </c>
      <c r="B43" t="s">
        <v>313</v>
      </c>
      <c r="C43">
        <v>1239</v>
      </c>
      <c r="D43" s="9">
        <v>44369.488888888889</v>
      </c>
      <c r="E43" s="9">
        <v>45608.613194444442</v>
      </c>
      <c r="F43">
        <v>791</v>
      </c>
      <c r="G43">
        <v>725</v>
      </c>
      <c r="H43">
        <v>712</v>
      </c>
      <c r="I43">
        <v>13</v>
      </c>
      <c r="J43">
        <v>98</v>
      </c>
      <c r="K43">
        <v>627</v>
      </c>
      <c r="L43">
        <v>508</v>
      </c>
      <c r="M43">
        <v>119</v>
      </c>
      <c r="N43">
        <v>0.58599999999999997</v>
      </c>
      <c r="O43">
        <v>1.0999999999999999E-2</v>
      </c>
      <c r="P43">
        <v>7.6999999999999999E-2</v>
      </c>
      <c r="Q43">
        <v>0.436</v>
      </c>
      <c r="R43">
        <v>0.83799999999999997</v>
      </c>
      <c r="S43">
        <v>0.98199999999999998</v>
      </c>
      <c r="T43">
        <v>0.871</v>
      </c>
      <c r="U43">
        <v>272.93599999999998</v>
      </c>
      <c r="V43" t="s">
        <v>58</v>
      </c>
      <c r="W43">
        <v>0.96399999999999997</v>
      </c>
      <c r="X43">
        <v>0.82299999999999995</v>
      </c>
      <c r="Y43">
        <v>0.96499999999999997</v>
      </c>
      <c r="Z43">
        <v>0.96799999999999997</v>
      </c>
      <c r="AA43" s="9">
        <v>45713.609412349535</v>
      </c>
      <c r="AB43" t="s">
        <v>873</v>
      </c>
      <c r="AC43" s="9"/>
    </row>
    <row r="44" spans="1:29" x14ac:dyDescent="0.35">
      <c r="A44" t="s">
        <v>86</v>
      </c>
      <c r="B44" t="s">
        <v>313</v>
      </c>
      <c r="C44">
        <v>4138</v>
      </c>
      <c r="D44" s="9">
        <v>41464.209722222222</v>
      </c>
      <c r="E44" s="9">
        <v>45602.430555555555</v>
      </c>
      <c r="F44">
        <v>602</v>
      </c>
      <c r="G44">
        <v>602</v>
      </c>
      <c r="H44">
        <v>95</v>
      </c>
      <c r="I44">
        <v>507</v>
      </c>
      <c r="J44">
        <v>47</v>
      </c>
      <c r="K44">
        <v>555</v>
      </c>
      <c r="L44">
        <v>531</v>
      </c>
      <c r="M44">
        <v>24</v>
      </c>
      <c r="N44">
        <v>3.3000000000000002E-2</v>
      </c>
      <c r="O44">
        <v>0.17299999999999999</v>
      </c>
      <c r="P44">
        <v>1.6E-2</v>
      </c>
      <c r="Q44">
        <v>0.157</v>
      </c>
      <c r="R44">
        <v>0.82599999999999996</v>
      </c>
      <c r="S44">
        <v>0.16</v>
      </c>
      <c r="T44">
        <v>0.92200000000000004</v>
      </c>
      <c r="U44">
        <v>152.86600000000001</v>
      </c>
      <c r="V44" t="s">
        <v>58</v>
      </c>
      <c r="W44">
        <v>0.66400000000000003</v>
      </c>
      <c r="X44">
        <v>0.92500000000000004</v>
      </c>
      <c r="Y44">
        <v>0.92200000000000004</v>
      </c>
      <c r="Z44">
        <v>0.97199999999999998</v>
      </c>
      <c r="AA44" s="9">
        <v>45713.60949534722</v>
      </c>
      <c r="AB44" t="s">
        <v>873</v>
      </c>
      <c r="AC44" s="9"/>
    </row>
    <row r="45" spans="1:29" x14ac:dyDescent="0.35">
      <c r="A45" t="s">
        <v>87</v>
      </c>
      <c r="B45" t="s">
        <v>313</v>
      </c>
      <c r="C45">
        <v>2440</v>
      </c>
      <c r="D45" s="9">
        <v>42615.530555555553</v>
      </c>
      <c r="E45" s="9">
        <v>45056.390972222223</v>
      </c>
      <c r="F45">
        <v>216</v>
      </c>
      <c r="G45">
        <v>216</v>
      </c>
      <c r="H45">
        <v>177</v>
      </c>
      <c r="I45">
        <v>39</v>
      </c>
      <c r="J45">
        <v>90</v>
      </c>
      <c r="K45">
        <v>126</v>
      </c>
      <c r="L45">
        <v>119</v>
      </c>
      <c r="M45">
        <v>7</v>
      </c>
      <c r="N45">
        <v>0.58199999999999996</v>
      </c>
      <c r="O45">
        <v>0.02</v>
      </c>
      <c r="P45">
        <v>2.9000000000000001E-2</v>
      </c>
      <c r="Q45">
        <v>6.3E-2</v>
      </c>
      <c r="R45">
        <v>0.11</v>
      </c>
      <c r="S45">
        <v>0.96699999999999997</v>
      </c>
      <c r="T45">
        <v>0.95199999999999996</v>
      </c>
      <c r="U45">
        <v>111.111</v>
      </c>
      <c r="V45" t="s">
        <v>58</v>
      </c>
      <c r="W45">
        <v>0.97</v>
      </c>
      <c r="X45">
        <v>0.216</v>
      </c>
      <c r="Y45">
        <v>0.27900000000000003</v>
      </c>
      <c r="Z45">
        <v>0.23100000000000001</v>
      </c>
      <c r="AA45" s="9">
        <v>45713.609573796297</v>
      </c>
      <c r="AB45" t="s">
        <v>873</v>
      </c>
      <c r="AC45" s="9"/>
    </row>
    <row r="46" spans="1:29" x14ac:dyDescent="0.35">
      <c r="A46" t="s">
        <v>88</v>
      </c>
      <c r="B46" t="s">
        <v>313</v>
      </c>
      <c r="C46">
        <v>1788</v>
      </c>
      <c r="D46" s="9">
        <v>43815.474999999999</v>
      </c>
      <c r="E46" s="9">
        <v>45603.701388888891</v>
      </c>
      <c r="F46">
        <v>89</v>
      </c>
      <c r="G46">
        <v>89</v>
      </c>
      <c r="H46">
        <v>72</v>
      </c>
      <c r="I46">
        <v>17</v>
      </c>
      <c r="J46">
        <v>3</v>
      </c>
      <c r="K46">
        <v>86</v>
      </c>
      <c r="L46">
        <v>14</v>
      </c>
      <c r="M46">
        <v>72</v>
      </c>
      <c r="N46">
        <v>0.04</v>
      </c>
      <c r="O46">
        <v>3.1E-2</v>
      </c>
      <c r="P46">
        <v>8.9999999999999993E-3</v>
      </c>
      <c r="Q46">
        <v>4.2999999999999997E-2</v>
      </c>
      <c r="R46">
        <v>0.69399999999999995</v>
      </c>
      <c r="S46">
        <v>0.56299999999999994</v>
      </c>
      <c r="T46">
        <v>0.873</v>
      </c>
      <c r="U46">
        <v>1674.4190000000001</v>
      </c>
      <c r="V46" t="s">
        <v>58</v>
      </c>
      <c r="W46">
        <v>0.81599999999999995</v>
      </c>
      <c r="X46">
        <v>0.95</v>
      </c>
      <c r="Y46">
        <v>0.96499999999999997</v>
      </c>
      <c r="Z46">
        <v>0.85699999999999998</v>
      </c>
      <c r="AA46" s="9">
        <v>45713.609656817127</v>
      </c>
      <c r="AB46" t="s">
        <v>873</v>
      </c>
      <c r="AC46" s="9"/>
    </row>
    <row r="47" spans="1:29" hidden="1" x14ac:dyDescent="0.35">
      <c r="A47" t="s">
        <v>88</v>
      </c>
      <c r="B47" t="s">
        <v>314</v>
      </c>
      <c r="C47">
        <v>92</v>
      </c>
      <c r="D47" s="9">
        <v>45511.589583333334</v>
      </c>
      <c r="E47" s="9">
        <v>45603.701388888891</v>
      </c>
      <c r="F47" t="s">
        <v>874</v>
      </c>
      <c r="G47" t="s">
        <v>874</v>
      </c>
      <c r="H47">
        <v>11</v>
      </c>
      <c r="I47">
        <v>7</v>
      </c>
      <c r="J47">
        <v>2</v>
      </c>
      <c r="K47" t="s">
        <v>875</v>
      </c>
      <c r="L47">
        <v>10</v>
      </c>
      <c r="M47">
        <v>7</v>
      </c>
      <c r="N47">
        <v>0.14199999999999999</v>
      </c>
      <c r="O47">
        <v>7.0000000000000007E-2</v>
      </c>
      <c r="P47">
        <v>1.4E-2</v>
      </c>
      <c r="Q47">
        <v>7.6999999999999999E-2</v>
      </c>
      <c r="R47">
        <v>0.38900000000000001</v>
      </c>
      <c r="S47">
        <v>0.67</v>
      </c>
      <c r="T47">
        <v>0.93400000000000005</v>
      </c>
      <c r="U47">
        <v>935.06500000000005</v>
      </c>
      <c r="V47" t="s">
        <v>58</v>
      </c>
      <c r="W47">
        <v>0.84899999999999998</v>
      </c>
      <c r="X47">
        <v>0.755</v>
      </c>
      <c r="Y47">
        <v>1</v>
      </c>
      <c r="Z47">
        <v>0.79200000000000004</v>
      </c>
      <c r="AA47" s="9">
        <v>45713.609673125</v>
      </c>
      <c r="AB47" t="s">
        <v>873</v>
      </c>
      <c r="AC47" s="9"/>
    </row>
    <row r="48" spans="1:29" x14ac:dyDescent="0.35">
      <c r="A48" t="s">
        <v>89</v>
      </c>
      <c r="B48" t="s">
        <v>313</v>
      </c>
      <c r="C48">
        <v>1161</v>
      </c>
      <c r="D48" s="9">
        <v>44439.726388888892</v>
      </c>
      <c r="E48" s="9">
        <v>45601.431944444441</v>
      </c>
      <c r="F48">
        <v>166</v>
      </c>
      <c r="G48">
        <v>166</v>
      </c>
      <c r="H48">
        <v>163</v>
      </c>
      <c r="I48">
        <v>3</v>
      </c>
      <c r="J48">
        <v>9</v>
      </c>
      <c r="K48">
        <v>157</v>
      </c>
      <c r="L48">
        <v>91</v>
      </c>
      <c r="M48">
        <v>66</v>
      </c>
      <c r="N48">
        <v>0.28199999999999997</v>
      </c>
      <c r="O48">
        <v>1.4E-2</v>
      </c>
      <c r="P48">
        <v>3.7999999999999999E-2</v>
      </c>
      <c r="Q48">
        <v>0.318</v>
      </c>
      <c r="R48">
        <v>1.2330000000000001</v>
      </c>
      <c r="S48">
        <v>0.95299999999999996</v>
      </c>
      <c r="T48">
        <v>0.872</v>
      </c>
      <c r="U48">
        <v>207.547</v>
      </c>
      <c r="V48" t="s">
        <v>64</v>
      </c>
      <c r="W48">
        <v>0.72599999999999998</v>
      </c>
      <c r="X48">
        <v>0.97199999999999998</v>
      </c>
      <c r="Y48">
        <v>0.88700000000000001</v>
      </c>
      <c r="Z48">
        <v>0.98299999999999998</v>
      </c>
      <c r="AA48" s="9">
        <v>45713.609757662038</v>
      </c>
      <c r="AB48" t="s">
        <v>873</v>
      </c>
      <c r="AC48" s="9"/>
    </row>
    <row r="49" spans="1:29" x14ac:dyDescent="0.35">
      <c r="A49" t="s">
        <v>90</v>
      </c>
      <c r="B49" t="s">
        <v>313</v>
      </c>
      <c r="C49">
        <v>3464</v>
      </c>
      <c r="D49" s="9">
        <v>42116.315972222219</v>
      </c>
      <c r="E49" s="9">
        <v>45581.281944444447</v>
      </c>
      <c r="F49">
        <v>1333</v>
      </c>
      <c r="G49">
        <v>1333</v>
      </c>
      <c r="H49">
        <v>193</v>
      </c>
      <c r="I49">
        <v>1140</v>
      </c>
      <c r="J49">
        <v>161</v>
      </c>
      <c r="K49">
        <v>1172</v>
      </c>
      <c r="L49">
        <v>840</v>
      </c>
      <c r="M49">
        <v>332</v>
      </c>
      <c r="N49">
        <v>8.3000000000000004E-2</v>
      </c>
      <c r="O49">
        <v>0.48599999999999999</v>
      </c>
      <c r="P49">
        <v>7.2999999999999995E-2</v>
      </c>
      <c r="Q49">
        <v>0.34200000000000003</v>
      </c>
      <c r="R49">
        <v>0.69</v>
      </c>
      <c r="S49">
        <v>0.14599999999999999</v>
      </c>
      <c r="T49">
        <v>0.872</v>
      </c>
      <c r="U49">
        <v>970.76</v>
      </c>
      <c r="V49" t="s">
        <v>58</v>
      </c>
      <c r="W49">
        <v>0.89400000000000002</v>
      </c>
      <c r="X49">
        <v>0.86299999999999999</v>
      </c>
      <c r="Y49">
        <v>0.89800000000000002</v>
      </c>
      <c r="Z49">
        <v>0.83699999999999997</v>
      </c>
      <c r="AA49" s="9">
        <v>45713.609841956022</v>
      </c>
      <c r="AB49" t="s">
        <v>873</v>
      </c>
      <c r="AC49" s="9"/>
    </row>
    <row r="50" spans="1:29" x14ac:dyDescent="0.35">
      <c r="A50" t="s">
        <v>91</v>
      </c>
      <c r="B50" t="s">
        <v>313</v>
      </c>
      <c r="C50">
        <v>1183</v>
      </c>
      <c r="D50" s="9">
        <v>44420.350694444445</v>
      </c>
      <c r="E50" s="9">
        <v>45604.270833333336</v>
      </c>
      <c r="F50">
        <v>164</v>
      </c>
      <c r="G50">
        <v>164</v>
      </c>
      <c r="H50">
        <v>141</v>
      </c>
      <c r="I50">
        <v>23</v>
      </c>
      <c r="J50">
        <v>6</v>
      </c>
      <c r="K50">
        <v>158</v>
      </c>
      <c r="L50">
        <v>112</v>
      </c>
      <c r="M50">
        <v>46</v>
      </c>
      <c r="N50">
        <v>0.16700000000000001</v>
      </c>
      <c r="O50">
        <v>1.7999999999999999E-2</v>
      </c>
      <c r="P50">
        <v>1.0999999999999999E-2</v>
      </c>
      <c r="Q50">
        <v>0.14099999999999999</v>
      </c>
      <c r="R50">
        <v>0.81</v>
      </c>
      <c r="S50">
        <v>0.90300000000000002</v>
      </c>
      <c r="T50">
        <v>0.94099999999999995</v>
      </c>
      <c r="U50">
        <v>326.24099999999999</v>
      </c>
      <c r="V50" t="s">
        <v>58</v>
      </c>
      <c r="W50">
        <v>0.78700000000000003</v>
      </c>
      <c r="X50">
        <v>0.94699999999999995</v>
      </c>
      <c r="Y50">
        <v>0.77300000000000002</v>
      </c>
      <c r="Z50">
        <v>0.89600000000000002</v>
      </c>
      <c r="AA50" s="9">
        <v>45713.609921805553</v>
      </c>
      <c r="AB50" t="s">
        <v>873</v>
      </c>
      <c r="AC50" s="9"/>
    </row>
    <row r="51" spans="1:29" x14ac:dyDescent="0.35">
      <c r="A51" t="s">
        <v>92</v>
      </c>
      <c r="B51" t="s">
        <v>313</v>
      </c>
      <c r="C51">
        <v>495</v>
      </c>
      <c r="D51" s="9">
        <v>44469.431944444441</v>
      </c>
      <c r="E51" s="9">
        <v>44965.056250000001</v>
      </c>
      <c r="F51">
        <v>111</v>
      </c>
      <c r="G51">
        <v>99</v>
      </c>
      <c r="H51">
        <v>93</v>
      </c>
      <c r="I51">
        <v>6</v>
      </c>
      <c r="J51">
        <v>33</v>
      </c>
      <c r="K51">
        <v>66</v>
      </c>
      <c r="L51">
        <v>41</v>
      </c>
      <c r="M51">
        <v>25</v>
      </c>
      <c r="N51">
        <v>0.442</v>
      </c>
      <c r="O51">
        <v>3.6999999999999998E-2</v>
      </c>
      <c r="P51">
        <v>5.3999999999999999E-2</v>
      </c>
      <c r="Q51">
        <v>0.155</v>
      </c>
      <c r="R51">
        <v>0.36499999999999999</v>
      </c>
      <c r="S51">
        <v>0.92300000000000004</v>
      </c>
      <c r="T51">
        <v>0.88700000000000001</v>
      </c>
      <c r="U51">
        <v>161.29</v>
      </c>
      <c r="V51" t="s">
        <v>58</v>
      </c>
      <c r="W51">
        <v>0.91700000000000004</v>
      </c>
      <c r="X51">
        <v>0.79</v>
      </c>
      <c r="Y51">
        <v>9.8000000000000004E-2</v>
      </c>
      <c r="Z51">
        <v>0.749</v>
      </c>
      <c r="AA51" s="9">
        <v>45713.609996342595</v>
      </c>
      <c r="AB51" t="s">
        <v>873</v>
      </c>
      <c r="AC51" s="9"/>
    </row>
    <row r="52" spans="1:29" x14ac:dyDescent="0.35">
      <c r="A52" t="s">
        <v>93</v>
      </c>
      <c r="B52" t="s">
        <v>313</v>
      </c>
      <c r="C52">
        <v>1350</v>
      </c>
      <c r="D52" s="9">
        <v>44239.615972222222</v>
      </c>
      <c r="E52" s="9">
        <v>45590.518750000003</v>
      </c>
      <c r="F52">
        <v>250</v>
      </c>
      <c r="G52">
        <v>250</v>
      </c>
      <c r="H52">
        <v>154</v>
      </c>
      <c r="I52">
        <v>96</v>
      </c>
      <c r="J52">
        <v>113</v>
      </c>
      <c r="K52">
        <v>137</v>
      </c>
      <c r="L52">
        <v>136</v>
      </c>
      <c r="M52">
        <v>1</v>
      </c>
      <c r="N52">
        <v>0.152</v>
      </c>
      <c r="O52">
        <v>0.104</v>
      </c>
      <c r="P52">
        <v>0.161</v>
      </c>
      <c r="Q52">
        <v>0.24399999999999999</v>
      </c>
      <c r="R52">
        <v>2.5680000000000001</v>
      </c>
      <c r="S52">
        <v>0.59399999999999997</v>
      </c>
      <c r="T52">
        <v>0.371</v>
      </c>
      <c r="U52">
        <v>4.0979999999999999</v>
      </c>
      <c r="V52" t="s">
        <v>94</v>
      </c>
      <c r="W52">
        <v>0.83499999999999996</v>
      </c>
      <c r="X52">
        <v>0.92200000000000004</v>
      </c>
      <c r="Y52">
        <v>0.53200000000000003</v>
      </c>
      <c r="Z52">
        <v>0.96199999999999997</v>
      </c>
      <c r="AA52" s="9">
        <v>45713.610084131942</v>
      </c>
      <c r="AB52" t="s">
        <v>873</v>
      </c>
      <c r="AC52" s="9"/>
    </row>
    <row r="53" spans="1:29" x14ac:dyDescent="0.35">
      <c r="A53" t="s">
        <v>95</v>
      </c>
      <c r="B53" t="s">
        <v>313</v>
      </c>
      <c r="C53">
        <v>1431</v>
      </c>
      <c r="D53" s="9">
        <v>44173.131249999999</v>
      </c>
      <c r="E53" s="9">
        <v>45604.379166666666</v>
      </c>
      <c r="F53">
        <v>798</v>
      </c>
      <c r="G53">
        <v>798</v>
      </c>
      <c r="H53">
        <v>749</v>
      </c>
      <c r="I53">
        <v>49</v>
      </c>
      <c r="J53">
        <v>59</v>
      </c>
      <c r="K53">
        <v>739</v>
      </c>
      <c r="L53">
        <v>587</v>
      </c>
      <c r="M53">
        <v>152</v>
      </c>
      <c r="N53">
        <v>0.504</v>
      </c>
      <c r="O53">
        <v>3.3000000000000002E-2</v>
      </c>
      <c r="P53">
        <v>5.2999999999999999E-2</v>
      </c>
      <c r="Q53">
        <v>0.41399999999999998</v>
      </c>
      <c r="R53">
        <v>0.85499999999999998</v>
      </c>
      <c r="S53">
        <v>0.93899999999999995</v>
      </c>
      <c r="T53">
        <v>0.90100000000000002</v>
      </c>
      <c r="U53">
        <v>367.15</v>
      </c>
      <c r="V53" t="s">
        <v>58</v>
      </c>
      <c r="W53">
        <v>0.99</v>
      </c>
      <c r="X53">
        <v>0.81399999999999995</v>
      </c>
      <c r="Y53">
        <v>0.97499999999999998</v>
      </c>
      <c r="Z53">
        <v>0.99399999999999999</v>
      </c>
      <c r="AA53" s="9">
        <v>45713.610174687499</v>
      </c>
      <c r="AB53" t="s">
        <v>873</v>
      </c>
      <c r="AC53" s="9"/>
    </row>
    <row r="54" spans="1:29" hidden="1" x14ac:dyDescent="0.35">
      <c r="A54" t="s">
        <v>95</v>
      </c>
      <c r="B54" t="s">
        <v>314</v>
      </c>
      <c r="C54">
        <v>94</v>
      </c>
      <c r="D54" s="9">
        <v>45510.258333333331</v>
      </c>
      <c r="E54" s="9">
        <v>45604.379166666666</v>
      </c>
      <c r="F54" t="s">
        <v>874</v>
      </c>
      <c r="G54" t="s">
        <v>874</v>
      </c>
      <c r="H54">
        <v>53</v>
      </c>
      <c r="I54">
        <v>10</v>
      </c>
      <c r="J54">
        <v>4</v>
      </c>
      <c r="K54" t="s">
        <v>875</v>
      </c>
      <c r="L54">
        <v>39</v>
      </c>
      <c r="M54">
        <v>19</v>
      </c>
      <c r="N54">
        <v>0.54800000000000004</v>
      </c>
      <c r="O54">
        <v>0.107</v>
      </c>
      <c r="P54">
        <v>8.5999999999999993E-2</v>
      </c>
      <c r="Q54">
        <v>0.38800000000000001</v>
      </c>
      <c r="R54">
        <v>0.68200000000000005</v>
      </c>
      <c r="S54">
        <v>0.83699999999999997</v>
      </c>
      <c r="T54">
        <v>0.86899999999999999</v>
      </c>
      <c r="U54">
        <v>391.75299999999999</v>
      </c>
      <c r="V54" t="s">
        <v>58</v>
      </c>
      <c r="W54">
        <v>0.91100000000000003</v>
      </c>
      <c r="X54">
        <v>0.94899999999999995</v>
      </c>
      <c r="Y54">
        <v>0.876</v>
      </c>
      <c r="Z54">
        <v>0.97</v>
      </c>
      <c r="AA54" s="9">
        <v>45713.610195277775</v>
      </c>
      <c r="AB54" t="s">
        <v>873</v>
      </c>
      <c r="AC54" s="9"/>
    </row>
    <row r="55" spans="1:29" x14ac:dyDescent="0.35">
      <c r="A55" t="s">
        <v>96</v>
      </c>
      <c r="B55" t="s">
        <v>313</v>
      </c>
      <c r="C55">
        <v>3196</v>
      </c>
      <c r="D55" s="9">
        <v>42394.599305555559</v>
      </c>
      <c r="E55" s="9">
        <v>45590.816666666666</v>
      </c>
      <c r="F55">
        <v>351</v>
      </c>
      <c r="G55">
        <v>351</v>
      </c>
      <c r="H55">
        <v>231</v>
      </c>
      <c r="I55">
        <v>120</v>
      </c>
      <c r="J55">
        <v>38</v>
      </c>
      <c r="K55">
        <v>313</v>
      </c>
      <c r="L55">
        <v>302</v>
      </c>
      <c r="M55">
        <v>11</v>
      </c>
      <c r="N55">
        <v>6.8000000000000005E-2</v>
      </c>
      <c r="O55">
        <v>4.1000000000000002E-2</v>
      </c>
      <c r="P55">
        <v>1.2999999999999999E-2</v>
      </c>
      <c r="Q55">
        <v>9.1999999999999998E-2</v>
      </c>
      <c r="R55">
        <v>0.95799999999999996</v>
      </c>
      <c r="S55">
        <v>0.624</v>
      </c>
      <c r="T55">
        <v>0.88100000000000001</v>
      </c>
      <c r="U55">
        <v>119.565</v>
      </c>
      <c r="V55" t="s">
        <v>58</v>
      </c>
      <c r="W55">
        <v>0.88</v>
      </c>
      <c r="X55">
        <v>0.89100000000000001</v>
      </c>
      <c r="Y55">
        <v>0.93</v>
      </c>
      <c r="Z55">
        <v>0.871</v>
      </c>
      <c r="AA55" s="9">
        <v>45713.610275486113</v>
      </c>
      <c r="AB55" t="s">
        <v>873</v>
      </c>
      <c r="AC55" s="9"/>
    </row>
    <row r="56" spans="1:29" x14ac:dyDescent="0.35">
      <c r="A56" t="s">
        <v>97</v>
      </c>
      <c r="B56" t="s">
        <v>313</v>
      </c>
      <c r="C56">
        <v>1417</v>
      </c>
      <c r="D56" s="9">
        <v>43955.092361111114</v>
      </c>
      <c r="E56" s="9">
        <v>45372.87222222222</v>
      </c>
      <c r="F56">
        <v>78</v>
      </c>
      <c r="G56">
        <v>78</v>
      </c>
      <c r="H56">
        <v>72</v>
      </c>
      <c r="I56">
        <v>6</v>
      </c>
      <c r="J56">
        <v>0</v>
      </c>
      <c r="K56">
        <v>78</v>
      </c>
      <c r="L56">
        <v>42</v>
      </c>
      <c r="M56">
        <v>36</v>
      </c>
      <c r="N56">
        <v>5.8000000000000003E-2</v>
      </c>
      <c r="O56">
        <v>5.0000000000000001E-3</v>
      </c>
      <c r="P56">
        <v>0</v>
      </c>
      <c r="Q56">
        <v>3.4000000000000002E-2</v>
      </c>
      <c r="R56">
        <v>0.54</v>
      </c>
      <c r="S56">
        <v>0.92100000000000004</v>
      </c>
      <c r="T56">
        <v>1</v>
      </c>
      <c r="U56">
        <v>1058.8240000000001</v>
      </c>
      <c r="V56" t="s">
        <v>58</v>
      </c>
      <c r="W56">
        <v>0.84599999999999997</v>
      </c>
      <c r="X56">
        <v>0.75</v>
      </c>
      <c r="Y56">
        <v>0</v>
      </c>
      <c r="Z56">
        <v>0.94199999999999995</v>
      </c>
      <c r="AA56" s="9">
        <v>45713.610354328703</v>
      </c>
      <c r="AB56" t="s">
        <v>873</v>
      </c>
      <c r="AC56" s="9"/>
    </row>
    <row r="57" spans="1:29" x14ac:dyDescent="0.35">
      <c r="A57" t="s">
        <v>98</v>
      </c>
      <c r="B57" t="s">
        <v>313</v>
      </c>
      <c r="C57">
        <v>2079</v>
      </c>
      <c r="D57" s="9">
        <v>43530.405555555553</v>
      </c>
      <c r="E57" s="9">
        <v>45609.786111111112</v>
      </c>
      <c r="F57">
        <v>11789</v>
      </c>
      <c r="G57">
        <v>10975</v>
      </c>
      <c r="H57">
        <v>7472</v>
      </c>
      <c r="I57">
        <v>3503</v>
      </c>
      <c r="J57">
        <v>1484</v>
      </c>
      <c r="K57">
        <v>9491</v>
      </c>
      <c r="L57">
        <v>7065</v>
      </c>
      <c r="M57">
        <v>2426</v>
      </c>
      <c r="N57">
        <v>8.7899999999999991</v>
      </c>
      <c r="O57">
        <v>3.226</v>
      </c>
      <c r="P57">
        <v>1.871</v>
      </c>
      <c r="Q57">
        <v>8.1519999999999992</v>
      </c>
      <c r="R57">
        <v>0.80400000000000005</v>
      </c>
      <c r="S57">
        <v>0.73199999999999998</v>
      </c>
      <c r="T57">
        <v>0.84399999999999997</v>
      </c>
      <c r="U57">
        <v>297.596</v>
      </c>
      <c r="V57" t="s">
        <v>58</v>
      </c>
      <c r="W57">
        <v>0.98199999999999998</v>
      </c>
      <c r="X57">
        <v>0.92500000000000004</v>
      </c>
      <c r="Y57">
        <v>0.91800000000000004</v>
      </c>
      <c r="Z57">
        <v>0.95499999999999996</v>
      </c>
      <c r="AA57" s="9">
        <v>45713.610459236108</v>
      </c>
      <c r="AB57" t="s">
        <v>873</v>
      </c>
      <c r="AC57" s="9"/>
    </row>
    <row r="58" spans="1:29" hidden="1" x14ac:dyDescent="0.35">
      <c r="A58" t="s">
        <v>98</v>
      </c>
      <c r="B58" t="s">
        <v>314</v>
      </c>
      <c r="C58">
        <v>100</v>
      </c>
      <c r="D58" s="9">
        <v>45509.61041666667</v>
      </c>
      <c r="E58" s="9">
        <v>45609.786111111112</v>
      </c>
      <c r="F58" t="s">
        <v>874</v>
      </c>
      <c r="G58" t="s">
        <v>874</v>
      </c>
      <c r="H58">
        <v>1582</v>
      </c>
      <c r="I58">
        <v>330</v>
      </c>
      <c r="J58">
        <v>153</v>
      </c>
      <c r="K58" t="s">
        <v>875</v>
      </c>
      <c r="L58">
        <v>1480</v>
      </c>
      <c r="M58">
        <v>280</v>
      </c>
      <c r="N58">
        <v>14.394</v>
      </c>
      <c r="O58">
        <v>3.1619999999999999</v>
      </c>
      <c r="P58">
        <v>1.454</v>
      </c>
      <c r="Q58">
        <v>13.811999999999999</v>
      </c>
      <c r="R58">
        <v>0.85799999999999998</v>
      </c>
      <c r="S58">
        <v>0.82</v>
      </c>
      <c r="T58">
        <v>0.91700000000000004</v>
      </c>
      <c r="U58">
        <v>175.64400000000001</v>
      </c>
      <c r="V58" t="s">
        <v>58</v>
      </c>
      <c r="W58">
        <v>0.96</v>
      </c>
      <c r="X58">
        <v>0.98799999999999999</v>
      </c>
      <c r="Y58">
        <v>0.97899999999999998</v>
      </c>
      <c r="Z58">
        <v>0.996</v>
      </c>
      <c r="AA58" s="9">
        <v>45713.61047861111</v>
      </c>
      <c r="AB58" t="s">
        <v>873</v>
      </c>
      <c r="AC58" s="9"/>
    </row>
    <row r="59" spans="1:29" x14ac:dyDescent="0.35">
      <c r="A59" t="s">
        <v>99</v>
      </c>
      <c r="B59" t="s">
        <v>313</v>
      </c>
      <c r="C59">
        <v>1702</v>
      </c>
      <c r="D59" s="9">
        <v>43887.138888888891</v>
      </c>
      <c r="E59" s="9">
        <v>45589.466666666667</v>
      </c>
      <c r="F59">
        <v>167</v>
      </c>
      <c r="G59">
        <v>167</v>
      </c>
      <c r="H59">
        <v>162</v>
      </c>
      <c r="I59">
        <v>5</v>
      </c>
      <c r="J59">
        <v>25</v>
      </c>
      <c r="K59">
        <v>142</v>
      </c>
      <c r="L59">
        <v>97</v>
      </c>
      <c r="M59">
        <v>45</v>
      </c>
      <c r="N59">
        <v>0.13300000000000001</v>
      </c>
      <c r="O59">
        <v>1.2E-2</v>
      </c>
      <c r="P59">
        <v>3.9E-2</v>
      </c>
      <c r="Q59">
        <v>8.1000000000000003E-2</v>
      </c>
      <c r="R59">
        <v>0.76400000000000001</v>
      </c>
      <c r="S59">
        <v>0.91700000000000004</v>
      </c>
      <c r="T59">
        <v>0.73099999999999998</v>
      </c>
      <c r="U59">
        <v>555.55600000000004</v>
      </c>
      <c r="V59" t="s">
        <v>58</v>
      </c>
      <c r="W59">
        <v>0.748</v>
      </c>
      <c r="X59">
        <v>0.93799999999999994</v>
      </c>
      <c r="Y59">
        <v>0.70399999999999996</v>
      </c>
      <c r="Z59">
        <v>0.70799999999999996</v>
      </c>
      <c r="AA59" s="9">
        <v>45713.610554259256</v>
      </c>
      <c r="AB59" t="s">
        <v>873</v>
      </c>
      <c r="AC59" s="9"/>
    </row>
    <row r="60" spans="1:29" x14ac:dyDescent="0.35">
      <c r="A60" t="s">
        <v>100</v>
      </c>
      <c r="B60" t="s">
        <v>313</v>
      </c>
      <c r="C60">
        <v>664</v>
      </c>
      <c r="D60" s="9">
        <v>44938.381249999999</v>
      </c>
      <c r="E60" s="9">
        <v>45603.318749999999</v>
      </c>
      <c r="F60">
        <v>117</v>
      </c>
      <c r="G60">
        <v>117</v>
      </c>
      <c r="H60">
        <v>90</v>
      </c>
      <c r="I60">
        <v>27</v>
      </c>
      <c r="J60">
        <v>5</v>
      </c>
      <c r="K60">
        <v>112</v>
      </c>
      <c r="L60">
        <v>66</v>
      </c>
      <c r="M60">
        <v>46</v>
      </c>
      <c r="N60">
        <v>0.13700000000000001</v>
      </c>
      <c r="O60">
        <v>4.2999999999999997E-2</v>
      </c>
      <c r="P60">
        <v>1.7999999999999999E-2</v>
      </c>
      <c r="Q60">
        <v>0.1</v>
      </c>
      <c r="R60">
        <v>0.61699999999999999</v>
      </c>
      <c r="S60">
        <v>0.76100000000000001</v>
      </c>
      <c r="T60">
        <v>0.9</v>
      </c>
      <c r="U60">
        <v>460</v>
      </c>
      <c r="V60" t="s">
        <v>58</v>
      </c>
      <c r="W60">
        <v>0.98299999999999998</v>
      </c>
      <c r="X60">
        <v>0.94699999999999995</v>
      </c>
      <c r="Y60">
        <v>0.95599999999999996</v>
      </c>
      <c r="Z60">
        <v>0.98799999999999999</v>
      </c>
      <c r="AA60" s="9">
        <v>45713.610632916665</v>
      </c>
      <c r="AB60" t="s">
        <v>873</v>
      </c>
      <c r="AC60" s="9"/>
    </row>
    <row r="61" spans="1:29" x14ac:dyDescent="0.35">
      <c r="A61" t="s">
        <v>101</v>
      </c>
      <c r="B61" t="s">
        <v>313</v>
      </c>
      <c r="C61">
        <v>2395</v>
      </c>
      <c r="D61" s="9">
        <v>43213.74722222222</v>
      </c>
      <c r="E61" s="9">
        <v>45608.893055555556</v>
      </c>
      <c r="F61">
        <v>1331</v>
      </c>
      <c r="G61">
        <v>1218</v>
      </c>
      <c r="H61">
        <v>1169</v>
      </c>
      <c r="I61">
        <v>49</v>
      </c>
      <c r="J61">
        <v>194</v>
      </c>
      <c r="K61">
        <v>1024</v>
      </c>
      <c r="L61">
        <v>650</v>
      </c>
      <c r="M61">
        <v>374</v>
      </c>
      <c r="N61">
        <v>0.70299999999999996</v>
      </c>
      <c r="O61">
        <v>4.5999999999999999E-2</v>
      </c>
      <c r="P61">
        <v>0.14199999999999999</v>
      </c>
      <c r="Q61">
        <v>0.42899999999999999</v>
      </c>
      <c r="R61">
        <v>0.70699999999999996</v>
      </c>
      <c r="S61">
        <v>0.93899999999999995</v>
      </c>
      <c r="T61">
        <v>0.81</v>
      </c>
      <c r="U61">
        <v>871.79499999999996</v>
      </c>
      <c r="V61" t="s">
        <v>58</v>
      </c>
      <c r="W61">
        <v>0.97799999999999998</v>
      </c>
      <c r="X61">
        <v>0.93500000000000005</v>
      </c>
      <c r="Y61">
        <v>0.96299999999999997</v>
      </c>
      <c r="Z61">
        <v>0.96699999999999997</v>
      </c>
      <c r="AA61" s="9">
        <v>45713.610714224538</v>
      </c>
      <c r="AB61" t="s">
        <v>873</v>
      </c>
      <c r="AC61" s="9"/>
    </row>
    <row r="62" spans="1:29" hidden="1" x14ac:dyDescent="0.35">
      <c r="A62" t="s">
        <v>101</v>
      </c>
      <c r="B62" t="s">
        <v>314</v>
      </c>
      <c r="C62">
        <v>99</v>
      </c>
      <c r="D62" s="9">
        <v>45509.338194444441</v>
      </c>
      <c r="E62" s="9">
        <v>45608.893055555556</v>
      </c>
      <c r="F62" t="s">
        <v>874</v>
      </c>
      <c r="G62" t="s">
        <v>874</v>
      </c>
      <c r="H62">
        <v>107</v>
      </c>
      <c r="I62">
        <v>3</v>
      </c>
      <c r="J62">
        <v>9</v>
      </c>
      <c r="K62" t="s">
        <v>875</v>
      </c>
      <c r="L62">
        <v>63</v>
      </c>
      <c r="M62">
        <v>37</v>
      </c>
      <c r="N62">
        <v>0.96899999999999997</v>
      </c>
      <c r="O62">
        <v>4.3999999999999997E-2</v>
      </c>
      <c r="P62">
        <v>9.8000000000000004E-2</v>
      </c>
      <c r="Q62">
        <v>0.59199999999999997</v>
      </c>
      <c r="R62">
        <v>0.64700000000000002</v>
      </c>
      <c r="S62">
        <v>0.95699999999999996</v>
      </c>
      <c r="T62">
        <v>0.90300000000000002</v>
      </c>
      <c r="U62">
        <v>631.75699999999995</v>
      </c>
      <c r="V62" t="s">
        <v>58</v>
      </c>
      <c r="W62">
        <v>0.97799999999999998</v>
      </c>
      <c r="X62">
        <v>0.999</v>
      </c>
      <c r="Y62">
        <v>0.84199999999999997</v>
      </c>
      <c r="Z62">
        <v>0.93500000000000005</v>
      </c>
      <c r="AA62" s="9">
        <v>45713.610730474538</v>
      </c>
      <c r="AB62" t="s">
        <v>873</v>
      </c>
      <c r="AC62" s="9"/>
    </row>
    <row r="63" spans="1:29" x14ac:dyDescent="0.35">
      <c r="A63" t="s">
        <v>102</v>
      </c>
      <c r="B63" t="s">
        <v>313</v>
      </c>
      <c r="C63">
        <v>734</v>
      </c>
      <c r="D63" s="9">
        <v>44868.504166666666</v>
      </c>
      <c r="E63" s="9">
        <v>45603.397222222222</v>
      </c>
      <c r="F63">
        <v>263</v>
      </c>
      <c r="G63">
        <v>263</v>
      </c>
      <c r="H63">
        <v>157</v>
      </c>
      <c r="I63">
        <v>106</v>
      </c>
      <c r="J63">
        <v>13</v>
      </c>
      <c r="K63">
        <v>250</v>
      </c>
      <c r="L63">
        <v>186</v>
      </c>
      <c r="M63">
        <v>64</v>
      </c>
      <c r="N63">
        <v>0.498</v>
      </c>
      <c r="O63">
        <v>0.20300000000000001</v>
      </c>
      <c r="P63">
        <v>4.2999999999999997E-2</v>
      </c>
      <c r="Q63">
        <v>0.63900000000000001</v>
      </c>
      <c r="R63">
        <v>0.97099999999999997</v>
      </c>
      <c r="S63">
        <v>0.71</v>
      </c>
      <c r="T63">
        <v>0.93899999999999995</v>
      </c>
      <c r="U63">
        <v>100.15600000000001</v>
      </c>
      <c r="V63" t="s">
        <v>58</v>
      </c>
      <c r="W63">
        <v>0.97099999999999997</v>
      </c>
      <c r="X63">
        <v>0.77300000000000002</v>
      </c>
      <c r="Y63">
        <v>0.92200000000000004</v>
      </c>
      <c r="Z63">
        <v>0.98</v>
      </c>
      <c r="AA63" s="9">
        <v>45713.610810682869</v>
      </c>
      <c r="AB63" t="s">
        <v>873</v>
      </c>
      <c r="AC63" s="9"/>
    </row>
    <row r="64" spans="1:29" hidden="1" x14ac:dyDescent="0.35">
      <c r="A64" t="s">
        <v>102</v>
      </c>
      <c r="B64" t="s">
        <v>314</v>
      </c>
      <c r="C64">
        <v>98</v>
      </c>
      <c r="D64" s="9">
        <v>45505.152777777781</v>
      </c>
      <c r="E64" s="9">
        <v>45603.397222222222</v>
      </c>
      <c r="F64" t="s">
        <v>874</v>
      </c>
      <c r="G64" t="s">
        <v>874</v>
      </c>
      <c r="H64">
        <v>74</v>
      </c>
      <c r="I64">
        <v>33</v>
      </c>
      <c r="J64">
        <v>5</v>
      </c>
      <c r="K64" t="s">
        <v>875</v>
      </c>
      <c r="L64">
        <v>83</v>
      </c>
      <c r="M64">
        <v>18</v>
      </c>
      <c r="N64">
        <v>0.77</v>
      </c>
      <c r="O64">
        <v>0.33800000000000002</v>
      </c>
      <c r="P64">
        <v>7.0999999999999994E-2</v>
      </c>
      <c r="Q64">
        <v>0.84499999999999997</v>
      </c>
      <c r="R64">
        <v>0.81499999999999995</v>
      </c>
      <c r="S64">
        <v>0.69499999999999995</v>
      </c>
      <c r="T64">
        <v>0.93600000000000005</v>
      </c>
      <c r="U64">
        <v>75.739999999999995</v>
      </c>
      <c r="V64" t="s">
        <v>58</v>
      </c>
      <c r="W64">
        <v>0.93300000000000005</v>
      </c>
      <c r="X64">
        <v>0.95699999999999996</v>
      </c>
      <c r="Y64">
        <v>0.97399999999999998</v>
      </c>
      <c r="Z64">
        <v>0.90700000000000003</v>
      </c>
      <c r="AA64" s="9">
        <v>45713.610826458331</v>
      </c>
      <c r="AB64" t="s">
        <v>873</v>
      </c>
      <c r="AC64" s="9"/>
    </row>
    <row r="65" spans="1:29" x14ac:dyDescent="0.35">
      <c r="A65" t="s">
        <v>103</v>
      </c>
      <c r="B65" t="s">
        <v>313</v>
      </c>
      <c r="C65">
        <v>1743</v>
      </c>
      <c r="D65" s="9">
        <v>43865.758333333331</v>
      </c>
      <c r="E65" s="9">
        <v>45609.478472222225</v>
      </c>
      <c r="F65">
        <v>1637</v>
      </c>
      <c r="G65">
        <v>1364</v>
      </c>
      <c r="H65">
        <v>1324</v>
      </c>
      <c r="I65">
        <v>40</v>
      </c>
      <c r="J65">
        <v>367</v>
      </c>
      <c r="K65">
        <v>997</v>
      </c>
      <c r="L65">
        <v>657</v>
      </c>
      <c r="M65">
        <v>340</v>
      </c>
      <c r="N65">
        <v>1.056</v>
      </c>
      <c r="O65">
        <v>2.5000000000000001E-2</v>
      </c>
      <c r="P65">
        <v>0.35</v>
      </c>
      <c r="Q65">
        <v>0.53100000000000003</v>
      </c>
      <c r="R65">
        <v>0.72599999999999998</v>
      </c>
      <c r="S65">
        <v>0.97699999999999998</v>
      </c>
      <c r="T65">
        <v>0.67600000000000005</v>
      </c>
      <c r="U65">
        <v>640.30100000000004</v>
      </c>
      <c r="V65" t="s">
        <v>58</v>
      </c>
      <c r="W65">
        <v>0.89200000000000002</v>
      </c>
      <c r="X65">
        <v>0.73599999999999999</v>
      </c>
      <c r="Y65">
        <v>0.85199999999999998</v>
      </c>
      <c r="Z65">
        <v>0.95899999999999996</v>
      </c>
      <c r="AA65" s="9">
        <v>45713.610910324074</v>
      </c>
      <c r="AB65" t="s">
        <v>873</v>
      </c>
      <c r="AC65" s="9"/>
    </row>
    <row r="66" spans="1:29" hidden="1" x14ac:dyDescent="0.35">
      <c r="A66" t="s">
        <v>103</v>
      </c>
      <c r="B66" t="s">
        <v>314</v>
      </c>
      <c r="C66">
        <v>99</v>
      </c>
      <c r="D66" s="9">
        <v>45510.058333333334</v>
      </c>
      <c r="E66" s="9">
        <v>45609.478472222225</v>
      </c>
      <c r="F66" t="s">
        <v>874</v>
      </c>
      <c r="G66" t="s">
        <v>874</v>
      </c>
      <c r="H66">
        <v>99</v>
      </c>
      <c r="I66">
        <v>5</v>
      </c>
      <c r="J66">
        <v>13</v>
      </c>
      <c r="K66" t="s">
        <v>875</v>
      </c>
      <c r="L66">
        <v>63</v>
      </c>
      <c r="M66">
        <v>29</v>
      </c>
      <c r="N66">
        <v>1.0329999999999999</v>
      </c>
      <c r="O66">
        <v>9.5000000000000001E-2</v>
      </c>
      <c r="P66">
        <v>0.11700000000000001</v>
      </c>
      <c r="Q66">
        <v>0.63700000000000001</v>
      </c>
      <c r="R66">
        <v>0.63</v>
      </c>
      <c r="S66">
        <v>0.91600000000000004</v>
      </c>
      <c r="T66">
        <v>0.89600000000000002</v>
      </c>
      <c r="U66">
        <v>533.75199999999995</v>
      </c>
      <c r="V66" t="s">
        <v>58</v>
      </c>
      <c r="W66">
        <v>0.97699999999999998</v>
      </c>
      <c r="X66">
        <v>0.86099999999999999</v>
      </c>
      <c r="Y66">
        <v>0.92200000000000004</v>
      </c>
      <c r="Z66">
        <v>0.97</v>
      </c>
      <c r="AA66" s="9">
        <v>45713.610926666668</v>
      </c>
      <c r="AB66" t="s">
        <v>873</v>
      </c>
      <c r="AC66" s="9"/>
    </row>
    <row r="67" spans="1:29" x14ac:dyDescent="0.35">
      <c r="A67" t="s">
        <v>104</v>
      </c>
      <c r="B67" t="s">
        <v>313</v>
      </c>
      <c r="C67">
        <v>1750</v>
      </c>
      <c r="D67" s="9">
        <v>43853.795138888891</v>
      </c>
      <c r="E67" s="9">
        <v>45604.789583333331</v>
      </c>
      <c r="F67">
        <v>3508</v>
      </c>
      <c r="G67">
        <v>3508</v>
      </c>
      <c r="H67">
        <v>2441</v>
      </c>
      <c r="I67">
        <v>1067</v>
      </c>
      <c r="J67">
        <v>417</v>
      </c>
      <c r="K67">
        <v>3091</v>
      </c>
      <c r="L67">
        <v>2394</v>
      </c>
      <c r="M67">
        <v>697</v>
      </c>
      <c r="N67">
        <v>1.4139999999999999</v>
      </c>
      <c r="O67">
        <v>0.66500000000000004</v>
      </c>
      <c r="P67">
        <v>0.28499999999999998</v>
      </c>
      <c r="Q67">
        <v>1.5780000000000001</v>
      </c>
      <c r="R67">
        <v>0.88</v>
      </c>
      <c r="S67">
        <v>0.68</v>
      </c>
      <c r="T67">
        <v>0.86299999999999999</v>
      </c>
      <c r="U67">
        <v>441.69799999999998</v>
      </c>
      <c r="V67" t="s">
        <v>58</v>
      </c>
      <c r="W67">
        <v>0.98099999999999998</v>
      </c>
      <c r="X67">
        <v>0.97299999999999998</v>
      </c>
      <c r="Y67">
        <v>0.94</v>
      </c>
      <c r="Z67">
        <v>0.99299999999999999</v>
      </c>
      <c r="AA67" s="9">
        <v>45713.611016446761</v>
      </c>
      <c r="AB67" t="s">
        <v>873</v>
      </c>
      <c r="AC67" s="9"/>
    </row>
    <row r="68" spans="1:29" hidden="1" x14ac:dyDescent="0.35">
      <c r="A68" t="s">
        <v>104</v>
      </c>
      <c r="B68" t="s">
        <v>314</v>
      </c>
      <c r="C68">
        <v>99</v>
      </c>
      <c r="D68" s="9">
        <v>45505.35833333333</v>
      </c>
      <c r="E68" s="9">
        <v>45604.789583333331</v>
      </c>
      <c r="F68" t="s">
        <v>874</v>
      </c>
      <c r="G68" t="s">
        <v>874</v>
      </c>
      <c r="H68">
        <v>148</v>
      </c>
      <c r="I68">
        <v>46</v>
      </c>
      <c r="J68">
        <v>45</v>
      </c>
      <c r="K68" t="s">
        <v>875</v>
      </c>
      <c r="L68">
        <v>149</v>
      </c>
      <c r="M68">
        <v>1</v>
      </c>
      <c r="N68">
        <v>1.6040000000000001</v>
      </c>
      <c r="O68">
        <v>0.438</v>
      </c>
      <c r="P68">
        <v>0.51900000000000002</v>
      </c>
      <c r="Q68">
        <v>1.6870000000000001</v>
      </c>
      <c r="R68">
        <v>1.1080000000000001</v>
      </c>
      <c r="S68">
        <v>0.78600000000000003</v>
      </c>
      <c r="T68">
        <v>0.746</v>
      </c>
      <c r="U68">
        <v>413.15899999999999</v>
      </c>
      <c r="V68" t="s">
        <v>64</v>
      </c>
      <c r="W68">
        <v>0.98099999999999998</v>
      </c>
      <c r="X68">
        <v>0.995</v>
      </c>
      <c r="Y68">
        <v>0.79300000000000004</v>
      </c>
      <c r="Z68">
        <v>0.97799999999999998</v>
      </c>
      <c r="AA68" s="9">
        <v>45713.611033078705</v>
      </c>
      <c r="AB68" t="s">
        <v>873</v>
      </c>
      <c r="AC68" s="9"/>
    </row>
    <row r="69" spans="1:29" x14ac:dyDescent="0.35">
      <c r="A69" t="s">
        <v>105</v>
      </c>
      <c r="B69" t="s">
        <v>313</v>
      </c>
      <c r="C69">
        <v>1346</v>
      </c>
      <c r="D69" s="9">
        <v>44256.518055555556</v>
      </c>
      <c r="E69" s="9">
        <v>45603.299305555556</v>
      </c>
      <c r="F69">
        <v>1315</v>
      </c>
      <c r="G69">
        <v>1315</v>
      </c>
      <c r="H69">
        <v>1289</v>
      </c>
      <c r="I69">
        <v>26</v>
      </c>
      <c r="J69">
        <v>69</v>
      </c>
      <c r="K69">
        <v>1246</v>
      </c>
      <c r="L69">
        <v>959</v>
      </c>
      <c r="M69">
        <v>287</v>
      </c>
      <c r="N69">
        <v>1.3260000000000001</v>
      </c>
      <c r="O69">
        <v>3.5999999999999997E-2</v>
      </c>
      <c r="P69">
        <v>8.5000000000000006E-2</v>
      </c>
      <c r="Q69">
        <v>1.0369999999999999</v>
      </c>
      <c r="R69">
        <v>0.81200000000000006</v>
      </c>
      <c r="S69">
        <v>0.97399999999999998</v>
      </c>
      <c r="T69">
        <v>0.93799999999999994</v>
      </c>
      <c r="U69">
        <v>276.76</v>
      </c>
      <c r="V69" t="s">
        <v>58</v>
      </c>
      <c r="W69">
        <v>0.99299999999999999</v>
      </c>
      <c r="X69">
        <v>0.83699999999999997</v>
      </c>
      <c r="Y69">
        <v>0.96099999999999997</v>
      </c>
      <c r="Z69">
        <v>0.996</v>
      </c>
      <c r="AA69" s="9">
        <v>45713.611116238426</v>
      </c>
      <c r="AB69" t="s">
        <v>873</v>
      </c>
      <c r="AC69" s="9"/>
    </row>
    <row r="70" spans="1:29" x14ac:dyDescent="0.35">
      <c r="A70" t="s">
        <v>106</v>
      </c>
      <c r="B70" t="s">
        <v>313</v>
      </c>
      <c r="C70">
        <v>333</v>
      </c>
      <c r="D70" s="9">
        <v>45273.541666666664</v>
      </c>
      <c r="E70" s="9">
        <v>45606.836111111108</v>
      </c>
      <c r="F70">
        <v>1247</v>
      </c>
      <c r="G70">
        <v>1247</v>
      </c>
      <c r="H70">
        <v>1247</v>
      </c>
      <c r="I70">
        <v>0</v>
      </c>
      <c r="J70">
        <v>0</v>
      </c>
      <c r="K70">
        <v>1247</v>
      </c>
      <c r="L70">
        <v>1070</v>
      </c>
      <c r="M70">
        <v>177</v>
      </c>
      <c r="N70">
        <v>3.528</v>
      </c>
      <c r="O70">
        <v>0</v>
      </c>
      <c r="P70">
        <v>0</v>
      </c>
      <c r="Q70">
        <v>3.4329999999999998</v>
      </c>
      <c r="R70">
        <v>0.97299999999999998</v>
      </c>
      <c r="S70">
        <v>1</v>
      </c>
      <c r="T70">
        <v>1</v>
      </c>
      <c r="U70">
        <v>51.558</v>
      </c>
      <c r="V70" t="s">
        <v>58</v>
      </c>
      <c r="W70">
        <v>0.996</v>
      </c>
      <c r="X70">
        <v>0</v>
      </c>
      <c r="Y70">
        <v>0</v>
      </c>
      <c r="Z70">
        <v>0.99399999999999999</v>
      </c>
      <c r="AA70" s="9">
        <v>45713.611194398145</v>
      </c>
      <c r="AB70" t="s">
        <v>873</v>
      </c>
      <c r="AC70" s="9"/>
    </row>
    <row r="71" spans="1:29" x14ac:dyDescent="0.35">
      <c r="A71" t="s">
        <v>107</v>
      </c>
      <c r="B71" t="s">
        <v>313</v>
      </c>
      <c r="C71">
        <v>2388</v>
      </c>
      <c r="D71" s="9">
        <v>43221.75277777778</v>
      </c>
      <c r="E71" s="9">
        <v>45610.039583333331</v>
      </c>
      <c r="F71">
        <v>3804</v>
      </c>
      <c r="G71">
        <v>3687</v>
      </c>
      <c r="H71">
        <v>2126</v>
      </c>
      <c r="I71">
        <v>1561</v>
      </c>
      <c r="J71">
        <v>649</v>
      </c>
      <c r="K71">
        <v>3038</v>
      </c>
      <c r="L71">
        <v>2700</v>
      </c>
      <c r="M71">
        <v>338</v>
      </c>
      <c r="N71">
        <v>1.0940000000000001</v>
      </c>
      <c r="O71">
        <v>0.84899999999999998</v>
      </c>
      <c r="P71">
        <v>0.372</v>
      </c>
      <c r="Q71">
        <v>1.4279999999999999</v>
      </c>
      <c r="R71">
        <v>0.90900000000000003</v>
      </c>
      <c r="S71">
        <v>0.56299999999999994</v>
      </c>
      <c r="T71">
        <v>0.80900000000000005</v>
      </c>
      <c r="U71">
        <v>236.69499999999999</v>
      </c>
      <c r="V71" t="s">
        <v>58</v>
      </c>
      <c r="W71">
        <v>0.98699999999999999</v>
      </c>
      <c r="X71">
        <v>0.98</v>
      </c>
      <c r="Y71">
        <v>0.97099999999999997</v>
      </c>
      <c r="Z71">
        <v>0.98899999999999999</v>
      </c>
      <c r="AA71" s="9">
        <v>45713.611282824073</v>
      </c>
      <c r="AB71" t="s">
        <v>873</v>
      </c>
      <c r="AC71" s="9"/>
    </row>
    <row r="72" spans="1:29" hidden="1" x14ac:dyDescent="0.35">
      <c r="A72" t="s">
        <v>107</v>
      </c>
      <c r="B72" t="s">
        <v>314</v>
      </c>
      <c r="C72">
        <v>100</v>
      </c>
      <c r="D72" s="9">
        <v>45509.53402777778</v>
      </c>
      <c r="E72" s="9">
        <v>45610.039583333331</v>
      </c>
      <c r="F72" t="s">
        <v>874</v>
      </c>
      <c r="G72" t="s">
        <v>874</v>
      </c>
      <c r="H72">
        <v>109</v>
      </c>
      <c r="I72">
        <v>39</v>
      </c>
      <c r="J72">
        <v>19</v>
      </c>
      <c r="K72" t="s">
        <v>875</v>
      </c>
      <c r="L72">
        <v>103</v>
      </c>
      <c r="M72">
        <v>25</v>
      </c>
      <c r="N72">
        <v>1.115</v>
      </c>
      <c r="O72">
        <v>0.503</v>
      </c>
      <c r="P72">
        <v>0.255</v>
      </c>
      <c r="Q72">
        <v>1.095</v>
      </c>
      <c r="R72">
        <v>0.80300000000000005</v>
      </c>
      <c r="S72">
        <v>0.68899999999999995</v>
      </c>
      <c r="T72">
        <v>0.84199999999999997</v>
      </c>
      <c r="U72">
        <v>308.67599999999999</v>
      </c>
      <c r="V72" t="s">
        <v>58</v>
      </c>
      <c r="W72">
        <v>0.96699999999999997</v>
      </c>
      <c r="X72">
        <v>0.98</v>
      </c>
      <c r="Y72">
        <v>0.84399999999999997</v>
      </c>
      <c r="Z72">
        <v>0.98799999999999999</v>
      </c>
      <c r="AA72" s="9">
        <v>45713.611299050928</v>
      </c>
      <c r="AB72" t="s">
        <v>873</v>
      </c>
      <c r="AC72" s="9"/>
    </row>
    <row r="73" spans="1:29" x14ac:dyDescent="0.35">
      <c r="A73" t="s">
        <v>108</v>
      </c>
      <c r="B73" t="s">
        <v>313</v>
      </c>
      <c r="C73">
        <v>1008</v>
      </c>
      <c r="D73" s="9">
        <v>44603.473611111112</v>
      </c>
      <c r="E73" s="9">
        <v>45611.581250000003</v>
      </c>
      <c r="F73">
        <v>797</v>
      </c>
      <c r="G73">
        <v>755</v>
      </c>
      <c r="H73">
        <v>650</v>
      </c>
      <c r="I73">
        <v>105</v>
      </c>
      <c r="J73">
        <v>126</v>
      </c>
      <c r="K73">
        <v>629</v>
      </c>
      <c r="L73">
        <v>560</v>
      </c>
      <c r="M73">
        <v>69</v>
      </c>
      <c r="N73">
        <v>0.77400000000000002</v>
      </c>
      <c r="O73">
        <v>0.113</v>
      </c>
      <c r="P73">
        <v>0.157</v>
      </c>
      <c r="Q73">
        <v>0.68700000000000006</v>
      </c>
      <c r="R73">
        <v>0.94099999999999995</v>
      </c>
      <c r="S73">
        <v>0.873</v>
      </c>
      <c r="T73">
        <v>0.82299999999999995</v>
      </c>
      <c r="U73">
        <v>100.437</v>
      </c>
      <c r="V73" t="s">
        <v>58</v>
      </c>
      <c r="W73">
        <v>0.98399999999999999</v>
      </c>
      <c r="X73">
        <v>0.97</v>
      </c>
      <c r="Y73">
        <v>0.93700000000000006</v>
      </c>
      <c r="Z73">
        <v>0.99</v>
      </c>
      <c r="AA73" s="9">
        <v>45713.61138303241</v>
      </c>
      <c r="AB73" t="s">
        <v>873</v>
      </c>
      <c r="AC73" s="9"/>
    </row>
    <row r="74" spans="1:29" hidden="1" x14ac:dyDescent="0.35">
      <c r="A74" t="s">
        <v>108</v>
      </c>
      <c r="B74" t="s">
        <v>314</v>
      </c>
      <c r="C74">
        <v>86</v>
      </c>
      <c r="D74" s="9">
        <v>45525.551388888889</v>
      </c>
      <c r="E74" s="9">
        <v>45611.581250000003</v>
      </c>
      <c r="F74" t="s">
        <v>874</v>
      </c>
      <c r="G74" t="s">
        <v>874</v>
      </c>
      <c r="H74">
        <v>68</v>
      </c>
      <c r="I74">
        <v>11</v>
      </c>
      <c r="J74">
        <v>22</v>
      </c>
      <c r="K74" t="s">
        <v>875</v>
      </c>
      <c r="L74">
        <v>56</v>
      </c>
      <c r="M74">
        <v>2</v>
      </c>
      <c r="N74">
        <v>0.76200000000000001</v>
      </c>
      <c r="O74">
        <v>0.11799999999999999</v>
      </c>
      <c r="P74">
        <v>0.25600000000000001</v>
      </c>
      <c r="Q74">
        <v>0.64800000000000002</v>
      </c>
      <c r="R74">
        <v>1.038</v>
      </c>
      <c r="S74">
        <v>0.86599999999999999</v>
      </c>
      <c r="T74">
        <v>0.70899999999999996</v>
      </c>
      <c r="U74">
        <v>106.48099999999999</v>
      </c>
      <c r="V74" t="s">
        <v>64</v>
      </c>
      <c r="W74">
        <v>0.91300000000000003</v>
      </c>
      <c r="X74">
        <v>0.97899999999999998</v>
      </c>
      <c r="Y74">
        <v>0.91</v>
      </c>
      <c r="Z74">
        <v>0.96399999999999997</v>
      </c>
      <c r="AA74" s="9">
        <v>45713.611399652778</v>
      </c>
      <c r="AB74" t="s">
        <v>873</v>
      </c>
      <c r="AC74" s="9"/>
    </row>
    <row r="75" spans="1:29" x14ac:dyDescent="0.35">
      <c r="A75" t="s">
        <v>109</v>
      </c>
      <c r="B75" t="s">
        <v>313</v>
      </c>
      <c r="C75">
        <v>1725</v>
      </c>
      <c r="D75" s="9">
        <v>43879.425694444442</v>
      </c>
      <c r="E75" s="9">
        <v>45605.231249999997</v>
      </c>
      <c r="F75">
        <v>1804</v>
      </c>
      <c r="G75">
        <v>1804</v>
      </c>
      <c r="H75">
        <v>1489</v>
      </c>
      <c r="I75">
        <v>315</v>
      </c>
      <c r="J75">
        <v>130</v>
      </c>
      <c r="K75">
        <v>1674</v>
      </c>
      <c r="L75">
        <v>1585</v>
      </c>
      <c r="M75">
        <v>89</v>
      </c>
      <c r="N75">
        <v>0.84699999999999998</v>
      </c>
      <c r="O75">
        <v>0.23300000000000001</v>
      </c>
      <c r="P75">
        <v>0.17499999999999999</v>
      </c>
      <c r="Q75">
        <v>0.94699999999999995</v>
      </c>
      <c r="R75">
        <v>1.046</v>
      </c>
      <c r="S75">
        <v>0.78400000000000003</v>
      </c>
      <c r="T75">
        <v>0.83799999999999997</v>
      </c>
      <c r="U75">
        <v>93.980999999999995</v>
      </c>
      <c r="V75" t="s">
        <v>64</v>
      </c>
      <c r="W75">
        <v>0.879</v>
      </c>
      <c r="X75">
        <v>0.94799999999999995</v>
      </c>
      <c r="Y75">
        <v>0.97</v>
      </c>
      <c r="Z75">
        <v>0.90400000000000003</v>
      </c>
      <c r="AA75" s="9">
        <v>45713.611484629633</v>
      </c>
      <c r="AB75" t="s">
        <v>873</v>
      </c>
      <c r="AC75" s="9"/>
    </row>
    <row r="76" spans="1:29" hidden="1" x14ac:dyDescent="0.35">
      <c r="A76" t="s">
        <v>109</v>
      </c>
      <c r="B76" t="s">
        <v>314</v>
      </c>
      <c r="C76">
        <v>99</v>
      </c>
      <c r="D76" s="9">
        <v>45505.47152777778</v>
      </c>
      <c r="E76" s="9">
        <v>45605.231249999997</v>
      </c>
      <c r="F76" t="s">
        <v>874</v>
      </c>
      <c r="G76" t="s">
        <v>874</v>
      </c>
      <c r="H76">
        <v>125</v>
      </c>
      <c r="I76">
        <v>30</v>
      </c>
      <c r="J76">
        <v>21</v>
      </c>
      <c r="K76" t="s">
        <v>875</v>
      </c>
      <c r="L76">
        <v>114</v>
      </c>
      <c r="M76">
        <v>19</v>
      </c>
      <c r="N76">
        <v>1.2430000000000001</v>
      </c>
      <c r="O76">
        <v>0.26500000000000001</v>
      </c>
      <c r="P76">
        <v>0.24399999999999999</v>
      </c>
      <c r="Q76">
        <v>1.143</v>
      </c>
      <c r="R76">
        <v>0.90400000000000003</v>
      </c>
      <c r="S76">
        <v>0.82399999999999995</v>
      </c>
      <c r="T76">
        <v>0.83799999999999997</v>
      </c>
      <c r="U76">
        <v>77.864999999999995</v>
      </c>
      <c r="V76" t="s">
        <v>58</v>
      </c>
      <c r="W76">
        <v>0.96399999999999997</v>
      </c>
      <c r="X76">
        <v>0.97499999999999998</v>
      </c>
      <c r="Y76">
        <v>0.94799999999999995</v>
      </c>
      <c r="Z76">
        <v>0.92200000000000004</v>
      </c>
      <c r="AA76" s="9">
        <v>45713.611500347222</v>
      </c>
      <c r="AB76" t="s">
        <v>873</v>
      </c>
      <c r="AC76" s="9"/>
    </row>
    <row r="77" spans="1:29" x14ac:dyDescent="0.35">
      <c r="A77" t="s">
        <v>110</v>
      </c>
      <c r="B77" t="s">
        <v>313</v>
      </c>
      <c r="C77">
        <v>1013</v>
      </c>
      <c r="D77" s="9">
        <v>44309.684027777781</v>
      </c>
      <c r="E77" s="9">
        <v>45323.667361111111</v>
      </c>
      <c r="F77">
        <v>760</v>
      </c>
      <c r="G77">
        <v>760</v>
      </c>
      <c r="H77">
        <v>589</v>
      </c>
      <c r="I77">
        <v>171</v>
      </c>
      <c r="J77">
        <v>71</v>
      </c>
      <c r="K77">
        <v>689</v>
      </c>
      <c r="L77">
        <v>523</v>
      </c>
      <c r="M77">
        <v>166</v>
      </c>
      <c r="N77">
        <v>0.88</v>
      </c>
      <c r="O77">
        <v>0.33300000000000002</v>
      </c>
      <c r="P77">
        <v>0.127</v>
      </c>
      <c r="Q77">
        <v>0.7</v>
      </c>
      <c r="R77">
        <v>0.64500000000000002</v>
      </c>
      <c r="S77">
        <v>0.72499999999999998</v>
      </c>
      <c r="T77">
        <v>0.89500000000000002</v>
      </c>
      <c r="U77">
        <v>237.143</v>
      </c>
      <c r="V77" t="s">
        <v>58</v>
      </c>
      <c r="W77">
        <v>0.96</v>
      </c>
      <c r="X77">
        <v>0.96899999999999997</v>
      </c>
      <c r="Y77">
        <v>0.91300000000000003</v>
      </c>
      <c r="Z77">
        <v>0.96599999999999997</v>
      </c>
      <c r="AA77" s="9">
        <v>45713.611581145837</v>
      </c>
      <c r="AB77" t="s">
        <v>873</v>
      </c>
      <c r="AC77" s="9"/>
    </row>
    <row r="78" spans="1:29" x14ac:dyDescent="0.35">
      <c r="A78" t="s">
        <v>111</v>
      </c>
      <c r="B78" t="s">
        <v>313</v>
      </c>
      <c r="C78">
        <v>3211</v>
      </c>
      <c r="D78" s="9">
        <v>42395.388194444444</v>
      </c>
      <c r="E78" s="9">
        <v>45606.652083333334</v>
      </c>
      <c r="F78">
        <v>7640</v>
      </c>
      <c r="G78">
        <v>7640</v>
      </c>
      <c r="H78">
        <v>4133</v>
      </c>
      <c r="I78">
        <v>3507</v>
      </c>
      <c r="J78">
        <v>1521</v>
      </c>
      <c r="K78">
        <v>6119</v>
      </c>
      <c r="L78">
        <v>5014</v>
      </c>
      <c r="M78">
        <v>1105</v>
      </c>
      <c r="N78">
        <v>1.5780000000000001</v>
      </c>
      <c r="O78">
        <v>1.327</v>
      </c>
      <c r="P78">
        <v>0.60199999999999998</v>
      </c>
      <c r="Q78">
        <v>1.8859999999999999</v>
      </c>
      <c r="R78">
        <v>0.81899999999999995</v>
      </c>
      <c r="S78">
        <v>0.54300000000000004</v>
      </c>
      <c r="T78">
        <v>0.79300000000000004</v>
      </c>
      <c r="U78">
        <v>585.89599999999996</v>
      </c>
      <c r="V78" t="s">
        <v>58</v>
      </c>
      <c r="W78">
        <v>0.96299999999999997</v>
      </c>
      <c r="X78">
        <v>0.95599999999999996</v>
      </c>
      <c r="Y78">
        <v>0.96399999999999997</v>
      </c>
      <c r="Z78">
        <v>0.95199999999999996</v>
      </c>
      <c r="AA78" s="9">
        <v>45713.611676006942</v>
      </c>
      <c r="AB78" t="s">
        <v>873</v>
      </c>
      <c r="AC78" s="9"/>
    </row>
    <row r="79" spans="1:29" hidden="1" x14ac:dyDescent="0.35">
      <c r="A79" t="s">
        <v>111</v>
      </c>
      <c r="B79" t="s">
        <v>314</v>
      </c>
      <c r="C79">
        <v>99</v>
      </c>
      <c r="D79" s="9">
        <v>45506.678472222222</v>
      </c>
      <c r="E79" s="9">
        <v>45606.652083333334</v>
      </c>
      <c r="F79" t="s">
        <v>874</v>
      </c>
      <c r="G79" t="s">
        <v>874</v>
      </c>
      <c r="H79">
        <v>133</v>
      </c>
      <c r="I79">
        <v>122</v>
      </c>
      <c r="J79">
        <v>220</v>
      </c>
      <c r="K79" t="s">
        <v>875</v>
      </c>
      <c r="L79">
        <v>200</v>
      </c>
      <c r="M79">
        <v>-166</v>
      </c>
      <c r="N79">
        <v>1.3480000000000001</v>
      </c>
      <c r="O79">
        <v>1.331</v>
      </c>
      <c r="P79">
        <v>3.2810000000000001</v>
      </c>
      <c r="Q79">
        <v>2.0459999999999998</v>
      </c>
      <c r="R79">
        <v>-3.399</v>
      </c>
      <c r="S79">
        <v>0.503</v>
      </c>
      <c r="T79">
        <v>-0.22500000000000001</v>
      </c>
      <c r="U79">
        <v>540.07799999999997</v>
      </c>
      <c r="V79" t="s">
        <v>58</v>
      </c>
      <c r="W79">
        <v>0.998</v>
      </c>
      <c r="X79">
        <v>0.98699999999999999</v>
      </c>
      <c r="Y79">
        <v>0.48399999999999999</v>
      </c>
      <c r="Z79">
        <v>0.99199999999999999</v>
      </c>
      <c r="AA79" s="9">
        <v>45713.61169203704</v>
      </c>
      <c r="AB79" t="s">
        <v>873</v>
      </c>
      <c r="AC79" s="9"/>
    </row>
    <row r="80" spans="1:29" x14ac:dyDescent="0.35">
      <c r="A80" t="s">
        <v>112</v>
      </c>
      <c r="B80" t="s">
        <v>313</v>
      </c>
      <c r="C80">
        <v>6370</v>
      </c>
      <c r="D80" s="9">
        <v>39220.431944444441</v>
      </c>
      <c r="E80" s="9">
        <v>45590.844444444447</v>
      </c>
      <c r="F80">
        <v>1856</v>
      </c>
      <c r="G80">
        <v>1700</v>
      </c>
      <c r="H80">
        <v>1670</v>
      </c>
      <c r="I80">
        <v>30</v>
      </c>
      <c r="J80">
        <v>174</v>
      </c>
      <c r="K80">
        <v>1526</v>
      </c>
      <c r="L80">
        <v>1438</v>
      </c>
      <c r="M80">
        <v>88</v>
      </c>
      <c r="N80">
        <v>0.33</v>
      </c>
      <c r="O80">
        <v>7.0000000000000001E-3</v>
      </c>
      <c r="P80">
        <v>4.8000000000000001E-2</v>
      </c>
      <c r="Q80">
        <v>0.28199999999999997</v>
      </c>
      <c r="R80">
        <v>0.97599999999999998</v>
      </c>
      <c r="S80">
        <v>0.97899999999999998</v>
      </c>
      <c r="T80">
        <v>0.85799999999999998</v>
      </c>
      <c r="U80">
        <v>312.05700000000002</v>
      </c>
      <c r="V80" t="s">
        <v>58</v>
      </c>
      <c r="W80">
        <v>0.95</v>
      </c>
      <c r="X80">
        <v>0.96099999999999997</v>
      </c>
      <c r="Y80">
        <v>0.71499999999999997</v>
      </c>
      <c r="Z80">
        <v>0.94099999999999995</v>
      </c>
      <c r="AA80" s="9">
        <v>45713.611776203703</v>
      </c>
      <c r="AB80" t="s">
        <v>873</v>
      </c>
      <c r="AC80" s="9"/>
    </row>
    <row r="81" spans="1:29" x14ac:dyDescent="0.35">
      <c r="A81" t="s">
        <v>113</v>
      </c>
      <c r="B81" t="s">
        <v>313</v>
      </c>
      <c r="C81">
        <v>1888</v>
      </c>
      <c r="D81" s="9">
        <v>43719.688888888886</v>
      </c>
      <c r="E81" s="9">
        <v>45608.399305555555</v>
      </c>
      <c r="F81">
        <v>74</v>
      </c>
      <c r="G81">
        <v>74</v>
      </c>
      <c r="H81">
        <v>9</v>
      </c>
      <c r="I81">
        <v>65</v>
      </c>
      <c r="J81">
        <v>10</v>
      </c>
      <c r="K81">
        <v>64</v>
      </c>
      <c r="L81">
        <v>12</v>
      </c>
      <c r="M81">
        <v>52</v>
      </c>
      <c r="N81">
        <v>4.0000000000000001E-3</v>
      </c>
      <c r="O81">
        <v>0.04</v>
      </c>
      <c r="P81">
        <v>6.3E-2</v>
      </c>
      <c r="Q81">
        <v>2.8000000000000001E-2</v>
      </c>
      <c r="R81">
        <v>-1.474</v>
      </c>
      <c r="S81">
        <v>9.0999999999999998E-2</v>
      </c>
      <c r="T81">
        <v>-0.432</v>
      </c>
      <c r="U81">
        <v>1857.143</v>
      </c>
      <c r="V81" t="s">
        <v>58</v>
      </c>
      <c r="W81">
        <v>0.84699999999999998</v>
      </c>
      <c r="X81">
        <v>0.75700000000000001</v>
      </c>
      <c r="Y81">
        <v>0.755</v>
      </c>
      <c r="Z81">
        <v>0.71799999999999997</v>
      </c>
      <c r="AA81" s="9">
        <v>45713.611860914352</v>
      </c>
      <c r="AB81" t="s">
        <v>873</v>
      </c>
      <c r="AC81" s="9"/>
    </row>
    <row r="82" spans="1:29" x14ac:dyDescent="0.35">
      <c r="A82" t="s">
        <v>114</v>
      </c>
      <c r="B82" t="s">
        <v>313</v>
      </c>
      <c r="C82">
        <v>4213</v>
      </c>
      <c r="D82" s="9">
        <v>40975.261111111111</v>
      </c>
      <c r="E82" s="9">
        <v>45188.279166666667</v>
      </c>
      <c r="F82">
        <v>43</v>
      </c>
      <c r="G82">
        <v>43</v>
      </c>
      <c r="H82">
        <v>27</v>
      </c>
      <c r="I82">
        <v>16</v>
      </c>
      <c r="J82">
        <v>5</v>
      </c>
      <c r="K82">
        <v>38</v>
      </c>
      <c r="L82">
        <v>33</v>
      </c>
      <c r="M82">
        <v>5</v>
      </c>
      <c r="N82">
        <v>6.0000000000000001E-3</v>
      </c>
      <c r="O82">
        <v>5.0000000000000001E-3</v>
      </c>
      <c r="P82">
        <v>3.0000000000000001E-3</v>
      </c>
      <c r="Q82">
        <v>8.0000000000000002E-3</v>
      </c>
      <c r="R82">
        <v>1</v>
      </c>
      <c r="S82">
        <v>0.54500000000000004</v>
      </c>
      <c r="T82">
        <v>0.72699999999999998</v>
      </c>
      <c r="U82">
        <v>625</v>
      </c>
      <c r="V82" t="s">
        <v>64</v>
      </c>
      <c r="W82">
        <v>0.95099999999999996</v>
      </c>
      <c r="X82">
        <v>0.94199999999999995</v>
      </c>
      <c r="Y82">
        <v>0.72699999999999998</v>
      </c>
      <c r="Z82">
        <v>0.91800000000000004</v>
      </c>
      <c r="AA82" s="9">
        <v>45713.611948206017</v>
      </c>
      <c r="AB82" t="s">
        <v>873</v>
      </c>
      <c r="AC82" s="9"/>
    </row>
    <row r="83" spans="1:29" x14ac:dyDescent="0.35">
      <c r="A83" t="s">
        <v>115</v>
      </c>
      <c r="B83" t="s">
        <v>313</v>
      </c>
      <c r="C83">
        <v>6692</v>
      </c>
      <c r="D83" s="9">
        <v>38901.370138888888</v>
      </c>
      <c r="E83" s="9">
        <v>45594.181944444441</v>
      </c>
      <c r="F83">
        <v>5632</v>
      </c>
      <c r="G83">
        <v>5632</v>
      </c>
      <c r="H83">
        <v>2538</v>
      </c>
      <c r="I83">
        <v>3094</v>
      </c>
      <c r="J83">
        <v>1228</v>
      </c>
      <c r="K83">
        <v>4404</v>
      </c>
      <c r="L83">
        <v>3866</v>
      </c>
      <c r="M83">
        <v>538</v>
      </c>
      <c r="N83">
        <v>0.66900000000000004</v>
      </c>
      <c r="O83">
        <v>0.82799999999999996</v>
      </c>
      <c r="P83">
        <v>0.36499999999999999</v>
      </c>
      <c r="Q83">
        <v>1.083</v>
      </c>
      <c r="R83">
        <v>0.95699999999999996</v>
      </c>
      <c r="S83">
        <v>0.44700000000000001</v>
      </c>
      <c r="T83">
        <v>0.75600000000000001</v>
      </c>
      <c r="U83">
        <v>496.76799999999997</v>
      </c>
      <c r="V83" t="s">
        <v>58</v>
      </c>
      <c r="W83">
        <v>0.91900000000000004</v>
      </c>
      <c r="X83">
        <v>0.98299999999999998</v>
      </c>
      <c r="Y83">
        <v>0.94499999999999995</v>
      </c>
      <c r="Z83">
        <v>0.96699999999999997</v>
      </c>
      <c r="AA83" s="9">
        <v>45713.612043067129</v>
      </c>
      <c r="AB83" t="s">
        <v>873</v>
      </c>
      <c r="AC83" s="9"/>
    </row>
    <row r="84" spans="1:29" hidden="1" x14ac:dyDescent="0.35">
      <c r="A84" t="s">
        <v>115</v>
      </c>
      <c r="B84" t="s">
        <v>314</v>
      </c>
      <c r="C84">
        <v>98</v>
      </c>
      <c r="D84" s="9">
        <v>45495.547222222223</v>
      </c>
      <c r="E84" s="9">
        <v>45594.181944444441</v>
      </c>
      <c r="F84" t="s">
        <v>874</v>
      </c>
      <c r="G84" t="s">
        <v>874</v>
      </c>
      <c r="H84">
        <v>4</v>
      </c>
      <c r="I84">
        <v>9</v>
      </c>
      <c r="J84">
        <v>7</v>
      </c>
      <c r="K84" t="s">
        <v>875</v>
      </c>
      <c r="L84">
        <v>3</v>
      </c>
      <c r="M84">
        <v>4</v>
      </c>
      <c r="N84">
        <v>6.2E-2</v>
      </c>
      <c r="O84">
        <v>0.155</v>
      </c>
      <c r="P84">
        <v>5.8000000000000003E-2</v>
      </c>
      <c r="Q84">
        <v>0.13300000000000001</v>
      </c>
      <c r="R84">
        <v>0.83599999999999997</v>
      </c>
      <c r="S84">
        <v>0.28599999999999998</v>
      </c>
      <c r="T84">
        <v>0.73299999999999998</v>
      </c>
      <c r="U84">
        <v>4045.1129999999998</v>
      </c>
      <c r="V84" t="s">
        <v>58</v>
      </c>
      <c r="W84">
        <v>0.84299999999999997</v>
      </c>
      <c r="X84">
        <v>0.93</v>
      </c>
      <c r="Y84">
        <v>0.81699999999999995</v>
      </c>
      <c r="Z84">
        <v>0.999</v>
      </c>
      <c r="AA84" s="9">
        <v>45713.612058831015</v>
      </c>
      <c r="AB84" t="s">
        <v>873</v>
      </c>
      <c r="AC84" s="9"/>
    </row>
    <row r="85" spans="1:29" x14ac:dyDescent="0.35">
      <c r="A85" t="s">
        <v>116</v>
      </c>
      <c r="B85" t="s">
        <v>313</v>
      </c>
      <c r="C85">
        <v>1321</v>
      </c>
      <c r="D85" s="9">
        <v>44279.337500000001</v>
      </c>
      <c r="E85" s="9">
        <v>45601.138888888891</v>
      </c>
      <c r="F85">
        <v>459</v>
      </c>
      <c r="G85">
        <v>459</v>
      </c>
      <c r="H85">
        <v>408</v>
      </c>
      <c r="I85">
        <v>51</v>
      </c>
      <c r="J85">
        <v>64</v>
      </c>
      <c r="K85">
        <v>395</v>
      </c>
      <c r="L85">
        <v>235</v>
      </c>
      <c r="M85">
        <v>160</v>
      </c>
      <c r="N85">
        <v>0.439</v>
      </c>
      <c r="O85">
        <v>5.1999999999999998E-2</v>
      </c>
      <c r="P85">
        <v>0.06</v>
      </c>
      <c r="Q85">
        <v>0.25600000000000001</v>
      </c>
      <c r="R85">
        <v>0.59399999999999997</v>
      </c>
      <c r="S85">
        <v>0.89400000000000002</v>
      </c>
      <c r="T85">
        <v>0.878</v>
      </c>
      <c r="U85">
        <v>625</v>
      </c>
      <c r="V85" t="s">
        <v>58</v>
      </c>
      <c r="W85">
        <v>0.97599999999999998</v>
      </c>
      <c r="X85">
        <v>0.82</v>
      </c>
      <c r="Y85">
        <v>0.95499999999999996</v>
      </c>
      <c r="Z85">
        <v>0.95399999999999996</v>
      </c>
      <c r="AA85" s="9">
        <v>45713.612145740743</v>
      </c>
      <c r="AB85" t="s">
        <v>873</v>
      </c>
      <c r="AC85" s="9"/>
    </row>
    <row r="86" spans="1:29" x14ac:dyDescent="0.35">
      <c r="A86" t="s">
        <v>117</v>
      </c>
      <c r="B86" t="s">
        <v>313</v>
      </c>
      <c r="C86">
        <v>4767</v>
      </c>
      <c r="D86" s="9">
        <v>40814.472222222219</v>
      </c>
      <c r="E86" s="9">
        <v>45582.091666666667</v>
      </c>
      <c r="F86">
        <v>456</v>
      </c>
      <c r="G86">
        <v>456</v>
      </c>
      <c r="H86">
        <v>198</v>
      </c>
      <c r="I86">
        <v>258</v>
      </c>
      <c r="J86">
        <v>35</v>
      </c>
      <c r="K86">
        <v>421</v>
      </c>
      <c r="L86">
        <v>370</v>
      </c>
      <c r="M86">
        <v>52</v>
      </c>
      <c r="N86">
        <v>0.04</v>
      </c>
      <c r="O86">
        <v>6.6000000000000003E-2</v>
      </c>
      <c r="P86">
        <v>8.0000000000000002E-3</v>
      </c>
      <c r="Q86">
        <v>8.4000000000000005E-2</v>
      </c>
      <c r="R86">
        <v>0.85699999999999998</v>
      </c>
      <c r="S86">
        <v>0.377</v>
      </c>
      <c r="T86">
        <v>0.92500000000000004</v>
      </c>
      <c r="U86">
        <v>619.048</v>
      </c>
      <c r="V86" t="s">
        <v>58</v>
      </c>
      <c r="W86">
        <v>0.98299999999999998</v>
      </c>
      <c r="X86">
        <v>0.95599999999999996</v>
      </c>
      <c r="Y86">
        <v>0.98799999999999999</v>
      </c>
      <c r="Z86">
        <v>0.96599999999999997</v>
      </c>
      <c r="AA86" s="9">
        <v>45713.612235590277</v>
      </c>
      <c r="AB86" t="s">
        <v>873</v>
      </c>
      <c r="AC86" s="9"/>
    </row>
    <row r="87" spans="1:29" x14ac:dyDescent="0.35">
      <c r="A87" t="s">
        <v>118</v>
      </c>
      <c r="B87" t="s">
        <v>313</v>
      </c>
      <c r="C87">
        <v>6876</v>
      </c>
      <c r="D87" s="9">
        <v>38334.484027777777</v>
      </c>
      <c r="E87" s="9">
        <v>45210.579861111109</v>
      </c>
      <c r="F87">
        <v>2068</v>
      </c>
      <c r="G87">
        <v>2068</v>
      </c>
      <c r="H87">
        <v>961</v>
      </c>
      <c r="I87">
        <v>1107</v>
      </c>
      <c r="J87">
        <v>333</v>
      </c>
      <c r="K87">
        <v>1735</v>
      </c>
      <c r="L87">
        <v>1341</v>
      </c>
      <c r="M87">
        <v>394</v>
      </c>
      <c r="N87">
        <v>0.43099999999999999</v>
      </c>
      <c r="O87">
        <v>0.49099999999999999</v>
      </c>
      <c r="P87">
        <v>0.05</v>
      </c>
      <c r="Q87">
        <v>0.60599999999999998</v>
      </c>
      <c r="R87">
        <v>0.69499999999999995</v>
      </c>
      <c r="S87">
        <v>0.46700000000000003</v>
      </c>
      <c r="T87">
        <v>0.94599999999999995</v>
      </c>
      <c r="U87">
        <v>650.16499999999996</v>
      </c>
      <c r="V87" t="s">
        <v>58</v>
      </c>
      <c r="W87">
        <v>0.97899999999999998</v>
      </c>
      <c r="X87">
        <v>0.95899999999999996</v>
      </c>
      <c r="Y87">
        <v>0.65200000000000002</v>
      </c>
      <c r="Z87">
        <v>0.98599999999999999</v>
      </c>
      <c r="AA87" s="9">
        <v>45713.612324606482</v>
      </c>
      <c r="AB87" t="s">
        <v>873</v>
      </c>
      <c r="AC87" s="9"/>
    </row>
    <row r="88" spans="1:29" x14ac:dyDescent="0.35">
      <c r="A88" t="s">
        <v>119</v>
      </c>
      <c r="B88" t="s">
        <v>313</v>
      </c>
      <c r="C88">
        <v>1098</v>
      </c>
      <c r="D88" s="9">
        <v>44320.533333333333</v>
      </c>
      <c r="E88" s="9">
        <v>45418.617361111108</v>
      </c>
      <c r="F88">
        <v>45</v>
      </c>
      <c r="G88">
        <v>45</v>
      </c>
      <c r="H88">
        <v>33</v>
      </c>
      <c r="I88">
        <v>12</v>
      </c>
      <c r="J88">
        <v>0</v>
      </c>
      <c r="K88">
        <v>45</v>
      </c>
      <c r="L88">
        <v>41</v>
      </c>
      <c r="M88">
        <v>4</v>
      </c>
      <c r="N88">
        <v>2.9000000000000001E-2</v>
      </c>
      <c r="O88">
        <v>2.3E-2</v>
      </c>
      <c r="P88">
        <v>0</v>
      </c>
      <c r="Q88">
        <v>0.04</v>
      </c>
      <c r="R88">
        <v>0.76900000000000002</v>
      </c>
      <c r="S88">
        <v>0.55800000000000005</v>
      </c>
      <c r="T88">
        <v>1</v>
      </c>
      <c r="U88">
        <v>100</v>
      </c>
      <c r="V88" t="s">
        <v>58</v>
      </c>
      <c r="W88">
        <v>0.96499999999999997</v>
      </c>
      <c r="X88">
        <v>0.84199999999999997</v>
      </c>
      <c r="Y88">
        <v>0</v>
      </c>
      <c r="Z88">
        <v>0.88700000000000001</v>
      </c>
      <c r="AA88" s="9">
        <v>45713.612409224537</v>
      </c>
      <c r="AB88" t="s">
        <v>873</v>
      </c>
      <c r="AC88" s="9"/>
    </row>
    <row r="89" spans="1:29" x14ac:dyDescent="0.35">
      <c r="A89" t="s">
        <v>120</v>
      </c>
      <c r="B89" t="s">
        <v>313</v>
      </c>
      <c r="C89">
        <v>2319</v>
      </c>
      <c r="D89" s="9">
        <v>43242.454861111109</v>
      </c>
      <c r="E89" s="9">
        <v>45561.708333333336</v>
      </c>
      <c r="F89">
        <v>231</v>
      </c>
      <c r="G89">
        <v>231</v>
      </c>
      <c r="H89">
        <v>208</v>
      </c>
      <c r="I89">
        <v>23</v>
      </c>
      <c r="J89">
        <v>4</v>
      </c>
      <c r="K89">
        <v>227</v>
      </c>
      <c r="L89">
        <v>210</v>
      </c>
      <c r="M89">
        <v>17</v>
      </c>
      <c r="N89">
        <v>9.2999999999999999E-2</v>
      </c>
      <c r="O89">
        <v>1.0999999999999999E-2</v>
      </c>
      <c r="P89">
        <v>6.0000000000000001E-3</v>
      </c>
      <c r="Q89">
        <v>9.7000000000000003E-2</v>
      </c>
      <c r="R89">
        <v>0.99</v>
      </c>
      <c r="S89">
        <v>0.89400000000000002</v>
      </c>
      <c r="T89">
        <v>0.94199999999999995</v>
      </c>
      <c r="U89">
        <v>175.25800000000001</v>
      </c>
      <c r="V89" t="s">
        <v>58</v>
      </c>
      <c r="W89">
        <v>0.98499999999999999</v>
      </c>
      <c r="X89">
        <v>0.91200000000000003</v>
      </c>
      <c r="Y89">
        <v>0.86499999999999999</v>
      </c>
      <c r="Z89">
        <v>0.97499999999999998</v>
      </c>
      <c r="AA89" s="9">
        <v>45713.612498773145</v>
      </c>
      <c r="AB89" t="s">
        <v>873</v>
      </c>
      <c r="AC89" s="9"/>
    </row>
    <row r="90" spans="1:29" x14ac:dyDescent="0.35">
      <c r="A90" t="s">
        <v>121</v>
      </c>
      <c r="B90" t="s">
        <v>313</v>
      </c>
      <c r="C90">
        <v>4816</v>
      </c>
      <c r="D90" s="9">
        <v>40788.470833333333</v>
      </c>
      <c r="E90" s="9">
        <v>45604.599305555559</v>
      </c>
      <c r="F90">
        <v>2576</v>
      </c>
      <c r="G90">
        <v>2576</v>
      </c>
      <c r="H90">
        <v>1629</v>
      </c>
      <c r="I90">
        <v>947</v>
      </c>
      <c r="J90">
        <v>297</v>
      </c>
      <c r="K90">
        <v>2279</v>
      </c>
      <c r="L90">
        <v>1970</v>
      </c>
      <c r="M90">
        <v>309</v>
      </c>
      <c r="N90">
        <v>0.40200000000000002</v>
      </c>
      <c r="O90">
        <v>0.30299999999999999</v>
      </c>
      <c r="P90">
        <v>8.8999999999999996E-2</v>
      </c>
      <c r="Q90">
        <v>0.54300000000000004</v>
      </c>
      <c r="R90">
        <v>0.88100000000000001</v>
      </c>
      <c r="S90">
        <v>0.56999999999999995</v>
      </c>
      <c r="T90">
        <v>0.874</v>
      </c>
      <c r="U90">
        <v>569.06100000000004</v>
      </c>
      <c r="V90" t="s">
        <v>58</v>
      </c>
      <c r="W90">
        <v>0.97899999999999998</v>
      </c>
      <c r="X90">
        <v>0.82699999999999996</v>
      </c>
      <c r="Y90">
        <v>0.86299999999999999</v>
      </c>
      <c r="Z90">
        <v>0.95199999999999996</v>
      </c>
      <c r="AA90" s="9">
        <v>45713.612595185186</v>
      </c>
      <c r="AB90" t="s">
        <v>873</v>
      </c>
      <c r="AC90" s="9"/>
    </row>
    <row r="91" spans="1:29" x14ac:dyDescent="0.35">
      <c r="A91" t="s">
        <v>122</v>
      </c>
      <c r="B91" t="s">
        <v>313</v>
      </c>
      <c r="C91">
        <v>5004</v>
      </c>
      <c r="D91" s="9">
        <v>40564.916666666664</v>
      </c>
      <c r="E91" s="9">
        <v>45569.370138888888</v>
      </c>
      <c r="F91">
        <v>15610</v>
      </c>
      <c r="G91">
        <v>15434</v>
      </c>
      <c r="H91">
        <v>6185</v>
      </c>
      <c r="I91">
        <v>9249</v>
      </c>
      <c r="J91">
        <v>4058</v>
      </c>
      <c r="K91">
        <v>11376</v>
      </c>
      <c r="L91">
        <v>11351</v>
      </c>
      <c r="M91">
        <v>25</v>
      </c>
      <c r="N91">
        <v>1.4610000000000001</v>
      </c>
      <c r="O91">
        <v>2.7879999999999998</v>
      </c>
      <c r="P91">
        <v>1.091</v>
      </c>
      <c r="Q91">
        <v>2.794</v>
      </c>
      <c r="R91">
        <v>0.88500000000000001</v>
      </c>
      <c r="S91">
        <v>0.34399999999999997</v>
      </c>
      <c r="T91">
        <v>0.74299999999999999</v>
      </c>
      <c r="U91">
        <v>8.9480000000000004</v>
      </c>
      <c r="V91" t="s">
        <v>82</v>
      </c>
      <c r="W91">
        <v>0.95099999999999996</v>
      </c>
      <c r="X91">
        <v>0.97099999999999997</v>
      </c>
      <c r="Y91">
        <v>0.99299999999999999</v>
      </c>
      <c r="Z91">
        <v>0.99299999999999999</v>
      </c>
      <c r="AA91" s="9">
        <v>45713.612716481482</v>
      </c>
      <c r="AB91" t="s">
        <v>873</v>
      </c>
      <c r="AC91" s="9"/>
    </row>
    <row r="92" spans="1:29" hidden="1" x14ac:dyDescent="0.35">
      <c r="A92" t="s">
        <v>122</v>
      </c>
      <c r="B92" t="s">
        <v>314</v>
      </c>
      <c r="C92">
        <v>94</v>
      </c>
      <c r="D92" s="9">
        <v>45474.559027777781</v>
      </c>
      <c r="E92" s="9">
        <v>45569.370138888888</v>
      </c>
      <c r="F92" t="s">
        <v>874</v>
      </c>
      <c r="G92" t="s">
        <v>874</v>
      </c>
      <c r="H92">
        <v>9</v>
      </c>
      <c r="I92">
        <v>4</v>
      </c>
      <c r="J92">
        <v>4</v>
      </c>
      <c r="K92" t="s">
        <v>875</v>
      </c>
      <c r="L92">
        <v>20</v>
      </c>
      <c r="M92">
        <v>-10</v>
      </c>
      <c r="N92">
        <v>0.42199999999999999</v>
      </c>
      <c r="O92">
        <v>3.6999999999999998E-2</v>
      </c>
      <c r="P92">
        <v>3.2000000000000001E-2</v>
      </c>
      <c r="Q92">
        <v>0.36499999999999999</v>
      </c>
      <c r="R92">
        <v>0.85499999999999998</v>
      </c>
      <c r="S92">
        <v>0.91900000000000004</v>
      </c>
      <c r="T92">
        <v>0.93</v>
      </c>
      <c r="U92">
        <v>68.492999999999995</v>
      </c>
      <c r="V92" t="s">
        <v>58</v>
      </c>
      <c r="W92">
        <v>0.746</v>
      </c>
      <c r="X92">
        <v>0.92500000000000004</v>
      </c>
      <c r="Y92">
        <v>0.95899999999999996</v>
      </c>
      <c r="Z92">
        <v>0.85399999999999998</v>
      </c>
      <c r="AA92" s="9">
        <v>45713.612731597219</v>
      </c>
      <c r="AB92" t="s">
        <v>873</v>
      </c>
      <c r="AC92" s="9"/>
    </row>
    <row r="93" spans="1:29" x14ac:dyDescent="0.35">
      <c r="A93" t="s">
        <v>123</v>
      </c>
      <c r="B93" t="s">
        <v>313</v>
      </c>
      <c r="C93">
        <v>5028</v>
      </c>
      <c r="D93" s="9">
        <v>40575.62777777778</v>
      </c>
      <c r="E93" s="9">
        <v>45604.427083333336</v>
      </c>
      <c r="F93">
        <v>5415</v>
      </c>
      <c r="G93">
        <v>5415</v>
      </c>
      <c r="H93">
        <v>2595</v>
      </c>
      <c r="I93">
        <v>2820</v>
      </c>
      <c r="J93">
        <v>1382</v>
      </c>
      <c r="K93">
        <v>4033</v>
      </c>
      <c r="L93">
        <v>3374</v>
      </c>
      <c r="M93">
        <v>659</v>
      </c>
      <c r="N93">
        <v>0.90700000000000003</v>
      </c>
      <c r="O93">
        <v>0.90800000000000003</v>
      </c>
      <c r="P93">
        <v>0.44900000000000001</v>
      </c>
      <c r="Q93">
        <v>1.208</v>
      </c>
      <c r="R93">
        <v>0.88400000000000001</v>
      </c>
      <c r="S93">
        <v>0.5</v>
      </c>
      <c r="T93">
        <v>0.753</v>
      </c>
      <c r="U93">
        <v>545.53</v>
      </c>
      <c r="V93" t="s">
        <v>58</v>
      </c>
      <c r="W93">
        <v>0.97399999999999998</v>
      </c>
      <c r="X93">
        <v>0.99</v>
      </c>
      <c r="Y93">
        <v>0.98099999999999998</v>
      </c>
      <c r="Z93">
        <v>0.98499999999999999</v>
      </c>
      <c r="AA93" s="9">
        <v>45713.612832696759</v>
      </c>
      <c r="AB93" t="s">
        <v>873</v>
      </c>
      <c r="AC93" s="9"/>
    </row>
    <row r="94" spans="1:29" hidden="1" x14ac:dyDescent="0.35">
      <c r="A94" t="s">
        <v>123</v>
      </c>
      <c r="B94" t="s">
        <v>314</v>
      </c>
      <c r="C94">
        <v>99</v>
      </c>
      <c r="D94" s="9">
        <v>45505.327777777777</v>
      </c>
      <c r="E94" s="9">
        <v>45604.427083333336</v>
      </c>
      <c r="F94" t="s">
        <v>874</v>
      </c>
      <c r="G94" t="s">
        <v>874</v>
      </c>
      <c r="H94">
        <v>50</v>
      </c>
      <c r="I94">
        <v>56</v>
      </c>
      <c r="J94">
        <v>89</v>
      </c>
      <c r="K94" t="s">
        <v>875</v>
      </c>
      <c r="L94">
        <v>110</v>
      </c>
      <c r="M94">
        <v>-94</v>
      </c>
      <c r="N94">
        <v>0.46700000000000003</v>
      </c>
      <c r="O94">
        <v>0.66700000000000004</v>
      </c>
      <c r="P94">
        <v>1.2290000000000001</v>
      </c>
      <c r="Q94">
        <v>1.385</v>
      </c>
      <c r="R94">
        <v>-14.579000000000001</v>
      </c>
      <c r="S94">
        <v>0.41199999999999998</v>
      </c>
      <c r="T94">
        <v>-8.4000000000000005E-2</v>
      </c>
      <c r="U94">
        <v>475.81200000000001</v>
      </c>
      <c r="V94" t="s">
        <v>58</v>
      </c>
      <c r="W94">
        <v>0.89500000000000002</v>
      </c>
      <c r="X94">
        <v>0.96899999999999997</v>
      </c>
      <c r="Y94">
        <v>0.61399999999999999</v>
      </c>
      <c r="Z94">
        <v>0.94299999999999995</v>
      </c>
      <c r="AA94" s="9">
        <v>45713.612848993056</v>
      </c>
      <c r="AB94" t="s">
        <v>873</v>
      </c>
      <c r="AC94" s="9"/>
    </row>
    <row r="95" spans="1:29" x14ac:dyDescent="0.35">
      <c r="A95" t="s">
        <v>124</v>
      </c>
      <c r="B95" t="s">
        <v>313</v>
      </c>
      <c r="C95">
        <v>3548</v>
      </c>
      <c r="D95" s="9">
        <v>42033</v>
      </c>
      <c r="E95" s="9">
        <v>45581.348611111112</v>
      </c>
      <c r="F95">
        <v>479</v>
      </c>
      <c r="G95">
        <v>479</v>
      </c>
      <c r="H95">
        <v>206</v>
      </c>
      <c r="I95">
        <v>273</v>
      </c>
      <c r="J95">
        <v>119</v>
      </c>
      <c r="K95">
        <v>360</v>
      </c>
      <c r="L95">
        <v>297</v>
      </c>
      <c r="M95">
        <v>63</v>
      </c>
      <c r="N95">
        <v>7.1999999999999995E-2</v>
      </c>
      <c r="O95">
        <v>0.10100000000000001</v>
      </c>
      <c r="P95">
        <v>3.5000000000000003E-2</v>
      </c>
      <c r="Q95">
        <v>0.115</v>
      </c>
      <c r="R95">
        <v>0.83299999999999996</v>
      </c>
      <c r="S95">
        <v>0.41599999999999998</v>
      </c>
      <c r="T95">
        <v>0.79800000000000004</v>
      </c>
      <c r="U95">
        <v>547.82600000000002</v>
      </c>
      <c r="V95" t="s">
        <v>58</v>
      </c>
      <c r="W95">
        <v>0.96699999999999997</v>
      </c>
      <c r="X95">
        <v>0.97199999999999998</v>
      </c>
      <c r="Y95">
        <v>0.98799999999999999</v>
      </c>
      <c r="Z95">
        <v>0.95899999999999996</v>
      </c>
      <c r="AA95" s="9">
        <v>45713.612938715276</v>
      </c>
      <c r="AB95" t="s">
        <v>873</v>
      </c>
      <c r="AC95" s="9"/>
    </row>
    <row r="96" spans="1:29" x14ac:dyDescent="0.35">
      <c r="A96" t="s">
        <v>125</v>
      </c>
      <c r="B96" t="s">
        <v>313</v>
      </c>
      <c r="C96">
        <v>3339</v>
      </c>
      <c r="D96" s="9">
        <v>42124.430555555555</v>
      </c>
      <c r="E96" s="9">
        <v>45463.576388888891</v>
      </c>
      <c r="F96">
        <v>690</v>
      </c>
      <c r="G96">
        <v>690</v>
      </c>
      <c r="H96">
        <v>476</v>
      </c>
      <c r="I96">
        <v>214</v>
      </c>
      <c r="J96">
        <v>59</v>
      </c>
      <c r="K96">
        <v>631</v>
      </c>
      <c r="L96">
        <v>563</v>
      </c>
      <c r="M96">
        <v>68</v>
      </c>
      <c r="N96">
        <v>0.29899999999999999</v>
      </c>
      <c r="O96">
        <v>8.6999999999999994E-2</v>
      </c>
      <c r="P96">
        <v>2.1999999999999999E-2</v>
      </c>
      <c r="Q96">
        <v>0.308</v>
      </c>
      <c r="R96">
        <v>0.84599999999999997</v>
      </c>
      <c r="S96">
        <v>0.77500000000000002</v>
      </c>
      <c r="T96">
        <v>0.94299999999999995</v>
      </c>
      <c r="U96">
        <v>220.779</v>
      </c>
      <c r="V96" t="s">
        <v>58</v>
      </c>
      <c r="W96">
        <v>0.93799999999999994</v>
      </c>
      <c r="X96">
        <v>0.98</v>
      </c>
      <c r="Y96">
        <v>0.98199999999999998</v>
      </c>
      <c r="Z96">
        <v>0.91800000000000004</v>
      </c>
      <c r="AA96" s="9">
        <v>45713.613032314817</v>
      </c>
      <c r="AB96" t="s">
        <v>873</v>
      </c>
      <c r="AC96" s="9"/>
    </row>
    <row r="97" spans="1:29" x14ac:dyDescent="0.35">
      <c r="A97" t="s">
        <v>126</v>
      </c>
      <c r="B97" t="s">
        <v>313</v>
      </c>
      <c r="C97">
        <v>2703</v>
      </c>
      <c r="D97" s="9">
        <v>42695.45416666667</v>
      </c>
      <c r="E97" s="9">
        <v>45398.539583333331</v>
      </c>
      <c r="F97">
        <v>1962</v>
      </c>
      <c r="G97">
        <v>1962</v>
      </c>
      <c r="H97">
        <v>1640</v>
      </c>
      <c r="I97">
        <v>322</v>
      </c>
      <c r="J97">
        <v>252</v>
      </c>
      <c r="K97">
        <v>1710</v>
      </c>
      <c r="L97">
        <v>1533</v>
      </c>
      <c r="M97">
        <v>177</v>
      </c>
      <c r="N97">
        <v>1.0429999999999999</v>
      </c>
      <c r="O97">
        <v>0.29199999999999998</v>
      </c>
      <c r="P97">
        <v>0.111</v>
      </c>
      <c r="Q97">
        <v>1.0649999999999999</v>
      </c>
      <c r="R97">
        <v>0.87</v>
      </c>
      <c r="S97">
        <v>0.78100000000000003</v>
      </c>
      <c r="T97">
        <v>0.91700000000000004</v>
      </c>
      <c r="U97">
        <v>166.197</v>
      </c>
      <c r="V97" t="s">
        <v>58</v>
      </c>
      <c r="W97">
        <v>0.93600000000000005</v>
      </c>
      <c r="X97">
        <v>0.91700000000000004</v>
      </c>
      <c r="Y97">
        <v>0.84399999999999997</v>
      </c>
      <c r="Z97">
        <v>0.91400000000000003</v>
      </c>
      <c r="AA97" s="9">
        <v>45713.613125972224</v>
      </c>
      <c r="AB97" t="s">
        <v>873</v>
      </c>
      <c r="AC97" s="9"/>
    </row>
    <row r="98" spans="1:29" x14ac:dyDescent="0.35">
      <c r="A98" t="s">
        <v>127</v>
      </c>
      <c r="B98" t="s">
        <v>313</v>
      </c>
      <c r="C98">
        <v>2499</v>
      </c>
      <c r="D98" s="9">
        <v>43104.180555555555</v>
      </c>
      <c r="E98" s="9">
        <v>45603.651388888888</v>
      </c>
      <c r="F98">
        <v>3691</v>
      </c>
      <c r="G98">
        <v>3691</v>
      </c>
      <c r="H98">
        <v>3026</v>
      </c>
      <c r="I98">
        <v>665</v>
      </c>
      <c r="J98">
        <v>374</v>
      </c>
      <c r="K98">
        <v>3317</v>
      </c>
      <c r="L98">
        <v>3046</v>
      </c>
      <c r="M98">
        <v>271</v>
      </c>
      <c r="N98">
        <v>1.244</v>
      </c>
      <c r="O98">
        <v>0.28000000000000003</v>
      </c>
      <c r="P98">
        <v>0.17499999999999999</v>
      </c>
      <c r="Q98">
        <v>1.3140000000000001</v>
      </c>
      <c r="R98">
        <v>0.97399999999999998</v>
      </c>
      <c r="S98">
        <v>0.81599999999999995</v>
      </c>
      <c r="T98">
        <v>0.88500000000000001</v>
      </c>
      <c r="U98">
        <v>206.24</v>
      </c>
      <c r="V98" t="s">
        <v>58</v>
      </c>
      <c r="W98">
        <v>0.999</v>
      </c>
      <c r="X98">
        <v>0.96899999999999997</v>
      </c>
      <c r="Y98">
        <v>0.98899999999999999</v>
      </c>
      <c r="Z98">
        <v>0.996</v>
      </c>
      <c r="AA98" s="9">
        <v>45713.613226157409</v>
      </c>
      <c r="AB98" t="s">
        <v>873</v>
      </c>
      <c r="AC98" s="9"/>
    </row>
    <row r="99" spans="1:29" hidden="1" x14ac:dyDescent="0.35">
      <c r="A99" t="s">
        <v>127</v>
      </c>
      <c r="B99" t="s">
        <v>314</v>
      </c>
      <c r="C99">
        <v>99</v>
      </c>
      <c r="D99" s="9">
        <v>45504.363194444442</v>
      </c>
      <c r="E99" s="9">
        <v>45603.651388888888</v>
      </c>
      <c r="F99" t="s">
        <v>874</v>
      </c>
      <c r="G99" t="s">
        <v>874</v>
      </c>
      <c r="H99">
        <v>71</v>
      </c>
      <c r="I99">
        <v>22</v>
      </c>
      <c r="J99">
        <v>6</v>
      </c>
      <c r="K99" t="s">
        <v>875</v>
      </c>
      <c r="L99">
        <v>84</v>
      </c>
      <c r="M99">
        <v>4</v>
      </c>
      <c r="N99">
        <v>0.74299999999999999</v>
      </c>
      <c r="O99">
        <v>0.22</v>
      </c>
      <c r="P99">
        <v>6.0999999999999999E-2</v>
      </c>
      <c r="Q99">
        <v>0.86899999999999999</v>
      </c>
      <c r="R99">
        <v>0.96299999999999997</v>
      </c>
      <c r="S99">
        <v>0.77200000000000002</v>
      </c>
      <c r="T99">
        <v>0.93700000000000006</v>
      </c>
      <c r="U99">
        <v>311.85300000000001</v>
      </c>
      <c r="V99" t="s">
        <v>58</v>
      </c>
      <c r="W99">
        <v>0.98299999999999998</v>
      </c>
      <c r="X99">
        <v>0.97199999999999998</v>
      </c>
      <c r="Y99">
        <v>0.91400000000000003</v>
      </c>
      <c r="Z99">
        <v>0.96799999999999997</v>
      </c>
      <c r="AA99" s="9">
        <v>45713.613249317132</v>
      </c>
      <c r="AB99" t="s">
        <v>873</v>
      </c>
      <c r="AC99" s="9"/>
    </row>
    <row r="100" spans="1:29" x14ac:dyDescent="0.35">
      <c r="A100" t="s">
        <v>128</v>
      </c>
      <c r="B100" t="s">
        <v>313</v>
      </c>
      <c r="C100">
        <v>4675</v>
      </c>
      <c r="D100" s="9">
        <v>40779.863194444442</v>
      </c>
      <c r="E100" s="9">
        <v>45455.491666666669</v>
      </c>
      <c r="F100">
        <v>1448</v>
      </c>
      <c r="G100">
        <v>1448</v>
      </c>
      <c r="H100">
        <v>316</v>
      </c>
      <c r="I100">
        <v>1132</v>
      </c>
      <c r="J100">
        <v>344</v>
      </c>
      <c r="K100">
        <v>1104</v>
      </c>
      <c r="L100">
        <v>1096</v>
      </c>
      <c r="M100">
        <v>8</v>
      </c>
      <c r="N100">
        <v>0.104</v>
      </c>
      <c r="O100">
        <v>0.42399999999999999</v>
      </c>
      <c r="P100">
        <v>0.123</v>
      </c>
      <c r="Q100">
        <v>0.41799999999999998</v>
      </c>
      <c r="R100">
        <v>1.032</v>
      </c>
      <c r="S100">
        <v>0.19700000000000001</v>
      </c>
      <c r="T100">
        <v>0.76700000000000002</v>
      </c>
      <c r="U100">
        <v>19.138999999999999</v>
      </c>
      <c r="V100" t="s">
        <v>94</v>
      </c>
      <c r="W100">
        <v>0.84499999999999997</v>
      </c>
      <c r="X100">
        <v>0.92400000000000004</v>
      </c>
      <c r="Y100">
        <v>0.95199999999999996</v>
      </c>
      <c r="Z100">
        <v>0.92100000000000004</v>
      </c>
      <c r="AA100" s="9">
        <v>45713.613334074071</v>
      </c>
      <c r="AB100" t="s">
        <v>873</v>
      </c>
      <c r="AC100" s="9"/>
    </row>
    <row r="101" spans="1:29" x14ac:dyDescent="0.35">
      <c r="A101" t="s">
        <v>129</v>
      </c>
      <c r="B101" t="s">
        <v>313</v>
      </c>
      <c r="C101">
        <v>2434</v>
      </c>
      <c r="D101" s="9">
        <v>43104.343055555553</v>
      </c>
      <c r="E101" s="9">
        <v>45539.331944444442</v>
      </c>
      <c r="F101">
        <v>254</v>
      </c>
      <c r="G101">
        <v>254</v>
      </c>
      <c r="H101">
        <v>160</v>
      </c>
      <c r="I101">
        <v>94</v>
      </c>
      <c r="J101">
        <v>38</v>
      </c>
      <c r="K101">
        <v>216</v>
      </c>
      <c r="L101">
        <v>189</v>
      </c>
      <c r="M101">
        <v>27</v>
      </c>
      <c r="N101">
        <v>6.7000000000000004E-2</v>
      </c>
      <c r="O101">
        <v>5.0999999999999997E-2</v>
      </c>
      <c r="P101">
        <v>1.4999999999999999E-2</v>
      </c>
      <c r="Q101">
        <v>8.5000000000000006E-2</v>
      </c>
      <c r="R101">
        <v>0.82499999999999996</v>
      </c>
      <c r="S101">
        <v>0.56799999999999995</v>
      </c>
      <c r="T101">
        <v>0.873</v>
      </c>
      <c r="U101">
        <v>317.64699999999999</v>
      </c>
      <c r="V101" t="s">
        <v>58</v>
      </c>
      <c r="W101">
        <v>0.97499999999999998</v>
      </c>
      <c r="X101">
        <v>0.97299999999999998</v>
      </c>
      <c r="Y101">
        <v>0.9</v>
      </c>
      <c r="Z101">
        <v>0.98499999999999999</v>
      </c>
      <c r="AA101" s="9">
        <v>45713.613423275463</v>
      </c>
      <c r="AB101" t="s">
        <v>873</v>
      </c>
      <c r="AC101" s="9"/>
    </row>
    <row r="102" spans="1:29" x14ac:dyDescent="0.35">
      <c r="A102" t="s">
        <v>130</v>
      </c>
      <c r="B102" t="s">
        <v>313</v>
      </c>
      <c r="C102">
        <v>2577</v>
      </c>
      <c r="D102" s="9">
        <v>42781.604166666664</v>
      </c>
      <c r="E102" s="9">
        <v>45359.502083333333</v>
      </c>
      <c r="F102">
        <v>71</v>
      </c>
      <c r="G102">
        <v>71</v>
      </c>
      <c r="H102">
        <v>71</v>
      </c>
      <c r="I102">
        <v>0</v>
      </c>
      <c r="J102">
        <v>8</v>
      </c>
      <c r="K102">
        <v>63</v>
      </c>
      <c r="L102">
        <v>62</v>
      </c>
      <c r="M102">
        <v>1</v>
      </c>
      <c r="N102">
        <v>2.9000000000000001E-2</v>
      </c>
      <c r="O102">
        <v>0</v>
      </c>
      <c r="P102">
        <v>3.0000000000000001E-3</v>
      </c>
      <c r="Q102">
        <v>2.5999999999999999E-2</v>
      </c>
      <c r="R102">
        <v>1</v>
      </c>
      <c r="S102">
        <v>1</v>
      </c>
      <c r="T102">
        <v>0.89700000000000002</v>
      </c>
      <c r="U102">
        <v>38.462000000000003</v>
      </c>
      <c r="V102" t="s">
        <v>64</v>
      </c>
      <c r="W102">
        <v>0.97899999999999998</v>
      </c>
      <c r="X102">
        <v>0</v>
      </c>
      <c r="Y102">
        <v>0.84799999999999998</v>
      </c>
      <c r="Z102">
        <v>0.97499999999999998</v>
      </c>
      <c r="AA102" s="9">
        <v>45713.61349891204</v>
      </c>
      <c r="AB102" t="s">
        <v>873</v>
      </c>
      <c r="AC102" s="9"/>
    </row>
    <row r="103" spans="1:29" x14ac:dyDescent="0.35">
      <c r="A103" t="s">
        <v>131</v>
      </c>
      <c r="B103" t="s">
        <v>313</v>
      </c>
      <c r="C103">
        <v>1373</v>
      </c>
      <c r="D103" s="9">
        <v>44235.474305555559</v>
      </c>
      <c r="E103" s="9">
        <v>45608.707638888889</v>
      </c>
      <c r="F103">
        <v>349</v>
      </c>
      <c r="G103">
        <v>305</v>
      </c>
      <c r="H103">
        <v>296</v>
      </c>
      <c r="I103">
        <v>9</v>
      </c>
      <c r="J103">
        <v>38</v>
      </c>
      <c r="K103">
        <v>267</v>
      </c>
      <c r="L103">
        <v>182</v>
      </c>
      <c r="M103">
        <v>85</v>
      </c>
      <c r="N103">
        <v>0.22800000000000001</v>
      </c>
      <c r="O103">
        <v>1.2E-2</v>
      </c>
      <c r="P103">
        <v>3.5000000000000003E-2</v>
      </c>
      <c r="Q103">
        <v>0.14799999999999999</v>
      </c>
      <c r="R103">
        <v>0.72199999999999998</v>
      </c>
      <c r="S103">
        <v>0.95</v>
      </c>
      <c r="T103">
        <v>0.85399999999999998</v>
      </c>
      <c r="U103">
        <v>574.32399999999996</v>
      </c>
      <c r="V103" t="s">
        <v>58</v>
      </c>
      <c r="W103">
        <v>0.89900000000000002</v>
      </c>
      <c r="X103">
        <v>0.78300000000000003</v>
      </c>
      <c r="Y103">
        <v>0.96699999999999997</v>
      </c>
      <c r="Z103">
        <v>0.88</v>
      </c>
      <c r="AA103" s="9">
        <v>45713.613591504632</v>
      </c>
      <c r="AB103" t="s">
        <v>873</v>
      </c>
      <c r="AC103" s="9"/>
    </row>
    <row r="104" spans="1:29" x14ac:dyDescent="0.35">
      <c r="A104" t="s">
        <v>132</v>
      </c>
      <c r="B104" t="s">
        <v>313</v>
      </c>
      <c r="C104">
        <v>1579</v>
      </c>
      <c r="D104" s="9">
        <v>43616.21875</v>
      </c>
      <c r="E104" s="9">
        <v>45195.532638888886</v>
      </c>
      <c r="F104">
        <v>716</v>
      </c>
      <c r="G104">
        <v>716</v>
      </c>
      <c r="H104">
        <v>634</v>
      </c>
      <c r="I104">
        <v>82</v>
      </c>
      <c r="J104">
        <v>0</v>
      </c>
      <c r="K104">
        <v>716</v>
      </c>
      <c r="L104">
        <v>553</v>
      </c>
      <c r="M104">
        <v>163</v>
      </c>
      <c r="N104">
        <v>0.51</v>
      </c>
      <c r="O104">
        <v>0.152</v>
      </c>
      <c r="P104">
        <v>0</v>
      </c>
      <c r="Q104">
        <v>0.46700000000000003</v>
      </c>
      <c r="R104">
        <v>0.70499999999999996</v>
      </c>
      <c r="S104">
        <v>0.77</v>
      </c>
      <c r="T104">
        <v>1</v>
      </c>
      <c r="U104">
        <v>349.036</v>
      </c>
      <c r="V104" t="s">
        <v>58</v>
      </c>
      <c r="W104">
        <v>0.98899999999999999</v>
      </c>
      <c r="X104">
        <v>0.93899999999999995</v>
      </c>
      <c r="Y104">
        <v>0</v>
      </c>
      <c r="Z104">
        <v>0.98599999999999999</v>
      </c>
      <c r="AA104" s="9">
        <v>45713.613667199075</v>
      </c>
      <c r="AB104" t="s">
        <v>873</v>
      </c>
      <c r="AC104" s="9"/>
    </row>
    <row r="105" spans="1:29" x14ac:dyDescent="0.35">
      <c r="A105" t="s">
        <v>133</v>
      </c>
      <c r="B105" t="s">
        <v>313</v>
      </c>
      <c r="C105">
        <v>1816</v>
      </c>
      <c r="D105" s="9">
        <v>43788.473611111112</v>
      </c>
      <c r="E105" s="9">
        <v>45604.477083333331</v>
      </c>
      <c r="F105">
        <v>760</v>
      </c>
      <c r="G105">
        <v>760</v>
      </c>
      <c r="H105">
        <v>205</v>
      </c>
      <c r="I105">
        <v>555</v>
      </c>
      <c r="J105">
        <v>111</v>
      </c>
      <c r="K105">
        <v>649</v>
      </c>
      <c r="L105">
        <v>318</v>
      </c>
      <c r="M105">
        <v>331</v>
      </c>
      <c r="N105">
        <v>0.17299999999999999</v>
      </c>
      <c r="O105">
        <v>0.84299999999999997</v>
      </c>
      <c r="P105">
        <v>0.248</v>
      </c>
      <c r="Q105">
        <v>0.71</v>
      </c>
      <c r="R105">
        <v>0.92400000000000004</v>
      </c>
      <c r="S105">
        <v>0.17</v>
      </c>
      <c r="T105">
        <v>0.75600000000000001</v>
      </c>
      <c r="U105">
        <v>466.197</v>
      </c>
      <c r="V105" t="s">
        <v>58</v>
      </c>
      <c r="W105">
        <v>0.63100000000000001</v>
      </c>
      <c r="X105">
        <v>0.745</v>
      </c>
      <c r="Y105">
        <v>0.69699999999999995</v>
      </c>
      <c r="Z105">
        <v>0.97399999999999998</v>
      </c>
      <c r="AA105" s="9">
        <v>45713.613755972219</v>
      </c>
      <c r="AB105" t="s">
        <v>873</v>
      </c>
      <c r="AC105" s="9"/>
    </row>
    <row r="106" spans="1:29" hidden="1" x14ac:dyDescent="0.35">
      <c r="A106" t="s">
        <v>133</v>
      </c>
      <c r="B106" t="s">
        <v>314</v>
      </c>
      <c r="C106">
        <v>99</v>
      </c>
      <c r="D106" s="9">
        <v>45505.25</v>
      </c>
      <c r="E106" s="9">
        <v>45604.477083333331</v>
      </c>
      <c r="F106" t="s">
        <v>874</v>
      </c>
      <c r="G106" t="s">
        <v>874</v>
      </c>
      <c r="H106">
        <v>53</v>
      </c>
      <c r="I106">
        <v>101</v>
      </c>
      <c r="J106">
        <v>79</v>
      </c>
      <c r="K106" t="s">
        <v>875</v>
      </c>
      <c r="L106">
        <v>98</v>
      </c>
      <c r="M106">
        <v>-22</v>
      </c>
      <c r="N106">
        <v>0.66400000000000003</v>
      </c>
      <c r="O106">
        <v>1.097</v>
      </c>
      <c r="P106">
        <v>0.83499999999999996</v>
      </c>
      <c r="Q106">
        <v>0.89200000000000002</v>
      </c>
      <c r="R106">
        <v>0.96299999999999997</v>
      </c>
      <c r="S106">
        <v>0.377</v>
      </c>
      <c r="T106">
        <v>0.52600000000000002</v>
      </c>
      <c r="U106">
        <v>371.07600000000002</v>
      </c>
      <c r="V106" t="s">
        <v>58</v>
      </c>
      <c r="W106">
        <v>0.97399999999999998</v>
      </c>
      <c r="X106">
        <v>0.98099999999999998</v>
      </c>
      <c r="Y106">
        <v>0.57499999999999996</v>
      </c>
      <c r="Z106">
        <v>0.91600000000000004</v>
      </c>
      <c r="AA106" s="9">
        <v>45713.613776574071</v>
      </c>
      <c r="AB106" t="s">
        <v>873</v>
      </c>
      <c r="AC106" s="9"/>
    </row>
    <row r="107" spans="1:29" x14ac:dyDescent="0.35">
      <c r="A107" t="s">
        <v>134</v>
      </c>
      <c r="B107" t="s">
        <v>313</v>
      </c>
      <c r="C107">
        <v>640</v>
      </c>
      <c r="D107" s="9">
        <v>44965.496527777781</v>
      </c>
      <c r="E107" s="9">
        <v>45606.493055555555</v>
      </c>
      <c r="F107">
        <v>1518</v>
      </c>
      <c r="G107">
        <v>1518</v>
      </c>
      <c r="H107">
        <v>1109</v>
      </c>
      <c r="I107">
        <v>409</v>
      </c>
      <c r="J107">
        <v>295</v>
      </c>
      <c r="K107">
        <v>1223</v>
      </c>
      <c r="L107">
        <v>963</v>
      </c>
      <c r="M107">
        <v>260</v>
      </c>
      <c r="N107">
        <v>1.627</v>
      </c>
      <c r="O107">
        <v>0.77900000000000003</v>
      </c>
      <c r="P107">
        <v>0.59599999999999997</v>
      </c>
      <c r="Q107">
        <v>1.55</v>
      </c>
      <c r="R107">
        <v>0.85599999999999998</v>
      </c>
      <c r="S107">
        <v>0.67600000000000005</v>
      </c>
      <c r="T107">
        <v>0.752</v>
      </c>
      <c r="U107">
        <v>167.74199999999999</v>
      </c>
      <c r="V107" t="s">
        <v>58</v>
      </c>
      <c r="W107">
        <v>0.995</v>
      </c>
      <c r="X107">
        <v>0.86799999999999999</v>
      </c>
      <c r="Y107">
        <v>0.86899999999999999</v>
      </c>
      <c r="Z107">
        <v>0.98099999999999998</v>
      </c>
      <c r="AA107" s="9">
        <v>45713.613871273148</v>
      </c>
      <c r="AB107" t="s">
        <v>873</v>
      </c>
      <c r="AC107" s="9"/>
    </row>
    <row r="108" spans="1:29" hidden="1" x14ac:dyDescent="0.35">
      <c r="A108" t="s">
        <v>134</v>
      </c>
      <c r="B108" t="s">
        <v>314</v>
      </c>
      <c r="C108">
        <v>99</v>
      </c>
      <c r="D108" s="9">
        <v>45506.677083333336</v>
      </c>
      <c r="E108" s="9">
        <v>45606.493055555555</v>
      </c>
      <c r="F108" t="s">
        <v>874</v>
      </c>
      <c r="G108" t="s">
        <v>874</v>
      </c>
      <c r="H108">
        <v>163</v>
      </c>
      <c r="I108">
        <v>89</v>
      </c>
      <c r="J108">
        <v>122</v>
      </c>
      <c r="K108" t="s">
        <v>875</v>
      </c>
      <c r="L108">
        <v>159</v>
      </c>
      <c r="M108">
        <v>-28</v>
      </c>
      <c r="N108">
        <v>1.613</v>
      </c>
      <c r="O108">
        <v>0.86699999999999999</v>
      </c>
      <c r="P108">
        <v>1.631</v>
      </c>
      <c r="Q108">
        <v>1.71</v>
      </c>
      <c r="R108">
        <v>2.0139999999999998</v>
      </c>
      <c r="S108">
        <v>0.65</v>
      </c>
      <c r="T108">
        <v>0.34200000000000003</v>
      </c>
      <c r="U108">
        <v>152.047</v>
      </c>
      <c r="V108" t="s">
        <v>64</v>
      </c>
      <c r="W108">
        <v>0.99099999999999999</v>
      </c>
      <c r="X108">
        <v>0.97199999999999998</v>
      </c>
      <c r="Y108">
        <v>0.44900000000000001</v>
      </c>
      <c r="Z108">
        <v>0.94699999999999995</v>
      </c>
      <c r="AA108" s="9">
        <v>45713.613896388888</v>
      </c>
      <c r="AB108" t="s">
        <v>873</v>
      </c>
      <c r="AC108" s="9"/>
    </row>
    <row r="109" spans="1:29" x14ac:dyDescent="0.35">
      <c r="A109" t="s">
        <v>135</v>
      </c>
      <c r="B109" t="s">
        <v>313</v>
      </c>
      <c r="C109">
        <v>4820</v>
      </c>
      <c r="D109" s="9">
        <v>40473.481944444444</v>
      </c>
      <c r="E109" s="9">
        <v>45293.760416666664</v>
      </c>
      <c r="F109">
        <v>2300</v>
      </c>
      <c r="G109">
        <v>2300</v>
      </c>
      <c r="H109">
        <v>1452</v>
      </c>
      <c r="I109">
        <v>848</v>
      </c>
      <c r="J109">
        <v>426</v>
      </c>
      <c r="K109">
        <v>1874</v>
      </c>
      <c r="L109">
        <v>1638</v>
      </c>
      <c r="M109">
        <v>236</v>
      </c>
      <c r="N109">
        <v>0.64200000000000002</v>
      </c>
      <c r="O109">
        <v>0.38400000000000001</v>
      </c>
      <c r="P109">
        <v>0.11899999999999999</v>
      </c>
      <c r="Q109">
        <v>0.749</v>
      </c>
      <c r="R109">
        <v>0.82599999999999996</v>
      </c>
      <c r="S109">
        <v>0.626</v>
      </c>
      <c r="T109">
        <v>0.88400000000000001</v>
      </c>
      <c r="U109">
        <v>315.08699999999999</v>
      </c>
      <c r="V109" t="s">
        <v>58</v>
      </c>
      <c r="W109">
        <v>0.91300000000000003</v>
      </c>
      <c r="X109">
        <v>0.90800000000000003</v>
      </c>
      <c r="Y109">
        <v>0.81100000000000005</v>
      </c>
      <c r="Z109">
        <v>0.92700000000000005</v>
      </c>
      <c r="AA109" s="9">
        <v>45713.613986608798</v>
      </c>
      <c r="AB109" t="s">
        <v>873</v>
      </c>
      <c r="AC109" s="9"/>
    </row>
    <row r="110" spans="1:29" x14ac:dyDescent="0.35">
      <c r="A110" t="s">
        <v>136</v>
      </c>
      <c r="B110" t="s">
        <v>313</v>
      </c>
      <c r="C110">
        <v>5710</v>
      </c>
      <c r="D110" s="9">
        <v>39778.595833333333</v>
      </c>
      <c r="E110" s="9">
        <v>45489.529861111114</v>
      </c>
      <c r="F110">
        <v>303</v>
      </c>
      <c r="G110">
        <v>303</v>
      </c>
      <c r="H110">
        <v>155</v>
      </c>
      <c r="I110">
        <v>148</v>
      </c>
      <c r="J110">
        <v>31</v>
      </c>
      <c r="K110">
        <v>272</v>
      </c>
      <c r="L110">
        <v>266</v>
      </c>
      <c r="M110">
        <v>6</v>
      </c>
      <c r="N110">
        <v>0.04</v>
      </c>
      <c r="O110">
        <v>0.04</v>
      </c>
      <c r="P110">
        <v>1.7000000000000001E-2</v>
      </c>
      <c r="Q110">
        <v>6.9000000000000006E-2</v>
      </c>
      <c r="R110">
        <v>1.095</v>
      </c>
      <c r="S110">
        <v>0.5</v>
      </c>
      <c r="T110">
        <v>0.78800000000000003</v>
      </c>
      <c r="U110">
        <v>86.956999999999994</v>
      </c>
      <c r="V110" t="s">
        <v>64</v>
      </c>
      <c r="W110">
        <v>0.75600000000000001</v>
      </c>
      <c r="X110">
        <v>0.92700000000000005</v>
      </c>
      <c r="Y110">
        <v>0.91700000000000004</v>
      </c>
      <c r="Z110">
        <v>0.94</v>
      </c>
      <c r="AA110" s="9">
        <v>45713.61406900463</v>
      </c>
      <c r="AB110" t="s">
        <v>873</v>
      </c>
      <c r="AC110" s="9"/>
    </row>
    <row r="111" spans="1:29" x14ac:dyDescent="0.35">
      <c r="A111" t="s">
        <v>137</v>
      </c>
      <c r="B111" t="s">
        <v>313</v>
      </c>
      <c r="C111">
        <v>4688</v>
      </c>
      <c r="D111" s="9">
        <v>40548.677777777775</v>
      </c>
      <c r="E111" s="9">
        <v>45237.556250000001</v>
      </c>
      <c r="F111">
        <v>3025</v>
      </c>
      <c r="G111">
        <v>3025</v>
      </c>
      <c r="H111">
        <v>1629</v>
      </c>
      <c r="I111">
        <v>1396</v>
      </c>
      <c r="J111">
        <v>610</v>
      </c>
      <c r="K111">
        <v>2415</v>
      </c>
      <c r="L111">
        <v>1925</v>
      </c>
      <c r="M111">
        <v>490</v>
      </c>
      <c r="N111">
        <v>0.39700000000000002</v>
      </c>
      <c r="O111">
        <v>0.39900000000000002</v>
      </c>
      <c r="P111">
        <v>0.17399999999999999</v>
      </c>
      <c r="Q111">
        <v>0.47399999999999998</v>
      </c>
      <c r="R111">
        <v>0.76200000000000001</v>
      </c>
      <c r="S111">
        <v>0.499</v>
      </c>
      <c r="T111">
        <v>0.78100000000000003</v>
      </c>
      <c r="U111">
        <v>1033.7550000000001</v>
      </c>
      <c r="V111" t="s">
        <v>58</v>
      </c>
      <c r="W111">
        <v>0.95699999999999996</v>
      </c>
      <c r="X111">
        <v>0.95599999999999996</v>
      </c>
      <c r="Y111">
        <v>0.94099999999999995</v>
      </c>
      <c r="Z111">
        <v>0.97</v>
      </c>
      <c r="AA111" s="9">
        <v>45713.61415908565</v>
      </c>
      <c r="AB111" t="s">
        <v>873</v>
      </c>
      <c r="AC111" s="9"/>
    </row>
    <row r="112" spans="1:29" x14ac:dyDescent="0.35">
      <c r="A112" t="s">
        <v>138</v>
      </c>
      <c r="B112" t="s">
        <v>313</v>
      </c>
      <c r="C112">
        <v>1546</v>
      </c>
      <c r="D112" s="9">
        <v>44062.499305555553</v>
      </c>
      <c r="E112" s="9">
        <v>45609.430555555555</v>
      </c>
      <c r="F112">
        <v>4060</v>
      </c>
      <c r="G112">
        <v>3604</v>
      </c>
      <c r="H112">
        <v>2764</v>
      </c>
      <c r="I112">
        <v>840</v>
      </c>
      <c r="J112">
        <v>832</v>
      </c>
      <c r="K112">
        <v>2772</v>
      </c>
      <c r="L112">
        <v>2454</v>
      </c>
      <c r="M112">
        <v>318</v>
      </c>
      <c r="N112">
        <v>1.919</v>
      </c>
      <c r="O112">
        <v>0.65900000000000003</v>
      </c>
      <c r="P112">
        <v>0.57899999999999996</v>
      </c>
      <c r="Q112">
        <v>1.8440000000000001</v>
      </c>
      <c r="R112">
        <v>0.92200000000000004</v>
      </c>
      <c r="S112">
        <v>0.74399999999999999</v>
      </c>
      <c r="T112">
        <v>0.77500000000000002</v>
      </c>
      <c r="U112">
        <v>172.45099999999999</v>
      </c>
      <c r="V112" t="s">
        <v>58</v>
      </c>
      <c r="W112">
        <v>0.98299999999999998</v>
      </c>
      <c r="X112">
        <v>0.98799999999999999</v>
      </c>
      <c r="Y112">
        <v>0.92900000000000005</v>
      </c>
      <c r="Z112">
        <v>0.99099999999999999</v>
      </c>
      <c r="AA112" s="9">
        <v>45713.614263761578</v>
      </c>
      <c r="AB112" t="s">
        <v>873</v>
      </c>
      <c r="AC112" s="9"/>
    </row>
    <row r="113" spans="1:29" hidden="1" x14ac:dyDescent="0.35">
      <c r="A113" t="s">
        <v>138</v>
      </c>
      <c r="B113" t="s">
        <v>314</v>
      </c>
      <c r="C113">
        <v>99</v>
      </c>
      <c r="D113" s="9">
        <v>45509.676388888889</v>
      </c>
      <c r="E113" s="9">
        <v>45609.430555555555</v>
      </c>
      <c r="F113" t="s">
        <v>874</v>
      </c>
      <c r="G113" t="s">
        <v>874</v>
      </c>
      <c r="H113">
        <v>352</v>
      </c>
      <c r="I113">
        <v>56</v>
      </c>
      <c r="J113">
        <v>248</v>
      </c>
      <c r="K113" t="s">
        <v>875</v>
      </c>
      <c r="L113">
        <v>253</v>
      </c>
      <c r="M113">
        <v>-92</v>
      </c>
      <c r="N113">
        <v>3.319</v>
      </c>
      <c r="O113">
        <v>0.58699999999999997</v>
      </c>
      <c r="P113">
        <v>3.34</v>
      </c>
      <c r="Q113">
        <v>2.7080000000000002</v>
      </c>
      <c r="R113">
        <v>4.7839999999999998</v>
      </c>
      <c r="S113">
        <v>0.85</v>
      </c>
      <c r="T113">
        <v>0.14499999999999999</v>
      </c>
      <c r="U113">
        <v>117.43</v>
      </c>
      <c r="V113" t="s">
        <v>64</v>
      </c>
      <c r="W113">
        <v>0.89900000000000002</v>
      </c>
      <c r="X113">
        <v>0.97599999999999998</v>
      </c>
      <c r="Y113">
        <v>0.49299999999999999</v>
      </c>
      <c r="Z113">
        <v>0.97199999999999998</v>
      </c>
      <c r="AA113" s="9">
        <v>45713.614284861113</v>
      </c>
      <c r="AB113" t="s">
        <v>873</v>
      </c>
      <c r="AC113" s="9"/>
    </row>
    <row r="114" spans="1:29" x14ac:dyDescent="0.35">
      <c r="A114" t="s">
        <v>139</v>
      </c>
      <c r="B114" t="s">
        <v>313</v>
      </c>
      <c r="C114">
        <v>1327</v>
      </c>
      <c r="D114" s="9">
        <v>44231.238194444442</v>
      </c>
      <c r="E114" s="9">
        <v>45558.958333333336</v>
      </c>
      <c r="F114">
        <v>183</v>
      </c>
      <c r="G114">
        <v>182</v>
      </c>
      <c r="H114">
        <v>176</v>
      </c>
      <c r="I114">
        <v>6</v>
      </c>
      <c r="J114">
        <v>27</v>
      </c>
      <c r="K114">
        <v>155</v>
      </c>
      <c r="L114">
        <v>154</v>
      </c>
      <c r="M114">
        <v>1</v>
      </c>
      <c r="N114">
        <v>0.317</v>
      </c>
      <c r="O114">
        <v>0.02</v>
      </c>
      <c r="P114">
        <v>0.09</v>
      </c>
      <c r="Q114">
        <v>0.27800000000000002</v>
      </c>
      <c r="R114">
        <v>1.1259999999999999</v>
      </c>
      <c r="S114">
        <v>0.94099999999999995</v>
      </c>
      <c r="T114">
        <v>0.73299999999999998</v>
      </c>
      <c r="U114">
        <v>3.597</v>
      </c>
      <c r="V114" t="s">
        <v>94</v>
      </c>
      <c r="W114">
        <v>0.61</v>
      </c>
      <c r="X114">
        <v>0.88100000000000001</v>
      </c>
      <c r="Y114">
        <v>0.96899999999999997</v>
      </c>
      <c r="Z114">
        <v>0.65300000000000002</v>
      </c>
      <c r="AA114" s="9">
        <v>45713.614365185182</v>
      </c>
      <c r="AB114" t="s">
        <v>873</v>
      </c>
      <c r="AC114" s="9"/>
    </row>
    <row r="115" spans="1:29" x14ac:dyDescent="0.35">
      <c r="A115" t="s">
        <v>140</v>
      </c>
      <c r="B115" t="s">
        <v>313</v>
      </c>
      <c r="C115">
        <v>4862</v>
      </c>
      <c r="D115" s="9">
        <v>40742.260416666664</v>
      </c>
      <c r="E115" s="9">
        <v>45604.581250000003</v>
      </c>
      <c r="F115">
        <v>1702</v>
      </c>
      <c r="G115">
        <v>1702</v>
      </c>
      <c r="H115">
        <v>661</v>
      </c>
      <c r="I115">
        <v>1041</v>
      </c>
      <c r="J115">
        <v>300</v>
      </c>
      <c r="K115">
        <v>1402</v>
      </c>
      <c r="L115">
        <v>1298</v>
      </c>
      <c r="M115">
        <v>104</v>
      </c>
      <c r="N115">
        <v>0.16600000000000001</v>
      </c>
      <c r="O115">
        <v>0.25900000000000001</v>
      </c>
      <c r="P115">
        <v>9.2999999999999999E-2</v>
      </c>
      <c r="Q115">
        <v>0.33500000000000002</v>
      </c>
      <c r="R115">
        <v>1.0089999999999999</v>
      </c>
      <c r="S115">
        <v>0.39100000000000001</v>
      </c>
      <c r="T115">
        <v>0.78100000000000003</v>
      </c>
      <c r="U115">
        <v>310.44799999999998</v>
      </c>
      <c r="V115" t="s">
        <v>64</v>
      </c>
      <c r="W115">
        <v>0.89800000000000002</v>
      </c>
      <c r="X115">
        <v>0.86899999999999999</v>
      </c>
      <c r="Y115">
        <v>0.83899999999999997</v>
      </c>
      <c r="Z115">
        <v>0.91400000000000003</v>
      </c>
      <c r="AA115" s="9">
        <v>45713.614452615744</v>
      </c>
      <c r="AB115" t="s">
        <v>873</v>
      </c>
      <c r="AC115" s="9"/>
    </row>
    <row r="116" spans="1:29" x14ac:dyDescent="0.35">
      <c r="A116" t="s">
        <v>141</v>
      </c>
      <c r="B116" t="s">
        <v>313</v>
      </c>
      <c r="C116">
        <v>3462</v>
      </c>
      <c r="D116" s="9">
        <v>42019.836111111108</v>
      </c>
      <c r="E116" s="9">
        <v>45482.788888888892</v>
      </c>
      <c r="F116">
        <v>1105</v>
      </c>
      <c r="G116">
        <v>1105</v>
      </c>
      <c r="H116">
        <v>543</v>
      </c>
      <c r="I116">
        <v>562</v>
      </c>
      <c r="J116">
        <v>308</v>
      </c>
      <c r="K116">
        <v>797</v>
      </c>
      <c r="L116">
        <v>756</v>
      </c>
      <c r="M116">
        <v>41</v>
      </c>
      <c r="N116">
        <v>0.436</v>
      </c>
      <c r="O116">
        <v>0.70199999999999996</v>
      </c>
      <c r="P116">
        <v>0.17899999999999999</v>
      </c>
      <c r="Q116">
        <v>0.54800000000000004</v>
      </c>
      <c r="R116">
        <v>0.57099999999999995</v>
      </c>
      <c r="S116">
        <v>0.38300000000000001</v>
      </c>
      <c r="T116">
        <v>0.84299999999999997</v>
      </c>
      <c r="U116">
        <v>74.817999999999998</v>
      </c>
      <c r="V116" t="s">
        <v>58</v>
      </c>
      <c r="W116">
        <v>0.66400000000000003</v>
      </c>
      <c r="X116">
        <v>0.748</v>
      </c>
      <c r="Y116">
        <v>0.59199999999999997</v>
      </c>
      <c r="Z116">
        <v>0.53</v>
      </c>
      <c r="AA116" s="9">
        <v>45713.614538611109</v>
      </c>
      <c r="AB116" t="s">
        <v>873</v>
      </c>
      <c r="AC116" s="9"/>
    </row>
    <row r="117" spans="1:29" x14ac:dyDescent="0.35">
      <c r="A117" t="s">
        <v>142</v>
      </c>
      <c r="B117" t="s">
        <v>313</v>
      </c>
      <c r="C117">
        <v>799</v>
      </c>
      <c r="D117" s="9">
        <v>44797.768750000003</v>
      </c>
      <c r="E117" s="9">
        <v>45597.492361111108</v>
      </c>
      <c r="F117">
        <v>261</v>
      </c>
      <c r="G117">
        <v>261</v>
      </c>
      <c r="H117">
        <v>241</v>
      </c>
      <c r="I117">
        <v>20</v>
      </c>
      <c r="J117">
        <v>207</v>
      </c>
      <c r="K117">
        <v>54</v>
      </c>
      <c r="L117">
        <v>39</v>
      </c>
      <c r="M117">
        <v>15</v>
      </c>
      <c r="N117">
        <v>0.73399999999999999</v>
      </c>
      <c r="O117">
        <v>2.5999999999999999E-2</v>
      </c>
      <c r="P117">
        <v>0.55800000000000005</v>
      </c>
      <c r="Q117">
        <v>8.6999999999999994E-2</v>
      </c>
      <c r="R117">
        <v>0.43099999999999999</v>
      </c>
      <c r="S117">
        <v>0.96599999999999997</v>
      </c>
      <c r="T117">
        <v>0.26600000000000001</v>
      </c>
      <c r="U117">
        <v>172.41399999999999</v>
      </c>
      <c r="V117" t="s">
        <v>58</v>
      </c>
      <c r="W117">
        <v>0.76400000000000001</v>
      </c>
      <c r="X117">
        <v>0.58399999999999996</v>
      </c>
      <c r="Y117">
        <v>0.16800000000000001</v>
      </c>
      <c r="Z117">
        <v>0.97199999999999998</v>
      </c>
      <c r="AA117" s="9">
        <v>45713.614624444446</v>
      </c>
      <c r="AB117" t="s">
        <v>873</v>
      </c>
      <c r="AC117" s="9"/>
    </row>
    <row r="118" spans="1:29" hidden="1" x14ac:dyDescent="0.35">
      <c r="A118" t="s">
        <v>142</v>
      </c>
      <c r="B118" t="s">
        <v>314</v>
      </c>
      <c r="C118">
        <v>77</v>
      </c>
      <c r="D118" s="9">
        <v>45520.161111111112</v>
      </c>
      <c r="E118" s="9">
        <v>45597.492361111108</v>
      </c>
      <c r="F118" t="s">
        <v>874</v>
      </c>
      <c r="G118" t="s">
        <v>874</v>
      </c>
      <c r="H118">
        <v>4</v>
      </c>
      <c r="I118">
        <v>9</v>
      </c>
      <c r="J118">
        <v>6</v>
      </c>
      <c r="K118" t="s">
        <v>875</v>
      </c>
      <c r="L118">
        <v>8</v>
      </c>
      <c r="M118">
        <v>-2</v>
      </c>
      <c r="N118">
        <v>0.115</v>
      </c>
      <c r="O118">
        <v>0.58599999999999997</v>
      </c>
      <c r="P118">
        <v>7.0999999999999994E-2</v>
      </c>
      <c r="Q118">
        <v>0.114</v>
      </c>
      <c r="R118">
        <v>0.18099999999999999</v>
      </c>
      <c r="S118">
        <v>0.16400000000000001</v>
      </c>
      <c r="T118">
        <v>0.89900000000000002</v>
      </c>
      <c r="U118">
        <v>131.57900000000001</v>
      </c>
      <c r="V118" t="s">
        <v>58</v>
      </c>
      <c r="W118">
        <v>0.89700000000000002</v>
      </c>
      <c r="X118">
        <v>0.85899999999999999</v>
      </c>
      <c r="Y118">
        <v>0.69</v>
      </c>
      <c r="Z118">
        <v>0.74099999999999999</v>
      </c>
      <c r="AA118" s="9">
        <v>45713.614644965281</v>
      </c>
      <c r="AB118" t="s">
        <v>873</v>
      </c>
      <c r="AC118" s="9"/>
    </row>
    <row r="119" spans="1:29" x14ac:dyDescent="0.35">
      <c r="A119" t="s">
        <v>143</v>
      </c>
      <c r="B119" t="s">
        <v>313</v>
      </c>
      <c r="C119">
        <v>879</v>
      </c>
      <c r="D119" s="9">
        <v>44725.706250000003</v>
      </c>
      <c r="E119" s="9">
        <v>45604.878472222219</v>
      </c>
      <c r="F119">
        <v>128</v>
      </c>
      <c r="G119">
        <v>128</v>
      </c>
      <c r="H119">
        <v>88</v>
      </c>
      <c r="I119">
        <v>40</v>
      </c>
      <c r="J119">
        <v>27</v>
      </c>
      <c r="K119">
        <v>101</v>
      </c>
      <c r="L119">
        <v>101</v>
      </c>
      <c r="M119">
        <v>0</v>
      </c>
      <c r="N119">
        <v>0.151</v>
      </c>
      <c r="O119">
        <v>4.5999999999999999E-2</v>
      </c>
      <c r="P119">
        <v>3.2000000000000001E-2</v>
      </c>
      <c r="Q119">
        <v>0.14099999999999999</v>
      </c>
      <c r="R119">
        <v>0.85499999999999998</v>
      </c>
      <c r="S119">
        <v>0.76600000000000001</v>
      </c>
      <c r="T119">
        <v>0.83799999999999997</v>
      </c>
      <c r="U119">
        <v>0</v>
      </c>
      <c r="V119" t="s">
        <v>82</v>
      </c>
      <c r="W119">
        <v>0.93</v>
      </c>
      <c r="X119">
        <v>0.91200000000000003</v>
      </c>
      <c r="Y119">
        <v>0.97499999999999998</v>
      </c>
      <c r="Z119">
        <v>0.86099999999999999</v>
      </c>
      <c r="AA119" s="9">
        <v>45713.614731643516</v>
      </c>
      <c r="AB119" t="s">
        <v>873</v>
      </c>
      <c r="AC119" s="9"/>
    </row>
    <row r="120" spans="1:29" x14ac:dyDescent="0.35">
      <c r="A120" t="s">
        <v>144</v>
      </c>
      <c r="B120" t="s">
        <v>313</v>
      </c>
      <c r="C120">
        <v>1176</v>
      </c>
      <c r="D120" s="9">
        <v>44426.585416666669</v>
      </c>
      <c r="E120" s="9">
        <v>45602.868750000001</v>
      </c>
      <c r="F120">
        <v>422</v>
      </c>
      <c r="G120">
        <v>422</v>
      </c>
      <c r="H120">
        <v>243</v>
      </c>
      <c r="I120">
        <v>179</v>
      </c>
      <c r="J120">
        <v>57</v>
      </c>
      <c r="K120">
        <v>365</v>
      </c>
      <c r="L120">
        <v>216</v>
      </c>
      <c r="M120">
        <v>149</v>
      </c>
      <c r="N120">
        <v>0.308</v>
      </c>
      <c r="O120">
        <v>0.34100000000000003</v>
      </c>
      <c r="P120">
        <v>0.16600000000000001</v>
      </c>
      <c r="Q120">
        <v>0.63300000000000001</v>
      </c>
      <c r="R120">
        <v>1.3109999999999999</v>
      </c>
      <c r="S120">
        <v>0.47499999999999998</v>
      </c>
      <c r="T120">
        <v>0.74399999999999999</v>
      </c>
      <c r="U120">
        <v>235.387</v>
      </c>
      <c r="V120" t="s">
        <v>64</v>
      </c>
      <c r="W120">
        <v>0.77</v>
      </c>
      <c r="X120">
        <v>0.91100000000000003</v>
      </c>
      <c r="Y120">
        <v>0.92500000000000004</v>
      </c>
      <c r="Z120">
        <v>0.98699999999999999</v>
      </c>
      <c r="AA120" s="9">
        <v>45713.61482466435</v>
      </c>
      <c r="AB120" t="s">
        <v>873</v>
      </c>
      <c r="AC120" s="9"/>
    </row>
    <row r="121" spans="1:29" hidden="1" x14ac:dyDescent="0.35">
      <c r="A121" t="s">
        <v>144</v>
      </c>
      <c r="B121" t="s">
        <v>314</v>
      </c>
      <c r="C121">
        <v>99</v>
      </c>
      <c r="D121" s="9">
        <v>45503.251388888886</v>
      </c>
      <c r="E121" s="9">
        <v>45602.868750000001</v>
      </c>
      <c r="F121" t="s">
        <v>874</v>
      </c>
      <c r="G121" t="s">
        <v>874</v>
      </c>
      <c r="H121">
        <v>66</v>
      </c>
      <c r="I121">
        <v>55</v>
      </c>
      <c r="J121">
        <v>10</v>
      </c>
      <c r="K121" t="s">
        <v>875</v>
      </c>
      <c r="L121">
        <v>64</v>
      </c>
      <c r="M121">
        <v>46</v>
      </c>
      <c r="N121">
        <v>0.82899999999999996</v>
      </c>
      <c r="O121">
        <v>0.67200000000000004</v>
      </c>
      <c r="P121">
        <v>0.14499999999999999</v>
      </c>
      <c r="Q121">
        <v>0.72099999999999997</v>
      </c>
      <c r="R121">
        <v>0.53200000000000003</v>
      </c>
      <c r="S121">
        <v>0.55200000000000005</v>
      </c>
      <c r="T121">
        <v>0.90300000000000002</v>
      </c>
      <c r="U121">
        <v>206.65700000000001</v>
      </c>
      <c r="V121" t="s">
        <v>58</v>
      </c>
      <c r="W121">
        <v>0.89400000000000002</v>
      </c>
      <c r="X121">
        <v>0.95599999999999996</v>
      </c>
      <c r="Y121">
        <v>0.92</v>
      </c>
      <c r="Z121">
        <v>0.95599999999999996</v>
      </c>
      <c r="AA121" s="9">
        <v>45713.614848379628</v>
      </c>
      <c r="AB121" t="s">
        <v>873</v>
      </c>
      <c r="AC121" s="9"/>
    </row>
    <row r="122" spans="1:29" x14ac:dyDescent="0.35">
      <c r="A122" t="s">
        <v>145</v>
      </c>
      <c r="B122" t="s">
        <v>313</v>
      </c>
      <c r="C122">
        <v>1735</v>
      </c>
      <c r="D122" s="9">
        <v>43803.866666666669</v>
      </c>
      <c r="E122" s="9">
        <v>45539.622916666667</v>
      </c>
      <c r="F122">
        <v>419</v>
      </c>
      <c r="G122">
        <v>419</v>
      </c>
      <c r="H122">
        <v>344</v>
      </c>
      <c r="I122">
        <v>75</v>
      </c>
      <c r="J122">
        <v>33</v>
      </c>
      <c r="K122">
        <v>386</v>
      </c>
      <c r="L122">
        <v>324</v>
      </c>
      <c r="M122">
        <v>62</v>
      </c>
      <c r="N122">
        <v>0.28699999999999998</v>
      </c>
      <c r="O122">
        <v>7.5999999999999998E-2</v>
      </c>
      <c r="P122">
        <v>0.03</v>
      </c>
      <c r="Q122">
        <v>0.31</v>
      </c>
      <c r="R122">
        <v>0.93100000000000005</v>
      </c>
      <c r="S122">
        <v>0.79100000000000004</v>
      </c>
      <c r="T122">
        <v>0.91700000000000004</v>
      </c>
      <c r="U122">
        <v>200</v>
      </c>
      <c r="V122" t="s">
        <v>58</v>
      </c>
      <c r="W122">
        <v>0.95199999999999996</v>
      </c>
      <c r="X122">
        <v>0.92700000000000005</v>
      </c>
      <c r="Y122">
        <v>0.73699999999999999</v>
      </c>
      <c r="Z122">
        <v>0.96499999999999997</v>
      </c>
      <c r="AA122" s="9">
        <v>45713.614938263891</v>
      </c>
      <c r="AB122" t="s">
        <v>873</v>
      </c>
      <c r="AC122" s="9"/>
    </row>
    <row r="123" spans="1:29" x14ac:dyDescent="0.35">
      <c r="A123" t="s">
        <v>146</v>
      </c>
      <c r="B123" t="s">
        <v>313</v>
      </c>
      <c r="C123">
        <v>2300</v>
      </c>
      <c r="D123" s="9">
        <v>43307.845138888886</v>
      </c>
      <c r="E123" s="9">
        <v>45608.802777777775</v>
      </c>
      <c r="F123">
        <v>1079</v>
      </c>
      <c r="G123">
        <v>998</v>
      </c>
      <c r="H123">
        <v>822</v>
      </c>
      <c r="I123">
        <v>176</v>
      </c>
      <c r="J123">
        <v>190</v>
      </c>
      <c r="K123">
        <v>808</v>
      </c>
      <c r="L123">
        <v>569</v>
      </c>
      <c r="M123">
        <v>239</v>
      </c>
      <c r="N123">
        <v>0.55600000000000005</v>
      </c>
      <c r="O123">
        <v>0.124</v>
      </c>
      <c r="P123">
        <v>0.13100000000000001</v>
      </c>
      <c r="Q123">
        <v>0.38300000000000001</v>
      </c>
      <c r="R123">
        <v>0.69799999999999995</v>
      </c>
      <c r="S123">
        <v>0.81799999999999995</v>
      </c>
      <c r="T123">
        <v>0.80700000000000005</v>
      </c>
      <c r="U123">
        <v>624.02099999999996</v>
      </c>
      <c r="V123" t="s">
        <v>58</v>
      </c>
      <c r="W123">
        <v>0.98899999999999999</v>
      </c>
      <c r="X123">
        <v>0.98599999999999999</v>
      </c>
      <c r="Y123">
        <v>0.99099999999999999</v>
      </c>
      <c r="Z123">
        <v>0.997</v>
      </c>
      <c r="AA123" s="9">
        <v>45713.615032164351</v>
      </c>
      <c r="AB123" t="s">
        <v>873</v>
      </c>
      <c r="AC123" s="9"/>
    </row>
    <row r="124" spans="1:29" hidden="1" x14ac:dyDescent="0.35">
      <c r="A124" t="s">
        <v>146</v>
      </c>
      <c r="B124" t="s">
        <v>314</v>
      </c>
      <c r="C124">
        <v>99</v>
      </c>
      <c r="D124" s="9">
        <v>45509.317361111112</v>
      </c>
      <c r="E124" s="9">
        <v>45608.802777777775</v>
      </c>
      <c r="F124" t="s">
        <v>874</v>
      </c>
      <c r="G124" t="s">
        <v>874</v>
      </c>
      <c r="H124">
        <v>55</v>
      </c>
      <c r="I124">
        <v>5</v>
      </c>
      <c r="J124">
        <v>18</v>
      </c>
      <c r="K124" t="s">
        <v>875</v>
      </c>
      <c r="L124">
        <v>48</v>
      </c>
      <c r="M124">
        <v>-5</v>
      </c>
      <c r="N124">
        <v>0.47699999999999998</v>
      </c>
      <c r="O124">
        <v>0.09</v>
      </c>
      <c r="P124">
        <v>0.16400000000000001</v>
      </c>
      <c r="Q124">
        <v>0.47099999999999997</v>
      </c>
      <c r="R124">
        <v>1.169</v>
      </c>
      <c r="S124">
        <v>0.84099999999999997</v>
      </c>
      <c r="T124">
        <v>0.71099999999999997</v>
      </c>
      <c r="U124">
        <v>507.43099999999998</v>
      </c>
      <c r="V124" t="s">
        <v>64</v>
      </c>
      <c r="W124">
        <v>0.97399999999999998</v>
      </c>
      <c r="X124">
        <v>0.96799999999999997</v>
      </c>
      <c r="Y124">
        <v>0.95499999999999996</v>
      </c>
      <c r="Z124">
        <v>0.98299999999999998</v>
      </c>
      <c r="AA124" s="9">
        <v>45713.615055567127</v>
      </c>
      <c r="AB124" t="s">
        <v>873</v>
      </c>
      <c r="AC124" s="9"/>
    </row>
    <row r="125" spans="1:29" x14ac:dyDescent="0.35">
      <c r="A125" t="s">
        <v>147</v>
      </c>
      <c r="B125" t="s">
        <v>313</v>
      </c>
      <c r="C125">
        <v>1038</v>
      </c>
      <c r="D125" s="9">
        <v>44565.752083333333</v>
      </c>
      <c r="E125" s="9">
        <v>45604.709722222222</v>
      </c>
      <c r="F125">
        <v>2069</v>
      </c>
      <c r="G125">
        <v>2069</v>
      </c>
      <c r="H125">
        <v>1581</v>
      </c>
      <c r="I125">
        <v>488</v>
      </c>
      <c r="J125">
        <v>207</v>
      </c>
      <c r="K125">
        <v>1862</v>
      </c>
      <c r="L125">
        <v>1615</v>
      </c>
      <c r="M125">
        <v>247</v>
      </c>
      <c r="N125">
        <v>2.0659999999999998</v>
      </c>
      <c r="O125">
        <v>0.64500000000000002</v>
      </c>
      <c r="P125">
        <v>0.26100000000000001</v>
      </c>
      <c r="Q125">
        <v>2.2530000000000001</v>
      </c>
      <c r="R125">
        <v>0.92</v>
      </c>
      <c r="S125">
        <v>0.76200000000000001</v>
      </c>
      <c r="T125">
        <v>0.90400000000000003</v>
      </c>
      <c r="U125">
        <v>109.63200000000001</v>
      </c>
      <c r="V125" t="s">
        <v>58</v>
      </c>
      <c r="W125">
        <v>0.99399999999999999</v>
      </c>
      <c r="X125">
        <v>0.996</v>
      </c>
      <c r="Y125">
        <v>0.94399999999999995</v>
      </c>
      <c r="Z125">
        <v>0.99399999999999999</v>
      </c>
      <c r="AA125" s="9">
        <v>45713.615148564815</v>
      </c>
      <c r="AB125" t="s">
        <v>873</v>
      </c>
      <c r="AC125" s="9"/>
    </row>
    <row r="126" spans="1:29" hidden="1" x14ac:dyDescent="0.35">
      <c r="A126" t="s">
        <v>147</v>
      </c>
      <c r="B126" t="s">
        <v>314</v>
      </c>
      <c r="C126">
        <v>99</v>
      </c>
      <c r="D126" s="9">
        <v>45504.873611111114</v>
      </c>
      <c r="E126" s="9">
        <v>45604.709722222222</v>
      </c>
      <c r="F126" t="s">
        <v>874</v>
      </c>
      <c r="G126" t="s">
        <v>874</v>
      </c>
      <c r="H126">
        <v>214</v>
      </c>
      <c r="I126">
        <v>60</v>
      </c>
      <c r="J126">
        <v>69</v>
      </c>
      <c r="K126" t="s">
        <v>875</v>
      </c>
      <c r="L126">
        <v>232</v>
      </c>
      <c r="M126">
        <v>-28</v>
      </c>
      <c r="N126">
        <v>1.974</v>
      </c>
      <c r="O126">
        <v>0.58299999999999996</v>
      </c>
      <c r="P126">
        <v>0.70799999999999996</v>
      </c>
      <c r="Q126">
        <v>2.3610000000000002</v>
      </c>
      <c r="R126">
        <v>1.2769999999999999</v>
      </c>
      <c r="S126">
        <v>0.77200000000000002</v>
      </c>
      <c r="T126">
        <v>0.72299999999999998</v>
      </c>
      <c r="U126">
        <v>104.617</v>
      </c>
      <c r="V126" t="s">
        <v>64</v>
      </c>
      <c r="W126">
        <v>0.99199999999999999</v>
      </c>
      <c r="X126">
        <v>0.98799999999999999</v>
      </c>
      <c r="Y126">
        <v>0.747</v>
      </c>
      <c r="Z126">
        <v>0.995</v>
      </c>
      <c r="AA126" s="9">
        <v>45713.615170960649</v>
      </c>
      <c r="AB126" t="s">
        <v>873</v>
      </c>
      <c r="AC126" s="9"/>
    </row>
    <row r="127" spans="1:29" x14ac:dyDescent="0.35">
      <c r="A127" t="s">
        <v>148</v>
      </c>
      <c r="B127" t="s">
        <v>313</v>
      </c>
      <c r="C127">
        <v>1755</v>
      </c>
      <c r="D127" s="9">
        <v>43854.400694444441</v>
      </c>
      <c r="E127" s="9">
        <v>45609.640972222223</v>
      </c>
      <c r="F127">
        <v>1665</v>
      </c>
      <c r="G127">
        <v>1442</v>
      </c>
      <c r="H127">
        <v>1304</v>
      </c>
      <c r="I127">
        <v>138</v>
      </c>
      <c r="J127">
        <v>235</v>
      </c>
      <c r="K127">
        <v>1207</v>
      </c>
      <c r="L127">
        <v>818</v>
      </c>
      <c r="M127">
        <v>389</v>
      </c>
      <c r="N127">
        <v>0.78300000000000003</v>
      </c>
      <c r="O127">
        <v>0.11700000000000001</v>
      </c>
      <c r="P127">
        <v>0.13900000000000001</v>
      </c>
      <c r="Q127">
        <v>0.53900000000000003</v>
      </c>
      <c r="R127">
        <v>0.70799999999999996</v>
      </c>
      <c r="S127">
        <v>0.87</v>
      </c>
      <c r="T127">
        <v>0.84599999999999997</v>
      </c>
      <c r="U127">
        <v>721.70699999999999</v>
      </c>
      <c r="V127" t="s">
        <v>58</v>
      </c>
      <c r="W127">
        <v>0.90900000000000003</v>
      </c>
      <c r="X127">
        <v>0.92100000000000004</v>
      </c>
      <c r="Y127">
        <v>0.92300000000000004</v>
      </c>
      <c r="Z127">
        <v>0.93700000000000006</v>
      </c>
      <c r="AA127" s="9">
        <v>45713.615266805558</v>
      </c>
      <c r="AB127" t="s">
        <v>873</v>
      </c>
      <c r="AC127" s="9"/>
    </row>
    <row r="128" spans="1:29" hidden="1" x14ac:dyDescent="0.35">
      <c r="A128" t="s">
        <v>148</v>
      </c>
      <c r="B128" t="s">
        <v>314</v>
      </c>
      <c r="C128">
        <v>99</v>
      </c>
      <c r="D128" s="9">
        <v>45509.871527777781</v>
      </c>
      <c r="E128" s="9">
        <v>45609.640972222223</v>
      </c>
      <c r="F128" t="s">
        <v>874</v>
      </c>
      <c r="G128" t="s">
        <v>874</v>
      </c>
      <c r="H128">
        <v>249</v>
      </c>
      <c r="I128">
        <v>4</v>
      </c>
      <c r="J128">
        <v>54</v>
      </c>
      <c r="K128" t="s">
        <v>875</v>
      </c>
      <c r="L128">
        <v>106</v>
      </c>
      <c r="M128">
        <v>92</v>
      </c>
      <c r="N128">
        <v>2.0840000000000001</v>
      </c>
      <c r="O128">
        <v>3.1E-2</v>
      </c>
      <c r="P128">
        <v>0.56899999999999995</v>
      </c>
      <c r="Q128">
        <v>0.97299999999999998</v>
      </c>
      <c r="R128">
        <v>0.629</v>
      </c>
      <c r="S128">
        <v>0.98499999999999999</v>
      </c>
      <c r="T128">
        <v>0.73099999999999998</v>
      </c>
      <c r="U128">
        <v>399.79399999999998</v>
      </c>
      <c r="V128" t="s">
        <v>58</v>
      </c>
      <c r="W128">
        <v>0.92200000000000004</v>
      </c>
      <c r="X128">
        <v>0.6</v>
      </c>
      <c r="Y128">
        <v>0.63600000000000001</v>
      </c>
      <c r="Z128">
        <v>0.98899999999999999</v>
      </c>
      <c r="AA128" s="9">
        <v>45713.615290821763</v>
      </c>
      <c r="AB128" t="s">
        <v>873</v>
      </c>
      <c r="AC128" s="9"/>
    </row>
    <row r="129" spans="1:29" x14ac:dyDescent="0.35">
      <c r="A129" t="s">
        <v>149</v>
      </c>
      <c r="B129" t="s">
        <v>313</v>
      </c>
      <c r="C129">
        <v>3527</v>
      </c>
      <c r="D129" s="9">
        <v>41501.090277777781</v>
      </c>
      <c r="E129" s="9">
        <v>45028.336805555555</v>
      </c>
      <c r="F129">
        <v>482</v>
      </c>
      <c r="G129">
        <v>482</v>
      </c>
      <c r="H129">
        <v>260</v>
      </c>
      <c r="I129">
        <v>222</v>
      </c>
      <c r="J129">
        <v>35</v>
      </c>
      <c r="K129">
        <v>447</v>
      </c>
      <c r="L129">
        <v>422</v>
      </c>
      <c r="M129">
        <v>25</v>
      </c>
      <c r="N129">
        <v>0.111</v>
      </c>
      <c r="O129">
        <v>8.7999999999999995E-2</v>
      </c>
      <c r="P129">
        <v>6.0000000000000001E-3</v>
      </c>
      <c r="Q129">
        <v>0.159</v>
      </c>
      <c r="R129">
        <v>0.82399999999999995</v>
      </c>
      <c r="S129">
        <v>0.55800000000000005</v>
      </c>
      <c r="T129">
        <v>0.97</v>
      </c>
      <c r="U129">
        <v>157.233</v>
      </c>
      <c r="V129" t="s">
        <v>58</v>
      </c>
      <c r="W129">
        <v>0.93799999999999994</v>
      </c>
      <c r="X129">
        <v>0.90600000000000003</v>
      </c>
      <c r="Y129">
        <v>0.81499999999999995</v>
      </c>
      <c r="Z129">
        <v>0.90600000000000003</v>
      </c>
      <c r="AA129" s="9">
        <v>45713.615383275464</v>
      </c>
      <c r="AB129" t="s">
        <v>873</v>
      </c>
      <c r="AC129" s="9"/>
    </row>
    <row r="130" spans="1:29" x14ac:dyDescent="0.35">
      <c r="A130" t="s">
        <v>150</v>
      </c>
      <c r="B130" t="s">
        <v>313</v>
      </c>
      <c r="C130">
        <v>1700</v>
      </c>
      <c r="D130" s="9">
        <v>43923.340277777781</v>
      </c>
      <c r="E130" s="9">
        <v>45623.367361111108</v>
      </c>
      <c r="F130">
        <v>135</v>
      </c>
      <c r="G130">
        <v>120</v>
      </c>
      <c r="H130">
        <v>97</v>
      </c>
      <c r="I130">
        <v>23</v>
      </c>
      <c r="J130">
        <v>5</v>
      </c>
      <c r="K130">
        <v>115</v>
      </c>
      <c r="L130">
        <v>59</v>
      </c>
      <c r="M130">
        <v>56</v>
      </c>
      <c r="N130">
        <v>9.4E-2</v>
      </c>
      <c r="O130">
        <v>0.10199999999999999</v>
      </c>
      <c r="P130">
        <v>1.6E-2</v>
      </c>
      <c r="Q130">
        <v>0.25700000000000001</v>
      </c>
      <c r="R130">
        <v>1.4279999999999999</v>
      </c>
      <c r="S130">
        <v>0.48</v>
      </c>
      <c r="T130">
        <v>0.91800000000000004</v>
      </c>
      <c r="U130">
        <v>217.899</v>
      </c>
      <c r="V130" t="s">
        <v>64</v>
      </c>
      <c r="W130">
        <v>0.35</v>
      </c>
      <c r="X130">
        <v>0.95799999999999996</v>
      </c>
      <c r="Y130">
        <v>0.83399999999999996</v>
      </c>
      <c r="Z130">
        <v>0.98799999999999999</v>
      </c>
      <c r="AA130" s="9">
        <v>45713.615474837963</v>
      </c>
      <c r="AB130" t="s">
        <v>873</v>
      </c>
      <c r="AC130" s="9"/>
    </row>
    <row r="131" spans="1:29" hidden="1" x14ac:dyDescent="0.35">
      <c r="A131" t="s">
        <v>150</v>
      </c>
      <c r="B131" t="s">
        <v>314</v>
      </c>
      <c r="C131">
        <v>97</v>
      </c>
      <c r="D131" s="9">
        <v>45526.347222222219</v>
      </c>
      <c r="E131" s="9">
        <v>45623.367361111108</v>
      </c>
      <c r="F131" t="s">
        <v>874</v>
      </c>
      <c r="G131" t="s">
        <v>874</v>
      </c>
      <c r="H131">
        <v>41</v>
      </c>
      <c r="I131">
        <v>12</v>
      </c>
      <c r="J131">
        <v>3</v>
      </c>
      <c r="K131" t="s">
        <v>875</v>
      </c>
      <c r="L131">
        <v>29</v>
      </c>
      <c r="M131">
        <v>20</v>
      </c>
      <c r="N131">
        <v>0.47599999999999998</v>
      </c>
      <c r="O131">
        <v>0.15</v>
      </c>
      <c r="P131">
        <v>0.13500000000000001</v>
      </c>
      <c r="Q131">
        <v>0.315</v>
      </c>
      <c r="R131">
        <v>0.64200000000000002</v>
      </c>
      <c r="S131">
        <v>0.76</v>
      </c>
      <c r="T131">
        <v>0.78400000000000003</v>
      </c>
      <c r="U131">
        <v>177.77799999999999</v>
      </c>
      <c r="V131" t="s">
        <v>58</v>
      </c>
      <c r="W131">
        <v>0.93500000000000005</v>
      </c>
      <c r="X131">
        <v>0.94699999999999995</v>
      </c>
      <c r="Y131">
        <v>0.94199999999999995</v>
      </c>
      <c r="Z131">
        <v>0.97799999999999998</v>
      </c>
      <c r="AA131" s="9">
        <v>45713.615497372688</v>
      </c>
      <c r="AB131" t="s">
        <v>873</v>
      </c>
      <c r="AC131" s="9"/>
    </row>
    <row r="132" spans="1:29" x14ac:dyDescent="0.35">
      <c r="A132" t="s">
        <v>151</v>
      </c>
      <c r="B132" t="s">
        <v>313</v>
      </c>
      <c r="C132">
        <v>1988</v>
      </c>
      <c r="D132" s="9">
        <v>43620.668749999997</v>
      </c>
      <c r="E132" s="9">
        <v>45609.552777777775</v>
      </c>
      <c r="F132">
        <v>278</v>
      </c>
      <c r="G132">
        <v>227</v>
      </c>
      <c r="H132">
        <v>220</v>
      </c>
      <c r="I132">
        <v>7</v>
      </c>
      <c r="J132">
        <v>66</v>
      </c>
      <c r="K132">
        <v>161</v>
      </c>
      <c r="L132">
        <v>116</v>
      </c>
      <c r="M132">
        <v>45</v>
      </c>
      <c r="N132">
        <v>0.129</v>
      </c>
      <c r="O132">
        <v>3.0000000000000001E-3</v>
      </c>
      <c r="P132">
        <v>5.5E-2</v>
      </c>
      <c r="Q132">
        <v>8.4000000000000005E-2</v>
      </c>
      <c r="R132">
        <v>1.091</v>
      </c>
      <c r="S132">
        <v>0.97699999999999998</v>
      </c>
      <c r="T132">
        <v>0.58299999999999996</v>
      </c>
      <c r="U132">
        <v>535.71400000000006</v>
      </c>
      <c r="V132" t="s">
        <v>64</v>
      </c>
      <c r="W132">
        <v>0.95299999999999996</v>
      </c>
      <c r="X132">
        <v>0.93899999999999995</v>
      </c>
      <c r="Y132">
        <v>0.92600000000000005</v>
      </c>
      <c r="Z132">
        <v>0.93</v>
      </c>
      <c r="AA132" s="9">
        <v>45713.615587673608</v>
      </c>
      <c r="AB132" t="s">
        <v>873</v>
      </c>
      <c r="AC132" s="9"/>
    </row>
    <row r="133" spans="1:29" hidden="1" x14ac:dyDescent="0.35">
      <c r="A133" t="s">
        <v>151</v>
      </c>
      <c r="B133" t="s">
        <v>314</v>
      </c>
      <c r="C133">
        <v>84</v>
      </c>
      <c r="D133" s="9">
        <v>45525.253472222219</v>
      </c>
      <c r="E133" s="9">
        <v>45609.552777777775</v>
      </c>
      <c r="F133" t="s">
        <v>874</v>
      </c>
      <c r="G133" t="s">
        <v>874</v>
      </c>
      <c r="H133">
        <v>14</v>
      </c>
      <c r="I133">
        <v>2</v>
      </c>
      <c r="J133">
        <v>3</v>
      </c>
      <c r="K133" t="s">
        <v>875</v>
      </c>
      <c r="L133">
        <v>7</v>
      </c>
      <c r="M133">
        <v>7</v>
      </c>
      <c r="N133">
        <v>0.17899999999999999</v>
      </c>
      <c r="O133">
        <v>5.2999999999999999E-2</v>
      </c>
      <c r="P133">
        <v>3.1E-2</v>
      </c>
      <c r="Q133">
        <v>6.7000000000000004E-2</v>
      </c>
      <c r="R133">
        <v>0.33300000000000002</v>
      </c>
      <c r="S133">
        <v>0.77200000000000002</v>
      </c>
      <c r="T133">
        <v>0.86599999999999999</v>
      </c>
      <c r="U133">
        <v>671.64200000000005</v>
      </c>
      <c r="V133" t="s">
        <v>58</v>
      </c>
      <c r="W133">
        <v>0.92500000000000004</v>
      </c>
      <c r="X133">
        <v>1</v>
      </c>
      <c r="Y133">
        <v>0.75</v>
      </c>
      <c r="Z133">
        <v>0.78500000000000003</v>
      </c>
      <c r="AA133" s="9">
        <v>45713.61560986111</v>
      </c>
      <c r="AB133" t="s">
        <v>873</v>
      </c>
      <c r="AC133" s="9"/>
    </row>
    <row r="134" spans="1:29" x14ac:dyDescent="0.35">
      <c r="A134" t="s">
        <v>152</v>
      </c>
      <c r="B134" t="s">
        <v>313</v>
      </c>
      <c r="C134">
        <v>5729</v>
      </c>
      <c r="D134" s="9">
        <v>39875.455555555556</v>
      </c>
      <c r="E134" s="9">
        <v>45604.863888888889</v>
      </c>
      <c r="F134">
        <v>15138</v>
      </c>
      <c r="G134">
        <v>15138</v>
      </c>
      <c r="H134">
        <v>7709</v>
      </c>
      <c r="I134">
        <v>7429</v>
      </c>
      <c r="J134">
        <v>2851</v>
      </c>
      <c r="K134">
        <v>12287</v>
      </c>
      <c r="L134">
        <v>10821</v>
      </c>
      <c r="M134">
        <v>1466</v>
      </c>
      <c r="N134">
        <v>1.369</v>
      </c>
      <c r="O134">
        <v>1.4690000000000001</v>
      </c>
      <c r="P134">
        <v>0.51300000000000001</v>
      </c>
      <c r="Q134">
        <v>2.0049999999999999</v>
      </c>
      <c r="R134">
        <v>0.86199999999999999</v>
      </c>
      <c r="S134">
        <v>0.48199999999999998</v>
      </c>
      <c r="T134">
        <v>0.81899999999999995</v>
      </c>
      <c r="U134">
        <v>731.17200000000003</v>
      </c>
      <c r="V134" t="s">
        <v>58</v>
      </c>
      <c r="W134">
        <v>0.99299999999999999</v>
      </c>
      <c r="X134">
        <v>0.99</v>
      </c>
      <c r="Y134">
        <v>0.96699999999999997</v>
      </c>
      <c r="Z134">
        <v>0.998</v>
      </c>
      <c r="AA134" s="9">
        <v>45713.615732407408</v>
      </c>
      <c r="AB134" t="s">
        <v>873</v>
      </c>
      <c r="AC134" s="9"/>
    </row>
    <row r="135" spans="1:29" hidden="1" x14ac:dyDescent="0.35">
      <c r="A135" t="s">
        <v>152</v>
      </c>
      <c r="B135" t="s">
        <v>314</v>
      </c>
      <c r="C135">
        <v>99</v>
      </c>
      <c r="D135" s="9">
        <v>45505.495833333334</v>
      </c>
      <c r="E135" s="9">
        <v>45604.863888888889</v>
      </c>
      <c r="F135" t="s">
        <v>874</v>
      </c>
      <c r="G135" t="s">
        <v>874</v>
      </c>
      <c r="H135">
        <v>199</v>
      </c>
      <c r="I135">
        <v>270</v>
      </c>
      <c r="J135">
        <v>251</v>
      </c>
      <c r="K135" t="s">
        <v>875</v>
      </c>
      <c r="L135">
        <v>320</v>
      </c>
      <c r="M135">
        <v>-101</v>
      </c>
      <c r="N135">
        <v>2.5449999999999999</v>
      </c>
      <c r="O135">
        <v>2.9590000000000001</v>
      </c>
      <c r="P135">
        <v>5.2110000000000003</v>
      </c>
      <c r="Q135">
        <v>3.742</v>
      </c>
      <c r="R135">
        <v>12.771000000000001</v>
      </c>
      <c r="S135">
        <v>0.46200000000000002</v>
      </c>
      <c r="T135">
        <v>5.2999999999999999E-2</v>
      </c>
      <c r="U135">
        <v>391.76900000000001</v>
      </c>
      <c r="V135" t="s">
        <v>64</v>
      </c>
      <c r="W135">
        <v>0.95799999999999996</v>
      </c>
      <c r="X135">
        <v>0.98</v>
      </c>
      <c r="Y135">
        <v>0.24099999999999999</v>
      </c>
      <c r="Z135">
        <v>0.95599999999999996</v>
      </c>
      <c r="AA135" s="9">
        <v>45713.615757604166</v>
      </c>
      <c r="AB135" t="s">
        <v>873</v>
      </c>
      <c r="AC135" s="9"/>
    </row>
    <row r="136" spans="1:29" x14ac:dyDescent="0.35">
      <c r="A136" t="s">
        <v>153</v>
      </c>
      <c r="B136" t="s">
        <v>313</v>
      </c>
      <c r="C136">
        <v>4550</v>
      </c>
      <c r="D136" s="9">
        <v>40640.609027777777</v>
      </c>
      <c r="E136" s="9">
        <v>45191.570138888892</v>
      </c>
      <c r="F136">
        <v>49</v>
      </c>
      <c r="G136">
        <v>49</v>
      </c>
      <c r="H136">
        <v>22</v>
      </c>
      <c r="I136">
        <v>27</v>
      </c>
      <c r="J136">
        <v>10</v>
      </c>
      <c r="K136">
        <v>39</v>
      </c>
      <c r="L136">
        <v>39</v>
      </c>
      <c r="M136">
        <v>0</v>
      </c>
      <c r="N136">
        <v>7.0000000000000001E-3</v>
      </c>
      <c r="O136">
        <v>7.0000000000000001E-3</v>
      </c>
      <c r="P136">
        <v>2E-3</v>
      </c>
      <c r="Q136">
        <v>8.9999999999999993E-3</v>
      </c>
      <c r="R136">
        <v>0.75</v>
      </c>
      <c r="S136">
        <v>0.5</v>
      </c>
      <c r="T136">
        <v>0.85699999999999998</v>
      </c>
      <c r="U136">
        <v>0</v>
      </c>
      <c r="V136" t="s">
        <v>82</v>
      </c>
      <c r="W136">
        <v>0.94399999999999995</v>
      </c>
      <c r="X136">
        <v>0.90400000000000003</v>
      </c>
      <c r="Y136">
        <v>0.90200000000000002</v>
      </c>
      <c r="Z136">
        <v>0.88800000000000001</v>
      </c>
      <c r="AA136" s="9">
        <v>45713.615848680558</v>
      </c>
      <c r="AB136" t="s">
        <v>873</v>
      </c>
      <c r="AC136" s="9"/>
    </row>
    <row r="137" spans="1:29" x14ac:dyDescent="0.35">
      <c r="A137" t="s">
        <v>154</v>
      </c>
      <c r="B137" t="s">
        <v>313</v>
      </c>
      <c r="C137">
        <v>8223</v>
      </c>
      <c r="D137" s="9">
        <v>36987.15902777778</v>
      </c>
      <c r="E137" s="9">
        <v>45210.580555555556</v>
      </c>
      <c r="F137">
        <v>6835</v>
      </c>
      <c r="G137">
        <v>6835</v>
      </c>
      <c r="H137">
        <v>2518</v>
      </c>
      <c r="I137">
        <v>4317</v>
      </c>
      <c r="J137">
        <v>2546</v>
      </c>
      <c r="K137">
        <v>4289</v>
      </c>
      <c r="L137">
        <v>4007</v>
      </c>
      <c r="M137">
        <v>282</v>
      </c>
      <c r="N137">
        <v>0.91200000000000003</v>
      </c>
      <c r="O137">
        <v>1.3</v>
      </c>
      <c r="P137">
        <v>0.72499999999999998</v>
      </c>
      <c r="Q137">
        <v>1.548</v>
      </c>
      <c r="R137">
        <v>1.0409999999999999</v>
      </c>
      <c r="S137">
        <v>0.41199999999999998</v>
      </c>
      <c r="T137">
        <v>0.67200000000000004</v>
      </c>
      <c r="U137">
        <v>182.17099999999999</v>
      </c>
      <c r="V137" t="s">
        <v>64</v>
      </c>
      <c r="W137">
        <v>0.94499999999999995</v>
      </c>
      <c r="X137">
        <v>0.98</v>
      </c>
      <c r="Y137">
        <v>0.91700000000000004</v>
      </c>
      <c r="Z137">
        <v>0.96899999999999997</v>
      </c>
      <c r="AA137" s="9">
        <v>45713.615948796294</v>
      </c>
      <c r="AB137" t="s">
        <v>873</v>
      </c>
      <c r="AC137" s="9"/>
    </row>
    <row r="138" spans="1:29" x14ac:dyDescent="0.35">
      <c r="A138" t="s">
        <v>155</v>
      </c>
      <c r="B138" t="s">
        <v>313</v>
      </c>
      <c r="C138">
        <v>3554</v>
      </c>
      <c r="D138" s="9">
        <v>42052.690972222219</v>
      </c>
      <c r="E138" s="9">
        <v>45607.618750000001</v>
      </c>
      <c r="F138">
        <v>635</v>
      </c>
      <c r="G138">
        <v>635</v>
      </c>
      <c r="H138">
        <v>104</v>
      </c>
      <c r="I138">
        <v>531</v>
      </c>
      <c r="J138">
        <v>154</v>
      </c>
      <c r="K138">
        <v>481</v>
      </c>
      <c r="L138">
        <v>445</v>
      </c>
      <c r="M138">
        <v>36</v>
      </c>
      <c r="N138">
        <v>4.4999999999999998E-2</v>
      </c>
      <c r="O138">
        <v>0.18</v>
      </c>
      <c r="P138">
        <v>5.8000000000000003E-2</v>
      </c>
      <c r="Q138">
        <v>0.13400000000000001</v>
      </c>
      <c r="R138">
        <v>0.80200000000000005</v>
      </c>
      <c r="S138">
        <v>0.2</v>
      </c>
      <c r="T138">
        <v>0.74199999999999999</v>
      </c>
      <c r="U138">
        <v>268.65699999999998</v>
      </c>
      <c r="V138" t="s">
        <v>58</v>
      </c>
      <c r="W138">
        <v>0.83799999999999997</v>
      </c>
      <c r="X138">
        <v>0.88400000000000001</v>
      </c>
      <c r="Y138">
        <v>0.91600000000000004</v>
      </c>
      <c r="Z138">
        <v>0.97599999999999998</v>
      </c>
      <c r="AA138" s="9">
        <v>45713.616039907407</v>
      </c>
      <c r="AB138" t="s">
        <v>873</v>
      </c>
      <c r="AC138" s="9"/>
    </row>
    <row r="139" spans="1:29" x14ac:dyDescent="0.35">
      <c r="A139" t="s">
        <v>156</v>
      </c>
      <c r="B139" t="s">
        <v>313</v>
      </c>
      <c r="C139">
        <v>6186</v>
      </c>
      <c r="D139" s="9">
        <v>39157.240277777775</v>
      </c>
      <c r="E139" s="9">
        <v>45343.418055555558</v>
      </c>
      <c r="F139">
        <v>3954</v>
      </c>
      <c r="G139">
        <v>3886</v>
      </c>
      <c r="H139">
        <v>1685</v>
      </c>
      <c r="I139">
        <v>2201</v>
      </c>
      <c r="J139">
        <v>918</v>
      </c>
      <c r="K139">
        <v>2968</v>
      </c>
      <c r="L139">
        <v>2841</v>
      </c>
      <c r="M139">
        <v>127</v>
      </c>
      <c r="N139">
        <v>0.378</v>
      </c>
      <c r="O139">
        <v>0.53300000000000003</v>
      </c>
      <c r="P139">
        <v>0.214</v>
      </c>
      <c r="Q139">
        <v>0.63300000000000001</v>
      </c>
      <c r="R139">
        <v>0.90800000000000003</v>
      </c>
      <c r="S139">
        <v>0.41499999999999998</v>
      </c>
      <c r="T139">
        <v>0.76500000000000001</v>
      </c>
      <c r="U139">
        <v>200.63200000000001</v>
      </c>
      <c r="V139" t="s">
        <v>58</v>
      </c>
      <c r="W139">
        <v>0.97799999999999998</v>
      </c>
      <c r="X139">
        <v>0.97399999999999998</v>
      </c>
      <c r="Y139">
        <v>0.97099999999999997</v>
      </c>
      <c r="Z139">
        <v>0.97899999999999998</v>
      </c>
      <c r="AA139" s="9">
        <v>45713.61613869213</v>
      </c>
      <c r="AB139" t="s">
        <v>873</v>
      </c>
      <c r="AC139" s="9"/>
    </row>
    <row r="140" spans="1:29" x14ac:dyDescent="0.35">
      <c r="A140" t="s">
        <v>157</v>
      </c>
      <c r="B140" t="s">
        <v>313</v>
      </c>
      <c r="C140">
        <v>4311</v>
      </c>
      <c r="D140" s="9">
        <v>41296.436805555553</v>
      </c>
      <c r="E140" s="9">
        <v>45607.655555555553</v>
      </c>
      <c r="F140">
        <v>21678</v>
      </c>
      <c r="G140">
        <v>21649</v>
      </c>
      <c r="H140">
        <v>5868</v>
      </c>
      <c r="I140">
        <v>15781</v>
      </c>
      <c r="J140">
        <v>4822</v>
      </c>
      <c r="K140">
        <v>16827</v>
      </c>
      <c r="L140">
        <v>16160</v>
      </c>
      <c r="M140">
        <v>667</v>
      </c>
      <c r="N140">
        <v>1.7030000000000001</v>
      </c>
      <c r="O140">
        <v>4.6950000000000003</v>
      </c>
      <c r="P140">
        <v>1.4490000000000001</v>
      </c>
      <c r="Q140">
        <v>4.7590000000000003</v>
      </c>
      <c r="R140">
        <v>0.96199999999999997</v>
      </c>
      <c r="S140">
        <v>0.26600000000000001</v>
      </c>
      <c r="T140">
        <v>0.77400000000000002</v>
      </c>
      <c r="U140">
        <v>140.155</v>
      </c>
      <c r="V140" t="s">
        <v>58</v>
      </c>
      <c r="W140">
        <v>0.96799999999999997</v>
      </c>
      <c r="X140">
        <v>0.81100000000000005</v>
      </c>
      <c r="Y140">
        <v>0.97599999999999998</v>
      </c>
      <c r="Z140">
        <v>0.85899999999999999</v>
      </c>
      <c r="AA140" s="9">
        <v>45713.616274560183</v>
      </c>
      <c r="AB140" t="s">
        <v>873</v>
      </c>
      <c r="AC140" s="9"/>
    </row>
    <row r="141" spans="1:29" hidden="1" x14ac:dyDescent="0.35">
      <c r="A141" t="s">
        <v>157</v>
      </c>
      <c r="B141" t="s">
        <v>314</v>
      </c>
      <c r="C141">
        <v>99</v>
      </c>
      <c r="D141" s="9">
        <v>45508.004861111112</v>
      </c>
      <c r="E141" s="9">
        <v>45607.655555555553</v>
      </c>
      <c r="F141" t="s">
        <v>874</v>
      </c>
      <c r="G141" t="s">
        <v>874</v>
      </c>
      <c r="H141">
        <v>133</v>
      </c>
      <c r="I141">
        <v>128</v>
      </c>
      <c r="J141">
        <v>68</v>
      </c>
      <c r="K141" t="s">
        <v>875</v>
      </c>
      <c r="L141">
        <v>257</v>
      </c>
      <c r="M141">
        <v>-63</v>
      </c>
      <c r="N141">
        <v>1.357</v>
      </c>
      <c r="O141">
        <v>1.3640000000000001</v>
      </c>
      <c r="P141">
        <v>0.70599999999999996</v>
      </c>
      <c r="Q141">
        <v>2.4510000000000001</v>
      </c>
      <c r="R141">
        <v>1.216</v>
      </c>
      <c r="S141">
        <v>0.499</v>
      </c>
      <c r="T141">
        <v>0.74099999999999999</v>
      </c>
      <c r="U141">
        <v>272.13400000000001</v>
      </c>
      <c r="V141" t="s">
        <v>64</v>
      </c>
      <c r="W141">
        <v>0.98799999999999999</v>
      </c>
      <c r="X141">
        <v>0.97</v>
      </c>
      <c r="Y141">
        <v>0.97099999999999997</v>
      </c>
      <c r="Z141">
        <v>0.97899999999999998</v>
      </c>
      <c r="AA141" s="9">
        <v>45713.616296990738</v>
      </c>
      <c r="AB141" t="s">
        <v>873</v>
      </c>
      <c r="AC141" s="9"/>
    </row>
    <row r="142" spans="1:29" x14ac:dyDescent="0.35">
      <c r="A142" t="s">
        <v>158</v>
      </c>
      <c r="B142" t="s">
        <v>313</v>
      </c>
      <c r="C142">
        <v>5917</v>
      </c>
      <c r="D142" s="9">
        <v>39524.738888888889</v>
      </c>
      <c r="E142" s="9">
        <v>45441.855555555558</v>
      </c>
      <c r="F142">
        <v>231</v>
      </c>
      <c r="G142">
        <v>231</v>
      </c>
      <c r="H142">
        <v>140</v>
      </c>
      <c r="I142">
        <v>91</v>
      </c>
      <c r="J142">
        <v>22</v>
      </c>
      <c r="K142">
        <v>209</v>
      </c>
      <c r="L142">
        <v>189</v>
      </c>
      <c r="M142">
        <v>20</v>
      </c>
      <c r="N142">
        <v>2.3E-2</v>
      </c>
      <c r="O142">
        <v>1.9E-2</v>
      </c>
      <c r="P142">
        <v>4.0000000000000001E-3</v>
      </c>
      <c r="Q142">
        <v>3.5999999999999997E-2</v>
      </c>
      <c r="R142">
        <v>0.94699999999999995</v>
      </c>
      <c r="S142">
        <v>0.54800000000000004</v>
      </c>
      <c r="T142">
        <v>0.90500000000000003</v>
      </c>
      <c r="U142">
        <v>555.55600000000004</v>
      </c>
      <c r="V142" t="s">
        <v>58</v>
      </c>
      <c r="W142">
        <v>0.89300000000000002</v>
      </c>
      <c r="X142">
        <v>0.97099999999999997</v>
      </c>
      <c r="Y142">
        <v>0.93400000000000005</v>
      </c>
      <c r="Z142">
        <v>0.94299999999999995</v>
      </c>
      <c r="AA142" s="9">
        <v>45713.616379884261</v>
      </c>
      <c r="AB142" t="s">
        <v>873</v>
      </c>
      <c r="AC142" s="9"/>
    </row>
    <row r="143" spans="1:29" x14ac:dyDescent="0.35">
      <c r="A143" t="s">
        <v>159</v>
      </c>
      <c r="B143" t="s">
        <v>313</v>
      </c>
      <c r="C143">
        <v>3991</v>
      </c>
      <c r="D143" s="9">
        <v>41570.447222222225</v>
      </c>
      <c r="E143" s="9">
        <v>45561.595833333333</v>
      </c>
      <c r="F143">
        <v>510</v>
      </c>
      <c r="G143">
        <v>510</v>
      </c>
      <c r="H143">
        <v>325</v>
      </c>
      <c r="I143">
        <v>185</v>
      </c>
      <c r="J143">
        <v>17</v>
      </c>
      <c r="K143">
        <v>493</v>
      </c>
      <c r="L143">
        <v>400</v>
      </c>
      <c r="M143">
        <v>93</v>
      </c>
      <c r="N143">
        <v>8.3000000000000004E-2</v>
      </c>
      <c r="O143">
        <v>5.8000000000000003E-2</v>
      </c>
      <c r="P143">
        <v>6.0000000000000001E-3</v>
      </c>
      <c r="Q143">
        <v>0.105</v>
      </c>
      <c r="R143">
        <v>0.77800000000000002</v>
      </c>
      <c r="S143">
        <v>0.58899999999999997</v>
      </c>
      <c r="T143">
        <v>0.95699999999999996</v>
      </c>
      <c r="U143">
        <v>885.71400000000006</v>
      </c>
      <c r="V143" t="s">
        <v>58</v>
      </c>
      <c r="W143">
        <v>0.94299999999999995</v>
      </c>
      <c r="X143">
        <v>0.91900000000000004</v>
      </c>
      <c r="Y143">
        <v>0.88</v>
      </c>
      <c r="Z143">
        <v>0.94199999999999995</v>
      </c>
      <c r="AA143" s="9">
        <v>45713.61646488426</v>
      </c>
      <c r="AB143" t="s">
        <v>873</v>
      </c>
      <c r="AC143" s="9"/>
    </row>
    <row r="144" spans="1:29" x14ac:dyDescent="0.35">
      <c r="A144" t="s">
        <v>160</v>
      </c>
      <c r="B144" t="s">
        <v>313</v>
      </c>
      <c r="C144">
        <v>7958</v>
      </c>
      <c r="D144" s="9">
        <v>37652.447916666664</v>
      </c>
      <c r="E144" s="9">
        <v>45610.768750000003</v>
      </c>
      <c r="F144">
        <v>24947</v>
      </c>
      <c r="G144">
        <v>24890</v>
      </c>
      <c r="H144">
        <v>9471</v>
      </c>
      <c r="I144">
        <v>15419</v>
      </c>
      <c r="J144">
        <v>4967</v>
      </c>
      <c r="K144">
        <v>19923</v>
      </c>
      <c r="L144">
        <v>18775</v>
      </c>
      <c r="M144">
        <v>1148</v>
      </c>
      <c r="N144">
        <v>1.7110000000000001</v>
      </c>
      <c r="O144">
        <v>3.4079999999999999</v>
      </c>
      <c r="P144">
        <v>0.95599999999999996</v>
      </c>
      <c r="Q144">
        <v>3.714</v>
      </c>
      <c r="R144">
        <v>0.89200000000000002</v>
      </c>
      <c r="S144">
        <v>0.33400000000000002</v>
      </c>
      <c r="T144">
        <v>0.81299999999999994</v>
      </c>
      <c r="U144">
        <v>309.101</v>
      </c>
      <c r="V144" t="s">
        <v>58</v>
      </c>
      <c r="W144">
        <v>0.97599999999999998</v>
      </c>
      <c r="X144">
        <v>0.93899999999999995</v>
      </c>
      <c r="Y144">
        <v>0.93700000000000006</v>
      </c>
      <c r="Z144">
        <v>0.95399999999999996</v>
      </c>
      <c r="AA144" s="9">
        <v>45713.616606006944</v>
      </c>
      <c r="AB144" t="s">
        <v>873</v>
      </c>
      <c r="AC144" s="9"/>
    </row>
    <row r="145" spans="1:29" hidden="1" x14ac:dyDescent="0.35">
      <c r="A145" t="s">
        <v>160</v>
      </c>
      <c r="B145" t="s">
        <v>314</v>
      </c>
      <c r="C145">
        <v>99</v>
      </c>
      <c r="D145" s="9">
        <v>45511.486111111109</v>
      </c>
      <c r="E145" s="9">
        <v>45610.768750000003</v>
      </c>
      <c r="F145" t="s">
        <v>874</v>
      </c>
      <c r="G145" t="s">
        <v>874</v>
      </c>
      <c r="H145">
        <v>10</v>
      </c>
      <c r="I145">
        <v>3</v>
      </c>
      <c r="J145">
        <v>4</v>
      </c>
      <c r="K145" t="s">
        <v>875</v>
      </c>
      <c r="L145">
        <v>8</v>
      </c>
      <c r="M145">
        <v>2</v>
      </c>
      <c r="N145">
        <v>8.4000000000000005E-2</v>
      </c>
      <c r="O145">
        <v>7.6999999999999999E-2</v>
      </c>
      <c r="P145">
        <v>0.17199999999999999</v>
      </c>
      <c r="Q145">
        <v>0.14699999999999999</v>
      </c>
      <c r="R145">
        <v>-13.364000000000001</v>
      </c>
      <c r="S145">
        <v>0.52200000000000002</v>
      </c>
      <c r="T145">
        <v>-6.8000000000000005E-2</v>
      </c>
      <c r="U145">
        <v>7809.5240000000003</v>
      </c>
      <c r="V145" t="s">
        <v>58</v>
      </c>
      <c r="W145">
        <v>0.81299999999999994</v>
      </c>
      <c r="X145">
        <v>0.95899999999999996</v>
      </c>
      <c r="Y145">
        <v>0.995</v>
      </c>
      <c r="Z145">
        <v>0.81799999999999995</v>
      </c>
      <c r="AA145" s="9">
        <v>45713.616626134259</v>
      </c>
      <c r="AB145" t="s">
        <v>873</v>
      </c>
      <c r="AC145" s="9"/>
    </row>
    <row r="146" spans="1:29" x14ac:dyDescent="0.35">
      <c r="A146" t="s">
        <v>161</v>
      </c>
      <c r="B146" t="s">
        <v>313</v>
      </c>
      <c r="C146">
        <v>7269</v>
      </c>
      <c r="D146" s="9">
        <v>38335.699999999997</v>
      </c>
      <c r="E146" s="9">
        <v>45604.841666666667</v>
      </c>
      <c r="F146">
        <v>1130</v>
      </c>
      <c r="G146">
        <v>1130</v>
      </c>
      <c r="H146">
        <v>763</v>
      </c>
      <c r="I146">
        <v>367</v>
      </c>
      <c r="J146">
        <v>96</v>
      </c>
      <c r="K146">
        <v>1034</v>
      </c>
      <c r="L146">
        <v>982</v>
      </c>
      <c r="M146">
        <v>52</v>
      </c>
      <c r="N146">
        <v>0.14899999999999999</v>
      </c>
      <c r="O146">
        <v>7.2999999999999995E-2</v>
      </c>
      <c r="P146">
        <v>2.1000000000000001E-2</v>
      </c>
      <c r="Q146">
        <v>0.20399999999999999</v>
      </c>
      <c r="R146">
        <v>1.0149999999999999</v>
      </c>
      <c r="S146">
        <v>0.67100000000000004</v>
      </c>
      <c r="T146">
        <v>0.90500000000000003</v>
      </c>
      <c r="U146">
        <v>254.90199999999999</v>
      </c>
      <c r="V146" t="s">
        <v>64</v>
      </c>
      <c r="W146">
        <v>0.73599999999999999</v>
      </c>
      <c r="X146">
        <v>0.88100000000000001</v>
      </c>
      <c r="Y146">
        <v>0.72399999999999998</v>
      </c>
      <c r="Z146">
        <v>0.77100000000000002</v>
      </c>
      <c r="AA146" s="9">
        <v>45713.616716574077</v>
      </c>
      <c r="AB146" t="s">
        <v>873</v>
      </c>
      <c r="AC146" s="9"/>
    </row>
    <row r="147" spans="1:29" x14ac:dyDescent="0.35">
      <c r="A147" t="s">
        <v>162</v>
      </c>
      <c r="B147" t="s">
        <v>313</v>
      </c>
      <c r="C147">
        <v>5998</v>
      </c>
      <c r="D147" s="9">
        <v>39546.265972222223</v>
      </c>
      <c r="E147" s="9">
        <v>45544.643750000003</v>
      </c>
      <c r="F147">
        <v>132</v>
      </c>
      <c r="G147">
        <v>132</v>
      </c>
      <c r="H147">
        <v>81</v>
      </c>
      <c r="I147">
        <v>51</v>
      </c>
      <c r="J147">
        <v>36</v>
      </c>
      <c r="K147">
        <v>96</v>
      </c>
      <c r="L147">
        <v>93</v>
      </c>
      <c r="M147">
        <v>3</v>
      </c>
      <c r="N147">
        <v>1.2E-2</v>
      </c>
      <c r="O147">
        <v>8.9999999999999993E-3</v>
      </c>
      <c r="P147">
        <v>5.0000000000000001E-3</v>
      </c>
      <c r="Q147">
        <v>1.4E-2</v>
      </c>
      <c r="R147">
        <v>0.875</v>
      </c>
      <c r="S147">
        <v>0.57099999999999995</v>
      </c>
      <c r="T147">
        <v>0.76200000000000001</v>
      </c>
      <c r="U147">
        <v>214.286</v>
      </c>
      <c r="V147" t="s">
        <v>58</v>
      </c>
      <c r="W147">
        <v>0.97499999999999998</v>
      </c>
      <c r="X147">
        <v>0.88900000000000001</v>
      </c>
      <c r="Y147">
        <v>0.92</v>
      </c>
      <c r="Z147">
        <v>0.98299999999999998</v>
      </c>
      <c r="AA147" s="9">
        <v>45713.616799791664</v>
      </c>
      <c r="AB147" t="s">
        <v>873</v>
      </c>
      <c r="AC147" s="9"/>
    </row>
    <row r="148" spans="1:29" x14ac:dyDescent="0.35">
      <c r="A148" t="s">
        <v>163</v>
      </c>
      <c r="B148" t="s">
        <v>313</v>
      </c>
      <c r="C148">
        <v>5639</v>
      </c>
      <c r="D148" s="9">
        <v>39723.458333333336</v>
      </c>
      <c r="E148" s="9">
        <v>45363.445833333331</v>
      </c>
      <c r="F148">
        <v>240</v>
      </c>
      <c r="G148">
        <v>240</v>
      </c>
      <c r="H148">
        <v>82</v>
      </c>
      <c r="I148">
        <v>158</v>
      </c>
      <c r="J148">
        <v>29</v>
      </c>
      <c r="K148">
        <v>211</v>
      </c>
      <c r="L148">
        <v>193</v>
      </c>
      <c r="M148">
        <v>18</v>
      </c>
      <c r="N148">
        <v>1.0999999999999999E-2</v>
      </c>
      <c r="O148">
        <v>0.03</v>
      </c>
      <c r="P148">
        <v>6.0000000000000001E-3</v>
      </c>
      <c r="Q148">
        <v>0.03</v>
      </c>
      <c r="R148">
        <v>0.85699999999999998</v>
      </c>
      <c r="S148">
        <v>0.26800000000000002</v>
      </c>
      <c r="T148">
        <v>0.85399999999999998</v>
      </c>
      <c r="U148">
        <v>600</v>
      </c>
      <c r="V148" t="s">
        <v>58</v>
      </c>
      <c r="W148">
        <v>0.80200000000000005</v>
      </c>
      <c r="X148">
        <v>0.91</v>
      </c>
      <c r="Y148">
        <v>0.96899999999999997</v>
      </c>
      <c r="Z148">
        <v>0.83</v>
      </c>
      <c r="AA148" s="9">
        <v>45713.616881354166</v>
      </c>
      <c r="AB148" t="s">
        <v>873</v>
      </c>
      <c r="AC148" s="9"/>
    </row>
    <row r="149" spans="1:29" x14ac:dyDescent="0.35">
      <c r="A149" t="s">
        <v>164</v>
      </c>
      <c r="B149" t="s">
        <v>313</v>
      </c>
      <c r="C149">
        <v>6292</v>
      </c>
      <c r="D149" s="9">
        <v>39198.963194444441</v>
      </c>
      <c r="E149" s="9">
        <v>45491.699305555558</v>
      </c>
      <c r="F149">
        <v>423</v>
      </c>
      <c r="G149">
        <v>423</v>
      </c>
      <c r="H149">
        <v>227</v>
      </c>
      <c r="I149">
        <v>196</v>
      </c>
      <c r="J149">
        <v>34</v>
      </c>
      <c r="K149">
        <v>389</v>
      </c>
      <c r="L149">
        <v>370</v>
      </c>
      <c r="M149">
        <v>19</v>
      </c>
      <c r="N149">
        <v>3.2000000000000001E-2</v>
      </c>
      <c r="O149">
        <v>3.4000000000000002E-2</v>
      </c>
      <c r="P149">
        <v>4.0000000000000001E-3</v>
      </c>
      <c r="Q149">
        <v>5.3999999999999999E-2</v>
      </c>
      <c r="R149">
        <v>0.871</v>
      </c>
      <c r="S149">
        <v>0.48499999999999999</v>
      </c>
      <c r="T149">
        <v>0.93899999999999995</v>
      </c>
      <c r="U149">
        <v>351.85199999999998</v>
      </c>
      <c r="V149" t="s">
        <v>58</v>
      </c>
      <c r="W149">
        <v>0.63100000000000001</v>
      </c>
      <c r="X149">
        <v>0.76200000000000001</v>
      </c>
      <c r="Y149">
        <v>0.88900000000000001</v>
      </c>
      <c r="Z149">
        <v>0.67800000000000005</v>
      </c>
      <c r="AA149" s="9">
        <v>45713.616963506945</v>
      </c>
      <c r="AB149" t="s">
        <v>873</v>
      </c>
      <c r="AC149" s="9"/>
    </row>
    <row r="150" spans="1:29" x14ac:dyDescent="0.35">
      <c r="A150" t="s">
        <v>165</v>
      </c>
      <c r="B150" t="s">
        <v>313</v>
      </c>
      <c r="C150">
        <v>3957</v>
      </c>
      <c r="D150" s="9">
        <v>39313.965277777781</v>
      </c>
      <c r="E150" s="9">
        <v>43271.777083333334</v>
      </c>
      <c r="F150">
        <v>55</v>
      </c>
      <c r="G150">
        <v>55</v>
      </c>
      <c r="H150">
        <v>35</v>
      </c>
      <c r="I150">
        <v>20</v>
      </c>
      <c r="J150">
        <v>5</v>
      </c>
      <c r="K150">
        <v>50</v>
      </c>
      <c r="L150">
        <v>38</v>
      </c>
      <c r="M150">
        <v>12</v>
      </c>
      <c r="N150">
        <v>4.7E-2</v>
      </c>
      <c r="O150">
        <v>8.0000000000000002E-3</v>
      </c>
      <c r="P150">
        <v>1E-3</v>
      </c>
      <c r="Q150">
        <v>2.8000000000000001E-2</v>
      </c>
      <c r="R150">
        <v>0.51900000000000002</v>
      </c>
      <c r="S150">
        <v>0.85499999999999998</v>
      </c>
      <c r="T150">
        <v>0.98199999999999998</v>
      </c>
      <c r="U150">
        <v>428.57100000000003</v>
      </c>
      <c r="V150" t="s">
        <v>58</v>
      </c>
      <c r="W150">
        <v>0.94499999999999995</v>
      </c>
      <c r="X150">
        <v>0.82099999999999995</v>
      </c>
      <c r="Y150">
        <v>0.80900000000000005</v>
      </c>
      <c r="Z150">
        <v>0.75700000000000001</v>
      </c>
      <c r="AA150" s="9">
        <v>45713.617042546299</v>
      </c>
      <c r="AB150" t="s">
        <v>873</v>
      </c>
      <c r="AC150" s="9"/>
    </row>
    <row r="151" spans="1:29" x14ac:dyDescent="0.35">
      <c r="A151" t="s">
        <v>166</v>
      </c>
      <c r="B151" t="s">
        <v>313</v>
      </c>
      <c r="C151">
        <v>5768</v>
      </c>
      <c r="D151" s="9">
        <v>39142.859722222223</v>
      </c>
      <c r="E151" s="9">
        <v>44911.640972222223</v>
      </c>
      <c r="F151">
        <v>5339</v>
      </c>
      <c r="G151">
        <v>5339</v>
      </c>
      <c r="H151">
        <v>1786</v>
      </c>
      <c r="I151">
        <v>3553</v>
      </c>
      <c r="J151">
        <v>1372</v>
      </c>
      <c r="K151">
        <v>3967</v>
      </c>
      <c r="L151">
        <v>3965</v>
      </c>
      <c r="M151">
        <v>2</v>
      </c>
      <c r="N151">
        <v>0.85799999999999998</v>
      </c>
      <c r="O151">
        <v>1.67</v>
      </c>
      <c r="P151">
        <v>0.26200000000000001</v>
      </c>
      <c r="Q151">
        <v>1.849</v>
      </c>
      <c r="R151">
        <v>0.81599999999999995</v>
      </c>
      <c r="S151">
        <v>0.33900000000000002</v>
      </c>
      <c r="T151">
        <v>0.89600000000000002</v>
      </c>
      <c r="U151">
        <v>1.0820000000000001</v>
      </c>
      <c r="V151" t="s">
        <v>82</v>
      </c>
      <c r="W151">
        <v>0.91600000000000004</v>
      </c>
      <c r="X151">
        <v>0.95499999999999996</v>
      </c>
      <c r="Y151">
        <v>0.90100000000000002</v>
      </c>
      <c r="Z151">
        <v>0.94799999999999995</v>
      </c>
      <c r="AA151" s="9">
        <v>45713.617142662035</v>
      </c>
      <c r="AB151" t="s">
        <v>873</v>
      </c>
      <c r="AC151" s="9"/>
    </row>
    <row r="152" spans="1:29" x14ac:dyDescent="0.35">
      <c r="A152" t="s">
        <v>167</v>
      </c>
      <c r="B152" t="s">
        <v>313</v>
      </c>
      <c r="C152">
        <v>7267</v>
      </c>
      <c r="D152" s="9">
        <v>38314.171527777777</v>
      </c>
      <c r="E152" s="9">
        <v>45581.320833333331</v>
      </c>
      <c r="F152">
        <v>8951</v>
      </c>
      <c r="G152">
        <v>8893</v>
      </c>
      <c r="H152">
        <v>4234</v>
      </c>
      <c r="I152">
        <v>4659</v>
      </c>
      <c r="J152">
        <v>1997</v>
      </c>
      <c r="K152">
        <v>6896</v>
      </c>
      <c r="L152">
        <v>5338</v>
      </c>
      <c r="M152">
        <v>1558</v>
      </c>
      <c r="N152">
        <v>0.66900000000000004</v>
      </c>
      <c r="O152">
        <v>0.77700000000000002</v>
      </c>
      <c r="P152">
        <v>0.28799999999999998</v>
      </c>
      <c r="Q152">
        <v>0.86899999999999999</v>
      </c>
      <c r="R152">
        <v>0.75</v>
      </c>
      <c r="S152">
        <v>0.46300000000000002</v>
      </c>
      <c r="T152">
        <v>0.80100000000000005</v>
      </c>
      <c r="U152">
        <v>1792.865</v>
      </c>
      <c r="V152" t="s">
        <v>58</v>
      </c>
      <c r="W152">
        <v>0.97599999999999998</v>
      </c>
      <c r="X152">
        <v>0.95499999999999996</v>
      </c>
      <c r="Y152">
        <v>0.94899999999999995</v>
      </c>
      <c r="Z152">
        <v>0.96099999999999997</v>
      </c>
      <c r="AA152" s="9">
        <v>45713.617245162037</v>
      </c>
      <c r="AB152" t="s">
        <v>873</v>
      </c>
      <c r="AC152" s="9"/>
    </row>
    <row r="153" spans="1:29" x14ac:dyDescent="0.35">
      <c r="A153" t="s">
        <v>168</v>
      </c>
      <c r="B153" t="s">
        <v>313</v>
      </c>
      <c r="C153">
        <v>6897</v>
      </c>
      <c r="D153" s="9">
        <v>38709.710416666669</v>
      </c>
      <c r="E153" s="9">
        <v>45607.62777777778</v>
      </c>
      <c r="F153">
        <v>3692</v>
      </c>
      <c r="G153">
        <v>3692</v>
      </c>
      <c r="H153">
        <v>1943</v>
      </c>
      <c r="I153">
        <v>1749</v>
      </c>
      <c r="J153">
        <v>664</v>
      </c>
      <c r="K153">
        <v>3028</v>
      </c>
      <c r="L153">
        <v>2741</v>
      </c>
      <c r="M153">
        <v>287</v>
      </c>
      <c r="N153">
        <v>0.309</v>
      </c>
      <c r="O153">
        <v>0.314</v>
      </c>
      <c r="P153">
        <v>0.128</v>
      </c>
      <c r="Q153">
        <v>0.46</v>
      </c>
      <c r="R153">
        <v>0.92900000000000005</v>
      </c>
      <c r="S153">
        <v>0.496</v>
      </c>
      <c r="T153">
        <v>0.79500000000000004</v>
      </c>
      <c r="U153">
        <v>623.91300000000001</v>
      </c>
      <c r="V153" t="s">
        <v>58</v>
      </c>
      <c r="W153">
        <v>0.96199999999999997</v>
      </c>
      <c r="X153">
        <v>0.95199999999999996</v>
      </c>
      <c r="Y153">
        <v>0.91800000000000004</v>
      </c>
      <c r="Z153">
        <v>0.96199999999999997</v>
      </c>
      <c r="AA153" s="9">
        <v>45713.617343379628</v>
      </c>
      <c r="AB153" t="s">
        <v>873</v>
      </c>
      <c r="AC153" s="9"/>
    </row>
    <row r="154" spans="1:29" hidden="1" x14ac:dyDescent="0.35">
      <c r="A154" t="s">
        <v>168</v>
      </c>
      <c r="B154" t="s">
        <v>314</v>
      </c>
      <c r="C154">
        <v>94</v>
      </c>
      <c r="D154" s="9">
        <v>45513.397222222222</v>
      </c>
      <c r="E154" s="9">
        <v>45607.62777777778</v>
      </c>
      <c r="F154" t="s">
        <v>874</v>
      </c>
      <c r="G154" t="s">
        <v>874</v>
      </c>
      <c r="H154">
        <v>16</v>
      </c>
      <c r="I154">
        <v>17</v>
      </c>
      <c r="J154">
        <v>6</v>
      </c>
      <c r="K154" t="s">
        <v>875</v>
      </c>
      <c r="L154">
        <v>28</v>
      </c>
      <c r="M154">
        <v>0</v>
      </c>
      <c r="N154">
        <v>0.16700000000000001</v>
      </c>
      <c r="O154">
        <v>0.20399999999999999</v>
      </c>
      <c r="P154">
        <v>5.8999999999999997E-2</v>
      </c>
      <c r="Q154">
        <v>0.373</v>
      </c>
      <c r="R154">
        <v>1.196</v>
      </c>
      <c r="S154">
        <v>0.45</v>
      </c>
      <c r="T154">
        <v>0.84099999999999997</v>
      </c>
      <c r="U154">
        <v>769.43700000000001</v>
      </c>
      <c r="V154" t="s">
        <v>64</v>
      </c>
      <c r="W154">
        <v>0.96199999999999997</v>
      </c>
      <c r="X154">
        <v>0.95199999999999996</v>
      </c>
      <c r="Y154">
        <v>0.753</v>
      </c>
      <c r="Z154">
        <v>0.88500000000000001</v>
      </c>
      <c r="AA154" s="9">
        <v>45713.617366689818</v>
      </c>
      <c r="AB154" t="s">
        <v>873</v>
      </c>
      <c r="AC154" s="9"/>
    </row>
    <row r="155" spans="1:29" x14ac:dyDescent="0.35">
      <c r="A155" t="s">
        <v>169</v>
      </c>
      <c r="B155" t="s">
        <v>313</v>
      </c>
      <c r="C155">
        <v>6340</v>
      </c>
      <c r="D155" s="9">
        <v>39053.517361111109</v>
      </c>
      <c r="E155" s="9">
        <v>45393.550694444442</v>
      </c>
      <c r="F155">
        <v>212</v>
      </c>
      <c r="G155">
        <v>212</v>
      </c>
      <c r="H155">
        <v>126</v>
      </c>
      <c r="I155">
        <v>86</v>
      </c>
      <c r="J155">
        <v>18</v>
      </c>
      <c r="K155">
        <v>194</v>
      </c>
      <c r="L155">
        <v>176</v>
      </c>
      <c r="M155">
        <v>18</v>
      </c>
      <c r="N155">
        <v>1.7000000000000001E-2</v>
      </c>
      <c r="O155">
        <v>1.7999999999999999E-2</v>
      </c>
      <c r="P155">
        <v>4.0000000000000001E-3</v>
      </c>
      <c r="Q155">
        <v>2.5000000000000001E-2</v>
      </c>
      <c r="R155">
        <v>0.80600000000000005</v>
      </c>
      <c r="S155">
        <v>0.48599999999999999</v>
      </c>
      <c r="T155">
        <v>0.88600000000000001</v>
      </c>
      <c r="U155">
        <v>720</v>
      </c>
      <c r="V155" t="s">
        <v>58</v>
      </c>
      <c r="W155">
        <v>0.54200000000000004</v>
      </c>
      <c r="X155">
        <v>0.68600000000000005</v>
      </c>
      <c r="Y155">
        <v>0.877</v>
      </c>
      <c r="Z155">
        <v>0.55800000000000005</v>
      </c>
      <c r="AA155" s="9">
        <v>45713.617455150466</v>
      </c>
      <c r="AB155" t="s">
        <v>873</v>
      </c>
      <c r="AC155" s="9"/>
    </row>
    <row r="156" spans="1:29" x14ac:dyDescent="0.35">
      <c r="A156" t="s">
        <v>170</v>
      </c>
      <c r="B156" t="s">
        <v>313</v>
      </c>
      <c r="C156">
        <v>7338</v>
      </c>
      <c r="D156" s="9">
        <v>38266.25277777778</v>
      </c>
      <c r="E156" s="9">
        <v>45604.267361111109</v>
      </c>
      <c r="F156">
        <v>3654</v>
      </c>
      <c r="G156">
        <v>3654</v>
      </c>
      <c r="H156">
        <v>2003</v>
      </c>
      <c r="I156">
        <v>1651</v>
      </c>
      <c r="J156">
        <v>934</v>
      </c>
      <c r="K156">
        <v>2720</v>
      </c>
      <c r="L156">
        <v>2680</v>
      </c>
      <c r="M156">
        <v>40</v>
      </c>
      <c r="N156">
        <v>0.28499999999999998</v>
      </c>
      <c r="O156">
        <v>0.30099999999999999</v>
      </c>
      <c r="P156">
        <v>0.155</v>
      </c>
      <c r="Q156">
        <v>0.40200000000000002</v>
      </c>
      <c r="R156">
        <v>0.93300000000000005</v>
      </c>
      <c r="S156">
        <v>0.48599999999999999</v>
      </c>
      <c r="T156">
        <v>0.73499999999999999</v>
      </c>
      <c r="U156">
        <v>99.501999999999995</v>
      </c>
      <c r="V156" t="s">
        <v>58</v>
      </c>
      <c r="W156">
        <v>0.871</v>
      </c>
      <c r="X156">
        <v>0.78700000000000003</v>
      </c>
      <c r="Y156">
        <v>0.80500000000000005</v>
      </c>
      <c r="Z156">
        <v>0.85199999999999998</v>
      </c>
      <c r="AA156" s="9">
        <v>45713.61755422454</v>
      </c>
      <c r="AB156" t="s">
        <v>873</v>
      </c>
      <c r="AC156" s="9"/>
    </row>
    <row r="157" spans="1:29" x14ac:dyDescent="0.35">
      <c r="A157" t="s">
        <v>171</v>
      </c>
      <c r="B157" t="s">
        <v>313</v>
      </c>
      <c r="C157">
        <v>4061</v>
      </c>
      <c r="D157" s="9">
        <v>40869.354861111111</v>
      </c>
      <c r="E157" s="9">
        <v>44930.65</v>
      </c>
      <c r="F157">
        <v>785</v>
      </c>
      <c r="G157">
        <v>785</v>
      </c>
      <c r="H157">
        <v>461</v>
      </c>
      <c r="I157">
        <v>324</v>
      </c>
      <c r="J157">
        <v>105</v>
      </c>
      <c r="K157">
        <v>680</v>
      </c>
      <c r="L157">
        <v>609</v>
      </c>
      <c r="M157">
        <v>71</v>
      </c>
      <c r="N157">
        <v>0.16900000000000001</v>
      </c>
      <c r="O157">
        <v>0.24</v>
      </c>
      <c r="P157">
        <v>4.9000000000000002E-2</v>
      </c>
      <c r="Q157">
        <v>0.25800000000000001</v>
      </c>
      <c r="R157">
        <v>0.71699999999999997</v>
      </c>
      <c r="S157">
        <v>0.41299999999999998</v>
      </c>
      <c r="T157">
        <v>0.88</v>
      </c>
      <c r="U157">
        <v>275.19400000000002</v>
      </c>
      <c r="V157" t="s">
        <v>58</v>
      </c>
      <c r="W157">
        <v>0.54300000000000004</v>
      </c>
      <c r="X157">
        <v>0.70099999999999996</v>
      </c>
      <c r="Y157">
        <v>0.63200000000000001</v>
      </c>
      <c r="Z157">
        <v>0.58399999999999996</v>
      </c>
      <c r="AA157" s="9">
        <v>45713.617668564817</v>
      </c>
      <c r="AB157" t="s">
        <v>873</v>
      </c>
      <c r="AC157" s="9"/>
    </row>
    <row r="158" spans="1:29" x14ac:dyDescent="0.35">
      <c r="A158" t="s">
        <v>172</v>
      </c>
      <c r="B158" t="s">
        <v>313</v>
      </c>
      <c r="C158">
        <v>3201</v>
      </c>
      <c r="D158" s="9">
        <v>42410.397222222222</v>
      </c>
      <c r="E158" s="9">
        <v>45611.491666666669</v>
      </c>
      <c r="F158">
        <v>2293</v>
      </c>
      <c r="G158">
        <v>2272</v>
      </c>
      <c r="H158">
        <v>625</v>
      </c>
      <c r="I158">
        <v>1647</v>
      </c>
      <c r="J158">
        <v>451</v>
      </c>
      <c r="K158">
        <v>1821</v>
      </c>
      <c r="L158">
        <v>1676</v>
      </c>
      <c r="M158">
        <v>145</v>
      </c>
      <c r="N158">
        <v>0.17</v>
      </c>
      <c r="O158">
        <v>0.42699999999999999</v>
      </c>
      <c r="P158">
        <v>0.14699999999999999</v>
      </c>
      <c r="Q158">
        <v>0.442</v>
      </c>
      <c r="R158">
        <v>0.98199999999999998</v>
      </c>
      <c r="S158">
        <v>0.28499999999999998</v>
      </c>
      <c r="T158">
        <v>0.754</v>
      </c>
      <c r="U158">
        <v>328.05399999999997</v>
      </c>
      <c r="V158" t="s">
        <v>58</v>
      </c>
      <c r="W158">
        <v>0.95399999999999996</v>
      </c>
      <c r="X158">
        <v>0.77800000000000002</v>
      </c>
      <c r="Y158">
        <v>0.81499999999999995</v>
      </c>
      <c r="Z158">
        <v>0.88200000000000001</v>
      </c>
      <c r="AA158" s="9">
        <v>45713.6177675</v>
      </c>
      <c r="AB158" t="s">
        <v>873</v>
      </c>
      <c r="AC158" s="9"/>
    </row>
    <row r="159" spans="1:29" hidden="1" x14ac:dyDescent="0.35">
      <c r="A159" t="s">
        <v>172</v>
      </c>
      <c r="B159" t="s">
        <v>314</v>
      </c>
      <c r="C159">
        <v>97</v>
      </c>
      <c r="D159" s="9">
        <v>45513.536111111112</v>
      </c>
      <c r="E159" s="9">
        <v>45611.491666666669</v>
      </c>
      <c r="F159" t="s">
        <v>874</v>
      </c>
      <c r="G159" t="s">
        <v>874</v>
      </c>
      <c r="H159">
        <v>32</v>
      </c>
      <c r="I159">
        <v>57</v>
      </c>
      <c r="J159">
        <v>5</v>
      </c>
      <c r="K159" t="s">
        <v>875</v>
      </c>
      <c r="L159">
        <v>77</v>
      </c>
      <c r="M159">
        <v>6</v>
      </c>
      <c r="N159">
        <v>0.36199999999999999</v>
      </c>
      <c r="O159">
        <v>0.51300000000000001</v>
      </c>
      <c r="P159">
        <v>6.5000000000000002E-2</v>
      </c>
      <c r="Q159">
        <v>0.82099999999999995</v>
      </c>
      <c r="R159">
        <v>1.014</v>
      </c>
      <c r="S159">
        <v>0.41399999999999998</v>
      </c>
      <c r="T159">
        <v>0.92600000000000005</v>
      </c>
      <c r="U159">
        <v>176.614</v>
      </c>
      <c r="V159" t="s">
        <v>64</v>
      </c>
      <c r="W159">
        <v>0.91300000000000003</v>
      </c>
      <c r="X159">
        <v>0.97099999999999997</v>
      </c>
      <c r="Y159">
        <v>0.97</v>
      </c>
      <c r="Z159">
        <v>0.96099999999999997</v>
      </c>
      <c r="AA159" s="9">
        <v>45713.617791736113</v>
      </c>
      <c r="AB159" t="s">
        <v>873</v>
      </c>
      <c r="AC159" s="9"/>
    </row>
    <row r="160" spans="1:29" x14ac:dyDescent="0.35">
      <c r="A160" t="s">
        <v>173</v>
      </c>
      <c r="B160" t="s">
        <v>313</v>
      </c>
      <c r="C160">
        <v>7262</v>
      </c>
      <c r="D160" s="9">
        <v>38345.375694444447</v>
      </c>
      <c r="E160" s="9">
        <v>45607.525000000001</v>
      </c>
      <c r="F160">
        <v>2694</v>
      </c>
      <c r="G160">
        <v>2694</v>
      </c>
      <c r="H160">
        <v>1437</v>
      </c>
      <c r="I160">
        <v>1257</v>
      </c>
      <c r="J160">
        <v>498</v>
      </c>
      <c r="K160">
        <v>2196</v>
      </c>
      <c r="L160">
        <v>2134</v>
      </c>
      <c r="M160">
        <v>62</v>
      </c>
      <c r="N160">
        <v>0.19400000000000001</v>
      </c>
      <c r="O160">
        <v>0.185</v>
      </c>
      <c r="P160">
        <v>7.8E-2</v>
      </c>
      <c r="Q160">
        <v>0.3</v>
      </c>
      <c r="R160">
        <v>0.997</v>
      </c>
      <c r="S160">
        <v>0.51200000000000001</v>
      </c>
      <c r="T160">
        <v>0.79400000000000004</v>
      </c>
      <c r="U160">
        <v>206.667</v>
      </c>
      <c r="V160" t="s">
        <v>58</v>
      </c>
      <c r="W160">
        <v>0.97099999999999997</v>
      </c>
      <c r="X160">
        <v>0.95899999999999996</v>
      </c>
      <c r="Y160">
        <v>0.98699999999999999</v>
      </c>
      <c r="Z160">
        <v>0.96499999999999997</v>
      </c>
      <c r="AA160" s="9">
        <v>45713.617889108798</v>
      </c>
      <c r="AB160" t="s">
        <v>873</v>
      </c>
      <c r="AC160" s="9"/>
    </row>
    <row r="161" spans="1:29" hidden="1" x14ac:dyDescent="0.35">
      <c r="A161" t="s">
        <v>173</v>
      </c>
      <c r="B161" t="s">
        <v>314</v>
      </c>
      <c r="C161">
        <v>98</v>
      </c>
      <c r="D161" s="9">
        <v>45509.216666666667</v>
      </c>
      <c r="E161" s="9">
        <v>45607.525000000001</v>
      </c>
      <c r="F161" t="s">
        <v>874</v>
      </c>
      <c r="G161" t="s">
        <v>874</v>
      </c>
      <c r="H161">
        <v>20</v>
      </c>
      <c r="I161">
        <v>16</v>
      </c>
      <c r="J161">
        <v>5</v>
      </c>
      <c r="K161" t="s">
        <v>875</v>
      </c>
      <c r="L161">
        <v>25</v>
      </c>
      <c r="M161">
        <v>7</v>
      </c>
      <c r="N161">
        <v>0.17100000000000001</v>
      </c>
      <c r="O161">
        <v>0.13300000000000001</v>
      </c>
      <c r="P161">
        <v>4.3999999999999997E-2</v>
      </c>
      <c r="Q161">
        <v>0.27600000000000002</v>
      </c>
      <c r="R161">
        <v>1.0620000000000001</v>
      </c>
      <c r="S161">
        <v>0.56200000000000006</v>
      </c>
      <c r="T161">
        <v>0.85499999999999998</v>
      </c>
      <c r="U161">
        <v>224.63800000000001</v>
      </c>
      <c r="V161" t="s">
        <v>64</v>
      </c>
      <c r="W161">
        <v>0.94699999999999995</v>
      </c>
      <c r="X161">
        <v>0.95499999999999996</v>
      </c>
      <c r="Y161">
        <v>0.94799999999999995</v>
      </c>
      <c r="Z161">
        <v>0.95399999999999996</v>
      </c>
      <c r="AA161" s="9">
        <v>45713.61791335648</v>
      </c>
      <c r="AB161" t="s">
        <v>873</v>
      </c>
      <c r="AC161" s="9"/>
    </row>
    <row r="162" spans="1:29" x14ac:dyDescent="0.35">
      <c r="A162" t="s">
        <v>174</v>
      </c>
      <c r="B162" t="s">
        <v>313</v>
      </c>
      <c r="C162">
        <v>1392</v>
      </c>
      <c r="D162" s="9">
        <v>44217.167361111111</v>
      </c>
      <c r="E162" s="9">
        <v>45609.55</v>
      </c>
      <c r="F162">
        <v>158</v>
      </c>
      <c r="G162">
        <v>140</v>
      </c>
      <c r="H162">
        <v>114</v>
      </c>
      <c r="I162">
        <v>26</v>
      </c>
      <c r="J162">
        <v>24</v>
      </c>
      <c r="K162">
        <v>116</v>
      </c>
      <c r="L162">
        <v>89</v>
      </c>
      <c r="M162">
        <v>27</v>
      </c>
      <c r="N162">
        <v>7.5999999999999998E-2</v>
      </c>
      <c r="O162">
        <v>2.3E-2</v>
      </c>
      <c r="P162">
        <v>2.1999999999999999E-2</v>
      </c>
      <c r="Q162">
        <v>6.5000000000000002E-2</v>
      </c>
      <c r="R162">
        <v>0.84399999999999997</v>
      </c>
      <c r="S162">
        <v>0.76800000000000002</v>
      </c>
      <c r="T162">
        <v>0.77800000000000002</v>
      </c>
      <c r="U162">
        <v>415.38499999999999</v>
      </c>
      <c r="V162" t="s">
        <v>58</v>
      </c>
      <c r="W162">
        <v>0.98399999999999999</v>
      </c>
      <c r="X162">
        <v>0.91200000000000003</v>
      </c>
      <c r="Y162">
        <v>0.95099999999999996</v>
      </c>
      <c r="Z162">
        <v>0.98299999999999998</v>
      </c>
      <c r="AA162" s="9">
        <v>45713.674418425922</v>
      </c>
      <c r="AB162" t="s">
        <v>873</v>
      </c>
      <c r="AC162" s="9"/>
    </row>
    <row r="163" spans="1:29" x14ac:dyDescent="0.35">
      <c r="A163" t="s">
        <v>175</v>
      </c>
      <c r="B163" t="s">
        <v>313</v>
      </c>
      <c r="C163">
        <v>3878</v>
      </c>
      <c r="D163" s="9">
        <v>41729.612500000003</v>
      </c>
      <c r="E163" s="9">
        <v>45607.711805555555</v>
      </c>
      <c r="F163">
        <v>1110</v>
      </c>
      <c r="G163">
        <v>1095</v>
      </c>
      <c r="H163">
        <v>259</v>
      </c>
      <c r="I163">
        <v>836</v>
      </c>
      <c r="J163">
        <v>241</v>
      </c>
      <c r="K163">
        <v>854</v>
      </c>
      <c r="L163">
        <v>801</v>
      </c>
      <c r="M163">
        <v>53</v>
      </c>
      <c r="N163">
        <v>6.9000000000000006E-2</v>
      </c>
      <c r="O163">
        <v>0.24299999999999999</v>
      </c>
      <c r="P163">
        <v>7.0000000000000007E-2</v>
      </c>
      <c r="Q163">
        <v>0.20300000000000001</v>
      </c>
      <c r="R163">
        <v>0.83899999999999997</v>
      </c>
      <c r="S163">
        <v>0.221</v>
      </c>
      <c r="T163">
        <v>0.77600000000000002</v>
      </c>
      <c r="U163">
        <v>261.084</v>
      </c>
      <c r="V163" t="s">
        <v>58</v>
      </c>
      <c r="W163">
        <v>0.82</v>
      </c>
      <c r="X163">
        <v>0.89400000000000002</v>
      </c>
      <c r="Y163">
        <v>0.95399999999999996</v>
      </c>
      <c r="Z163">
        <v>0.95699999999999996</v>
      </c>
      <c r="AA163" s="9">
        <v>45713.674533437501</v>
      </c>
      <c r="AB163" t="s">
        <v>873</v>
      </c>
      <c r="AC163" s="9"/>
    </row>
    <row r="164" spans="1:29" hidden="1" x14ac:dyDescent="0.35">
      <c r="A164" t="s">
        <v>175</v>
      </c>
      <c r="B164" t="s">
        <v>314</v>
      </c>
      <c r="C164">
        <v>97</v>
      </c>
      <c r="D164" s="9">
        <v>45510.470138888886</v>
      </c>
      <c r="E164" s="9">
        <v>45607.711805555555</v>
      </c>
      <c r="F164" t="s">
        <v>874</v>
      </c>
      <c r="G164" t="s">
        <v>874</v>
      </c>
      <c r="H164">
        <v>17</v>
      </c>
      <c r="I164">
        <v>8</v>
      </c>
      <c r="J164">
        <v>9</v>
      </c>
      <c r="K164" t="s">
        <v>875</v>
      </c>
      <c r="L164">
        <v>21</v>
      </c>
      <c r="M164">
        <v>-6</v>
      </c>
      <c r="N164">
        <v>0.31900000000000001</v>
      </c>
      <c r="O164">
        <v>6.6000000000000003E-2</v>
      </c>
      <c r="P164">
        <v>0.20599999999999999</v>
      </c>
      <c r="Q164">
        <v>0.20399999999999999</v>
      </c>
      <c r="R164">
        <v>1.1399999999999999</v>
      </c>
      <c r="S164">
        <v>0.82899999999999996</v>
      </c>
      <c r="T164">
        <v>0.46500000000000002</v>
      </c>
      <c r="U164">
        <v>259.80399999999997</v>
      </c>
      <c r="V164" t="s">
        <v>64</v>
      </c>
      <c r="W164">
        <v>0.92400000000000004</v>
      </c>
      <c r="X164">
        <v>0.93700000000000006</v>
      </c>
      <c r="Y164">
        <v>0.61499999999999999</v>
      </c>
      <c r="Z164">
        <v>0.93100000000000005</v>
      </c>
      <c r="AA164" s="9">
        <v>45713.67455502315</v>
      </c>
      <c r="AB164" t="s">
        <v>873</v>
      </c>
      <c r="AC164" s="9"/>
    </row>
    <row r="165" spans="1:29" x14ac:dyDescent="0.35">
      <c r="A165" t="s">
        <v>176</v>
      </c>
      <c r="B165" t="s">
        <v>313</v>
      </c>
      <c r="C165">
        <v>1482</v>
      </c>
      <c r="D165" s="9">
        <v>44127.42083333333</v>
      </c>
      <c r="E165" s="9">
        <v>45609.633333333331</v>
      </c>
      <c r="F165">
        <v>812</v>
      </c>
      <c r="G165">
        <v>730</v>
      </c>
      <c r="H165">
        <v>542</v>
      </c>
      <c r="I165">
        <v>188</v>
      </c>
      <c r="J165">
        <v>91</v>
      </c>
      <c r="K165">
        <v>639</v>
      </c>
      <c r="L165">
        <v>431</v>
      </c>
      <c r="M165">
        <v>208</v>
      </c>
      <c r="N165">
        <v>0.88600000000000001</v>
      </c>
      <c r="O165">
        <v>0.13700000000000001</v>
      </c>
      <c r="P165">
        <v>0.108</v>
      </c>
      <c r="Q165">
        <v>0.63300000000000001</v>
      </c>
      <c r="R165">
        <v>0.69199999999999995</v>
      </c>
      <c r="S165">
        <v>0.86599999999999999</v>
      </c>
      <c r="T165">
        <v>0.89400000000000002</v>
      </c>
      <c r="U165">
        <v>328.59399999999999</v>
      </c>
      <c r="V165" t="s">
        <v>58</v>
      </c>
      <c r="W165">
        <v>0.747</v>
      </c>
      <c r="X165">
        <v>0.78900000000000003</v>
      </c>
      <c r="Y165">
        <v>0.745</v>
      </c>
      <c r="Z165">
        <v>0.82599999999999996</v>
      </c>
      <c r="AA165" s="9">
        <v>45713.674637615739</v>
      </c>
      <c r="AB165" t="s">
        <v>873</v>
      </c>
      <c r="AC165" s="9"/>
    </row>
    <row r="166" spans="1:29" hidden="1" x14ac:dyDescent="0.35">
      <c r="A166" t="s">
        <v>176</v>
      </c>
      <c r="B166" t="s">
        <v>314</v>
      </c>
      <c r="C166">
        <v>100</v>
      </c>
      <c r="D166" s="9">
        <v>45509.545138888891</v>
      </c>
      <c r="E166" s="9">
        <v>45609.633333333331</v>
      </c>
      <c r="F166" t="s">
        <v>874</v>
      </c>
      <c r="G166" t="s">
        <v>874</v>
      </c>
      <c r="H166">
        <v>108</v>
      </c>
      <c r="I166">
        <v>36</v>
      </c>
      <c r="J166">
        <v>23</v>
      </c>
      <c r="K166" t="s">
        <v>875</v>
      </c>
      <c r="L166">
        <v>94</v>
      </c>
      <c r="M166">
        <v>28</v>
      </c>
      <c r="N166">
        <v>1.3979999999999999</v>
      </c>
      <c r="O166">
        <v>0.35299999999999998</v>
      </c>
      <c r="P166">
        <v>0.214</v>
      </c>
      <c r="Q166">
        <v>0.88400000000000001</v>
      </c>
      <c r="R166">
        <v>0.57499999999999996</v>
      </c>
      <c r="S166">
        <v>0.79800000000000004</v>
      </c>
      <c r="T166">
        <v>0.878</v>
      </c>
      <c r="U166">
        <v>235.29400000000001</v>
      </c>
      <c r="V166" t="s">
        <v>58</v>
      </c>
      <c r="W166">
        <v>0.90200000000000002</v>
      </c>
      <c r="X166">
        <v>0.96299999999999997</v>
      </c>
      <c r="Y166">
        <v>0.95</v>
      </c>
      <c r="Z166">
        <v>0.98199999999999998</v>
      </c>
      <c r="AA166" s="9">
        <v>45713.674653587965</v>
      </c>
      <c r="AB166" t="s">
        <v>873</v>
      </c>
      <c r="AC166" s="9"/>
    </row>
    <row r="167" spans="1:29" x14ac:dyDescent="0.35">
      <c r="A167" t="s">
        <v>177</v>
      </c>
      <c r="B167" t="s">
        <v>313</v>
      </c>
      <c r="C167">
        <v>1296</v>
      </c>
      <c r="D167" s="9">
        <v>44312.408333333333</v>
      </c>
      <c r="E167" s="9">
        <v>45608.436805555553</v>
      </c>
      <c r="F167">
        <v>157</v>
      </c>
      <c r="G167">
        <v>136</v>
      </c>
      <c r="H167">
        <v>135</v>
      </c>
      <c r="I167">
        <v>1</v>
      </c>
      <c r="J167">
        <v>10</v>
      </c>
      <c r="K167">
        <v>126</v>
      </c>
      <c r="L167">
        <v>12</v>
      </c>
      <c r="M167">
        <v>114</v>
      </c>
      <c r="N167">
        <v>0.122</v>
      </c>
      <c r="O167">
        <v>0</v>
      </c>
      <c r="P167">
        <v>0.55400000000000005</v>
      </c>
      <c r="Q167">
        <v>0.39900000000000002</v>
      </c>
      <c r="R167">
        <v>-0.92400000000000004</v>
      </c>
      <c r="S167">
        <v>1</v>
      </c>
      <c r="T167">
        <v>-3.5409999999999999</v>
      </c>
      <c r="U167">
        <v>285.714</v>
      </c>
      <c r="V167" t="s">
        <v>58</v>
      </c>
      <c r="W167">
        <v>0.73899999999999999</v>
      </c>
      <c r="X167">
        <v>0</v>
      </c>
      <c r="Y167">
        <v>0.745</v>
      </c>
      <c r="Z167">
        <v>0.54300000000000004</v>
      </c>
      <c r="AA167" s="9">
        <v>45713.674722175929</v>
      </c>
      <c r="AB167" t="s">
        <v>873</v>
      </c>
      <c r="AC167" s="9"/>
    </row>
    <row r="168" spans="1:29" x14ac:dyDescent="0.35">
      <c r="A168" t="s">
        <v>178</v>
      </c>
      <c r="B168" t="s">
        <v>313</v>
      </c>
      <c r="C168">
        <v>1837</v>
      </c>
      <c r="D168" s="9">
        <v>43360.675000000003</v>
      </c>
      <c r="E168" s="9">
        <v>45197.800694444442</v>
      </c>
      <c r="F168">
        <v>579</v>
      </c>
      <c r="G168">
        <v>572</v>
      </c>
      <c r="H168">
        <v>404</v>
      </c>
      <c r="I168">
        <v>168</v>
      </c>
      <c r="J168">
        <v>65</v>
      </c>
      <c r="K168">
        <v>507</v>
      </c>
      <c r="L168">
        <v>505</v>
      </c>
      <c r="M168">
        <v>2</v>
      </c>
      <c r="N168">
        <v>0.22700000000000001</v>
      </c>
      <c r="O168">
        <v>9.6000000000000002E-2</v>
      </c>
      <c r="P168">
        <v>0.04</v>
      </c>
      <c r="Q168">
        <v>0.27600000000000002</v>
      </c>
      <c r="R168">
        <v>0.97499999999999998</v>
      </c>
      <c r="S168">
        <v>0.70299999999999996</v>
      </c>
      <c r="T168">
        <v>0.876</v>
      </c>
      <c r="U168">
        <v>7.2460000000000004</v>
      </c>
      <c r="V168" t="s">
        <v>82</v>
      </c>
      <c r="W168">
        <v>0.94199999999999995</v>
      </c>
      <c r="X168">
        <v>0.7</v>
      </c>
      <c r="Y168">
        <v>0.95599999999999996</v>
      </c>
      <c r="Z168">
        <v>0.89800000000000002</v>
      </c>
      <c r="AA168" s="9">
        <v>45713.674794525461</v>
      </c>
      <c r="AB168" t="s">
        <v>873</v>
      </c>
      <c r="AC168" s="9"/>
    </row>
    <row r="169" spans="1:29" hidden="1" x14ac:dyDescent="0.35">
      <c r="A169" t="s">
        <v>178</v>
      </c>
      <c r="B169" t="s">
        <v>314</v>
      </c>
      <c r="C169">
        <v>99</v>
      </c>
      <c r="D169" s="9">
        <v>45098.663194444445</v>
      </c>
      <c r="E169" s="9">
        <v>45197.800694444442</v>
      </c>
      <c r="F169" t="s">
        <v>874</v>
      </c>
      <c r="G169" t="s">
        <v>874</v>
      </c>
      <c r="H169">
        <v>7</v>
      </c>
      <c r="I169">
        <v>4</v>
      </c>
      <c r="J169">
        <v>3</v>
      </c>
      <c r="K169" t="s">
        <v>875</v>
      </c>
      <c r="L169">
        <v>11</v>
      </c>
      <c r="M169">
        <v>-4</v>
      </c>
      <c r="N169">
        <v>8.6999999999999994E-2</v>
      </c>
      <c r="O169">
        <v>6.9000000000000006E-2</v>
      </c>
      <c r="P169">
        <v>6.7000000000000004E-2</v>
      </c>
      <c r="Q169">
        <v>0.129</v>
      </c>
      <c r="R169">
        <v>1.4490000000000001</v>
      </c>
      <c r="S169">
        <v>0.55800000000000005</v>
      </c>
      <c r="T169">
        <v>0.57099999999999995</v>
      </c>
      <c r="U169">
        <v>15.504</v>
      </c>
      <c r="V169" t="s">
        <v>94</v>
      </c>
      <c r="W169">
        <v>0.79700000000000004</v>
      </c>
      <c r="X169">
        <v>0.97</v>
      </c>
      <c r="Y169">
        <v>0.999</v>
      </c>
      <c r="Z169">
        <v>0.92</v>
      </c>
      <c r="AA169" s="9">
        <v>45713.674810104167</v>
      </c>
      <c r="AB169" t="s">
        <v>873</v>
      </c>
      <c r="AC169" s="9"/>
    </row>
    <row r="170" spans="1:29" x14ac:dyDescent="0.35">
      <c r="A170" t="s">
        <v>179</v>
      </c>
      <c r="B170" t="s">
        <v>313</v>
      </c>
      <c r="C170">
        <v>2914</v>
      </c>
      <c r="D170" s="9">
        <v>42674.643750000003</v>
      </c>
      <c r="E170" s="9">
        <v>45589.477083333331</v>
      </c>
      <c r="F170">
        <v>8551</v>
      </c>
      <c r="G170">
        <v>8103</v>
      </c>
      <c r="H170">
        <v>5782</v>
      </c>
      <c r="I170">
        <v>2321</v>
      </c>
      <c r="J170">
        <v>1230</v>
      </c>
      <c r="K170">
        <v>6873</v>
      </c>
      <c r="L170">
        <v>5725</v>
      </c>
      <c r="M170">
        <v>1148</v>
      </c>
      <c r="N170">
        <v>3.49</v>
      </c>
      <c r="O170">
        <v>1.4850000000000001</v>
      </c>
      <c r="P170">
        <v>0.70199999999999996</v>
      </c>
      <c r="Q170">
        <v>3.4830000000000001</v>
      </c>
      <c r="R170">
        <v>0.81499999999999995</v>
      </c>
      <c r="S170">
        <v>0.70199999999999996</v>
      </c>
      <c r="T170">
        <v>0.85899999999999999</v>
      </c>
      <c r="U170">
        <v>329.601</v>
      </c>
      <c r="V170" t="s">
        <v>58</v>
      </c>
      <c r="W170">
        <v>0.95799999999999996</v>
      </c>
      <c r="X170">
        <v>0.95799999999999996</v>
      </c>
      <c r="Y170">
        <v>0.99299999999999999</v>
      </c>
      <c r="Z170">
        <v>0.96199999999999997</v>
      </c>
      <c r="AA170" s="9">
        <v>45713.674898935184</v>
      </c>
      <c r="AB170" t="s">
        <v>873</v>
      </c>
      <c r="AC170" s="9"/>
    </row>
    <row r="171" spans="1:29" x14ac:dyDescent="0.35">
      <c r="A171" t="s">
        <v>180</v>
      </c>
      <c r="B171" t="s">
        <v>313</v>
      </c>
      <c r="C171">
        <v>5699</v>
      </c>
      <c r="D171" s="9">
        <v>39880.082638888889</v>
      </c>
      <c r="E171" s="9">
        <v>45579.643055555556</v>
      </c>
      <c r="F171">
        <v>326</v>
      </c>
      <c r="G171">
        <v>326</v>
      </c>
      <c r="H171">
        <v>184</v>
      </c>
      <c r="I171">
        <v>142</v>
      </c>
      <c r="J171">
        <v>38</v>
      </c>
      <c r="K171">
        <v>288</v>
      </c>
      <c r="L171">
        <v>251</v>
      </c>
      <c r="M171">
        <v>38</v>
      </c>
      <c r="N171">
        <v>3.6999999999999998E-2</v>
      </c>
      <c r="O171">
        <v>2.5999999999999999E-2</v>
      </c>
      <c r="P171">
        <v>7.0000000000000001E-3</v>
      </c>
      <c r="Q171">
        <v>4.5999999999999999E-2</v>
      </c>
      <c r="R171">
        <v>0.82099999999999995</v>
      </c>
      <c r="S171">
        <v>0.58699999999999997</v>
      </c>
      <c r="T171">
        <v>0.88900000000000001</v>
      </c>
      <c r="U171">
        <v>826.08699999999999</v>
      </c>
      <c r="V171" t="s">
        <v>58</v>
      </c>
      <c r="W171">
        <v>0.97299999999999998</v>
      </c>
      <c r="X171">
        <v>0.98499999999999999</v>
      </c>
      <c r="Y171">
        <v>0.95199999999999996</v>
      </c>
      <c r="Z171">
        <v>0.96599999999999997</v>
      </c>
      <c r="AA171" s="9">
        <v>45713.674973715279</v>
      </c>
      <c r="AB171" t="s">
        <v>873</v>
      </c>
      <c r="AC171" s="9"/>
    </row>
    <row r="172" spans="1:29" x14ac:dyDescent="0.35">
      <c r="A172" t="s">
        <v>181</v>
      </c>
      <c r="B172" t="s">
        <v>313</v>
      </c>
      <c r="C172">
        <v>1475</v>
      </c>
      <c r="D172" s="9">
        <v>44133.447222222225</v>
      </c>
      <c r="E172" s="9">
        <v>45609.354166666664</v>
      </c>
      <c r="F172">
        <v>2919</v>
      </c>
      <c r="G172">
        <v>2776</v>
      </c>
      <c r="H172">
        <v>1274</v>
      </c>
      <c r="I172">
        <v>1502</v>
      </c>
      <c r="J172">
        <v>609</v>
      </c>
      <c r="K172">
        <v>2167</v>
      </c>
      <c r="L172">
        <v>1986</v>
      </c>
      <c r="M172">
        <v>181</v>
      </c>
      <c r="N172">
        <v>0.91700000000000004</v>
      </c>
      <c r="O172">
        <v>1.145</v>
      </c>
      <c r="P172">
        <v>0.49399999999999999</v>
      </c>
      <c r="Q172">
        <v>1.5289999999999999</v>
      </c>
      <c r="R172">
        <v>0.97499999999999998</v>
      </c>
      <c r="S172">
        <v>0.44500000000000001</v>
      </c>
      <c r="T172">
        <v>0.76</v>
      </c>
      <c r="U172">
        <v>118.378</v>
      </c>
      <c r="V172" t="s">
        <v>58</v>
      </c>
      <c r="W172">
        <v>0.997</v>
      </c>
      <c r="X172">
        <v>0.997</v>
      </c>
      <c r="Y172">
        <v>0.99</v>
      </c>
      <c r="Z172">
        <v>0.999</v>
      </c>
      <c r="AA172" s="9">
        <v>45713.675055543979</v>
      </c>
      <c r="AB172" t="s">
        <v>873</v>
      </c>
      <c r="AC172" s="9"/>
    </row>
    <row r="173" spans="1:29" hidden="1" x14ac:dyDescent="0.35">
      <c r="A173" t="s">
        <v>181</v>
      </c>
      <c r="B173" t="s">
        <v>314</v>
      </c>
      <c r="C173">
        <v>100</v>
      </c>
      <c r="D173" s="9">
        <v>45509.334027777775</v>
      </c>
      <c r="E173" s="9">
        <v>45609.354166666664</v>
      </c>
      <c r="F173" t="s">
        <v>874</v>
      </c>
      <c r="G173" t="s">
        <v>874</v>
      </c>
      <c r="H173">
        <v>64</v>
      </c>
      <c r="I173">
        <v>120</v>
      </c>
      <c r="J173">
        <v>72</v>
      </c>
      <c r="K173" t="s">
        <v>875</v>
      </c>
      <c r="L173">
        <v>145</v>
      </c>
      <c r="M173">
        <v>-34</v>
      </c>
      <c r="N173">
        <v>0.58699999999999997</v>
      </c>
      <c r="O173">
        <v>1.1140000000000001</v>
      </c>
      <c r="P173">
        <v>0.72099999999999997</v>
      </c>
      <c r="Q173">
        <v>1.337</v>
      </c>
      <c r="R173">
        <v>1.3640000000000001</v>
      </c>
      <c r="S173">
        <v>0.34499999999999997</v>
      </c>
      <c r="T173">
        <v>0.57599999999999996</v>
      </c>
      <c r="U173">
        <v>135.37799999999999</v>
      </c>
      <c r="V173" t="s">
        <v>64</v>
      </c>
      <c r="W173">
        <v>0.98499999999999999</v>
      </c>
      <c r="X173">
        <v>0.98699999999999999</v>
      </c>
      <c r="Y173">
        <v>0.93300000000000005</v>
      </c>
      <c r="Z173">
        <v>0.97699999999999998</v>
      </c>
      <c r="AA173" s="9">
        <v>45713.675071805555</v>
      </c>
      <c r="AB173" t="s">
        <v>873</v>
      </c>
      <c r="AC173" s="9"/>
    </row>
    <row r="174" spans="1:29" x14ac:dyDescent="0.35">
      <c r="A174" t="s">
        <v>182</v>
      </c>
      <c r="B174" t="s">
        <v>313</v>
      </c>
      <c r="C174">
        <v>2249</v>
      </c>
      <c r="D174" s="9">
        <v>43327.535416666666</v>
      </c>
      <c r="E174" s="9">
        <v>45577.044444444444</v>
      </c>
      <c r="F174">
        <v>1929</v>
      </c>
      <c r="G174">
        <v>1928</v>
      </c>
      <c r="H174">
        <v>1153</v>
      </c>
      <c r="I174">
        <v>775</v>
      </c>
      <c r="J174">
        <v>349</v>
      </c>
      <c r="K174">
        <v>1579</v>
      </c>
      <c r="L174">
        <v>1489</v>
      </c>
      <c r="M174">
        <v>90</v>
      </c>
      <c r="N174">
        <v>1.0089999999999999</v>
      </c>
      <c r="O174">
        <v>0.70499999999999996</v>
      </c>
      <c r="P174">
        <v>0.224</v>
      </c>
      <c r="Q174">
        <v>1.3140000000000001</v>
      </c>
      <c r="R174">
        <v>0.88200000000000001</v>
      </c>
      <c r="S174">
        <v>0.58899999999999997</v>
      </c>
      <c r="T174">
        <v>0.86899999999999999</v>
      </c>
      <c r="U174">
        <v>68.492999999999995</v>
      </c>
      <c r="V174" t="s">
        <v>58</v>
      </c>
      <c r="W174">
        <v>0.997</v>
      </c>
      <c r="X174">
        <v>0.93799999999999994</v>
      </c>
      <c r="Y174">
        <v>0.97699999999999998</v>
      </c>
      <c r="Z174">
        <v>0.99299999999999999</v>
      </c>
      <c r="AA174" s="9">
        <v>45713.675150787036</v>
      </c>
      <c r="AB174" t="s">
        <v>873</v>
      </c>
      <c r="AC174" s="9"/>
    </row>
    <row r="175" spans="1:29" x14ac:dyDescent="0.35">
      <c r="A175" t="s">
        <v>183</v>
      </c>
      <c r="B175" t="s">
        <v>313</v>
      </c>
      <c r="C175">
        <v>1521</v>
      </c>
      <c r="D175" s="9">
        <v>44085.618750000001</v>
      </c>
      <c r="E175" s="9">
        <v>45607.60833333333</v>
      </c>
      <c r="F175">
        <v>1267</v>
      </c>
      <c r="G175">
        <v>1131</v>
      </c>
      <c r="H175">
        <v>1113</v>
      </c>
      <c r="I175">
        <v>18</v>
      </c>
      <c r="J175">
        <v>285</v>
      </c>
      <c r="K175">
        <v>846</v>
      </c>
      <c r="L175">
        <v>534</v>
      </c>
      <c r="M175">
        <v>312</v>
      </c>
      <c r="N175">
        <v>0.95499999999999996</v>
      </c>
      <c r="O175">
        <v>1.7999999999999999E-2</v>
      </c>
      <c r="P175">
        <v>0.313</v>
      </c>
      <c r="Q175">
        <v>0.52800000000000002</v>
      </c>
      <c r="R175">
        <v>0.8</v>
      </c>
      <c r="S175">
        <v>0.98199999999999998</v>
      </c>
      <c r="T175">
        <v>0.67800000000000005</v>
      </c>
      <c r="U175">
        <v>590.90899999999999</v>
      </c>
      <c r="V175" t="s">
        <v>58</v>
      </c>
      <c r="W175">
        <v>0.95299999999999996</v>
      </c>
      <c r="X175">
        <v>0.95199999999999996</v>
      </c>
      <c r="Y175">
        <v>0.90100000000000002</v>
      </c>
      <c r="Z175">
        <v>0.96099999999999997</v>
      </c>
      <c r="AA175" s="9">
        <v>45713.675230312503</v>
      </c>
      <c r="AB175" t="s">
        <v>873</v>
      </c>
      <c r="AC175" s="9"/>
    </row>
    <row r="176" spans="1:29" hidden="1" x14ac:dyDescent="0.35">
      <c r="A176" t="s">
        <v>183</v>
      </c>
      <c r="B176" t="s">
        <v>314</v>
      </c>
      <c r="C176">
        <v>97</v>
      </c>
      <c r="D176" s="9">
        <v>45509.831944444442</v>
      </c>
      <c r="E176" s="9">
        <v>45607.60833333333</v>
      </c>
      <c r="F176" t="s">
        <v>874</v>
      </c>
      <c r="G176" t="s">
        <v>874</v>
      </c>
      <c r="H176">
        <v>153</v>
      </c>
      <c r="I176">
        <v>2</v>
      </c>
      <c r="J176">
        <v>52</v>
      </c>
      <c r="K176" t="s">
        <v>875</v>
      </c>
      <c r="L176">
        <v>56</v>
      </c>
      <c r="M176">
        <v>48</v>
      </c>
      <c r="N176">
        <v>1.498</v>
      </c>
      <c r="O176">
        <v>0.25</v>
      </c>
      <c r="P176">
        <v>0.54600000000000004</v>
      </c>
      <c r="Q176">
        <v>0.46800000000000003</v>
      </c>
      <c r="R176">
        <v>0.38900000000000001</v>
      </c>
      <c r="S176">
        <v>0.85699999999999998</v>
      </c>
      <c r="T176">
        <v>0.68799999999999994</v>
      </c>
      <c r="U176">
        <v>666.66700000000003</v>
      </c>
      <c r="V176" t="s">
        <v>58</v>
      </c>
      <c r="W176">
        <v>0.872</v>
      </c>
      <c r="X176">
        <v>1</v>
      </c>
      <c r="Y176">
        <v>0.79800000000000004</v>
      </c>
      <c r="Z176">
        <v>0.97599999999999998</v>
      </c>
      <c r="AA176" s="9">
        <v>45713.675246261577</v>
      </c>
      <c r="AB176" t="s">
        <v>873</v>
      </c>
      <c r="AC176" s="9"/>
    </row>
    <row r="177" spans="1:29" x14ac:dyDescent="0.35">
      <c r="A177" t="s">
        <v>184</v>
      </c>
      <c r="B177" t="s">
        <v>313</v>
      </c>
      <c r="C177">
        <v>307</v>
      </c>
      <c r="D177" s="9">
        <v>45274.677083333336</v>
      </c>
      <c r="E177" s="9">
        <v>45582.365277777775</v>
      </c>
      <c r="F177">
        <v>68</v>
      </c>
      <c r="G177">
        <v>62</v>
      </c>
      <c r="H177">
        <v>60</v>
      </c>
      <c r="I177">
        <v>2</v>
      </c>
      <c r="J177">
        <v>2</v>
      </c>
      <c r="K177">
        <v>60</v>
      </c>
      <c r="L177">
        <v>23</v>
      </c>
      <c r="M177">
        <v>37</v>
      </c>
      <c r="N177">
        <v>0.19900000000000001</v>
      </c>
      <c r="O177">
        <v>0.2</v>
      </c>
      <c r="P177">
        <v>0</v>
      </c>
      <c r="Q177">
        <v>8.3000000000000004E-2</v>
      </c>
      <c r="R177">
        <v>0.20799999999999999</v>
      </c>
      <c r="S177">
        <v>0.499</v>
      </c>
      <c r="T177">
        <v>1</v>
      </c>
      <c r="U177">
        <v>445.78300000000002</v>
      </c>
      <c r="V177" t="s">
        <v>58</v>
      </c>
      <c r="W177">
        <v>0.72399999999999998</v>
      </c>
      <c r="X177">
        <v>1</v>
      </c>
      <c r="Y177">
        <v>0</v>
      </c>
      <c r="Z177">
        <v>0.91300000000000003</v>
      </c>
      <c r="AA177" s="9">
        <v>45713.675314050924</v>
      </c>
      <c r="AB177" t="s">
        <v>873</v>
      </c>
      <c r="AC177" s="9"/>
    </row>
    <row r="178" spans="1:29" x14ac:dyDescent="0.35">
      <c r="A178" t="s">
        <v>185</v>
      </c>
      <c r="B178" t="s">
        <v>313</v>
      </c>
      <c r="C178">
        <v>2099</v>
      </c>
      <c r="D178" s="9">
        <v>43508.540277777778</v>
      </c>
      <c r="E178" s="9">
        <v>45608.484722222223</v>
      </c>
      <c r="F178">
        <v>866</v>
      </c>
      <c r="G178">
        <v>814</v>
      </c>
      <c r="H178">
        <v>751</v>
      </c>
      <c r="I178">
        <v>63</v>
      </c>
      <c r="J178">
        <v>126</v>
      </c>
      <c r="K178">
        <v>688</v>
      </c>
      <c r="L178">
        <v>551</v>
      </c>
      <c r="M178">
        <v>137</v>
      </c>
      <c r="N178">
        <v>0.86</v>
      </c>
      <c r="O178">
        <v>5.5E-2</v>
      </c>
      <c r="P178">
        <v>0.17299999999999999</v>
      </c>
      <c r="Q178">
        <v>0.63400000000000001</v>
      </c>
      <c r="R178">
        <v>0.85399999999999998</v>
      </c>
      <c r="S178">
        <v>0.94</v>
      </c>
      <c r="T178">
        <v>0.81100000000000005</v>
      </c>
      <c r="U178">
        <v>216.08799999999999</v>
      </c>
      <c r="V178" t="s">
        <v>58</v>
      </c>
      <c r="W178">
        <v>0.85399999999999998</v>
      </c>
      <c r="X178">
        <v>0.67900000000000005</v>
      </c>
      <c r="Y178">
        <v>0.89900000000000002</v>
      </c>
      <c r="Z178">
        <v>0.878</v>
      </c>
      <c r="AA178" s="9">
        <v>45713.675389664349</v>
      </c>
      <c r="AB178" t="s">
        <v>873</v>
      </c>
      <c r="AC178" s="9"/>
    </row>
    <row r="179" spans="1:29" x14ac:dyDescent="0.35">
      <c r="A179" t="s">
        <v>186</v>
      </c>
      <c r="B179" t="s">
        <v>313</v>
      </c>
      <c r="C179">
        <v>736</v>
      </c>
      <c r="D179" s="9">
        <v>44634.455555555556</v>
      </c>
      <c r="E179" s="9">
        <v>45370.606249999997</v>
      </c>
      <c r="F179">
        <v>749</v>
      </c>
      <c r="G179">
        <v>711</v>
      </c>
      <c r="H179">
        <v>605</v>
      </c>
      <c r="I179">
        <v>106</v>
      </c>
      <c r="J179">
        <v>229</v>
      </c>
      <c r="K179">
        <v>482</v>
      </c>
      <c r="L179">
        <v>480</v>
      </c>
      <c r="M179">
        <v>2</v>
      </c>
      <c r="N179">
        <v>1.68</v>
      </c>
      <c r="O179">
        <v>0.33100000000000002</v>
      </c>
      <c r="P179">
        <v>0.56699999999999995</v>
      </c>
      <c r="Q179">
        <v>1.351</v>
      </c>
      <c r="R179">
        <v>0.93600000000000005</v>
      </c>
      <c r="S179">
        <v>0.83499999999999996</v>
      </c>
      <c r="T179">
        <v>0.71799999999999997</v>
      </c>
      <c r="U179">
        <v>1.48</v>
      </c>
      <c r="V179" t="s">
        <v>82</v>
      </c>
      <c r="W179">
        <v>0.97099999999999997</v>
      </c>
      <c r="X179">
        <v>0.96499999999999997</v>
      </c>
      <c r="Y179">
        <v>0.52500000000000002</v>
      </c>
      <c r="Z179">
        <v>0.96</v>
      </c>
      <c r="AA179" s="9">
        <v>45713.675464664353</v>
      </c>
      <c r="AB179" t="s">
        <v>873</v>
      </c>
      <c r="AC179" s="9"/>
    </row>
    <row r="180" spans="1:29" x14ac:dyDescent="0.35">
      <c r="A180" t="s">
        <v>187</v>
      </c>
      <c r="B180" t="s">
        <v>313</v>
      </c>
      <c r="C180">
        <v>1034</v>
      </c>
      <c r="D180" s="9">
        <v>44490.676388888889</v>
      </c>
      <c r="E180" s="9">
        <v>45525.368750000001</v>
      </c>
      <c r="F180">
        <v>99</v>
      </c>
      <c r="G180">
        <v>94</v>
      </c>
      <c r="H180">
        <v>85</v>
      </c>
      <c r="I180">
        <v>9</v>
      </c>
      <c r="J180">
        <v>31</v>
      </c>
      <c r="K180">
        <v>63</v>
      </c>
      <c r="L180">
        <v>60</v>
      </c>
      <c r="M180">
        <v>3</v>
      </c>
      <c r="N180">
        <v>0.13500000000000001</v>
      </c>
      <c r="O180">
        <v>2.5000000000000001E-2</v>
      </c>
      <c r="P180">
        <v>4.1000000000000002E-2</v>
      </c>
      <c r="Q180">
        <v>9.7000000000000003E-2</v>
      </c>
      <c r="R180">
        <v>0.81499999999999995</v>
      </c>
      <c r="S180">
        <v>0.84399999999999997</v>
      </c>
      <c r="T180">
        <v>0.74399999999999999</v>
      </c>
      <c r="U180">
        <v>30.928000000000001</v>
      </c>
      <c r="V180" t="s">
        <v>58</v>
      </c>
      <c r="W180">
        <v>0.76700000000000002</v>
      </c>
      <c r="X180">
        <v>0.80500000000000005</v>
      </c>
      <c r="Y180">
        <v>0.76300000000000001</v>
      </c>
      <c r="Z180">
        <v>0.85199999999999998</v>
      </c>
      <c r="AA180" s="9">
        <v>45713.675530682871</v>
      </c>
      <c r="AB180" t="s">
        <v>873</v>
      </c>
      <c r="AC180" s="9"/>
    </row>
    <row r="181" spans="1:29" x14ac:dyDescent="0.35">
      <c r="A181" t="s">
        <v>188</v>
      </c>
      <c r="B181" t="s">
        <v>313</v>
      </c>
      <c r="C181">
        <v>1275</v>
      </c>
      <c r="D181" s="9">
        <v>44278.275694444441</v>
      </c>
      <c r="E181" s="9">
        <v>45553.75</v>
      </c>
      <c r="F181">
        <v>2015</v>
      </c>
      <c r="G181">
        <v>1832</v>
      </c>
      <c r="H181">
        <v>1620</v>
      </c>
      <c r="I181">
        <v>212</v>
      </c>
      <c r="J181">
        <v>344</v>
      </c>
      <c r="K181">
        <v>1488</v>
      </c>
      <c r="L181">
        <v>1172</v>
      </c>
      <c r="M181">
        <v>316</v>
      </c>
      <c r="N181">
        <v>3.617</v>
      </c>
      <c r="O181">
        <v>0.56299999999999994</v>
      </c>
      <c r="P181">
        <v>0.67200000000000004</v>
      </c>
      <c r="Q181">
        <v>2.7490000000000001</v>
      </c>
      <c r="R181">
        <v>0.78400000000000003</v>
      </c>
      <c r="S181">
        <v>0.86499999999999999</v>
      </c>
      <c r="T181">
        <v>0.83899999999999997</v>
      </c>
      <c r="U181">
        <v>114.95099999999999</v>
      </c>
      <c r="V181" t="s">
        <v>58</v>
      </c>
      <c r="W181">
        <v>0.94799999999999995</v>
      </c>
      <c r="X181">
        <v>0.93500000000000005</v>
      </c>
      <c r="Y181">
        <v>0.90300000000000002</v>
      </c>
      <c r="Z181">
        <v>0.93</v>
      </c>
      <c r="AA181" s="9">
        <v>45713.675608541664</v>
      </c>
      <c r="AB181" t="s">
        <v>873</v>
      </c>
      <c r="AC181" s="9"/>
    </row>
    <row r="182" spans="1:29" x14ac:dyDescent="0.35">
      <c r="A182" t="s">
        <v>189</v>
      </c>
      <c r="B182" t="s">
        <v>313</v>
      </c>
      <c r="C182">
        <v>671</v>
      </c>
      <c r="D182" s="9">
        <v>44634.465277777781</v>
      </c>
      <c r="E182" s="9">
        <v>45306.397222222222</v>
      </c>
      <c r="F182">
        <v>297</v>
      </c>
      <c r="G182">
        <v>275</v>
      </c>
      <c r="H182">
        <v>220</v>
      </c>
      <c r="I182">
        <v>55</v>
      </c>
      <c r="J182">
        <v>23</v>
      </c>
      <c r="K182">
        <v>252</v>
      </c>
      <c r="L182">
        <v>153</v>
      </c>
      <c r="M182">
        <v>99</v>
      </c>
      <c r="N182">
        <v>0.50600000000000001</v>
      </c>
      <c r="O182">
        <v>0.123</v>
      </c>
      <c r="P182">
        <v>4.4999999999999998E-2</v>
      </c>
      <c r="Q182">
        <v>0.35599999999999998</v>
      </c>
      <c r="R182">
        <v>0.61</v>
      </c>
      <c r="S182">
        <v>0.80400000000000005</v>
      </c>
      <c r="T182">
        <v>0.92800000000000005</v>
      </c>
      <c r="U182">
        <v>278.08999999999997</v>
      </c>
      <c r="V182" t="s">
        <v>58</v>
      </c>
      <c r="W182">
        <v>0.98199999999999998</v>
      </c>
      <c r="X182">
        <v>0.95799999999999996</v>
      </c>
      <c r="Y182">
        <v>0.98399999999999999</v>
      </c>
      <c r="Z182">
        <v>0.93300000000000005</v>
      </c>
      <c r="AA182" s="9">
        <v>45713.675680729168</v>
      </c>
      <c r="AB182" t="s">
        <v>873</v>
      </c>
      <c r="AC182" s="9"/>
    </row>
    <row r="183" spans="1:29" x14ac:dyDescent="0.35">
      <c r="A183" t="s">
        <v>190</v>
      </c>
      <c r="B183" t="s">
        <v>313</v>
      </c>
      <c r="C183">
        <v>1762</v>
      </c>
      <c r="D183" s="9">
        <v>43846.59652777778</v>
      </c>
      <c r="E183" s="9">
        <v>45609.231249999997</v>
      </c>
      <c r="F183">
        <v>600</v>
      </c>
      <c r="G183">
        <v>553</v>
      </c>
      <c r="H183">
        <v>481</v>
      </c>
      <c r="I183">
        <v>72</v>
      </c>
      <c r="J183">
        <v>15</v>
      </c>
      <c r="K183">
        <v>538</v>
      </c>
      <c r="L183">
        <v>352</v>
      </c>
      <c r="M183">
        <v>186</v>
      </c>
      <c r="N183">
        <v>0.33100000000000002</v>
      </c>
      <c r="O183">
        <v>4.7E-2</v>
      </c>
      <c r="P183">
        <v>0.08</v>
      </c>
      <c r="Q183">
        <v>0.25700000000000001</v>
      </c>
      <c r="R183">
        <v>0.86199999999999999</v>
      </c>
      <c r="S183">
        <v>0.876</v>
      </c>
      <c r="T183">
        <v>0.78800000000000003</v>
      </c>
      <c r="U183">
        <v>723.73500000000001</v>
      </c>
      <c r="V183" t="s">
        <v>58</v>
      </c>
      <c r="W183">
        <v>0.92500000000000004</v>
      </c>
      <c r="X183">
        <v>0.93600000000000005</v>
      </c>
      <c r="Y183">
        <v>0.81699999999999995</v>
      </c>
      <c r="Z183">
        <v>0.96499999999999997</v>
      </c>
      <c r="AA183" s="9">
        <v>45713.675757013887</v>
      </c>
      <c r="AB183" t="s">
        <v>873</v>
      </c>
      <c r="AC183" s="9"/>
    </row>
    <row r="184" spans="1:29" x14ac:dyDescent="0.35">
      <c r="A184" t="s">
        <v>191</v>
      </c>
      <c r="B184" t="s">
        <v>313</v>
      </c>
      <c r="C184">
        <v>5972</v>
      </c>
      <c r="D184" s="9">
        <v>39622.6</v>
      </c>
      <c r="E184" s="9">
        <v>45595.477083333331</v>
      </c>
      <c r="F184">
        <v>757</v>
      </c>
      <c r="G184">
        <v>757</v>
      </c>
      <c r="H184">
        <v>343</v>
      </c>
      <c r="I184">
        <v>414</v>
      </c>
      <c r="J184">
        <v>143</v>
      </c>
      <c r="K184">
        <v>614</v>
      </c>
      <c r="L184">
        <v>550</v>
      </c>
      <c r="M184">
        <v>64</v>
      </c>
      <c r="N184">
        <v>5.8000000000000003E-2</v>
      </c>
      <c r="O184">
        <v>7.2999999999999995E-2</v>
      </c>
      <c r="P184">
        <v>2.5000000000000001E-2</v>
      </c>
      <c r="Q184">
        <v>8.8999999999999996E-2</v>
      </c>
      <c r="R184">
        <v>0.84</v>
      </c>
      <c r="S184">
        <v>0.443</v>
      </c>
      <c r="T184">
        <v>0.80900000000000005</v>
      </c>
      <c r="U184">
        <v>719.101</v>
      </c>
      <c r="V184" t="s">
        <v>58</v>
      </c>
      <c r="W184">
        <v>0.98199999999999998</v>
      </c>
      <c r="X184">
        <v>0.93899999999999995</v>
      </c>
      <c r="Y184">
        <v>0.97899999999999998</v>
      </c>
      <c r="Z184">
        <v>0.97899999999999998</v>
      </c>
      <c r="AA184" s="9">
        <v>45713.675832037035</v>
      </c>
      <c r="AB184" t="s">
        <v>873</v>
      </c>
      <c r="AC184" s="9"/>
    </row>
    <row r="185" spans="1:29" x14ac:dyDescent="0.35">
      <c r="A185" t="s">
        <v>192</v>
      </c>
      <c r="B185" t="s">
        <v>313</v>
      </c>
      <c r="C185">
        <v>6139</v>
      </c>
      <c r="D185" s="9">
        <v>39468.866666666669</v>
      </c>
      <c r="E185" s="9">
        <v>45608.441666666666</v>
      </c>
      <c r="F185">
        <v>2496</v>
      </c>
      <c r="G185">
        <v>2496</v>
      </c>
      <c r="H185">
        <v>1100</v>
      </c>
      <c r="I185">
        <v>1396</v>
      </c>
      <c r="J185">
        <v>372</v>
      </c>
      <c r="K185">
        <v>2124</v>
      </c>
      <c r="L185">
        <v>2058</v>
      </c>
      <c r="M185">
        <v>66</v>
      </c>
      <c r="N185">
        <v>0.28199999999999997</v>
      </c>
      <c r="O185">
        <v>0.45900000000000002</v>
      </c>
      <c r="P185">
        <v>0.13900000000000001</v>
      </c>
      <c r="Q185">
        <v>0.70599999999999996</v>
      </c>
      <c r="R185">
        <v>1.173</v>
      </c>
      <c r="S185">
        <v>0.38100000000000001</v>
      </c>
      <c r="T185">
        <v>0.81200000000000006</v>
      </c>
      <c r="U185">
        <v>93.483999999999995</v>
      </c>
      <c r="V185" t="s">
        <v>64</v>
      </c>
      <c r="W185">
        <v>0.86499999999999999</v>
      </c>
      <c r="X185">
        <v>0.95599999999999996</v>
      </c>
      <c r="Y185">
        <v>0.97299999999999998</v>
      </c>
      <c r="Z185">
        <v>0.97899999999999998</v>
      </c>
      <c r="AA185" s="9">
        <v>45713.675907627316</v>
      </c>
      <c r="AB185" t="s">
        <v>873</v>
      </c>
      <c r="AC185" s="9"/>
    </row>
    <row r="186" spans="1:29" x14ac:dyDescent="0.35">
      <c r="A186" t="s">
        <v>193</v>
      </c>
      <c r="B186" t="s">
        <v>313</v>
      </c>
      <c r="C186">
        <v>5117</v>
      </c>
      <c r="D186" s="9">
        <v>40367.447222222225</v>
      </c>
      <c r="E186" s="9">
        <v>45484.634722222225</v>
      </c>
      <c r="F186">
        <v>408</v>
      </c>
      <c r="G186">
        <v>408</v>
      </c>
      <c r="H186">
        <v>209</v>
      </c>
      <c r="I186">
        <v>199</v>
      </c>
      <c r="J186">
        <v>54</v>
      </c>
      <c r="K186">
        <v>354</v>
      </c>
      <c r="L186">
        <v>305</v>
      </c>
      <c r="M186">
        <v>49</v>
      </c>
      <c r="N186">
        <v>4.2000000000000003E-2</v>
      </c>
      <c r="O186">
        <v>4.1000000000000002E-2</v>
      </c>
      <c r="P186">
        <v>1.2E-2</v>
      </c>
      <c r="Q186">
        <v>0.06</v>
      </c>
      <c r="R186">
        <v>0.84499999999999997</v>
      </c>
      <c r="S186">
        <v>0.50600000000000001</v>
      </c>
      <c r="T186">
        <v>0.85499999999999998</v>
      </c>
      <c r="U186">
        <v>816.66700000000003</v>
      </c>
      <c r="V186" t="s">
        <v>58</v>
      </c>
      <c r="W186">
        <v>0.95299999999999996</v>
      </c>
      <c r="X186">
        <v>0.96499999999999997</v>
      </c>
      <c r="Y186">
        <v>0.94599999999999995</v>
      </c>
      <c r="Z186">
        <v>0.95599999999999996</v>
      </c>
      <c r="AA186" s="9">
        <v>45713.675985138892</v>
      </c>
      <c r="AB186" t="s">
        <v>873</v>
      </c>
      <c r="AC186" s="9"/>
    </row>
    <row r="187" spans="1:29" x14ac:dyDescent="0.35">
      <c r="A187" t="s">
        <v>194</v>
      </c>
      <c r="B187" t="s">
        <v>313</v>
      </c>
      <c r="C187">
        <v>1916</v>
      </c>
      <c r="D187" s="9">
        <v>43692.305555555555</v>
      </c>
      <c r="E187" s="9">
        <v>45609.199305555558</v>
      </c>
      <c r="F187">
        <v>1628</v>
      </c>
      <c r="G187">
        <v>1474</v>
      </c>
      <c r="H187">
        <v>1366</v>
      </c>
      <c r="I187">
        <v>108</v>
      </c>
      <c r="J187">
        <v>332</v>
      </c>
      <c r="K187">
        <v>1142</v>
      </c>
      <c r="L187">
        <v>1013</v>
      </c>
      <c r="M187">
        <v>129</v>
      </c>
      <c r="N187">
        <v>0.92300000000000004</v>
      </c>
      <c r="O187">
        <v>9.6000000000000002E-2</v>
      </c>
      <c r="P187">
        <v>0.254</v>
      </c>
      <c r="Q187">
        <v>0.77800000000000002</v>
      </c>
      <c r="R187">
        <v>1.0169999999999999</v>
      </c>
      <c r="S187">
        <v>0.90600000000000003</v>
      </c>
      <c r="T187">
        <v>0.751</v>
      </c>
      <c r="U187">
        <v>165.81</v>
      </c>
      <c r="V187" t="s">
        <v>64</v>
      </c>
      <c r="W187">
        <v>0.98799999999999999</v>
      </c>
      <c r="X187">
        <v>0.98399999999999999</v>
      </c>
      <c r="Y187">
        <v>0.93799999999999994</v>
      </c>
      <c r="Z187">
        <v>0.997</v>
      </c>
      <c r="AA187" s="9">
        <v>45713.676066504631</v>
      </c>
      <c r="AB187" t="s">
        <v>873</v>
      </c>
      <c r="AC187" s="9"/>
    </row>
    <row r="188" spans="1:29" hidden="1" x14ac:dyDescent="0.35">
      <c r="A188" t="s">
        <v>194</v>
      </c>
      <c r="B188" t="s">
        <v>314</v>
      </c>
      <c r="C188">
        <v>100</v>
      </c>
      <c r="D188" s="9">
        <v>45509.049305555556</v>
      </c>
      <c r="E188" s="9">
        <v>45609.199305555558</v>
      </c>
      <c r="F188" t="s">
        <v>874</v>
      </c>
      <c r="G188" t="s">
        <v>874</v>
      </c>
      <c r="H188">
        <v>50</v>
      </c>
      <c r="I188">
        <v>2</v>
      </c>
      <c r="J188">
        <v>4</v>
      </c>
      <c r="K188" t="s">
        <v>875</v>
      </c>
      <c r="L188">
        <v>60</v>
      </c>
      <c r="M188">
        <v>-11</v>
      </c>
      <c r="N188">
        <v>0.44400000000000001</v>
      </c>
      <c r="O188">
        <v>2.7E-2</v>
      </c>
      <c r="P188">
        <v>3.9E-2</v>
      </c>
      <c r="Q188">
        <v>0.50900000000000001</v>
      </c>
      <c r="R188">
        <v>1.1779999999999999</v>
      </c>
      <c r="S188">
        <v>0.94299999999999995</v>
      </c>
      <c r="T188">
        <v>0.91700000000000004</v>
      </c>
      <c r="U188">
        <v>253.43799999999999</v>
      </c>
      <c r="V188" t="s">
        <v>64</v>
      </c>
      <c r="W188">
        <v>0.97399999999999998</v>
      </c>
      <c r="X188">
        <v>1</v>
      </c>
      <c r="Y188">
        <v>0.90500000000000003</v>
      </c>
      <c r="Z188">
        <v>0.92500000000000004</v>
      </c>
      <c r="AA188" s="9">
        <v>45713.676081712962</v>
      </c>
      <c r="AB188" t="s">
        <v>873</v>
      </c>
      <c r="AC188" s="9"/>
    </row>
    <row r="189" spans="1:29" x14ac:dyDescent="0.35">
      <c r="A189" t="s">
        <v>195</v>
      </c>
      <c r="B189" t="s">
        <v>313</v>
      </c>
      <c r="C189">
        <v>5192</v>
      </c>
      <c r="D189" s="9">
        <v>39283.583333333336</v>
      </c>
      <c r="E189" s="9">
        <v>44476.466666666667</v>
      </c>
      <c r="F189">
        <v>783</v>
      </c>
      <c r="G189">
        <v>783</v>
      </c>
      <c r="H189">
        <v>417</v>
      </c>
      <c r="I189">
        <v>366</v>
      </c>
      <c r="J189">
        <v>107</v>
      </c>
      <c r="K189">
        <v>676</v>
      </c>
      <c r="L189">
        <v>659</v>
      </c>
      <c r="M189">
        <v>17</v>
      </c>
      <c r="N189">
        <v>0.17699999999999999</v>
      </c>
      <c r="O189">
        <v>0.14699999999999999</v>
      </c>
      <c r="P189">
        <v>3.5000000000000003E-2</v>
      </c>
      <c r="Q189">
        <v>0.26400000000000001</v>
      </c>
      <c r="R189">
        <v>0.91300000000000003</v>
      </c>
      <c r="S189">
        <v>0.54600000000000004</v>
      </c>
      <c r="T189">
        <v>0.89200000000000002</v>
      </c>
      <c r="U189">
        <v>64.394000000000005</v>
      </c>
      <c r="V189" t="s">
        <v>58</v>
      </c>
      <c r="W189">
        <v>0.98199999999999998</v>
      </c>
      <c r="X189">
        <v>0.97799999999999998</v>
      </c>
      <c r="Y189">
        <v>0.91600000000000004</v>
      </c>
      <c r="Z189">
        <v>0.97799999999999998</v>
      </c>
      <c r="AA189" s="9">
        <v>45713.676154814813</v>
      </c>
      <c r="AB189" t="s">
        <v>873</v>
      </c>
      <c r="AC189" s="9"/>
    </row>
    <row r="190" spans="1:29" x14ac:dyDescent="0.35">
      <c r="A190" t="s">
        <v>196</v>
      </c>
      <c r="B190" t="s">
        <v>313</v>
      </c>
      <c r="C190">
        <v>5184</v>
      </c>
      <c r="D190" s="9">
        <v>40367.445138888892</v>
      </c>
      <c r="E190" s="9">
        <v>45551.450694444444</v>
      </c>
      <c r="F190">
        <v>327</v>
      </c>
      <c r="G190">
        <v>327</v>
      </c>
      <c r="H190">
        <v>214</v>
      </c>
      <c r="I190">
        <v>113</v>
      </c>
      <c r="J190">
        <v>21</v>
      </c>
      <c r="K190">
        <v>306</v>
      </c>
      <c r="L190">
        <v>298</v>
      </c>
      <c r="M190">
        <v>8</v>
      </c>
      <c r="N190">
        <v>3.3000000000000002E-2</v>
      </c>
      <c r="O190">
        <v>2.3E-2</v>
      </c>
      <c r="P190">
        <v>4.0000000000000001E-3</v>
      </c>
      <c r="Q190">
        <v>4.7E-2</v>
      </c>
      <c r="R190">
        <v>0.90400000000000003</v>
      </c>
      <c r="S190">
        <v>0.58899999999999997</v>
      </c>
      <c r="T190">
        <v>0.92900000000000005</v>
      </c>
      <c r="U190">
        <v>170.21299999999999</v>
      </c>
      <c r="V190" t="s">
        <v>58</v>
      </c>
      <c r="W190">
        <v>0.92800000000000005</v>
      </c>
      <c r="X190">
        <v>0.93300000000000005</v>
      </c>
      <c r="Y190">
        <v>0.88500000000000001</v>
      </c>
      <c r="Z190">
        <v>0.95</v>
      </c>
      <c r="AA190" s="9">
        <v>45713.676226643518</v>
      </c>
      <c r="AB190" t="s">
        <v>873</v>
      </c>
      <c r="AC190" s="9"/>
    </row>
    <row r="191" spans="1:29" x14ac:dyDescent="0.35">
      <c r="A191" t="s">
        <v>197</v>
      </c>
      <c r="B191" t="s">
        <v>313</v>
      </c>
      <c r="C191">
        <v>887</v>
      </c>
      <c r="D191" s="9">
        <v>44721.271527777775</v>
      </c>
      <c r="E191" s="9">
        <v>45608.411805555559</v>
      </c>
      <c r="F191">
        <v>2333</v>
      </c>
      <c r="G191">
        <v>2292</v>
      </c>
      <c r="H191">
        <v>1354</v>
      </c>
      <c r="I191">
        <v>938</v>
      </c>
      <c r="J191">
        <v>181</v>
      </c>
      <c r="K191">
        <v>2111</v>
      </c>
      <c r="L191">
        <v>1707</v>
      </c>
      <c r="M191">
        <v>404</v>
      </c>
      <c r="N191">
        <v>2.1720000000000002</v>
      </c>
      <c r="O191">
        <v>1.4410000000000001</v>
      </c>
      <c r="P191">
        <v>0.26900000000000002</v>
      </c>
      <c r="Q191">
        <v>2.9140000000000001</v>
      </c>
      <c r="R191">
        <v>0.871</v>
      </c>
      <c r="S191">
        <v>0.60099999999999998</v>
      </c>
      <c r="T191">
        <v>0.92600000000000005</v>
      </c>
      <c r="U191">
        <v>138.64099999999999</v>
      </c>
      <c r="V191" t="s">
        <v>58</v>
      </c>
      <c r="W191">
        <v>0.997</v>
      </c>
      <c r="X191">
        <v>0.97199999999999998</v>
      </c>
      <c r="Y191">
        <v>0.997</v>
      </c>
      <c r="Z191">
        <v>0.98299999999999998</v>
      </c>
      <c r="AA191" s="9">
        <v>45713.676309502313</v>
      </c>
      <c r="AB191" t="s">
        <v>873</v>
      </c>
      <c r="AC191" s="9"/>
    </row>
    <row r="192" spans="1:29" hidden="1" x14ac:dyDescent="0.35">
      <c r="A192" t="s">
        <v>197</v>
      </c>
      <c r="B192" t="s">
        <v>314</v>
      </c>
      <c r="C192">
        <v>100</v>
      </c>
      <c r="D192" s="9">
        <v>45508.275694444441</v>
      </c>
      <c r="E192" s="9">
        <v>45608.411805555559</v>
      </c>
      <c r="F192" t="s">
        <v>874</v>
      </c>
      <c r="G192" t="s">
        <v>874</v>
      </c>
      <c r="H192">
        <v>124</v>
      </c>
      <c r="I192">
        <v>80</v>
      </c>
      <c r="J192">
        <v>24</v>
      </c>
      <c r="K192" t="s">
        <v>875</v>
      </c>
      <c r="L192">
        <v>250</v>
      </c>
      <c r="M192">
        <v>-69</v>
      </c>
      <c r="N192">
        <v>1.1839999999999999</v>
      </c>
      <c r="O192">
        <v>0.81299999999999994</v>
      </c>
      <c r="P192">
        <v>0.19700000000000001</v>
      </c>
      <c r="Q192">
        <v>2.6269999999999998</v>
      </c>
      <c r="R192">
        <v>1.4590000000000001</v>
      </c>
      <c r="S192">
        <v>0.59299999999999997</v>
      </c>
      <c r="T192">
        <v>0.90100000000000002</v>
      </c>
      <c r="U192">
        <v>153.78800000000001</v>
      </c>
      <c r="V192" t="s">
        <v>64</v>
      </c>
      <c r="W192">
        <v>0.94099999999999995</v>
      </c>
      <c r="X192">
        <v>0.97899999999999998</v>
      </c>
      <c r="Y192">
        <v>0.96199999999999997</v>
      </c>
      <c r="Z192">
        <v>0.84699999999999998</v>
      </c>
      <c r="AA192" s="9">
        <v>45713.676325844906</v>
      </c>
      <c r="AB192" t="s">
        <v>873</v>
      </c>
      <c r="AC192" s="9"/>
    </row>
    <row r="193" spans="1:29" x14ac:dyDescent="0.35">
      <c r="A193" t="s">
        <v>198</v>
      </c>
      <c r="B193" t="s">
        <v>313</v>
      </c>
      <c r="C193">
        <v>1531</v>
      </c>
      <c r="D193" s="9">
        <v>44076.234027777777</v>
      </c>
      <c r="E193" s="9">
        <v>45607.677777777775</v>
      </c>
      <c r="F193">
        <v>1287</v>
      </c>
      <c r="G193">
        <v>1201</v>
      </c>
      <c r="H193">
        <v>862</v>
      </c>
      <c r="I193">
        <v>339</v>
      </c>
      <c r="J193">
        <v>126</v>
      </c>
      <c r="K193">
        <v>1075</v>
      </c>
      <c r="L193">
        <v>832</v>
      </c>
      <c r="M193">
        <v>243</v>
      </c>
      <c r="N193">
        <v>0.59899999999999998</v>
      </c>
      <c r="O193">
        <v>0.42899999999999999</v>
      </c>
      <c r="P193">
        <v>0.249</v>
      </c>
      <c r="Q193">
        <v>0.61299999999999999</v>
      </c>
      <c r="R193">
        <v>0.78700000000000003</v>
      </c>
      <c r="S193">
        <v>0.58299999999999996</v>
      </c>
      <c r="T193">
        <v>0.75800000000000001</v>
      </c>
      <c r="U193">
        <v>396.411</v>
      </c>
      <c r="V193" t="s">
        <v>58</v>
      </c>
      <c r="W193">
        <v>0.97899999999999998</v>
      </c>
      <c r="X193">
        <v>0.83399999999999996</v>
      </c>
      <c r="Y193">
        <v>0.99099999999999999</v>
      </c>
      <c r="Z193">
        <v>0.93100000000000005</v>
      </c>
      <c r="AA193" s="9">
        <v>45713.676405335646</v>
      </c>
      <c r="AB193" t="s">
        <v>873</v>
      </c>
      <c r="AC193" s="9"/>
    </row>
    <row r="194" spans="1:29" hidden="1" x14ac:dyDescent="0.35">
      <c r="A194" t="s">
        <v>198</v>
      </c>
      <c r="B194" t="s">
        <v>314</v>
      </c>
      <c r="C194">
        <v>97</v>
      </c>
      <c r="D194" s="9">
        <v>45510.455555555556</v>
      </c>
      <c r="E194" s="9">
        <v>45607.677777777775</v>
      </c>
      <c r="F194" t="s">
        <v>874</v>
      </c>
      <c r="G194" t="s">
        <v>874</v>
      </c>
      <c r="H194">
        <v>99</v>
      </c>
      <c r="I194">
        <v>91</v>
      </c>
      <c r="J194">
        <v>23</v>
      </c>
      <c r="K194" t="s">
        <v>875</v>
      </c>
      <c r="L194">
        <v>146</v>
      </c>
      <c r="M194">
        <v>20</v>
      </c>
      <c r="N194">
        <v>1.026</v>
      </c>
      <c r="O194">
        <v>1.0349999999999999</v>
      </c>
      <c r="P194">
        <v>0.25900000000000001</v>
      </c>
      <c r="Q194">
        <v>2.117</v>
      </c>
      <c r="R194">
        <v>1.175</v>
      </c>
      <c r="S194">
        <v>0.498</v>
      </c>
      <c r="T194">
        <v>0.874</v>
      </c>
      <c r="U194">
        <v>114.785</v>
      </c>
      <c r="V194" t="s">
        <v>64</v>
      </c>
      <c r="W194">
        <v>0.98099999999999998</v>
      </c>
      <c r="X194">
        <v>0.98499999999999999</v>
      </c>
      <c r="Y194">
        <v>0.93899999999999995</v>
      </c>
      <c r="Z194">
        <v>0.92700000000000005</v>
      </c>
      <c r="AA194" s="9">
        <v>45713.676420659722</v>
      </c>
      <c r="AB194" t="s">
        <v>873</v>
      </c>
      <c r="AC194" s="9"/>
    </row>
    <row r="195" spans="1:29" x14ac:dyDescent="0.35">
      <c r="A195" t="s">
        <v>199</v>
      </c>
      <c r="B195" t="s">
        <v>313</v>
      </c>
      <c r="C195">
        <v>1479</v>
      </c>
      <c r="D195" s="9">
        <v>44124.700694444444</v>
      </c>
      <c r="E195" s="9">
        <v>45603.836111111108</v>
      </c>
      <c r="F195">
        <v>3035</v>
      </c>
      <c r="G195">
        <v>2845</v>
      </c>
      <c r="H195">
        <v>2633</v>
      </c>
      <c r="I195">
        <v>212</v>
      </c>
      <c r="J195">
        <v>355</v>
      </c>
      <c r="K195">
        <v>2490</v>
      </c>
      <c r="L195">
        <v>2277</v>
      </c>
      <c r="M195">
        <v>213</v>
      </c>
      <c r="N195">
        <v>1.849</v>
      </c>
      <c r="O195">
        <v>0.17899999999999999</v>
      </c>
      <c r="P195">
        <v>0.24099999999999999</v>
      </c>
      <c r="Q195">
        <v>1.7110000000000001</v>
      </c>
      <c r="R195">
        <v>0.95699999999999996</v>
      </c>
      <c r="S195">
        <v>0.91200000000000003</v>
      </c>
      <c r="T195">
        <v>0.88100000000000001</v>
      </c>
      <c r="U195">
        <v>124.489</v>
      </c>
      <c r="V195" t="s">
        <v>58</v>
      </c>
      <c r="W195">
        <v>0.99399999999999999</v>
      </c>
      <c r="X195">
        <v>0.97599999999999998</v>
      </c>
      <c r="Y195">
        <v>0.96199999999999997</v>
      </c>
      <c r="Z195">
        <v>0.996</v>
      </c>
      <c r="AA195" s="9">
        <v>45713.67650548611</v>
      </c>
      <c r="AB195" t="s">
        <v>873</v>
      </c>
      <c r="AC195" s="9"/>
    </row>
    <row r="196" spans="1:29" hidden="1" x14ac:dyDescent="0.35">
      <c r="A196" t="s">
        <v>199</v>
      </c>
      <c r="B196" t="s">
        <v>314</v>
      </c>
      <c r="C196">
        <v>100</v>
      </c>
      <c r="D196" s="9">
        <v>45503.574999999997</v>
      </c>
      <c r="E196" s="9">
        <v>45603.836111111108</v>
      </c>
      <c r="F196" t="s">
        <v>874</v>
      </c>
      <c r="G196" t="s">
        <v>874</v>
      </c>
      <c r="H196">
        <v>247</v>
      </c>
      <c r="I196">
        <v>3</v>
      </c>
      <c r="J196">
        <v>25</v>
      </c>
      <c r="K196" t="s">
        <v>875</v>
      </c>
      <c r="L196">
        <v>256</v>
      </c>
      <c r="M196">
        <v>-32</v>
      </c>
      <c r="N196">
        <v>1.7869999999999999</v>
      </c>
      <c r="O196">
        <v>3.6999999999999998E-2</v>
      </c>
      <c r="P196">
        <v>0.24099999999999999</v>
      </c>
      <c r="Q196">
        <v>2.09</v>
      </c>
      <c r="R196">
        <v>1.32</v>
      </c>
      <c r="S196">
        <v>0.98</v>
      </c>
      <c r="T196">
        <v>0.86799999999999999</v>
      </c>
      <c r="U196">
        <v>101.914</v>
      </c>
      <c r="V196" t="s">
        <v>64</v>
      </c>
      <c r="W196">
        <v>0.88800000000000001</v>
      </c>
      <c r="X196">
        <v>0.83199999999999996</v>
      </c>
      <c r="Y196">
        <v>0.92800000000000005</v>
      </c>
      <c r="Z196">
        <v>0.94799999999999995</v>
      </c>
      <c r="AA196" s="9">
        <v>45713.676521608795</v>
      </c>
      <c r="AB196" t="s">
        <v>873</v>
      </c>
      <c r="AC196" s="9"/>
    </row>
    <row r="197" spans="1:29" x14ac:dyDescent="0.35">
      <c r="A197" t="s">
        <v>200</v>
      </c>
      <c r="B197" t="s">
        <v>313</v>
      </c>
      <c r="C197">
        <v>1379</v>
      </c>
      <c r="D197" s="9">
        <v>44228.200694444444</v>
      </c>
      <c r="E197" s="9">
        <v>45607.84375</v>
      </c>
      <c r="F197">
        <v>971</v>
      </c>
      <c r="G197">
        <v>847</v>
      </c>
      <c r="H197">
        <v>840</v>
      </c>
      <c r="I197">
        <v>7</v>
      </c>
      <c r="J197">
        <v>149</v>
      </c>
      <c r="K197">
        <v>698</v>
      </c>
      <c r="L197">
        <v>389</v>
      </c>
      <c r="M197">
        <v>309</v>
      </c>
      <c r="N197">
        <v>0.60599999999999998</v>
      </c>
      <c r="O197">
        <v>8.9999999999999993E-3</v>
      </c>
      <c r="P197">
        <v>0.11600000000000001</v>
      </c>
      <c r="Q197">
        <v>0.28899999999999998</v>
      </c>
      <c r="R197">
        <v>0.57899999999999996</v>
      </c>
      <c r="S197">
        <v>0.98499999999999999</v>
      </c>
      <c r="T197">
        <v>0.81100000000000005</v>
      </c>
      <c r="U197">
        <v>1069.204</v>
      </c>
      <c r="V197" t="s">
        <v>58</v>
      </c>
      <c r="W197">
        <v>0.92900000000000005</v>
      </c>
      <c r="X197">
        <v>0.94699999999999995</v>
      </c>
      <c r="Y197">
        <v>0.88400000000000001</v>
      </c>
      <c r="Z197">
        <v>0.98899999999999999</v>
      </c>
      <c r="AA197" s="9">
        <v>45713.676600208331</v>
      </c>
      <c r="AB197" t="s">
        <v>873</v>
      </c>
      <c r="AC197" s="9"/>
    </row>
    <row r="198" spans="1:29" x14ac:dyDescent="0.35">
      <c r="A198" t="s">
        <v>201</v>
      </c>
      <c r="B198" t="s">
        <v>313</v>
      </c>
      <c r="C198">
        <v>1291</v>
      </c>
      <c r="D198" s="9">
        <v>44316.71875</v>
      </c>
      <c r="E198" s="9">
        <v>45608.39166666667</v>
      </c>
      <c r="F198">
        <v>1580</v>
      </c>
      <c r="G198">
        <v>1447</v>
      </c>
      <c r="H198">
        <v>1009</v>
      </c>
      <c r="I198">
        <v>438</v>
      </c>
      <c r="J198">
        <v>176</v>
      </c>
      <c r="K198">
        <v>1271</v>
      </c>
      <c r="L198">
        <v>1092</v>
      </c>
      <c r="M198">
        <v>179</v>
      </c>
      <c r="N198">
        <v>0.85599999999999998</v>
      </c>
      <c r="O198">
        <v>0.41099999999999998</v>
      </c>
      <c r="P198">
        <v>0.17399999999999999</v>
      </c>
      <c r="Q198">
        <v>0.998</v>
      </c>
      <c r="R198">
        <v>0.91300000000000003</v>
      </c>
      <c r="S198">
        <v>0.67600000000000005</v>
      </c>
      <c r="T198">
        <v>0.86299999999999999</v>
      </c>
      <c r="U198">
        <v>179.35900000000001</v>
      </c>
      <c r="V198" t="s">
        <v>58</v>
      </c>
      <c r="W198">
        <v>0.998</v>
      </c>
      <c r="X198">
        <v>0.99399999999999999</v>
      </c>
      <c r="Y198">
        <v>0.98499999999999999</v>
      </c>
      <c r="Z198">
        <v>0.996</v>
      </c>
      <c r="AA198" s="9">
        <v>45713.676684178237</v>
      </c>
      <c r="AB198" t="s">
        <v>873</v>
      </c>
      <c r="AC198" s="9"/>
    </row>
    <row r="199" spans="1:29" hidden="1" x14ac:dyDescent="0.35">
      <c r="A199" t="s">
        <v>201</v>
      </c>
      <c r="B199" t="s">
        <v>314</v>
      </c>
      <c r="C199">
        <v>98</v>
      </c>
      <c r="D199" s="9">
        <v>45509.688194444447</v>
      </c>
      <c r="E199" s="9">
        <v>45608.39166666667</v>
      </c>
      <c r="F199" t="s">
        <v>874</v>
      </c>
      <c r="G199" t="s">
        <v>874</v>
      </c>
      <c r="H199">
        <v>87</v>
      </c>
      <c r="I199">
        <v>42</v>
      </c>
      <c r="J199">
        <v>15</v>
      </c>
      <c r="K199" t="s">
        <v>875</v>
      </c>
      <c r="L199">
        <v>95</v>
      </c>
      <c r="M199">
        <v>18</v>
      </c>
      <c r="N199">
        <v>0.92800000000000005</v>
      </c>
      <c r="O199">
        <v>0.49099999999999999</v>
      </c>
      <c r="P199">
        <v>0.19800000000000001</v>
      </c>
      <c r="Q199">
        <v>1.0089999999999999</v>
      </c>
      <c r="R199">
        <v>0.82599999999999996</v>
      </c>
      <c r="S199">
        <v>0.65400000000000003</v>
      </c>
      <c r="T199">
        <v>0.86</v>
      </c>
      <c r="U199">
        <v>177.40299999999999</v>
      </c>
      <c r="V199" t="s">
        <v>58</v>
      </c>
      <c r="W199">
        <v>0.96699999999999997</v>
      </c>
      <c r="X199">
        <v>0.95699999999999996</v>
      </c>
      <c r="Y199">
        <v>0.76700000000000002</v>
      </c>
      <c r="Z199">
        <v>0.95799999999999996</v>
      </c>
      <c r="AA199" s="9">
        <v>45713.67670142361</v>
      </c>
      <c r="AB199" t="s">
        <v>873</v>
      </c>
      <c r="AC199" s="9"/>
    </row>
    <row r="200" spans="1:29" x14ac:dyDescent="0.35">
      <c r="A200" t="s">
        <v>202</v>
      </c>
      <c r="B200" t="s">
        <v>313</v>
      </c>
      <c r="C200">
        <v>5292</v>
      </c>
      <c r="D200" s="9">
        <v>40316.454861111109</v>
      </c>
      <c r="E200" s="9">
        <v>45608.606249999997</v>
      </c>
      <c r="F200">
        <v>501</v>
      </c>
      <c r="G200">
        <v>475</v>
      </c>
      <c r="H200">
        <v>303</v>
      </c>
      <c r="I200">
        <v>172</v>
      </c>
      <c r="J200">
        <v>35</v>
      </c>
      <c r="K200">
        <v>440</v>
      </c>
      <c r="L200">
        <v>412</v>
      </c>
      <c r="M200">
        <v>28</v>
      </c>
      <c r="N200">
        <v>6.3E-2</v>
      </c>
      <c r="O200">
        <v>0.04</v>
      </c>
      <c r="P200">
        <v>8.0000000000000002E-3</v>
      </c>
      <c r="Q200">
        <v>9.4E-2</v>
      </c>
      <c r="R200">
        <v>0.98899999999999999</v>
      </c>
      <c r="S200">
        <v>0.61199999999999999</v>
      </c>
      <c r="T200">
        <v>0.92200000000000004</v>
      </c>
      <c r="U200">
        <v>297.87200000000001</v>
      </c>
      <c r="V200" t="s">
        <v>58</v>
      </c>
      <c r="W200">
        <v>0.93500000000000005</v>
      </c>
      <c r="X200">
        <v>0.96199999999999997</v>
      </c>
      <c r="Y200">
        <v>0.97799999999999998</v>
      </c>
      <c r="Z200">
        <v>0.94599999999999995</v>
      </c>
      <c r="AA200" s="9">
        <v>45713.676790046295</v>
      </c>
      <c r="AB200" t="s">
        <v>873</v>
      </c>
      <c r="AC200" s="9"/>
    </row>
    <row r="201" spans="1:29" x14ac:dyDescent="0.35">
      <c r="A201" t="s">
        <v>203</v>
      </c>
      <c r="B201" t="s">
        <v>313</v>
      </c>
      <c r="C201">
        <v>1345</v>
      </c>
      <c r="D201" s="9">
        <v>44259.866666666669</v>
      </c>
      <c r="E201" s="9">
        <v>45604.913888888892</v>
      </c>
      <c r="F201">
        <v>721</v>
      </c>
      <c r="G201">
        <v>606</v>
      </c>
      <c r="H201">
        <v>564</v>
      </c>
      <c r="I201">
        <v>42</v>
      </c>
      <c r="J201">
        <v>65</v>
      </c>
      <c r="K201">
        <v>541</v>
      </c>
      <c r="L201">
        <v>408</v>
      </c>
      <c r="M201">
        <v>133</v>
      </c>
      <c r="N201">
        <v>0.65200000000000002</v>
      </c>
      <c r="O201">
        <v>4.4999999999999998E-2</v>
      </c>
      <c r="P201">
        <v>8.8999999999999996E-2</v>
      </c>
      <c r="Q201">
        <v>0.56299999999999994</v>
      </c>
      <c r="R201">
        <v>0.92600000000000005</v>
      </c>
      <c r="S201">
        <v>0.93500000000000005</v>
      </c>
      <c r="T201">
        <v>0.872</v>
      </c>
      <c r="U201">
        <v>236.23400000000001</v>
      </c>
      <c r="V201" t="s">
        <v>58</v>
      </c>
      <c r="W201">
        <v>0.873</v>
      </c>
      <c r="X201">
        <v>0.85199999999999998</v>
      </c>
      <c r="Y201">
        <v>0.95499999999999996</v>
      </c>
      <c r="Z201">
        <v>0.94399999999999995</v>
      </c>
      <c r="AA201" s="9">
        <v>45713.676872002317</v>
      </c>
      <c r="AB201" t="s">
        <v>873</v>
      </c>
      <c r="AC201" s="9"/>
    </row>
    <row r="202" spans="1:29" hidden="1" x14ac:dyDescent="0.35">
      <c r="A202" t="s">
        <v>203</v>
      </c>
      <c r="B202" t="s">
        <v>314</v>
      </c>
      <c r="C202">
        <v>98</v>
      </c>
      <c r="D202" s="9">
        <v>45506.746527777781</v>
      </c>
      <c r="E202" s="9">
        <v>45604.913888888892</v>
      </c>
      <c r="F202" t="s">
        <v>874</v>
      </c>
      <c r="G202" t="s">
        <v>874</v>
      </c>
      <c r="H202">
        <v>34</v>
      </c>
      <c r="I202">
        <v>6</v>
      </c>
      <c r="J202">
        <v>3</v>
      </c>
      <c r="K202" t="s">
        <v>875</v>
      </c>
      <c r="L202">
        <v>35</v>
      </c>
      <c r="M202">
        <v>3</v>
      </c>
      <c r="N202">
        <v>0.34200000000000003</v>
      </c>
      <c r="O202">
        <v>6.7000000000000004E-2</v>
      </c>
      <c r="P202">
        <v>2.5999999999999999E-2</v>
      </c>
      <c r="Q202">
        <v>0.35399999999999998</v>
      </c>
      <c r="R202">
        <v>0.92400000000000004</v>
      </c>
      <c r="S202">
        <v>0.83599999999999997</v>
      </c>
      <c r="T202">
        <v>0.93600000000000005</v>
      </c>
      <c r="U202">
        <v>375.70600000000002</v>
      </c>
      <c r="V202" t="s">
        <v>58</v>
      </c>
      <c r="W202">
        <v>0.96799999999999997</v>
      </c>
      <c r="X202">
        <v>0.93400000000000005</v>
      </c>
      <c r="Y202">
        <v>0.97</v>
      </c>
      <c r="Z202">
        <v>0.98699999999999999</v>
      </c>
      <c r="AA202" s="9">
        <v>45713.676887777779</v>
      </c>
      <c r="AB202" t="s">
        <v>873</v>
      </c>
      <c r="AC202" s="9"/>
    </row>
    <row r="203" spans="1:29" x14ac:dyDescent="0.35">
      <c r="A203" t="s">
        <v>204</v>
      </c>
      <c r="B203" t="s">
        <v>313</v>
      </c>
      <c r="C203">
        <v>1360</v>
      </c>
      <c r="D203" s="9">
        <v>44244.455555555556</v>
      </c>
      <c r="E203" s="9">
        <v>45604.96597222222</v>
      </c>
      <c r="F203">
        <v>469</v>
      </c>
      <c r="G203">
        <v>420</v>
      </c>
      <c r="H203">
        <v>401</v>
      </c>
      <c r="I203">
        <v>19</v>
      </c>
      <c r="J203">
        <v>52</v>
      </c>
      <c r="K203">
        <v>368</v>
      </c>
      <c r="L203">
        <v>228</v>
      </c>
      <c r="M203">
        <v>140</v>
      </c>
      <c r="N203">
        <v>0.32700000000000001</v>
      </c>
      <c r="O203">
        <v>1.2999999999999999E-2</v>
      </c>
      <c r="P203">
        <v>4.8000000000000001E-2</v>
      </c>
      <c r="Q203">
        <v>0.20100000000000001</v>
      </c>
      <c r="R203">
        <v>0.68799999999999994</v>
      </c>
      <c r="S203">
        <v>0.96199999999999997</v>
      </c>
      <c r="T203">
        <v>0.85899999999999999</v>
      </c>
      <c r="U203">
        <v>696.51700000000005</v>
      </c>
      <c r="V203" t="s">
        <v>58</v>
      </c>
      <c r="W203">
        <v>0.94</v>
      </c>
      <c r="X203">
        <v>0.94299999999999995</v>
      </c>
      <c r="Y203">
        <v>0.81399999999999995</v>
      </c>
      <c r="Z203">
        <v>0.97699999999999998</v>
      </c>
      <c r="AA203" s="9">
        <v>45713.676968148146</v>
      </c>
      <c r="AB203" t="s">
        <v>873</v>
      </c>
      <c r="AC203" s="9"/>
    </row>
    <row r="204" spans="1:29" hidden="1" x14ac:dyDescent="0.35">
      <c r="A204" t="s">
        <v>204</v>
      </c>
      <c r="B204" t="s">
        <v>314</v>
      </c>
      <c r="C204">
        <v>99</v>
      </c>
      <c r="D204" s="9">
        <v>45505.104166666664</v>
      </c>
      <c r="E204" s="9">
        <v>45604.96597222222</v>
      </c>
      <c r="F204" t="s">
        <v>874</v>
      </c>
      <c r="G204" t="s">
        <v>874</v>
      </c>
      <c r="H204">
        <v>37</v>
      </c>
      <c r="I204">
        <v>3</v>
      </c>
      <c r="J204">
        <v>11</v>
      </c>
      <c r="K204" t="s">
        <v>875</v>
      </c>
      <c r="L204">
        <v>20</v>
      </c>
      <c r="M204">
        <v>10</v>
      </c>
      <c r="N204">
        <v>0.377</v>
      </c>
      <c r="O204">
        <v>0.28999999999999998</v>
      </c>
      <c r="P204">
        <v>9.6000000000000002E-2</v>
      </c>
      <c r="Q204">
        <v>0.16400000000000001</v>
      </c>
      <c r="R204">
        <v>0.28699999999999998</v>
      </c>
      <c r="S204">
        <v>0.56499999999999995</v>
      </c>
      <c r="T204">
        <v>0.85599999999999998</v>
      </c>
      <c r="U204">
        <v>853.65899999999999</v>
      </c>
      <c r="V204" t="s">
        <v>58</v>
      </c>
      <c r="W204">
        <v>0.90900000000000003</v>
      </c>
      <c r="X204">
        <v>0.871</v>
      </c>
      <c r="Y204">
        <v>0.5</v>
      </c>
      <c r="Z204">
        <v>0.93600000000000005</v>
      </c>
      <c r="AA204" s="9">
        <v>45713.676983483798</v>
      </c>
      <c r="AB204" t="s">
        <v>873</v>
      </c>
      <c r="AC204" s="9"/>
    </row>
    <row r="205" spans="1:29" x14ac:dyDescent="0.35">
      <c r="A205" t="s">
        <v>205</v>
      </c>
      <c r="B205" t="s">
        <v>313</v>
      </c>
      <c r="C205">
        <v>1672</v>
      </c>
      <c r="D205" s="9">
        <v>43935.62222222222</v>
      </c>
      <c r="E205" s="9">
        <v>45608.521527777775</v>
      </c>
      <c r="F205">
        <v>2172</v>
      </c>
      <c r="G205">
        <v>2051</v>
      </c>
      <c r="H205">
        <v>1403</v>
      </c>
      <c r="I205">
        <v>648</v>
      </c>
      <c r="J205">
        <v>372</v>
      </c>
      <c r="K205">
        <v>1679</v>
      </c>
      <c r="L205">
        <v>1301</v>
      </c>
      <c r="M205">
        <v>378</v>
      </c>
      <c r="N205">
        <v>1.2749999999999999</v>
      </c>
      <c r="O205">
        <v>0.627</v>
      </c>
      <c r="P205">
        <v>0.379</v>
      </c>
      <c r="Q205">
        <v>1.2509999999999999</v>
      </c>
      <c r="R205">
        <v>0.82099999999999995</v>
      </c>
      <c r="S205">
        <v>0.67</v>
      </c>
      <c r="T205">
        <v>0.80100000000000005</v>
      </c>
      <c r="U205">
        <v>302.15800000000002</v>
      </c>
      <c r="V205" t="s">
        <v>58</v>
      </c>
      <c r="W205">
        <v>0.94099999999999995</v>
      </c>
      <c r="X205">
        <v>0.99299999999999999</v>
      </c>
      <c r="Y205">
        <v>0.92700000000000005</v>
      </c>
      <c r="Z205">
        <v>0.96199999999999997</v>
      </c>
      <c r="AA205" s="9">
        <v>45713.677068425925</v>
      </c>
      <c r="AB205" t="s">
        <v>873</v>
      </c>
      <c r="AC205" s="9"/>
    </row>
    <row r="206" spans="1:29" hidden="1" x14ac:dyDescent="0.35">
      <c r="A206" t="s">
        <v>205</v>
      </c>
      <c r="B206" t="s">
        <v>314</v>
      </c>
      <c r="C206">
        <v>99</v>
      </c>
      <c r="D206" s="9">
        <v>45509.323611111111</v>
      </c>
      <c r="E206" s="9">
        <v>45608.521527777775</v>
      </c>
      <c r="F206" t="s">
        <v>874</v>
      </c>
      <c r="G206" t="s">
        <v>874</v>
      </c>
      <c r="H206">
        <v>143</v>
      </c>
      <c r="I206">
        <v>59</v>
      </c>
      <c r="J206">
        <v>96</v>
      </c>
      <c r="K206" t="s">
        <v>875</v>
      </c>
      <c r="L206">
        <v>165</v>
      </c>
      <c r="M206">
        <v>-58</v>
      </c>
      <c r="N206">
        <v>1.454</v>
      </c>
      <c r="O206">
        <v>0.60599999999999998</v>
      </c>
      <c r="P206">
        <v>0.95499999999999996</v>
      </c>
      <c r="Q206">
        <v>1.7789999999999999</v>
      </c>
      <c r="R206">
        <v>1.61</v>
      </c>
      <c r="S206">
        <v>0.70599999999999996</v>
      </c>
      <c r="T206">
        <v>0.53600000000000003</v>
      </c>
      <c r="U206">
        <v>212.47900000000001</v>
      </c>
      <c r="V206" t="s">
        <v>64</v>
      </c>
      <c r="W206">
        <v>0.99199999999999999</v>
      </c>
      <c r="X206">
        <v>0.94299999999999995</v>
      </c>
      <c r="Y206">
        <v>0.92500000000000004</v>
      </c>
      <c r="Z206">
        <v>0.97599999999999998</v>
      </c>
      <c r="AA206" s="9">
        <v>45713.677084849536</v>
      </c>
      <c r="AB206" t="s">
        <v>873</v>
      </c>
      <c r="AC206" s="9"/>
    </row>
    <row r="207" spans="1:29" x14ac:dyDescent="0.35">
      <c r="A207" t="s">
        <v>206</v>
      </c>
      <c r="B207" t="s">
        <v>313</v>
      </c>
      <c r="C207">
        <v>1676</v>
      </c>
      <c r="D207" s="9">
        <v>43927.515972222223</v>
      </c>
      <c r="E207" s="9">
        <v>45604.063888888886</v>
      </c>
      <c r="F207">
        <v>703</v>
      </c>
      <c r="G207">
        <v>697</v>
      </c>
      <c r="H207">
        <v>688</v>
      </c>
      <c r="I207">
        <v>9</v>
      </c>
      <c r="J207">
        <v>108</v>
      </c>
      <c r="K207">
        <v>589</v>
      </c>
      <c r="L207">
        <v>158</v>
      </c>
      <c r="M207">
        <v>431</v>
      </c>
      <c r="N207">
        <v>0.48599999999999999</v>
      </c>
      <c r="O207">
        <v>6.0000000000000001E-3</v>
      </c>
      <c r="P207">
        <v>9.5000000000000001E-2</v>
      </c>
      <c r="Q207">
        <v>0.14199999999999999</v>
      </c>
      <c r="R207">
        <v>0.35799999999999998</v>
      </c>
      <c r="S207">
        <v>0.98799999999999999</v>
      </c>
      <c r="T207">
        <v>0.80700000000000005</v>
      </c>
      <c r="U207">
        <v>3035.2109999999998</v>
      </c>
      <c r="V207" t="s">
        <v>58</v>
      </c>
      <c r="W207">
        <v>0.93300000000000005</v>
      </c>
      <c r="X207">
        <v>0.84599999999999997</v>
      </c>
      <c r="Y207">
        <v>0.94799999999999995</v>
      </c>
      <c r="Z207">
        <v>0.84199999999999997</v>
      </c>
      <c r="AA207" s="9">
        <v>45713.677164386572</v>
      </c>
      <c r="AB207" t="s">
        <v>873</v>
      </c>
      <c r="AC207" s="9"/>
    </row>
    <row r="208" spans="1:29" x14ac:dyDescent="0.35">
      <c r="A208" t="s">
        <v>207</v>
      </c>
      <c r="B208" t="s">
        <v>313</v>
      </c>
      <c r="C208">
        <v>1824</v>
      </c>
      <c r="D208" s="9">
        <v>43783.620833333334</v>
      </c>
      <c r="E208" s="9">
        <v>45607.706944444442</v>
      </c>
      <c r="F208">
        <v>1053</v>
      </c>
      <c r="G208">
        <v>1002</v>
      </c>
      <c r="H208">
        <v>645</v>
      </c>
      <c r="I208">
        <v>357</v>
      </c>
      <c r="J208">
        <v>169</v>
      </c>
      <c r="K208">
        <v>833</v>
      </c>
      <c r="L208">
        <v>527</v>
      </c>
      <c r="M208">
        <v>306</v>
      </c>
      <c r="N208">
        <v>0.51400000000000001</v>
      </c>
      <c r="O208">
        <v>0.42199999999999999</v>
      </c>
      <c r="P208">
        <v>0.317</v>
      </c>
      <c r="Q208">
        <v>0.88900000000000001</v>
      </c>
      <c r="R208">
        <v>1.4359999999999999</v>
      </c>
      <c r="S208">
        <v>0.54900000000000004</v>
      </c>
      <c r="T208">
        <v>0.66100000000000003</v>
      </c>
      <c r="U208">
        <v>344.20699999999999</v>
      </c>
      <c r="V208" t="s">
        <v>64</v>
      </c>
      <c r="W208">
        <v>0.77100000000000002</v>
      </c>
      <c r="X208">
        <v>0.89700000000000002</v>
      </c>
      <c r="Y208">
        <v>0.95099999999999996</v>
      </c>
      <c r="Z208">
        <v>0.86499999999999999</v>
      </c>
      <c r="AA208" s="9">
        <v>45713.677245266204</v>
      </c>
      <c r="AB208" t="s">
        <v>873</v>
      </c>
      <c r="AC208" s="9"/>
    </row>
    <row r="209" spans="1:29" hidden="1" x14ac:dyDescent="0.35">
      <c r="A209" t="s">
        <v>207</v>
      </c>
      <c r="B209" t="s">
        <v>314</v>
      </c>
      <c r="C209">
        <v>98</v>
      </c>
      <c r="D209" s="9">
        <v>45509.286805555559</v>
      </c>
      <c r="E209" s="9">
        <v>45607.706944444442</v>
      </c>
      <c r="F209" t="s">
        <v>874</v>
      </c>
      <c r="G209" t="s">
        <v>874</v>
      </c>
      <c r="H209">
        <v>95</v>
      </c>
      <c r="I209">
        <v>57</v>
      </c>
      <c r="J209">
        <v>20</v>
      </c>
      <c r="K209" t="s">
        <v>875</v>
      </c>
      <c r="L209">
        <v>83</v>
      </c>
      <c r="M209">
        <v>50</v>
      </c>
      <c r="N209">
        <v>1.0349999999999999</v>
      </c>
      <c r="O209">
        <v>0.77500000000000002</v>
      </c>
      <c r="P209">
        <v>0.17699999999999999</v>
      </c>
      <c r="Q209">
        <v>0.95899999999999996</v>
      </c>
      <c r="R209">
        <v>0.58699999999999997</v>
      </c>
      <c r="S209">
        <v>0.57199999999999995</v>
      </c>
      <c r="T209">
        <v>0.90200000000000002</v>
      </c>
      <c r="U209">
        <v>319.08199999999999</v>
      </c>
      <c r="V209" t="s">
        <v>58</v>
      </c>
      <c r="W209">
        <v>0.96399999999999997</v>
      </c>
      <c r="X209">
        <v>0.95799999999999996</v>
      </c>
      <c r="Y209">
        <v>0.91800000000000004</v>
      </c>
      <c r="Z209">
        <v>0.96699999999999997</v>
      </c>
      <c r="AA209" s="9">
        <v>45713.677261249999</v>
      </c>
      <c r="AB209" t="s">
        <v>873</v>
      </c>
      <c r="AC209" s="9"/>
    </row>
    <row r="210" spans="1:29" x14ac:dyDescent="0.35">
      <c r="A210" t="s">
        <v>208</v>
      </c>
      <c r="B210" t="s">
        <v>313</v>
      </c>
      <c r="C210">
        <v>1960</v>
      </c>
      <c r="D210" s="9">
        <v>43647.65902777778</v>
      </c>
      <c r="E210" s="9">
        <v>45608.553472222222</v>
      </c>
      <c r="F210">
        <v>1963</v>
      </c>
      <c r="G210">
        <v>1796</v>
      </c>
      <c r="H210">
        <v>1069</v>
      </c>
      <c r="I210">
        <v>727</v>
      </c>
      <c r="J210">
        <v>189</v>
      </c>
      <c r="K210">
        <v>1607</v>
      </c>
      <c r="L210">
        <v>972</v>
      </c>
      <c r="M210">
        <v>635</v>
      </c>
      <c r="N210">
        <v>0.89800000000000002</v>
      </c>
      <c r="O210">
        <v>0.66400000000000003</v>
      </c>
      <c r="P210">
        <v>0.44</v>
      </c>
      <c r="Q210">
        <v>2.4620000000000002</v>
      </c>
      <c r="R210">
        <v>2.194</v>
      </c>
      <c r="S210">
        <v>0.57499999999999996</v>
      </c>
      <c r="T210">
        <v>0.71799999999999997</v>
      </c>
      <c r="U210">
        <v>257.92</v>
      </c>
      <c r="V210" t="s">
        <v>64</v>
      </c>
      <c r="W210">
        <v>0.73299999999999998</v>
      </c>
      <c r="X210">
        <v>0.82199999999999995</v>
      </c>
      <c r="Y210">
        <v>0.95899999999999996</v>
      </c>
      <c r="Z210">
        <v>0.997</v>
      </c>
      <c r="AA210" s="9">
        <v>45713.677344826392</v>
      </c>
      <c r="AB210" t="s">
        <v>873</v>
      </c>
      <c r="AC210" s="9"/>
    </row>
    <row r="211" spans="1:29" hidden="1" x14ac:dyDescent="0.35">
      <c r="A211" t="s">
        <v>208</v>
      </c>
      <c r="B211" t="s">
        <v>314</v>
      </c>
      <c r="C211">
        <v>99</v>
      </c>
      <c r="D211" s="9">
        <v>45509.414583333331</v>
      </c>
      <c r="E211" s="9">
        <v>45608.553472222222</v>
      </c>
      <c r="F211" t="s">
        <v>874</v>
      </c>
      <c r="G211" t="s">
        <v>874</v>
      </c>
      <c r="H211">
        <v>304</v>
      </c>
      <c r="I211">
        <v>117</v>
      </c>
      <c r="J211">
        <v>89</v>
      </c>
      <c r="K211" t="s">
        <v>875</v>
      </c>
      <c r="L211">
        <v>260</v>
      </c>
      <c r="M211">
        <v>71</v>
      </c>
      <c r="N211">
        <v>3.2519999999999998</v>
      </c>
      <c r="O211">
        <v>1.1140000000000001</v>
      </c>
      <c r="P211">
        <v>0.95</v>
      </c>
      <c r="Q211">
        <v>2.5529999999999999</v>
      </c>
      <c r="R211">
        <v>0.747</v>
      </c>
      <c r="S211">
        <v>0.745</v>
      </c>
      <c r="T211">
        <v>0.78200000000000003</v>
      </c>
      <c r="U211">
        <v>248.727</v>
      </c>
      <c r="V211" t="s">
        <v>58</v>
      </c>
      <c r="W211">
        <v>0.99</v>
      </c>
      <c r="X211">
        <v>0.99099999999999999</v>
      </c>
      <c r="Y211">
        <v>0.91700000000000004</v>
      </c>
      <c r="Z211">
        <v>0.996</v>
      </c>
      <c r="AA211" s="9">
        <v>45713.677361400463</v>
      </c>
      <c r="AB211" t="s">
        <v>873</v>
      </c>
      <c r="AC211" s="9"/>
    </row>
    <row r="212" spans="1:29" x14ac:dyDescent="0.35">
      <c r="A212" t="s">
        <v>209</v>
      </c>
      <c r="B212" t="s">
        <v>313</v>
      </c>
      <c r="C212">
        <v>1831</v>
      </c>
      <c r="D212" s="9">
        <v>43777.092361111114</v>
      </c>
      <c r="E212" s="9">
        <v>45608.574305555558</v>
      </c>
      <c r="F212">
        <v>25361</v>
      </c>
      <c r="G212">
        <v>25361</v>
      </c>
      <c r="H212">
        <v>0</v>
      </c>
      <c r="I212">
        <v>25361</v>
      </c>
      <c r="J212">
        <v>5708</v>
      </c>
      <c r="K212">
        <v>19653</v>
      </c>
      <c r="L212">
        <v>15452</v>
      </c>
      <c r="M212">
        <v>4201</v>
      </c>
      <c r="N212">
        <v>0</v>
      </c>
      <c r="O212">
        <v>27.427</v>
      </c>
      <c r="P212">
        <v>7.431</v>
      </c>
      <c r="Q212">
        <v>20.306000000000001</v>
      </c>
      <c r="R212">
        <v>1.016</v>
      </c>
      <c r="S212">
        <v>0</v>
      </c>
      <c r="T212">
        <v>0.72899999999999998</v>
      </c>
      <c r="U212">
        <v>206.88499999999999</v>
      </c>
      <c r="V212" t="s">
        <v>64</v>
      </c>
      <c r="W212">
        <v>0</v>
      </c>
      <c r="X212">
        <v>0.95599999999999996</v>
      </c>
      <c r="Y212">
        <v>0.996</v>
      </c>
      <c r="Z212">
        <v>0.98899999999999999</v>
      </c>
      <c r="AA212" s="9">
        <v>45713.677488692127</v>
      </c>
      <c r="AB212" t="s">
        <v>873</v>
      </c>
      <c r="AC212" s="9"/>
    </row>
    <row r="213" spans="1:29" x14ac:dyDescent="0.35">
      <c r="A213" t="s">
        <v>210</v>
      </c>
      <c r="B213" t="s">
        <v>313</v>
      </c>
      <c r="C213">
        <v>2307</v>
      </c>
      <c r="D213" s="9">
        <v>43294.82916666667</v>
      </c>
      <c r="E213" s="9">
        <v>45601.82916666667</v>
      </c>
      <c r="F213">
        <v>113</v>
      </c>
      <c r="G213">
        <v>85</v>
      </c>
      <c r="H213">
        <v>84</v>
      </c>
      <c r="I213">
        <v>1</v>
      </c>
      <c r="J213">
        <v>34</v>
      </c>
      <c r="K213">
        <v>51</v>
      </c>
      <c r="L213">
        <v>45</v>
      </c>
      <c r="M213">
        <v>6</v>
      </c>
      <c r="N213">
        <v>4.3999999999999997E-2</v>
      </c>
      <c r="O213">
        <v>0</v>
      </c>
      <c r="P213">
        <v>3.6999999999999998E-2</v>
      </c>
      <c r="Q213">
        <v>3.6999999999999998E-2</v>
      </c>
      <c r="R213">
        <v>5.2859999999999996</v>
      </c>
      <c r="S213">
        <v>1</v>
      </c>
      <c r="T213">
        <v>0.159</v>
      </c>
      <c r="U213">
        <v>162.16200000000001</v>
      </c>
      <c r="V213" t="s">
        <v>64</v>
      </c>
      <c r="W213">
        <v>0.94699999999999995</v>
      </c>
      <c r="X213">
        <v>0</v>
      </c>
      <c r="Y213">
        <v>0.84399999999999997</v>
      </c>
      <c r="Z213">
        <v>0.97099999999999997</v>
      </c>
      <c r="AA213" s="9">
        <v>45713.677565879632</v>
      </c>
      <c r="AB213" t="s">
        <v>873</v>
      </c>
      <c r="AC213" s="9"/>
    </row>
    <row r="214" spans="1:29" x14ac:dyDescent="0.35">
      <c r="A214" t="s">
        <v>211</v>
      </c>
      <c r="B214" t="s">
        <v>313</v>
      </c>
      <c r="C214">
        <v>1387</v>
      </c>
      <c r="D214" s="9">
        <v>44221.311805555553</v>
      </c>
      <c r="E214" s="9">
        <v>45609.268055555556</v>
      </c>
      <c r="F214">
        <v>1254</v>
      </c>
      <c r="G214">
        <v>1108</v>
      </c>
      <c r="H214">
        <v>1099</v>
      </c>
      <c r="I214">
        <v>9</v>
      </c>
      <c r="J214">
        <v>183</v>
      </c>
      <c r="K214">
        <v>925</v>
      </c>
      <c r="L214">
        <v>693</v>
      </c>
      <c r="M214">
        <v>232</v>
      </c>
      <c r="N214">
        <v>0.84099999999999997</v>
      </c>
      <c r="O214">
        <v>8.0000000000000002E-3</v>
      </c>
      <c r="P214">
        <v>0.14099999999999999</v>
      </c>
      <c r="Q214">
        <v>0.56000000000000005</v>
      </c>
      <c r="R214">
        <v>0.79100000000000004</v>
      </c>
      <c r="S214">
        <v>0.99099999999999999</v>
      </c>
      <c r="T214">
        <v>0.83399999999999996</v>
      </c>
      <c r="U214">
        <v>414.286</v>
      </c>
      <c r="V214" t="s">
        <v>58</v>
      </c>
      <c r="W214">
        <v>0.97899999999999998</v>
      </c>
      <c r="X214">
        <v>0.92600000000000005</v>
      </c>
      <c r="Y214">
        <v>0.83699999999999997</v>
      </c>
      <c r="Z214">
        <v>0.996</v>
      </c>
      <c r="AA214" s="9">
        <v>45713.677654259256</v>
      </c>
      <c r="AB214" t="s">
        <v>873</v>
      </c>
      <c r="AC214" s="9"/>
    </row>
    <row r="215" spans="1:29" x14ac:dyDescent="0.35">
      <c r="A215" t="s">
        <v>212</v>
      </c>
      <c r="B215" t="s">
        <v>313</v>
      </c>
      <c r="C215">
        <v>1397</v>
      </c>
      <c r="D215" s="9">
        <v>44210.468055555553</v>
      </c>
      <c r="E215" s="9">
        <v>45607.750694444447</v>
      </c>
      <c r="F215">
        <v>1618</v>
      </c>
      <c r="G215">
        <v>1428</v>
      </c>
      <c r="H215">
        <v>1406</v>
      </c>
      <c r="I215">
        <v>22</v>
      </c>
      <c r="J215">
        <v>252</v>
      </c>
      <c r="K215">
        <v>1176</v>
      </c>
      <c r="L215">
        <v>939</v>
      </c>
      <c r="M215">
        <v>237</v>
      </c>
      <c r="N215">
        <v>1.083</v>
      </c>
      <c r="O215">
        <v>0.02</v>
      </c>
      <c r="P215">
        <v>0.20699999999999999</v>
      </c>
      <c r="Q215">
        <v>0.79600000000000004</v>
      </c>
      <c r="R215">
        <v>0.88800000000000001</v>
      </c>
      <c r="S215">
        <v>0.98199999999999998</v>
      </c>
      <c r="T215">
        <v>0.81200000000000006</v>
      </c>
      <c r="U215">
        <v>297.73899999999998</v>
      </c>
      <c r="V215" t="s">
        <v>58</v>
      </c>
      <c r="W215">
        <v>0.97</v>
      </c>
      <c r="X215">
        <v>0.96799999999999997</v>
      </c>
      <c r="Y215">
        <v>0.88600000000000001</v>
      </c>
      <c r="Z215">
        <v>0.97899999999999998</v>
      </c>
      <c r="AA215" s="9">
        <v>45713.677742997686</v>
      </c>
      <c r="AB215" t="s">
        <v>873</v>
      </c>
      <c r="AC215" s="9"/>
    </row>
    <row r="216" spans="1:29" hidden="1" x14ac:dyDescent="0.35">
      <c r="A216" t="s">
        <v>212</v>
      </c>
      <c r="B216" t="s">
        <v>314</v>
      </c>
      <c r="C216">
        <v>96</v>
      </c>
      <c r="D216" s="9">
        <v>45510.96875</v>
      </c>
      <c r="E216" s="9">
        <v>45607.750694444447</v>
      </c>
      <c r="F216" t="s">
        <v>874</v>
      </c>
      <c r="G216" t="s">
        <v>874</v>
      </c>
      <c r="H216">
        <v>155</v>
      </c>
      <c r="I216">
        <v>2</v>
      </c>
      <c r="J216">
        <v>38</v>
      </c>
      <c r="K216" t="s">
        <v>875</v>
      </c>
      <c r="L216">
        <v>98</v>
      </c>
      <c r="M216">
        <v>20</v>
      </c>
      <c r="N216">
        <v>1.7150000000000001</v>
      </c>
      <c r="O216">
        <v>1.6E-2</v>
      </c>
      <c r="P216">
        <v>0.45100000000000001</v>
      </c>
      <c r="Q216">
        <v>1.02</v>
      </c>
      <c r="R216">
        <v>0.79700000000000004</v>
      </c>
      <c r="S216">
        <v>0.99099999999999999</v>
      </c>
      <c r="T216">
        <v>0.73899999999999999</v>
      </c>
      <c r="U216">
        <v>232.35300000000001</v>
      </c>
      <c r="V216" t="s">
        <v>58</v>
      </c>
      <c r="W216">
        <v>0.98099999999999998</v>
      </c>
      <c r="X216">
        <v>1</v>
      </c>
      <c r="Y216">
        <v>0.872</v>
      </c>
      <c r="Z216">
        <v>0.97899999999999998</v>
      </c>
      <c r="AA216" s="9">
        <v>45713.67776042824</v>
      </c>
      <c r="AB216" t="s">
        <v>873</v>
      </c>
      <c r="AC216" s="9"/>
    </row>
    <row r="217" spans="1:29" x14ac:dyDescent="0.35">
      <c r="A217" t="s">
        <v>213</v>
      </c>
      <c r="B217" t="s">
        <v>313</v>
      </c>
      <c r="C217">
        <v>1850</v>
      </c>
      <c r="D217" s="9">
        <v>43752.644444444442</v>
      </c>
      <c r="E217" s="9">
        <v>45602.79583333333</v>
      </c>
      <c r="F217">
        <v>439</v>
      </c>
      <c r="G217">
        <v>411</v>
      </c>
      <c r="H217">
        <v>409</v>
      </c>
      <c r="I217">
        <v>2</v>
      </c>
      <c r="J217">
        <v>87</v>
      </c>
      <c r="K217">
        <v>324</v>
      </c>
      <c r="L217">
        <v>186</v>
      </c>
      <c r="M217">
        <v>138</v>
      </c>
      <c r="N217">
        <v>0.374</v>
      </c>
      <c r="O217">
        <v>2E-3</v>
      </c>
      <c r="P217">
        <v>7.1999999999999995E-2</v>
      </c>
      <c r="Q217">
        <v>0.16200000000000001</v>
      </c>
      <c r="R217">
        <v>0.53300000000000003</v>
      </c>
      <c r="S217">
        <v>0.995</v>
      </c>
      <c r="T217">
        <v>0.80900000000000005</v>
      </c>
      <c r="U217">
        <v>851.85199999999998</v>
      </c>
      <c r="V217" t="s">
        <v>58</v>
      </c>
      <c r="W217">
        <v>0.86499999999999999</v>
      </c>
      <c r="X217">
        <v>1</v>
      </c>
      <c r="Y217">
        <v>0.96099999999999997</v>
      </c>
      <c r="Z217">
        <v>0.92100000000000004</v>
      </c>
      <c r="AA217" s="9">
        <v>45713.677838078707</v>
      </c>
      <c r="AB217" t="s">
        <v>873</v>
      </c>
      <c r="AC217" s="9"/>
    </row>
    <row r="218" spans="1:29" x14ac:dyDescent="0.35">
      <c r="A218" t="s">
        <v>214</v>
      </c>
      <c r="B218" t="s">
        <v>313</v>
      </c>
      <c r="C218">
        <v>1889</v>
      </c>
      <c r="D218" s="9">
        <v>43719.491666666669</v>
      </c>
      <c r="E218" s="9">
        <v>45608.934027777781</v>
      </c>
      <c r="F218">
        <v>1482</v>
      </c>
      <c r="G218">
        <v>1482</v>
      </c>
      <c r="H218">
        <v>1482</v>
      </c>
      <c r="I218">
        <v>0</v>
      </c>
      <c r="J218">
        <v>117</v>
      </c>
      <c r="K218">
        <v>1365</v>
      </c>
      <c r="L218">
        <v>626</v>
      </c>
      <c r="M218">
        <v>739</v>
      </c>
      <c r="N218">
        <v>1.33</v>
      </c>
      <c r="O218">
        <v>0</v>
      </c>
      <c r="P218">
        <v>0.157</v>
      </c>
      <c r="Q218">
        <v>0.88</v>
      </c>
      <c r="R218">
        <v>0.75</v>
      </c>
      <c r="S218">
        <v>1</v>
      </c>
      <c r="T218">
        <v>0.88200000000000001</v>
      </c>
      <c r="U218">
        <v>839.77300000000002</v>
      </c>
      <c r="V218" t="s">
        <v>58</v>
      </c>
      <c r="W218">
        <v>0.85299999999999998</v>
      </c>
      <c r="X218">
        <v>0</v>
      </c>
      <c r="Y218">
        <v>0.91400000000000003</v>
      </c>
      <c r="Z218">
        <v>0.95599999999999996</v>
      </c>
      <c r="AA218" s="9">
        <v>45713.677927488425</v>
      </c>
      <c r="AB218" t="s">
        <v>873</v>
      </c>
      <c r="AC218" s="9"/>
    </row>
    <row r="219" spans="1:29" x14ac:dyDescent="0.35">
      <c r="A219" t="s">
        <v>215</v>
      </c>
      <c r="B219" t="s">
        <v>313</v>
      </c>
      <c r="C219">
        <v>1829</v>
      </c>
      <c r="D219" s="9">
        <v>43774.550694444442</v>
      </c>
      <c r="E219" s="9">
        <v>45603.59375</v>
      </c>
      <c r="F219">
        <v>1850</v>
      </c>
      <c r="G219">
        <v>1591</v>
      </c>
      <c r="H219">
        <v>1001</v>
      </c>
      <c r="I219">
        <v>590</v>
      </c>
      <c r="J219">
        <v>209</v>
      </c>
      <c r="K219">
        <v>1382</v>
      </c>
      <c r="L219">
        <v>1309</v>
      </c>
      <c r="M219">
        <v>73</v>
      </c>
      <c r="N219">
        <v>0.628</v>
      </c>
      <c r="O219">
        <v>1.1930000000000001</v>
      </c>
      <c r="P219">
        <v>0.14799999999999999</v>
      </c>
      <c r="Q219">
        <v>0.84399999999999997</v>
      </c>
      <c r="R219">
        <v>0.504</v>
      </c>
      <c r="S219">
        <v>0.34499999999999997</v>
      </c>
      <c r="T219">
        <v>0.91900000000000004</v>
      </c>
      <c r="U219">
        <v>86.492999999999995</v>
      </c>
      <c r="V219" t="s">
        <v>58</v>
      </c>
      <c r="W219">
        <v>0.95199999999999996</v>
      </c>
      <c r="X219">
        <v>0.77100000000000002</v>
      </c>
      <c r="Y219">
        <v>0.72099999999999997</v>
      </c>
      <c r="Z219">
        <v>0.84599999999999997</v>
      </c>
      <c r="AA219" s="9">
        <v>45713.678028738424</v>
      </c>
      <c r="AB219" t="s">
        <v>873</v>
      </c>
      <c r="AC219" s="9"/>
    </row>
    <row r="220" spans="1:29" x14ac:dyDescent="0.35">
      <c r="A220" t="s">
        <v>216</v>
      </c>
      <c r="B220" t="s">
        <v>313</v>
      </c>
      <c r="C220">
        <v>1320</v>
      </c>
      <c r="D220" s="9">
        <v>44224.802083333336</v>
      </c>
      <c r="E220" s="9">
        <v>45545.081944444442</v>
      </c>
      <c r="F220">
        <v>415</v>
      </c>
      <c r="G220">
        <v>406</v>
      </c>
      <c r="H220">
        <v>342</v>
      </c>
      <c r="I220">
        <v>64</v>
      </c>
      <c r="J220">
        <v>1</v>
      </c>
      <c r="K220">
        <v>405</v>
      </c>
      <c r="L220">
        <v>149</v>
      </c>
      <c r="M220">
        <v>256</v>
      </c>
      <c r="N220">
        <v>0.754</v>
      </c>
      <c r="O220">
        <v>0.14699999999999999</v>
      </c>
      <c r="P220">
        <v>0</v>
      </c>
      <c r="Q220">
        <v>9.9000000000000005E-2</v>
      </c>
      <c r="R220">
        <v>0.11</v>
      </c>
      <c r="S220">
        <v>0.83699999999999997</v>
      </c>
      <c r="T220">
        <v>1</v>
      </c>
      <c r="U220">
        <v>2585.8589999999999</v>
      </c>
      <c r="V220" t="s">
        <v>58</v>
      </c>
      <c r="W220">
        <v>0.88100000000000001</v>
      </c>
      <c r="X220">
        <v>0.97199999999999998</v>
      </c>
      <c r="Y220">
        <v>0</v>
      </c>
      <c r="Z220">
        <v>0.57899999999999996</v>
      </c>
      <c r="AA220" s="9">
        <v>45713.678103958337</v>
      </c>
      <c r="AB220" t="s">
        <v>873</v>
      </c>
      <c r="AC220" s="9"/>
    </row>
    <row r="221" spans="1:29" x14ac:dyDescent="0.35">
      <c r="A221" t="s">
        <v>217</v>
      </c>
      <c r="B221" t="s">
        <v>313</v>
      </c>
      <c r="C221">
        <v>962</v>
      </c>
      <c r="D221" s="9">
        <v>44628.657638888886</v>
      </c>
      <c r="E221" s="9">
        <v>45590.686805555553</v>
      </c>
      <c r="F221">
        <v>212</v>
      </c>
      <c r="G221">
        <v>183</v>
      </c>
      <c r="H221">
        <v>163</v>
      </c>
      <c r="I221">
        <v>20</v>
      </c>
      <c r="J221">
        <v>28</v>
      </c>
      <c r="K221">
        <v>155</v>
      </c>
      <c r="L221">
        <v>106</v>
      </c>
      <c r="M221">
        <v>49</v>
      </c>
      <c r="N221">
        <v>0.249</v>
      </c>
      <c r="O221">
        <v>1.7999999999999999E-2</v>
      </c>
      <c r="P221">
        <v>4.2999999999999997E-2</v>
      </c>
      <c r="Q221">
        <v>0.12</v>
      </c>
      <c r="R221">
        <v>0.53600000000000003</v>
      </c>
      <c r="S221">
        <v>0.93300000000000005</v>
      </c>
      <c r="T221">
        <v>0.83899999999999997</v>
      </c>
      <c r="U221">
        <v>408.33300000000003</v>
      </c>
      <c r="V221" t="s">
        <v>58</v>
      </c>
      <c r="W221">
        <v>0.91100000000000003</v>
      </c>
      <c r="X221">
        <v>0.92200000000000004</v>
      </c>
      <c r="Y221">
        <v>0.85599999999999998</v>
      </c>
      <c r="Z221">
        <v>0.85699999999999998</v>
      </c>
      <c r="AA221" s="9">
        <v>45713.678184490738</v>
      </c>
      <c r="AB221" t="s">
        <v>873</v>
      </c>
      <c r="AC221" s="9"/>
    </row>
    <row r="222" spans="1:29" x14ac:dyDescent="0.35">
      <c r="A222" t="s">
        <v>218</v>
      </c>
      <c r="B222" t="s">
        <v>313</v>
      </c>
      <c r="C222">
        <v>900</v>
      </c>
      <c r="D222" s="9">
        <v>44658.82708333333</v>
      </c>
      <c r="E222" s="9">
        <v>45559.313888888886</v>
      </c>
      <c r="F222">
        <v>161</v>
      </c>
      <c r="G222">
        <v>129</v>
      </c>
      <c r="H222">
        <v>94</v>
      </c>
      <c r="I222">
        <v>35</v>
      </c>
      <c r="J222">
        <v>14</v>
      </c>
      <c r="K222">
        <v>115</v>
      </c>
      <c r="L222">
        <v>74</v>
      </c>
      <c r="M222">
        <v>41</v>
      </c>
      <c r="N222">
        <v>0.11700000000000001</v>
      </c>
      <c r="O222">
        <v>4.1000000000000002E-2</v>
      </c>
      <c r="P222">
        <v>1.6E-2</v>
      </c>
      <c r="Q222">
        <v>7.6999999999999999E-2</v>
      </c>
      <c r="R222">
        <v>0.54200000000000004</v>
      </c>
      <c r="S222">
        <v>0.74099999999999999</v>
      </c>
      <c r="T222">
        <v>0.89900000000000002</v>
      </c>
      <c r="U222">
        <v>532.46799999999996</v>
      </c>
      <c r="V222" t="s">
        <v>58</v>
      </c>
      <c r="W222">
        <v>0.91900000000000004</v>
      </c>
      <c r="X222">
        <v>0.82799999999999996</v>
      </c>
      <c r="Y222">
        <v>0.90700000000000003</v>
      </c>
      <c r="Z222">
        <v>0.91200000000000003</v>
      </c>
      <c r="AA222" s="9">
        <v>45713.678275393519</v>
      </c>
      <c r="AB222" t="s">
        <v>873</v>
      </c>
      <c r="AC222" s="9"/>
    </row>
    <row r="223" spans="1:29" x14ac:dyDescent="0.35">
      <c r="A223" t="s">
        <v>219</v>
      </c>
      <c r="B223" t="s">
        <v>313</v>
      </c>
      <c r="C223">
        <v>1322</v>
      </c>
      <c r="D223" s="9">
        <v>44230.40625</v>
      </c>
      <c r="E223" s="9">
        <v>45552.652083333334</v>
      </c>
      <c r="F223">
        <v>1299</v>
      </c>
      <c r="G223">
        <v>1192</v>
      </c>
      <c r="H223">
        <v>1163</v>
      </c>
      <c r="I223">
        <v>29</v>
      </c>
      <c r="J223">
        <v>319</v>
      </c>
      <c r="K223">
        <v>873</v>
      </c>
      <c r="L223">
        <v>765</v>
      </c>
      <c r="M223">
        <v>109</v>
      </c>
      <c r="N223">
        <v>0.94499999999999995</v>
      </c>
      <c r="O223">
        <v>2.3E-2</v>
      </c>
      <c r="P223">
        <v>0.27400000000000002</v>
      </c>
      <c r="Q223">
        <v>0.65</v>
      </c>
      <c r="R223">
        <v>0.93700000000000006</v>
      </c>
      <c r="S223">
        <v>0.97599999999999998</v>
      </c>
      <c r="T223">
        <v>0.71699999999999997</v>
      </c>
      <c r="U223">
        <v>167.69200000000001</v>
      </c>
      <c r="V223" t="s">
        <v>58</v>
      </c>
      <c r="W223">
        <v>0.997</v>
      </c>
      <c r="X223">
        <v>0.84299999999999997</v>
      </c>
      <c r="Y223">
        <v>0.90300000000000002</v>
      </c>
      <c r="Z223">
        <v>0.996</v>
      </c>
      <c r="AA223" s="9">
        <v>45713.678360868056</v>
      </c>
      <c r="AB223" t="s">
        <v>873</v>
      </c>
      <c r="AC223" s="9"/>
    </row>
    <row r="224" spans="1:29" hidden="1" x14ac:dyDescent="0.35">
      <c r="A224" t="s">
        <v>219</v>
      </c>
      <c r="B224" t="s">
        <v>314</v>
      </c>
      <c r="C224">
        <v>99</v>
      </c>
      <c r="D224" s="9">
        <v>45453.559027777781</v>
      </c>
      <c r="E224" s="9">
        <v>45552.652083333334</v>
      </c>
      <c r="F224" t="s">
        <v>874</v>
      </c>
      <c r="G224" t="s">
        <v>874</v>
      </c>
      <c r="H224">
        <v>2</v>
      </c>
      <c r="I224">
        <v>2</v>
      </c>
      <c r="J224">
        <v>10</v>
      </c>
      <c r="K224" t="s">
        <v>875</v>
      </c>
      <c r="L224">
        <v>9</v>
      </c>
      <c r="M224">
        <v>-16</v>
      </c>
      <c r="N224">
        <v>9.0999999999999998E-2</v>
      </c>
      <c r="O224">
        <v>0.16700000000000001</v>
      </c>
      <c r="P224">
        <v>8.8999999999999996E-2</v>
      </c>
      <c r="Q224">
        <v>0.113</v>
      </c>
      <c r="R224">
        <v>0.66900000000000004</v>
      </c>
      <c r="S224">
        <v>0.35299999999999998</v>
      </c>
      <c r="T224">
        <v>0.65500000000000003</v>
      </c>
      <c r="U224">
        <v>964.60199999999998</v>
      </c>
      <c r="V224" t="s">
        <v>58</v>
      </c>
      <c r="W224">
        <v>1</v>
      </c>
      <c r="X224">
        <v>1</v>
      </c>
      <c r="Y224">
        <v>0.74099999999999999</v>
      </c>
      <c r="Z224">
        <v>0.86</v>
      </c>
      <c r="AA224" s="9">
        <v>45713.678376122683</v>
      </c>
      <c r="AB224" t="s">
        <v>873</v>
      </c>
      <c r="AC224" s="9"/>
    </row>
    <row r="225" spans="1:29" x14ac:dyDescent="0.35">
      <c r="A225" t="s">
        <v>220</v>
      </c>
      <c r="B225" t="s">
        <v>313</v>
      </c>
      <c r="C225">
        <v>2809</v>
      </c>
      <c r="D225" s="9">
        <v>42793.550694444442</v>
      </c>
      <c r="E225" s="9">
        <v>45602.695833333331</v>
      </c>
      <c r="F225">
        <v>1041</v>
      </c>
      <c r="G225">
        <v>981</v>
      </c>
      <c r="H225">
        <v>697</v>
      </c>
      <c r="I225">
        <v>284</v>
      </c>
      <c r="J225">
        <v>136</v>
      </c>
      <c r="K225">
        <v>845</v>
      </c>
      <c r="L225">
        <v>680</v>
      </c>
      <c r="M225">
        <v>165</v>
      </c>
      <c r="N225">
        <v>0.42399999999999999</v>
      </c>
      <c r="O225">
        <v>0.125</v>
      </c>
      <c r="P225">
        <v>8.3000000000000004E-2</v>
      </c>
      <c r="Q225">
        <v>0.45200000000000001</v>
      </c>
      <c r="R225">
        <v>0.97</v>
      </c>
      <c r="S225">
        <v>0.77200000000000002</v>
      </c>
      <c r="T225">
        <v>0.84899999999999998</v>
      </c>
      <c r="U225">
        <v>365.04399999999998</v>
      </c>
      <c r="V225" t="s">
        <v>58</v>
      </c>
      <c r="W225">
        <v>0.92</v>
      </c>
      <c r="X225">
        <v>0.95099999999999996</v>
      </c>
      <c r="Y225">
        <v>0.92100000000000004</v>
      </c>
      <c r="Z225">
        <v>0.94099999999999995</v>
      </c>
      <c r="AA225" s="9">
        <v>45713.678462835647</v>
      </c>
      <c r="AB225" t="s">
        <v>873</v>
      </c>
      <c r="AC225" s="9"/>
    </row>
    <row r="226" spans="1:29" x14ac:dyDescent="0.35">
      <c r="A226" t="s">
        <v>221</v>
      </c>
      <c r="B226" t="s">
        <v>313</v>
      </c>
      <c r="C226">
        <v>1423</v>
      </c>
      <c r="D226" s="9">
        <v>44179.943749999999</v>
      </c>
      <c r="E226" s="9">
        <v>45603.779861111114</v>
      </c>
      <c r="F226">
        <v>510</v>
      </c>
      <c r="G226">
        <v>424</v>
      </c>
      <c r="H226">
        <v>413</v>
      </c>
      <c r="I226">
        <v>11</v>
      </c>
      <c r="J226">
        <v>106</v>
      </c>
      <c r="K226">
        <v>318</v>
      </c>
      <c r="L226">
        <v>210</v>
      </c>
      <c r="M226">
        <v>108</v>
      </c>
      <c r="N226">
        <v>0.35099999999999998</v>
      </c>
      <c r="O226">
        <v>1.2999999999999999E-2</v>
      </c>
      <c r="P226">
        <v>0.124</v>
      </c>
      <c r="Q226">
        <v>0.215</v>
      </c>
      <c r="R226">
        <v>0.89600000000000002</v>
      </c>
      <c r="S226">
        <v>0.96399999999999997</v>
      </c>
      <c r="T226">
        <v>0.65900000000000003</v>
      </c>
      <c r="U226">
        <v>502.32600000000002</v>
      </c>
      <c r="V226" t="s">
        <v>58</v>
      </c>
      <c r="W226">
        <v>0.92100000000000004</v>
      </c>
      <c r="X226">
        <v>0.79700000000000004</v>
      </c>
      <c r="Y226">
        <v>0.83</v>
      </c>
      <c r="Z226">
        <v>0.97299999999999998</v>
      </c>
      <c r="AA226" s="9">
        <v>45713.678555868057</v>
      </c>
      <c r="AB226" t="s">
        <v>873</v>
      </c>
      <c r="AC226" s="9"/>
    </row>
    <row r="227" spans="1:29" hidden="1" x14ac:dyDescent="0.35">
      <c r="A227" t="s">
        <v>221</v>
      </c>
      <c r="B227" t="s">
        <v>314</v>
      </c>
      <c r="C227">
        <v>99</v>
      </c>
      <c r="D227" s="9">
        <v>45504.373611111114</v>
      </c>
      <c r="E227" s="9">
        <v>45603.779861111114</v>
      </c>
      <c r="F227" t="s">
        <v>874</v>
      </c>
      <c r="G227" t="s">
        <v>874</v>
      </c>
      <c r="H227">
        <v>25</v>
      </c>
      <c r="I227">
        <v>2</v>
      </c>
      <c r="J227">
        <v>5</v>
      </c>
      <c r="K227" t="s">
        <v>875</v>
      </c>
      <c r="L227">
        <v>15</v>
      </c>
      <c r="M227">
        <v>8</v>
      </c>
      <c r="N227">
        <v>0.23499999999999999</v>
      </c>
      <c r="O227">
        <v>4.8000000000000001E-2</v>
      </c>
      <c r="P227">
        <v>5.7000000000000002E-2</v>
      </c>
      <c r="Q227">
        <v>0.152</v>
      </c>
      <c r="R227">
        <v>0.67300000000000004</v>
      </c>
      <c r="S227">
        <v>0.83</v>
      </c>
      <c r="T227">
        <v>0.79900000000000004</v>
      </c>
      <c r="U227">
        <v>710.52599999999995</v>
      </c>
      <c r="V227" t="s">
        <v>58</v>
      </c>
      <c r="W227">
        <v>0.95</v>
      </c>
      <c r="X227">
        <v>1</v>
      </c>
      <c r="Y227">
        <v>0.91500000000000004</v>
      </c>
      <c r="Z227">
        <v>0.86899999999999999</v>
      </c>
      <c r="AA227" s="9">
        <v>45713.678572685189</v>
      </c>
      <c r="AB227" t="s">
        <v>873</v>
      </c>
      <c r="AC227" s="9"/>
    </row>
    <row r="228" spans="1:29" x14ac:dyDescent="0.35">
      <c r="A228" t="s">
        <v>222</v>
      </c>
      <c r="B228" t="s">
        <v>313</v>
      </c>
      <c r="C228">
        <v>2065</v>
      </c>
      <c r="D228" s="9">
        <v>43542.629166666666</v>
      </c>
      <c r="E228" s="9">
        <v>45607.76458333333</v>
      </c>
      <c r="F228">
        <v>1285</v>
      </c>
      <c r="G228">
        <v>1134</v>
      </c>
      <c r="H228">
        <v>1102</v>
      </c>
      <c r="I228">
        <v>32</v>
      </c>
      <c r="J228">
        <v>279</v>
      </c>
      <c r="K228">
        <v>855</v>
      </c>
      <c r="L228">
        <v>661</v>
      </c>
      <c r="M228">
        <v>194</v>
      </c>
      <c r="N228">
        <v>0.70699999999999996</v>
      </c>
      <c r="O228">
        <v>0.03</v>
      </c>
      <c r="P228">
        <v>0.22900000000000001</v>
      </c>
      <c r="Q228">
        <v>0.45900000000000002</v>
      </c>
      <c r="R228">
        <v>0.90400000000000003</v>
      </c>
      <c r="S228">
        <v>0.95899999999999996</v>
      </c>
      <c r="T228">
        <v>0.68899999999999995</v>
      </c>
      <c r="U228">
        <v>422.65800000000002</v>
      </c>
      <c r="V228" t="s">
        <v>58</v>
      </c>
      <c r="W228">
        <v>0.96499999999999997</v>
      </c>
      <c r="X228">
        <v>0.48399999999999999</v>
      </c>
      <c r="Y228">
        <v>0.96299999999999997</v>
      </c>
      <c r="Z228">
        <v>0.98699999999999999</v>
      </c>
      <c r="AA228" s="9">
        <v>45713.678665555555</v>
      </c>
      <c r="AB228" t="s">
        <v>873</v>
      </c>
      <c r="AC228" s="9"/>
    </row>
    <row r="229" spans="1:29" x14ac:dyDescent="0.35">
      <c r="A229" t="s">
        <v>223</v>
      </c>
      <c r="B229" t="s">
        <v>313</v>
      </c>
      <c r="C229">
        <v>6182</v>
      </c>
      <c r="D229" s="9">
        <v>39224.413194444445</v>
      </c>
      <c r="E229" s="9">
        <v>45406.45416666667</v>
      </c>
      <c r="F229">
        <v>1771</v>
      </c>
      <c r="G229">
        <v>1763</v>
      </c>
      <c r="H229">
        <v>1138</v>
      </c>
      <c r="I229">
        <v>625</v>
      </c>
      <c r="J229">
        <v>398</v>
      </c>
      <c r="K229">
        <v>1365</v>
      </c>
      <c r="L229">
        <v>1363</v>
      </c>
      <c r="M229">
        <v>2</v>
      </c>
      <c r="N229">
        <v>0.27600000000000002</v>
      </c>
      <c r="O229">
        <v>0.20599999999999999</v>
      </c>
      <c r="P229">
        <v>7.5999999999999998E-2</v>
      </c>
      <c r="Q229">
        <v>0.36399999999999999</v>
      </c>
      <c r="R229">
        <v>0.89700000000000002</v>
      </c>
      <c r="S229">
        <v>0.57299999999999995</v>
      </c>
      <c r="T229">
        <v>0.84199999999999997</v>
      </c>
      <c r="U229">
        <v>5.4950000000000001</v>
      </c>
      <c r="V229" t="s">
        <v>82</v>
      </c>
      <c r="W229">
        <v>0.90700000000000003</v>
      </c>
      <c r="X229">
        <v>0.89500000000000002</v>
      </c>
      <c r="Y229">
        <v>0.92800000000000005</v>
      </c>
      <c r="Z229">
        <v>0.92500000000000004</v>
      </c>
      <c r="AA229" s="9">
        <v>45713.678749537037</v>
      </c>
      <c r="AB229" t="s">
        <v>873</v>
      </c>
      <c r="AC229" s="9"/>
    </row>
    <row r="230" spans="1:29" x14ac:dyDescent="0.35">
      <c r="A230" t="s">
        <v>224</v>
      </c>
      <c r="B230" t="s">
        <v>313</v>
      </c>
      <c r="C230">
        <v>1455</v>
      </c>
      <c r="D230" s="9">
        <v>44154.131249999999</v>
      </c>
      <c r="E230" s="9">
        <v>45609.646527777775</v>
      </c>
      <c r="F230">
        <v>1209</v>
      </c>
      <c r="G230">
        <v>1079</v>
      </c>
      <c r="H230">
        <v>1058</v>
      </c>
      <c r="I230">
        <v>21</v>
      </c>
      <c r="J230">
        <v>236</v>
      </c>
      <c r="K230">
        <v>843</v>
      </c>
      <c r="L230">
        <v>756</v>
      </c>
      <c r="M230">
        <v>87</v>
      </c>
      <c r="N230">
        <v>0.63</v>
      </c>
      <c r="O230">
        <v>1.4E-2</v>
      </c>
      <c r="P230">
        <v>0.16</v>
      </c>
      <c r="Q230">
        <v>0.48899999999999999</v>
      </c>
      <c r="R230">
        <v>1.01</v>
      </c>
      <c r="S230">
        <v>0.97799999999999998</v>
      </c>
      <c r="T230">
        <v>0.752</v>
      </c>
      <c r="U230">
        <v>177.91399999999999</v>
      </c>
      <c r="V230" t="s">
        <v>64</v>
      </c>
      <c r="W230">
        <v>0.97599999999999998</v>
      </c>
      <c r="X230">
        <v>0.91</v>
      </c>
      <c r="Y230">
        <v>0.98199999999999998</v>
      </c>
      <c r="Z230">
        <v>0.99</v>
      </c>
      <c r="AA230" s="9">
        <v>45713.678838611107</v>
      </c>
      <c r="AB230" t="s">
        <v>873</v>
      </c>
      <c r="AC230" s="9"/>
    </row>
    <row r="231" spans="1:29" x14ac:dyDescent="0.35">
      <c r="A231" t="s">
        <v>225</v>
      </c>
      <c r="B231" t="s">
        <v>313</v>
      </c>
      <c r="C231">
        <v>4599</v>
      </c>
      <c r="D231" s="9">
        <v>40798.258333333331</v>
      </c>
      <c r="E231" s="9">
        <v>45397.377083333333</v>
      </c>
      <c r="F231">
        <v>281</v>
      </c>
      <c r="G231">
        <v>281</v>
      </c>
      <c r="H231">
        <v>190</v>
      </c>
      <c r="I231">
        <v>91</v>
      </c>
      <c r="J231">
        <v>20</v>
      </c>
      <c r="K231">
        <v>261</v>
      </c>
      <c r="L231">
        <v>235</v>
      </c>
      <c r="M231">
        <v>26</v>
      </c>
      <c r="N231">
        <v>0.108</v>
      </c>
      <c r="O231">
        <v>0.04</v>
      </c>
      <c r="P231">
        <v>5.0000000000000001E-3</v>
      </c>
      <c r="Q231">
        <v>0.12</v>
      </c>
      <c r="R231">
        <v>0.83899999999999997</v>
      </c>
      <c r="S231">
        <v>0.73</v>
      </c>
      <c r="T231">
        <v>0.96599999999999997</v>
      </c>
      <c r="U231">
        <v>216.667</v>
      </c>
      <c r="V231" t="s">
        <v>58</v>
      </c>
      <c r="W231">
        <v>0.89200000000000002</v>
      </c>
      <c r="X231">
        <v>0.92500000000000004</v>
      </c>
      <c r="Y231">
        <v>0.65800000000000003</v>
      </c>
      <c r="Z231">
        <v>0.88600000000000001</v>
      </c>
      <c r="AA231" s="9">
        <v>45713.678923506945</v>
      </c>
      <c r="AB231" t="s">
        <v>873</v>
      </c>
      <c r="AC231" s="9"/>
    </row>
    <row r="232" spans="1:29" x14ac:dyDescent="0.35">
      <c r="A232" t="s">
        <v>226</v>
      </c>
      <c r="B232" t="s">
        <v>313</v>
      </c>
      <c r="C232">
        <v>1665</v>
      </c>
      <c r="D232" s="9">
        <v>43943.642361111109</v>
      </c>
      <c r="E232" s="9">
        <v>45609.412499999999</v>
      </c>
      <c r="F232">
        <v>338</v>
      </c>
      <c r="G232">
        <v>311</v>
      </c>
      <c r="H232">
        <v>193</v>
      </c>
      <c r="I232">
        <v>118</v>
      </c>
      <c r="J232">
        <v>15</v>
      </c>
      <c r="K232">
        <v>296</v>
      </c>
      <c r="L232">
        <v>233</v>
      </c>
      <c r="M232">
        <v>63</v>
      </c>
      <c r="N232">
        <v>0.17699999999999999</v>
      </c>
      <c r="O232">
        <v>0.11899999999999999</v>
      </c>
      <c r="P232">
        <v>1.2999999999999999E-2</v>
      </c>
      <c r="Q232">
        <v>0.192</v>
      </c>
      <c r="R232">
        <v>0.67800000000000005</v>
      </c>
      <c r="S232">
        <v>0.59799999999999998</v>
      </c>
      <c r="T232">
        <v>0.95599999999999996</v>
      </c>
      <c r="U232">
        <v>328.125</v>
      </c>
      <c r="V232" t="s">
        <v>58</v>
      </c>
      <c r="W232">
        <v>0.79200000000000004</v>
      </c>
      <c r="X232">
        <v>0.97499999999999998</v>
      </c>
      <c r="Y232">
        <v>0.97899999999999998</v>
      </c>
      <c r="Z232">
        <v>0.95699999999999996</v>
      </c>
      <c r="AA232" s="9">
        <v>45713.679010995373</v>
      </c>
      <c r="AB232" t="s">
        <v>873</v>
      </c>
      <c r="AC232" s="9"/>
    </row>
    <row r="233" spans="1:29" x14ac:dyDescent="0.35">
      <c r="A233" t="s">
        <v>227</v>
      </c>
      <c r="B233" t="s">
        <v>313</v>
      </c>
      <c r="C233">
        <v>2929</v>
      </c>
      <c r="D233" s="9">
        <v>42681.728472222225</v>
      </c>
      <c r="E233" s="9">
        <v>45611.665277777778</v>
      </c>
      <c r="F233">
        <v>5335</v>
      </c>
      <c r="G233">
        <v>4245</v>
      </c>
      <c r="H233">
        <v>3106</v>
      </c>
      <c r="I233">
        <v>1139</v>
      </c>
      <c r="J233">
        <v>515</v>
      </c>
      <c r="K233">
        <v>3730</v>
      </c>
      <c r="L233">
        <v>2532</v>
      </c>
      <c r="M233">
        <v>1198</v>
      </c>
      <c r="N233">
        <v>3.5880000000000001</v>
      </c>
      <c r="O233">
        <v>0.73399999999999999</v>
      </c>
      <c r="P233">
        <v>0.98299999999999998</v>
      </c>
      <c r="Q233">
        <v>4.0990000000000002</v>
      </c>
      <c r="R233">
        <v>1.228</v>
      </c>
      <c r="S233">
        <v>0.83</v>
      </c>
      <c r="T233">
        <v>0.77300000000000002</v>
      </c>
      <c r="U233">
        <v>292.26600000000002</v>
      </c>
      <c r="V233" t="s">
        <v>64</v>
      </c>
      <c r="W233">
        <v>0.9</v>
      </c>
      <c r="X233">
        <v>0.46400000000000002</v>
      </c>
      <c r="Y233">
        <v>0.93</v>
      </c>
      <c r="Z233">
        <v>0.86699999999999999</v>
      </c>
      <c r="AA233" s="9">
        <v>45713.679110115743</v>
      </c>
      <c r="AB233" t="s">
        <v>873</v>
      </c>
      <c r="AC233" s="9"/>
    </row>
    <row r="234" spans="1:29" hidden="1" x14ac:dyDescent="0.35">
      <c r="A234" t="s">
        <v>227</v>
      </c>
      <c r="B234" t="s">
        <v>314</v>
      </c>
      <c r="C234">
        <v>99</v>
      </c>
      <c r="D234" s="9">
        <v>45512.07916666667</v>
      </c>
      <c r="E234" s="9">
        <v>45611.665277777778</v>
      </c>
      <c r="F234" t="s">
        <v>874</v>
      </c>
      <c r="G234" t="s">
        <v>874</v>
      </c>
      <c r="H234">
        <v>688</v>
      </c>
      <c r="I234">
        <v>360</v>
      </c>
      <c r="J234">
        <v>139</v>
      </c>
      <c r="K234" t="s">
        <v>875</v>
      </c>
      <c r="L234">
        <v>737</v>
      </c>
      <c r="M234">
        <v>171</v>
      </c>
      <c r="N234">
        <v>6.4589999999999996</v>
      </c>
      <c r="O234">
        <v>3.6909999999999998</v>
      </c>
      <c r="P234">
        <v>1.2270000000000001</v>
      </c>
      <c r="Q234">
        <v>6.625</v>
      </c>
      <c r="R234">
        <v>0.74199999999999999</v>
      </c>
      <c r="S234">
        <v>0.63600000000000001</v>
      </c>
      <c r="T234">
        <v>0.879</v>
      </c>
      <c r="U234">
        <v>180.83</v>
      </c>
      <c r="V234" t="s">
        <v>58</v>
      </c>
      <c r="W234">
        <v>0.98299999999999998</v>
      </c>
      <c r="X234">
        <v>0.99399999999999999</v>
      </c>
      <c r="Y234">
        <v>0.96699999999999997</v>
      </c>
      <c r="Z234">
        <v>0.99299999999999999</v>
      </c>
      <c r="AA234" s="9">
        <v>45713.679128344906</v>
      </c>
      <c r="AB234" t="s">
        <v>873</v>
      </c>
      <c r="AC234" s="9"/>
    </row>
    <row r="235" spans="1:29" x14ac:dyDescent="0.35">
      <c r="A235" t="s">
        <v>228</v>
      </c>
      <c r="B235" t="s">
        <v>313</v>
      </c>
      <c r="C235">
        <v>1944</v>
      </c>
      <c r="D235" s="9">
        <v>43665.155555555553</v>
      </c>
      <c r="E235" s="9">
        <v>45609.71875</v>
      </c>
      <c r="F235">
        <v>5027</v>
      </c>
      <c r="G235">
        <v>4768</v>
      </c>
      <c r="H235">
        <v>3948</v>
      </c>
      <c r="I235">
        <v>820</v>
      </c>
      <c r="J235">
        <v>1212</v>
      </c>
      <c r="K235">
        <v>3556</v>
      </c>
      <c r="L235">
        <v>3107</v>
      </c>
      <c r="M235">
        <v>449</v>
      </c>
      <c r="N235">
        <v>2.3490000000000002</v>
      </c>
      <c r="O235">
        <v>0.437</v>
      </c>
      <c r="P235">
        <v>0.84799999999999998</v>
      </c>
      <c r="Q235">
        <v>2.1339999999999999</v>
      </c>
      <c r="R235">
        <v>1.101</v>
      </c>
      <c r="S235">
        <v>0.84299999999999997</v>
      </c>
      <c r="T235">
        <v>0.69599999999999995</v>
      </c>
      <c r="U235">
        <v>210.40299999999999</v>
      </c>
      <c r="V235" t="s">
        <v>64</v>
      </c>
      <c r="W235">
        <v>0.89200000000000002</v>
      </c>
      <c r="X235">
        <v>0.97299999999999998</v>
      </c>
      <c r="Y235">
        <v>0.75600000000000001</v>
      </c>
      <c r="Z235">
        <v>0.89100000000000001</v>
      </c>
      <c r="AA235" s="9">
        <v>45713.679238090277</v>
      </c>
      <c r="AB235" t="s">
        <v>873</v>
      </c>
      <c r="AC235" s="9"/>
    </row>
    <row r="236" spans="1:29" hidden="1" x14ac:dyDescent="0.35">
      <c r="A236" t="s">
        <v>228</v>
      </c>
      <c r="B236" t="s">
        <v>314</v>
      </c>
      <c r="C236">
        <v>100</v>
      </c>
      <c r="D236" s="9">
        <v>45509.107638888891</v>
      </c>
      <c r="E236" s="9">
        <v>45609.71875</v>
      </c>
      <c r="F236" t="s">
        <v>874</v>
      </c>
      <c r="G236" t="s">
        <v>874</v>
      </c>
      <c r="H236">
        <v>863</v>
      </c>
      <c r="I236">
        <v>64</v>
      </c>
      <c r="J236">
        <v>364</v>
      </c>
      <c r="K236" t="s">
        <v>875</v>
      </c>
      <c r="L236">
        <v>647</v>
      </c>
      <c r="M236">
        <v>-83</v>
      </c>
      <c r="N236">
        <v>7.9880000000000004</v>
      </c>
      <c r="O236">
        <v>0.82099999999999995</v>
      </c>
      <c r="P236">
        <v>3.9340000000000002</v>
      </c>
      <c r="Q236">
        <v>5.9249999999999998</v>
      </c>
      <c r="R236">
        <v>1.2150000000000001</v>
      </c>
      <c r="S236">
        <v>0.90700000000000003</v>
      </c>
      <c r="T236">
        <v>0.55300000000000005</v>
      </c>
      <c r="U236">
        <v>75.781000000000006</v>
      </c>
      <c r="V236" t="s">
        <v>64</v>
      </c>
      <c r="W236">
        <v>0.439</v>
      </c>
      <c r="X236">
        <v>0.98599999999999999</v>
      </c>
      <c r="Y236">
        <v>0.53</v>
      </c>
      <c r="Z236">
        <v>0.70499999999999996</v>
      </c>
      <c r="AA236" s="9">
        <v>45713.679256620373</v>
      </c>
      <c r="AB236" t="s">
        <v>873</v>
      </c>
      <c r="AC236" s="9"/>
    </row>
    <row r="237" spans="1:29" x14ac:dyDescent="0.35">
      <c r="A237" t="s">
        <v>229</v>
      </c>
      <c r="B237" t="s">
        <v>313</v>
      </c>
      <c r="C237">
        <v>1911</v>
      </c>
      <c r="D237" s="9">
        <v>43696.882638888892</v>
      </c>
      <c r="E237" s="9">
        <v>45608.693055555559</v>
      </c>
      <c r="F237">
        <v>859</v>
      </c>
      <c r="G237">
        <v>772</v>
      </c>
      <c r="H237">
        <v>765</v>
      </c>
      <c r="I237">
        <v>7</v>
      </c>
      <c r="J237">
        <v>191</v>
      </c>
      <c r="K237">
        <v>581</v>
      </c>
      <c r="L237">
        <v>402</v>
      </c>
      <c r="M237">
        <v>179</v>
      </c>
      <c r="N237">
        <v>0.52800000000000002</v>
      </c>
      <c r="O237">
        <v>7.0000000000000001E-3</v>
      </c>
      <c r="P237">
        <v>0.13300000000000001</v>
      </c>
      <c r="Q237">
        <v>0.28899999999999998</v>
      </c>
      <c r="R237">
        <v>0.71899999999999997</v>
      </c>
      <c r="S237">
        <v>0.98699999999999999</v>
      </c>
      <c r="T237">
        <v>0.751</v>
      </c>
      <c r="U237">
        <v>619.37699999999995</v>
      </c>
      <c r="V237" t="s">
        <v>58</v>
      </c>
      <c r="W237">
        <v>0.98699999999999999</v>
      </c>
      <c r="X237">
        <v>0.96399999999999997</v>
      </c>
      <c r="Y237">
        <v>0.84299999999999997</v>
      </c>
      <c r="Z237">
        <v>0.996</v>
      </c>
      <c r="AA237" s="9">
        <v>45713.679354699074</v>
      </c>
      <c r="AB237" t="s">
        <v>873</v>
      </c>
      <c r="AC237" s="9"/>
    </row>
    <row r="238" spans="1:29" x14ac:dyDescent="0.35">
      <c r="A238" t="s">
        <v>230</v>
      </c>
      <c r="B238" t="s">
        <v>313</v>
      </c>
      <c r="C238">
        <v>827</v>
      </c>
      <c r="D238" s="9">
        <v>44776.493055555555</v>
      </c>
      <c r="E238" s="9">
        <v>45603.6</v>
      </c>
      <c r="F238">
        <v>326</v>
      </c>
      <c r="G238">
        <v>306</v>
      </c>
      <c r="H238">
        <v>241</v>
      </c>
      <c r="I238">
        <v>65</v>
      </c>
      <c r="J238">
        <v>27</v>
      </c>
      <c r="K238">
        <v>279</v>
      </c>
      <c r="L238">
        <v>177</v>
      </c>
      <c r="M238">
        <v>102</v>
      </c>
      <c r="N238">
        <v>0.42399999999999999</v>
      </c>
      <c r="O238">
        <v>9.5000000000000001E-2</v>
      </c>
      <c r="P238">
        <v>4.3999999999999997E-2</v>
      </c>
      <c r="Q238">
        <v>0.316</v>
      </c>
      <c r="R238">
        <v>0.66500000000000004</v>
      </c>
      <c r="S238">
        <v>0.81699999999999995</v>
      </c>
      <c r="T238">
        <v>0.91500000000000004</v>
      </c>
      <c r="U238">
        <v>322.78500000000003</v>
      </c>
      <c r="V238" t="s">
        <v>58</v>
      </c>
      <c r="W238">
        <v>0.96699999999999997</v>
      </c>
      <c r="X238">
        <v>0.92200000000000004</v>
      </c>
      <c r="Y238">
        <v>0.78800000000000003</v>
      </c>
      <c r="Z238">
        <v>0.90500000000000003</v>
      </c>
      <c r="AA238" s="9">
        <v>45713.679447106479</v>
      </c>
      <c r="AB238" t="s">
        <v>873</v>
      </c>
      <c r="AC238" s="9"/>
    </row>
    <row r="239" spans="1:29" hidden="1" x14ac:dyDescent="0.35">
      <c r="A239" t="s">
        <v>230</v>
      </c>
      <c r="B239" t="s">
        <v>314</v>
      </c>
      <c r="C239">
        <v>98</v>
      </c>
      <c r="D239" s="9">
        <v>45505.393055555556</v>
      </c>
      <c r="E239" s="9">
        <v>45603.6</v>
      </c>
      <c r="F239" t="s">
        <v>874</v>
      </c>
      <c r="G239" t="s">
        <v>874</v>
      </c>
      <c r="H239">
        <v>73</v>
      </c>
      <c r="I239">
        <v>13</v>
      </c>
      <c r="J239">
        <v>8</v>
      </c>
      <c r="K239" t="s">
        <v>875</v>
      </c>
      <c r="L239">
        <v>65</v>
      </c>
      <c r="M239">
        <v>12</v>
      </c>
      <c r="N239">
        <v>0.82099999999999995</v>
      </c>
      <c r="O239">
        <v>0.154</v>
      </c>
      <c r="P239">
        <v>8.3000000000000004E-2</v>
      </c>
      <c r="Q239">
        <v>0.70299999999999996</v>
      </c>
      <c r="R239">
        <v>0.78800000000000003</v>
      </c>
      <c r="S239">
        <v>0.84199999999999997</v>
      </c>
      <c r="T239">
        <v>0.91500000000000004</v>
      </c>
      <c r="U239">
        <v>145.09200000000001</v>
      </c>
      <c r="V239" t="s">
        <v>58</v>
      </c>
      <c r="W239">
        <v>0.97099999999999997</v>
      </c>
      <c r="X239">
        <v>0.96399999999999997</v>
      </c>
      <c r="Y239">
        <v>0.92700000000000005</v>
      </c>
      <c r="Z239">
        <v>0.98599999999999999</v>
      </c>
      <c r="AA239" s="9">
        <v>45713.679463182867</v>
      </c>
      <c r="AB239" t="s">
        <v>873</v>
      </c>
      <c r="AC239" s="9"/>
    </row>
    <row r="240" spans="1:29" x14ac:dyDescent="0.35">
      <c r="A240" t="s">
        <v>231</v>
      </c>
      <c r="B240" t="s">
        <v>313</v>
      </c>
      <c r="C240">
        <v>1505</v>
      </c>
      <c r="D240" s="9">
        <v>43915.491666666669</v>
      </c>
      <c r="E240" s="9">
        <v>45421.488194444442</v>
      </c>
      <c r="F240">
        <v>625</v>
      </c>
      <c r="G240">
        <v>573</v>
      </c>
      <c r="H240">
        <v>570</v>
      </c>
      <c r="I240">
        <v>3</v>
      </c>
      <c r="J240">
        <v>11</v>
      </c>
      <c r="K240">
        <v>562</v>
      </c>
      <c r="L240">
        <v>394</v>
      </c>
      <c r="M240">
        <v>168</v>
      </c>
      <c r="N240">
        <v>0.52800000000000002</v>
      </c>
      <c r="O240">
        <v>3.0000000000000001E-3</v>
      </c>
      <c r="P240">
        <v>2.1000000000000001E-2</v>
      </c>
      <c r="Q240">
        <v>0.7</v>
      </c>
      <c r="R240">
        <v>1.373</v>
      </c>
      <c r="S240">
        <v>0.99399999999999999</v>
      </c>
      <c r="T240">
        <v>0.96</v>
      </c>
      <c r="U240">
        <v>240</v>
      </c>
      <c r="V240" t="s">
        <v>64</v>
      </c>
      <c r="W240">
        <v>0.97599999999999998</v>
      </c>
      <c r="X240">
        <v>0.75</v>
      </c>
      <c r="Y240">
        <v>0.93300000000000005</v>
      </c>
      <c r="Z240">
        <v>0.755</v>
      </c>
      <c r="AA240" s="9">
        <v>45713.679559340279</v>
      </c>
      <c r="AB240" t="s">
        <v>873</v>
      </c>
      <c r="AC240" s="9"/>
    </row>
    <row r="241" spans="1:29" x14ac:dyDescent="0.35">
      <c r="A241" t="s">
        <v>232</v>
      </c>
      <c r="B241" t="s">
        <v>313</v>
      </c>
      <c r="C241">
        <v>6410</v>
      </c>
      <c r="D241" s="9">
        <v>39116.386111111111</v>
      </c>
      <c r="E241" s="9">
        <v>45527.347222222219</v>
      </c>
      <c r="F241">
        <v>2826</v>
      </c>
      <c r="G241">
        <v>2767</v>
      </c>
      <c r="H241">
        <v>2002</v>
      </c>
      <c r="I241">
        <v>765</v>
      </c>
      <c r="J241">
        <v>541</v>
      </c>
      <c r="K241">
        <v>2226</v>
      </c>
      <c r="L241">
        <v>1881</v>
      </c>
      <c r="M241">
        <v>345</v>
      </c>
      <c r="N241">
        <v>0.501</v>
      </c>
      <c r="O241">
        <v>0.20100000000000001</v>
      </c>
      <c r="P241">
        <v>0.152</v>
      </c>
      <c r="Q241">
        <v>0.50700000000000001</v>
      </c>
      <c r="R241">
        <v>0.92200000000000004</v>
      </c>
      <c r="S241">
        <v>0.71399999999999997</v>
      </c>
      <c r="T241">
        <v>0.78300000000000003</v>
      </c>
      <c r="U241">
        <v>680.47299999999996</v>
      </c>
      <c r="V241" t="s">
        <v>58</v>
      </c>
      <c r="W241">
        <v>0.877</v>
      </c>
      <c r="X241">
        <v>0.95299999999999996</v>
      </c>
      <c r="Y241">
        <v>0.85899999999999999</v>
      </c>
      <c r="Z241">
        <v>0.89300000000000002</v>
      </c>
      <c r="AA241" s="9">
        <v>45713.679655567132</v>
      </c>
      <c r="AB241" t="s">
        <v>873</v>
      </c>
      <c r="AC241" s="9"/>
    </row>
    <row r="242" spans="1:29" x14ac:dyDescent="0.35">
      <c r="A242" t="s">
        <v>233</v>
      </c>
      <c r="B242" t="s">
        <v>313</v>
      </c>
      <c r="C242">
        <v>4946</v>
      </c>
      <c r="D242" s="9">
        <v>39888.193749999999</v>
      </c>
      <c r="E242" s="9">
        <v>44834.263194444444</v>
      </c>
      <c r="F242">
        <v>720</v>
      </c>
      <c r="G242">
        <v>720</v>
      </c>
      <c r="H242">
        <v>370</v>
      </c>
      <c r="I242">
        <v>350</v>
      </c>
      <c r="J242">
        <v>137</v>
      </c>
      <c r="K242">
        <v>583</v>
      </c>
      <c r="L242">
        <v>531</v>
      </c>
      <c r="M242">
        <v>52</v>
      </c>
      <c r="N242">
        <v>0.26100000000000001</v>
      </c>
      <c r="O242">
        <v>0.15</v>
      </c>
      <c r="P242">
        <v>6.6000000000000003E-2</v>
      </c>
      <c r="Q242">
        <v>0.44500000000000001</v>
      </c>
      <c r="R242">
        <v>1.29</v>
      </c>
      <c r="S242">
        <v>0.63500000000000001</v>
      </c>
      <c r="T242">
        <v>0.83899999999999997</v>
      </c>
      <c r="U242">
        <v>116.854</v>
      </c>
      <c r="V242" t="s">
        <v>64</v>
      </c>
      <c r="W242">
        <v>0.72899999999999998</v>
      </c>
      <c r="X242">
        <v>0.77</v>
      </c>
      <c r="Y242">
        <v>0.67300000000000004</v>
      </c>
      <c r="Z242">
        <v>0.755</v>
      </c>
      <c r="AA242" s="9">
        <v>45713.679744490742</v>
      </c>
      <c r="AB242" t="s">
        <v>873</v>
      </c>
      <c r="AC242" s="9"/>
    </row>
    <row r="243" spans="1:29" x14ac:dyDescent="0.35">
      <c r="A243" t="s">
        <v>234</v>
      </c>
      <c r="B243" t="s">
        <v>313</v>
      </c>
      <c r="C243">
        <v>1239</v>
      </c>
      <c r="D243" s="9">
        <v>44370.613888888889</v>
      </c>
      <c r="E243" s="9">
        <v>45609.640972222223</v>
      </c>
      <c r="F243">
        <v>206</v>
      </c>
      <c r="G243">
        <v>168</v>
      </c>
      <c r="H243">
        <v>168</v>
      </c>
      <c r="I243">
        <v>0</v>
      </c>
      <c r="J243">
        <v>12</v>
      </c>
      <c r="K243">
        <v>156</v>
      </c>
      <c r="L243">
        <v>77</v>
      </c>
      <c r="M243">
        <v>79</v>
      </c>
      <c r="N243">
        <v>0.14499999999999999</v>
      </c>
      <c r="O243">
        <v>0</v>
      </c>
      <c r="P243">
        <v>2.4E-2</v>
      </c>
      <c r="Q243">
        <v>8.2000000000000003E-2</v>
      </c>
      <c r="R243">
        <v>0.67800000000000005</v>
      </c>
      <c r="S243">
        <v>1</v>
      </c>
      <c r="T243">
        <v>0.83399999999999996</v>
      </c>
      <c r="U243">
        <v>963.41499999999996</v>
      </c>
      <c r="V243" t="s">
        <v>58</v>
      </c>
      <c r="W243">
        <v>0.71599999999999997</v>
      </c>
      <c r="X243">
        <v>0</v>
      </c>
      <c r="Y243">
        <v>0.94299999999999995</v>
      </c>
      <c r="Z243">
        <v>0.73399999999999999</v>
      </c>
      <c r="AA243" s="9">
        <v>45713.67983818287</v>
      </c>
      <c r="AB243" t="s">
        <v>873</v>
      </c>
      <c r="AC243" s="9"/>
    </row>
    <row r="244" spans="1:29" x14ac:dyDescent="0.35">
      <c r="A244" t="s">
        <v>235</v>
      </c>
      <c r="B244" t="s">
        <v>313</v>
      </c>
      <c r="C244">
        <v>2539</v>
      </c>
      <c r="D244" s="9">
        <v>43070.749305555553</v>
      </c>
      <c r="E244" s="9">
        <v>45610.490972222222</v>
      </c>
      <c r="F244">
        <v>5345</v>
      </c>
      <c r="G244">
        <v>5128</v>
      </c>
      <c r="H244">
        <v>2435</v>
      </c>
      <c r="I244">
        <v>2693</v>
      </c>
      <c r="J244">
        <v>878</v>
      </c>
      <c r="K244">
        <v>4250</v>
      </c>
      <c r="L244">
        <v>3256</v>
      </c>
      <c r="M244">
        <v>994</v>
      </c>
      <c r="N244">
        <v>1.329</v>
      </c>
      <c r="O244">
        <v>1.476</v>
      </c>
      <c r="P244">
        <v>0.59</v>
      </c>
      <c r="Q244">
        <v>1.85</v>
      </c>
      <c r="R244">
        <v>0.83499999999999996</v>
      </c>
      <c r="S244">
        <v>0.47399999999999998</v>
      </c>
      <c r="T244">
        <v>0.79</v>
      </c>
      <c r="U244">
        <v>537.29700000000003</v>
      </c>
      <c r="V244" t="s">
        <v>58</v>
      </c>
      <c r="W244">
        <v>0.99399999999999999</v>
      </c>
      <c r="X244">
        <v>0.997</v>
      </c>
      <c r="Y244">
        <v>0.98499999999999999</v>
      </c>
      <c r="Z244">
        <v>0.996</v>
      </c>
      <c r="AA244" s="9">
        <v>45713.679958287037</v>
      </c>
      <c r="AB244" t="s">
        <v>873</v>
      </c>
      <c r="AC244" s="9"/>
    </row>
    <row r="245" spans="1:29" hidden="1" x14ac:dyDescent="0.35">
      <c r="A245" t="s">
        <v>235</v>
      </c>
      <c r="B245" t="s">
        <v>314</v>
      </c>
      <c r="C245">
        <v>99</v>
      </c>
      <c r="D245" s="9">
        <v>45510.527083333334</v>
      </c>
      <c r="E245" s="9">
        <v>45610.490972222222</v>
      </c>
      <c r="F245" t="s">
        <v>874</v>
      </c>
      <c r="G245" t="s">
        <v>874</v>
      </c>
      <c r="H245">
        <v>116</v>
      </c>
      <c r="I245">
        <v>169</v>
      </c>
      <c r="J245">
        <v>19</v>
      </c>
      <c r="K245" t="s">
        <v>875</v>
      </c>
      <c r="L245">
        <v>240</v>
      </c>
      <c r="M245">
        <v>25</v>
      </c>
      <c r="N245">
        <v>1.1539999999999999</v>
      </c>
      <c r="O245">
        <v>1.63</v>
      </c>
      <c r="P245">
        <v>0.16600000000000001</v>
      </c>
      <c r="Q245">
        <v>2.4079999999999999</v>
      </c>
      <c r="R245">
        <v>0.92</v>
      </c>
      <c r="S245">
        <v>0.41499999999999998</v>
      </c>
      <c r="T245">
        <v>0.94</v>
      </c>
      <c r="U245">
        <v>412.791</v>
      </c>
      <c r="V245" t="s">
        <v>58</v>
      </c>
      <c r="W245">
        <v>0.96599999999999997</v>
      </c>
      <c r="X245">
        <v>0.98899999999999999</v>
      </c>
      <c r="Y245">
        <v>0.97399999999999998</v>
      </c>
      <c r="Z245">
        <v>0.97799999999999998</v>
      </c>
      <c r="AA245" s="9">
        <v>45713.679982835645</v>
      </c>
      <c r="AB245" t="s">
        <v>873</v>
      </c>
      <c r="AC245" s="9"/>
    </row>
    <row r="246" spans="1:29" x14ac:dyDescent="0.35">
      <c r="A246" t="s">
        <v>236</v>
      </c>
      <c r="B246" t="s">
        <v>313</v>
      </c>
      <c r="C246">
        <v>1380</v>
      </c>
      <c r="D246" s="9">
        <v>44229.361805555556</v>
      </c>
      <c r="E246" s="9">
        <v>45609.679861111108</v>
      </c>
      <c r="F246">
        <v>754</v>
      </c>
      <c r="G246">
        <v>640</v>
      </c>
      <c r="H246">
        <v>631</v>
      </c>
      <c r="I246">
        <v>9</v>
      </c>
      <c r="J246">
        <v>109</v>
      </c>
      <c r="K246">
        <v>531</v>
      </c>
      <c r="L246">
        <v>450</v>
      </c>
      <c r="M246">
        <v>81</v>
      </c>
      <c r="N246">
        <v>0.442</v>
      </c>
      <c r="O246">
        <v>7.0000000000000001E-3</v>
      </c>
      <c r="P246">
        <v>7.6999999999999999E-2</v>
      </c>
      <c r="Q246">
        <v>0.318</v>
      </c>
      <c r="R246">
        <v>0.85499999999999998</v>
      </c>
      <c r="S246">
        <v>0.98399999999999999</v>
      </c>
      <c r="T246">
        <v>0.82899999999999996</v>
      </c>
      <c r="U246">
        <v>254.71700000000001</v>
      </c>
      <c r="V246" t="s">
        <v>58</v>
      </c>
      <c r="W246">
        <v>0.99099999999999999</v>
      </c>
      <c r="X246">
        <v>0.92300000000000004</v>
      </c>
      <c r="Y246">
        <v>0.96899999999999997</v>
      </c>
      <c r="Z246">
        <v>0.98899999999999999</v>
      </c>
      <c r="AA246" s="9">
        <v>45713.680075358796</v>
      </c>
      <c r="AB246" t="s">
        <v>873</v>
      </c>
      <c r="AC246" s="9"/>
    </row>
    <row r="247" spans="1:29" x14ac:dyDescent="0.35">
      <c r="A247" t="s">
        <v>237</v>
      </c>
      <c r="B247" t="s">
        <v>313</v>
      </c>
      <c r="C247">
        <v>5292</v>
      </c>
      <c r="D247" s="9">
        <v>40317.636111111111</v>
      </c>
      <c r="E247" s="9">
        <v>45610.458333333336</v>
      </c>
      <c r="F247">
        <v>10730</v>
      </c>
      <c r="G247">
        <v>10699</v>
      </c>
      <c r="H247">
        <v>3580</v>
      </c>
      <c r="I247">
        <v>7119</v>
      </c>
      <c r="J247">
        <v>2183</v>
      </c>
      <c r="K247">
        <v>8516</v>
      </c>
      <c r="L247">
        <v>7210</v>
      </c>
      <c r="M247">
        <v>1306</v>
      </c>
      <c r="N247">
        <v>0.83599999999999997</v>
      </c>
      <c r="O247">
        <v>1.619</v>
      </c>
      <c r="P247">
        <v>0.55800000000000005</v>
      </c>
      <c r="Q247">
        <v>1.667</v>
      </c>
      <c r="R247">
        <v>0.879</v>
      </c>
      <c r="S247">
        <v>0.34100000000000003</v>
      </c>
      <c r="T247">
        <v>0.77300000000000002</v>
      </c>
      <c r="U247">
        <v>783.44299999999998</v>
      </c>
      <c r="V247" t="s">
        <v>58</v>
      </c>
      <c r="W247">
        <v>0.95899999999999996</v>
      </c>
      <c r="X247">
        <v>0.96099999999999997</v>
      </c>
      <c r="Y247">
        <v>0.88700000000000001</v>
      </c>
      <c r="Z247">
        <v>0.94099999999999995</v>
      </c>
      <c r="AA247" s="9">
        <v>45713.68018304398</v>
      </c>
      <c r="AB247" t="s">
        <v>873</v>
      </c>
      <c r="AC247" s="9"/>
    </row>
    <row r="248" spans="1:29" hidden="1" x14ac:dyDescent="0.35">
      <c r="A248" t="s">
        <v>237</v>
      </c>
      <c r="B248" t="s">
        <v>314</v>
      </c>
      <c r="C248">
        <v>99</v>
      </c>
      <c r="D248" s="9">
        <v>45510.720138888886</v>
      </c>
      <c r="E248" s="9">
        <v>45610.458333333336</v>
      </c>
      <c r="F248" t="s">
        <v>874</v>
      </c>
      <c r="G248" t="s">
        <v>874</v>
      </c>
      <c r="H248">
        <v>52</v>
      </c>
      <c r="I248">
        <v>263</v>
      </c>
      <c r="J248">
        <v>38</v>
      </c>
      <c r="K248" t="s">
        <v>875</v>
      </c>
      <c r="L248">
        <v>179</v>
      </c>
      <c r="M248">
        <v>97</v>
      </c>
      <c r="N248">
        <v>0.44600000000000001</v>
      </c>
      <c r="O248">
        <v>2.4900000000000002</v>
      </c>
      <c r="P248">
        <v>0.48599999999999999</v>
      </c>
      <c r="Q248">
        <v>1.655</v>
      </c>
      <c r="R248">
        <v>0.67600000000000005</v>
      </c>
      <c r="S248">
        <v>0.152</v>
      </c>
      <c r="T248">
        <v>0.83399999999999996</v>
      </c>
      <c r="U248">
        <v>789.12400000000002</v>
      </c>
      <c r="V248" t="s">
        <v>58</v>
      </c>
      <c r="W248">
        <v>0.94699999999999995</v>
      </c>
      <c r="X248">
        <v>0.97499999999999998</v>
      </c>
      <c r="Y248">
        <v>0.83799999999999997</v>
      </c>
      <c r="Z248">
        <v>0.95799999999999996</v>
      </c>
      <c r="AA248" s="9">
        <v>45713.68019939815</v>
      </c>
      <c r="AB248" t="s">
        <v>873</v>
      </c>
      <c r="AC248" s="9"/>
    </row>
    <row r="249" spans="1:29" x14ac:dyDescent="0.35">
      <c r="A249" t="s">
        <v>238</v>
      </c>
      <c r="B249" t="s">
        <v>313</v>
      </c>
      <c r="C249">
        <v>915</v>
      </c>
      <c r="D249" s="9">
        <v>44694.741666666669</v>
      </c>
      <c r="E249" s="9">
        <v>45610.095138888886</v>
      </c>
      <c r="F249">
        <v>876</v>
      </c>
      <c r="G249">
        <v>826</v>
      </c>
      <c r="H249">
        <v>816</v>
      </c>
      <c r="I249">
        <v>10</v>
      </c>
      <c r="J249">
        <v>66</v>
      </c>
      <c r="K249">
        <v>760</v>
      </c>
      <c r="L249">
        <v>658</v>
      </c>
      <c r="M249">
        <v>102</v>
      </c>
      <c r="N249">
        <v>0.95799999999999996</v>
      </c>
      <c r="O249">
        <v>1.0999999999999999E-2</v>
      </c>
      <c r="P249">
        <v>8.3000000000000004E-2</v>
      </c>
      <c r="Q249">
        <v>0.75800000000000001</v>
      </c>
      <c r="R249">
        <v>0.85599999999999998</v>
      </c>
      <c r="S249">
        <v>0.98899999999999999</v>
      </c>
      <c r="T249">
        <v>0.91400000000000003</v>
      </c>
      <c r="U249">
        <v>134.565</v>
      </c>
      <c r="V249" t="s">
        <v>58</v>
      </c>
      <c r="W249">
        <v>0.98399999999999999</v>
      </c>
      <c r="X249">
        <v>0.92100000000000004</v>
      </c>
      <c r="Y249">
        <v>0.97499999999999998</v>
      </c>
      <c r="Z249">
        <v>0.97399999999999998</v>
      </c>
      <c r="AA249" s="9">
        <v>45713.680288333337</v>
      </c>
      <c r="AB249" t="s">
        <v>873</v>
      </c>
      <c r="AC249" s="9"/>
    </row>
    <row r="250" spans="1:29" hidden="1" x14ac:dyDescent="0.35">
      <c r="A250" t="s">
        <v>238</v>
      </c>
      <c r="B250" t="s">
        <v>314</v>
      </c>
      <c r="C250">
        <v>98</v>
      </c>
      <c r="D250" s="9">
        <v>45511.804861111108</v>
      </c>
      <c r="E250" s="9">
        <v>45610.095138888886</v>
      </c>
      <c r="F250" t="s">
        <v>874</v>
      </c>
      <c r="G250" t="s">
        <v>874</v>
      </c>
      <c r="H250">
        <v>135</v>
      </c>
      <c r="I250">
        <v>3</v>
      </c>
      <c r="J250">
        <v>13</v>
      </c>
      <c r="K250" t="s">
        <v>875</v>
      </c>
      <c r="L250">
        <v>161</v>
      </c>
      <c r="M250">
        <v>-35</v>
      </c>
      <c r="N250">
        <v>1.3759999999999999</v>
      </c>
      <c r="O250">
        <v>0.185</v>
      </c>
      <c r="P250">
        <v>9.2999999999999999E-2</v>
      </c>
      <c r="Q250">
        <v>1.522</v>
      </c>
      <c r="R250">
        <v>1.0369999999999999</v>
      </c>
      <c r="S250">
        <v>0.88100000000000001</v>
      </c>
      <c r="T250">
        <v>0.94</v>
      </c>
      <c r="U250">
        <v>67.016999999999996</v>
      </c>
      <c r="V250" t="s">
        <v>64</v>
      </c>
      <c r="W250">
        <v>0.94599999999999995</v>
      </c>
      <c r="X250">
        <v>0.83199999999999996</v>
      </c>
      <c r="Y250">
        <v>0.93899999999999995</v>
      </c>
      <c r="Z250">
        <v>0.80700000000000005</v>
      </c>
      <c r="AA250" s="9">
        <v>45713.680307719907</v>
      </c>
      <c r="AB250" t="s">
        <v>873</v>
      </c>
      <c r="AC250" s="9"/>
    </row>
    <row r="251" spans="1:29" x14ac:dyDescent="0.35">
      <c r="A251" t="s">
        <v>239</v>
      </c>
      <c r="B251" t="s">
        <v>313</v>
      </c>
      <c r="C251">
        <v>1526</v>
      </c>
      <c r="D251" s="9">
        <v>44097.220138888886</v>
      </c>
      <c r="E251" s="9">
        <v>45623.614583333336</v>
      </c>
      <c r="F251">
        <v>2419</v>
      </c>
      <c r="G251">
        <v>2383</v>
      </c>
      <c r="H251">
        <v>917</v>
      </c>
      <c r="I251">
        <v>1466</v>
      </c>
      <c r="J251">
        <v>349</v>
      </c>
      <c r="K251">
        <v>2034</v>
      </c>
      <c r="L251">
        <v>1818</v>
      </c>
      <c r="M251">
        <v>216</v>
      </c>
      <c r="N251">
        <v>0.63700000000000001</v>
      </c>
      <c r="O251">
        <v>0.90500000000000003</v>
      </c>
      <c r="P251">
        <v>0.23899999999999999</v>
      </c>
      <c r="Q251">
        <v>1.248</v>
      </c>
      <c r="R251">
        <v>0.95799999999999996</v>
      </c>
      <c r="S251">
        <v>0.41299999999999998</v>
      </c>
      <c r="T251">
        <v>0.84499999999999997</v>
      </c>
      <c r="U251">
        <v>173.077</v>
      </c>
      <c r="V251" t="s">
        <v>58</v>
      </c>
      <c r="W251">
        <v>0.98899999999999999</v>
      </c>
      <c r="X251">
        <v>0.99099999999999999</v>
      </c>
      <c r="Y251">
        <v>0.996</v>
      </c>
      <c r="Z251">
        <v>0.99299999999999999</v>
      </c>
      <c r="AA251" s="9">
        <v>45713.680400428238</v>
      </c>
      <c r="AB251" t="s">
        <v>873</v>
      </c>
      <c r="AC251" s="9"/>
    </row>
    <row r="252" spans="1:29" hidden="1" x14ac:dyDescent="0.35">
      <c r="A252" t="s">
        <v>239</v>
      </c>
      <c r="B252" t="s">
        <v>314</v>
      </c>
      <c r="C252">
        <v>99</v>
      </c>
      <c r="D252" s="9">
        <v>45524.573611111111</v>
      </c>
      <c r="E252" s="9">
        <v>45623.614583333336</v>
      </c>
      <c r="F252" t="s">
        <v>874</v>
      </c>
      <c r="G252" t="s">
        <v>874</v>
      </c>
      <c r="H252">
        <v>84</v>
      </c>
      <c r="I252">
        <v>202</v>
      </c>
      <c r="J252">
        <v>22</v>
      </c>
      <c r="K252" t="s">
        <v>875</v>
      </c>
      <c r="L252">
        <v>169</v>
      </c>
      <c r="M252">
        <v>96</v>
      </c>
      <c r="N252">
        <v>0.72399999999999998</v>
      </c>
      <c r="O252">
        <v>1.53</v>
      </c>
      <c r="P252">
        <v>0.21299999999999999</v>
      </c>
      <c r="Q252">
        <v>2.0019999999999998</v>
      </c>
      <c r="R252">
        <v>0.98099999999999998</v>
      </c>
      <c r="S252">
        <v>0.32100000000000001</v>
      </c>
      <c r="T252">
        <v>0.90600000000000003</v>
      </c>
      <c r="U252">
        <v>107.892</v>
      </c>
      <c r="V252" t="s">
        <v>58</v>
      </c>
      <c r="W252">
        <v>0.96099999999999997</v>
      </c>
      <c r="X252">
        <v>0.88500000000000001</v>
      </c>
      <c r="Y252">
        <v>0.96099999999999997</v>
      </c>
      <c r="Z252">
        <v>0.92400000000000004</v>
      </c>
      <c r="AA252" s="9">
        <v>45713.680420937497</v>
      </c>
      <c r="AB252" t="s">
        <v>873</v>
      </c>
      <c r="AC252" s="9"/>
    </row>
    <row r="253" spans="1:29" x14ac:dyDescent="0.35">
      <c r="A253" t="s">
        <v>240</v>
      </c>
      <c r="B253" t="s">
        <v>313</v>
      </c>
      <c r="C253">
        <v>2661</v>
      </c>
      <c r="D253" s="9">
        <v>42893.90625</v>
      </c>
      <c r="E253" s="9">
        <v>45555.331250000003</v>
      </c>
      <c r="F253">
        <v>186</v>
      </c>
      <c r="G253">
        <v>186</v>
      </c>
      <c r="H253">
        <v>154</v>
      </c>
      <c r="I253">
        <v>32</v>
      </c>
      <c r="J253">
        <v>15</v>
      </c>
      <c r="K253">
        <v>171</v>
      </c>
      <c r="L253">
        <v>124</v>
      </c>
      <c r="M253">
        <v>47</v>
      </c>
      <c r="N253">
        <v>7.5999999999999998E-2</v>
      </c>
      <c r="O253">
        <v>1.7999999999999999E-2</v>
      </c>
      <c r="P253">
        <v>4.3999999999999997E-2</v>
      </c>
      <c r="Q253">
        <v>6.7000000000000004E-2</v>
      </c>
      <c r="R253">
        <v>1.34</v>
      </c>
      <c r="S253">
        <v>0.80900000000000005</v>
      </c>
      <c r="T253">
        <v>0.53200000000000003</v>
      </c>
      <c r="U253">
        <v>701.49300000000005</v>
      </c>
      <c r="V253" t="s">
        <v>64</v>
      </c>
      <c r="W253">
        <v>0.88</v>
      </c>
      <c r="X253">
        <v>0.91100000000000003</v>
      </c>
      <c r="Y253">
        <v>0.51800000000000002</v>
      </c>
      <c r="Z253">
        <v>0.76400000000000001</v>
      </c>
      <c r="AA253" s="9">
        <v>45713.680510983795</v>
      </c>
      <c r="AB253" t="s">
        <v>873</v>
      </c>
      <c r="AC253" s="9"/>
    </row>
    <row r="254" spans="1:29" x14ac:dyDescent="0.35">
      <c r="A254" t="s">
        <v>241</v>
      </c>
      <c r="B254" t="s">
        <v>313</v>
      </c>
      <c r="C254">
        <v>1276</v>
      </c>
      <c r="D254" s="9">
        <v>44328.388194444444</v>
      </c>
      <c r="E254" s="9">
        <v>45604.603472222225</v>
      </c>
      <c r="F254">
        <v>171</v>
      </c>
      <c r="G254">
        <v>152</v>
      </c>
      <c r="H254">
        <v>119</v>
      </c>
      <c r="I254">
        <v>33</v>
      </c>
      <c r="J254">
        <v>7</v>
      </c>
      <c r="K254">
        <v>145</v>
      </c>
      <c r="L254">
        <v>111</v>
      </c>
      <c r="M254">
        <v>34</v>
      </c>
      <c r="N254">
        <v>0.09</v>
      </c>
      <c r="O254">
        <v>6.7000000000000004E-2</v>
      </c>
      <c r="P254">
        <v>6.0000000000000001E-3</v>
      </c>
      <c r="Q254">
        <v>0.114</v>
      </c>
      <c r="R254">
        <v>0.755</v>
      </c>
      <c r="S254">
        <v>0.57299999999999995</v>
      </c>
      <c r="T254">
        <v>0.96199999999999997</v>
      </c>
      <c r="U254">
        <v>298.24599999999998</v>
      </c>
      <c r="V254" t="s">
        <v>58</v>
      </c>
      <c r="W254">
        <v>0.89900000000000002</v>
      </c>
      <c r="X254">
        <v>0.80500000000000005</v>
      </c>
      <c r="Y254">
        <v>0.57399999999999995</v>
      </c>
      <c r="Z254">
        <v>0.77800000000000002</v>
      </c>
      <c r="AA254" s="9">
        <v>45713.680604386573</v>
      </c>
      <c r="AB254" t="s">
        <v>873</v>
      </c>
      <c r="AC254" s="9"/>
    </row>
    <row r="255" spans="1:29" x14ac:dyDescent="0.35">
      <c r="A255" t="s">
        <v>242</v>
      </c>
      <c r="B255" t="s">
        <v>313</v>
      </c>
      <c r="C255">
        <v>4307</v>
      </c>
      <c r="D255" s="9">
        <v>40807.589583333334</v>
      </c>
      <c r="E255" s="9">
        <v>45114.7</v>
      </c>
      <c r="F255">
        <v>171</v>
      </c>
      <c r="G255">
        <v>171</v>
      </c>
      <c r="H255">
        <v>124</v>
      </c>
      <c r="I255">
        <v>47</v>
      </c>
      <c r="J255">
        <v>11</v>
      </c>
      <c r="K255">
        <v>160</v>
      </c>
      <c r="L255">
        <v>143</v>
      </c>
      <c r="M255">
        <v>17</v>
      </c>
      <c r="N255">
        <v>3.1E-2</v>
      </c>
      <c r="O255">
        <v>1.4999999999999999E-2</v>
      </c>
      <c r="P255">
        <v>3.0000000000000001E-3</v>
      </c>
      <c r="Q255">
        <v>3.5000000000000003E-2</v>
      </c>
      <c r="R255">
        <v>0.81399999999999995</v>
      </c>
      <c r="S255">
        <v>0.67400000000000004</v>
      </c>
      <c r="T255">
        <v>0.93500000000000005</v>
      </c>
      <c r="U255">
        <v>485.714</v>
      </c>
      <c r="V255" t="s">
        <v>58</v>
      </c>
      <c r="W255">
        <v>0.873</v>
      </c>
      <c r="X255">
        <v>0.98499999999999999</v>
      </c>
      <c r="Y255">
        <v>0.94299999999999995</v>
      </c>
      <c r="Z255">
        <v>0.877</v>
      </c>
      <c r="AA255" s="9">
        <v>45713.680696759257</v>
      </c>
      <c r="AB255" t="s">
        <v>873</v>
      </c>
      <c r="AC255" s="9"/>
    </row>
    <row r="256" spans="1:29" x14ac:dyDescent="0.35">
      <c r="A256" t="s">
        <v>243</v>
      </c>
      <c r="B256" t="s">
        <v>313</v>
      </c>
      <c r="C256">
        <v>6103</v>
      </c>
      <c r="D256" s="9">
        <v>39505.838194444441</v>
      </c>
      <c r="E256" s="9">
        <v>45609.830555555556</v>
      </c>
      <c r="F256">
        <v>3233</v>
      </c>
      <c r="G256">
        <v>3233</v>
      </c>
      <c r="H256">
        <v>1584</v>
      </c>
      <c r="I256">
        <v>1649</v>
      </c>
      <c r="J256">
        <v>592</v>
      </c>
      <c r="K256">
        <v>2641</v>
      </c>
      <c r="L256">
        <v>2365</v>
      </c>
      <c r="M256">
        <v>276</v>
      </c>
      <c r="N256">
        <v>0.26600000000000001</v>
      </c>
      <c r="O256">
        <v>0.30299999999999999</v>
      </c>
      <c r="P256">
        <v>0.13400000000000001</v>
      </c>
      <c r="Q256">
        <v>0.4</v>
      </c>
      <c r="R256">
        <v>0.92</v>
      </c>
      <c r="S256">
        <v>0.46700000000000003</v>
      </c>
      <c r="T256">
        <v>0.76400000000000001</v>
      </c>
      <c r="U256">
        <v>690</v>
      </c>
      <c r="V256" t="s">
        <v>58</v>
      </c>
      <c r="W256">
        <v>0.93200000000000005</v>
      </c>
      <c r="X256">
        <v>0.996</v>
      </c>
      <c r="Y256">
        <v>0.89800000000000002</v>
      </c>
      <c r="Z256">
        <v>0.96399999999999997</v>
      </c>
      <c r="AA256" s="9">
        <v>45713.680795162036</v>
      </c>
      <c r="AB256" t="s">
        <v>873</v>
      </c>
      <c r="AC256" s="9"/>
    </row>
    <row r="257" spans="1:29" hidden="1" x14ac:dyDescent="0.35">
      <c r="A257" t="s">
        <v>243</v>
      </c>
      <c r="B257" t="s">
        <v>314</v>
      </c>
      <c r="C257">
        <v>99</v>
      </c>
      <c r="D257" s="9">
        <v>45510.001388888886</v>
      </c>
      <c r="E257" s="9">
        <v>45609.830555555556</v>
      </c>
      <c r="F257" t="s">
        <v>874</v>
      </c>
      <c r="G257" t="s">
        <v>874</v>
      </c>
      <c r="H257">
        <v>31</v>
      </c>
      <c r="I257">
        <v>6</v>
      </c>
      <c r="J257">
        <v>2</v>
      </c>
      <c r="K257" t="s">
        <v>875</v>
      </c>
      <c r="L257">
        <v>42</v>
      </c>
      <c r="M257">
        <v>-8</v>
      </c>
      <c r="N257">
        <v>0.249</v>
      </c>
      <c r="O257">
        <v>3.6999999999999998E-2</v>
      </c>
      <c r="P257">
        <v>1.2E-2</v>
      </c>
      <c r="Q257">
        <v>0.315</v>
      </c>
      <c r="R257">
        <v>1.1499999999999999</v>
      </c>
      <c r="S257">
        <v>0.871</v>
      </c>
      <c r="T257">
        <v>0.95799999999999996</v>
      </c>
      <c r="U257">
        <v>876.19</v>
      </c>
      <c r="V257" t="s">
        <v>64</v>
      </c>
      <c r="W257">
        <v>0.89300000000000002</v>
      </c>
      <c r="X257">
        <v>0.76600000000000001</v>
      </c>
      <c r="Y257">
        <v>1</v>
      </c>
      <c r="Z257">
        <v>0.9</v>
      </c>
      <c r="AA257" s="9">
        <v>45713.680815081017</v>
      </c>
      <c r="AB257" t="s">
        <v>873</v>
      </c>
      <c r="AC257" s="9"/>
    </row>
    <row r="258" spans="1:29" x14ac:dyDescent="0.35">
      <c r="A258" t="s">
        <v>244</v>
      </c>
      <c r="B258" t="s">
        <v>313</v>
      </c>
      <c r="C258">
        <v>2059</v>
      </c>
      <c r="D258" s="9">
        <v>43550.631944444445</v>
      </c>
      <c r="E258" s="9">
        <v>45609.717361111114</v>
      </c>
      <c r="F258">
        <v>3656</v>
      </c>
      <c r="G258">
        <v>3656</v>
      </c>
      <c r="H258">
        <v>3656</v>
      </c>
      <c r="I258">
        <v>0</v>
      </c>
      <c r="J258">
        <v>58</v>
      </c>
      <c r="K258">
        <v>3598</v>
      </c>
      <c r="L258">
        <v>856</v>
      </c>
      <c r="M258">
        <v>2742</v>
      </c>
      <c r="N258">
        <v>2.359</v>
      </c>
      <c r="O258">
        <v>0</v>
      </c>
      <c r="P258">
        <v>4.1000000000000002E-2</v>
      </c>
      <c r="Q258">
        <v>0.65400000000000003</v>
      </c>
      <c r="R258">
        <v>0.28199999999999997</v>
      </c>
      <c r="S258">
        <v>1</v>
      </c>
      <c r="T258">
        <v>0.98299999999999998</v>
      </c>
      <c r="U258">
        <v>4192.6610000000001</v>
      </c>
      <c r="V258" t="s">
        <v>58</v>
      </c>
      <c r="W258">
        <v>0.98599999999999999</v>
      </c>
      <c r="X258">
        <v>0</v>
      </c>
      <c r="Y258">
        <v>0.79600000000000004</v>
      </c>
      <c r="Z258">
        <v>0.97099999999999997</v>
      </c>
      <c r="AA258" s="9">
        <v>45713.680905821762</v>
      </c>
      <c r="AB258" t="s">
        <v>873</v>
      </c>
      <c r="AC258" s="9"/>
    </row>
    <row r="259" spans="1:29" x14ac:dyDescent="0.35">
      <c r="A259" t="s">
        <v>245</v>
      </c>
      <c r="B259" t="s">
        <v>313</v>
      </c>
      <c r="C259">
        <v>994</v>
      </c>
      <c r="D259" s="9">
        <v>44608.720833333333</v>
      </c>
      <c r="E259" s="9">
        <v>45603.529166666667</v>
      </c>
      <c r="F259">
        <v>205</v>
      </c>
      <c r="G259">
        <v>203</v>
      </c>
      <c r="H259">
        <v>29</v>
      </c>
      <c r="I259">
        <v>174</v>
      </c>
      <c r="J259">
        <v>3</v>
      </c>
      <c r="K259">
        <v>200</v>
      </c>
      <c r="L259">
        <v>167</v>
      </c>
      <c r="M259">
        <v>33</v>
      </c>
      <c r="N259">
        <v>3.6999999999999998E-2</v>
      </c>
      <c r="O259">
        <v>0.57599999999999996</v>
      </c>
      <c r="P259">
        <v>8.0000000000000002E-3</v>
      </c>
      <c r="Q259">
        <v>0.57299999999999995</v>
      </c>
      <c r="R259">
        <v>0.94699999999999995</v>
      </c>
      <c r="S259">
        <v>0.06</v>
      </c>
      <c r="T259">
        <v>0.98699999999999999</v>
      </c>
      <c r="U259">
        <v>57.591999999999999</v>
      </c>
      <c r="V259" t="s">
        <v>58</v>
      </c>
      <c r="W259">
        <v>0.76400000000000001</v>
      </c>
      <c r="X259">
        <v>0.96699999999999997</v>
      </c>
      <c r="Y259">
        <v>0.93899999999999995</v>
      </c>
      <c r="Z259">
        <v>0.97</v>
      </c>
      <c r="AA259" s="9">
        <v>45713.680993159724</v>
      </c>
      <c r="AB259" t="s">
        <v>873</v>
      </c>
      <c r="AC259" s="9"/>
    </row>
    <row r="260" spans="1:29" x14ac:dyDescent="0.35">
      <c r="A260" t="s">
        <v>246</v>
      </c>
      <c r="B260" t="s">
        <v>313</v>
      </c>
      <c r="C260">
        <v>314</v>
      </c>
      <c r="D260" s="9">
        <v>44813.351388888892</v>
      </c>
      <c r="E260" s="9">
        <v>45127.595138888886</v>
      </c>
      <c r="F260">
        <v>39</v>
      </c>
      <c r="G260">
        <v>39</v>
      </c>
      <c r="H260">
        <v>24</v>
      </c>
      <c r="I260">
        <v>15</v>
      </c>
      <c r="J260">
        <v>11</v>
      </c>
      <c r="K260">
        <v>28</v>
      </c>
      <c r="L260">
        <v>28</v>
      </c>
      <c r="M260">
        <v>0</v>
      </c>
      <c r="N260">
        <v>0.1</v>
      </c>
      <c r="O260">
        <v>6.2E-2</v>
      </c>
      <c r="P260">
        <v>3.2000000000000001E-2</v>
      </c>
      <c r="Q260">
        <v>7.9000000000000001E-2</v>
      </c>
      <c r="R260">
        <v>0.60799999999999998</v>
      </c>
      <c r="S260">
        <v>0.61699999999999999</v>
      </c>
      <c r="T260">
        <v>0.80200000000000005</v>
      </c>
      <c r="U260">
        <v>0</v>
      </c>
      <c r="V260" t="s">
        <v>82</v>
      </c>
      <c r="W260">
        <v>0.88500000000000001</v>
      </c>
      <c r="X260">
        <v>0.873</v>
      </c>
      <c r="Y260">
        <v>0.89800000000000002</v>
      </c>
      <c r="Z260">
        <v>0.81</v>
      </c>
      <c r="AA260" s="9">
        <v>45713.68107564815</v>
      </c>
      <c r="AB260" t="s">
        <v>873</v>
      </c>
      <c r="AC260" s="9"/>
    </row>
    <row r="261" spans="1:29" x14ac:dyDescent="0.35">
      <c r="A261" t="s">
        <v>247</v>
      </c>
      <c r="B261" t="s">
        <v>313</v>
      </c>
      <c r="C261">
        <v>3418</v>
      </c>
      <c r="D261" s="9">
        <v>41016.564583333333</v>
      </c>
      <c r="E261" s="9">
        <v>44435.231944444444</v>
      </c>
      <c r="F261">
        <v>4024</v>
      </c>
      <c r="G261">
        <v>4024</v>
      </c>
      <c r="H261">
        <v>403</v>
      </c>
      <c r="I261">
        <v>3621</v>
      </c>
      <c r="J261">
        <v>1213</v>
      </c>
      <c r="K261">
        <v>2811</v>
      </c>
      <c r="L261">
        <v>2770</v>
      </c>
      <c r="M261">
        <v>41</v>
      </c>
      <c r="N261">
        <v>0.26800000000000002</v>
      </c>
      <c r="O261">
        <v>2.2629999999999999</v>
      </c>
      <c r="P261">
        <v>0.38400000000000001</v>
      </c>
      <c r="Q261">
        <v>2.0070000000000001</v>
      </c>
      <c r="R261">
        <v>0.93500000000000005</v>
      </c>
      <c r="S261">
        <v>0.106</v>
      </c>
      <c r="T261">
        <v>0.84799999999999998</v>
      </c>
      <c r="U261">
        <v>20.428999999999998</v>
      </c>
      <c r="V261" t="s">
        <v>82</v>
      </c>
      <c r="W261">
        <v>0.88800000000000001</v>
      </c>
      <c r="X261">
        <v>0.95199999999999996</v>
      </c>
      <c r="Y261">
        <v>0.93799999999999994</v>
      </c>
      <c r="Z261">
        <v>0.85299999999999998</v>
      </c>
      <c r="AA261" s="9">
        <v>45713.681169525466</v>
      </c>
      <c r="AB261" t="s">
        <v>873</v>
      </c>
      <c r="AC261" s="9"/>
    </row>
    <row r="262" spans="1:29" x14ac:dyDescent="0.35">
      <c r="A262" t="s">
        <v>248</v>
      </c>
      <c r="B262" t="s">
        <v>313</v>
      </c>
      <c r="C262">
        <v>1642</v>
      </c>
      <c r="D262" s="9">
        <v>43962.525694444441</v>
      </c>
      <c r="E262" s="9">
        <v>45604.898611111108</v>
      </c>
      <c r="F262">
        <v>8761</v>
      </c>
      <c r="G262">
        <v>8761</v>
      </c>
      <c r="H262">
        <v>7274</v>
      </c>
      <c r="I262">
        <v>1487</v>
      </c>
      <c r="J262">
        <v>1293</v>
      </c>
      <c r="K262">
        <v>7468</v>
      </c>
      <c r="L262">
        <v>6461</v>
      </c>
      <c r="M262">
        <v>1007</v>
      </c>
      <c r="N262">
        <v>6.4390000000000001</v>
      </c>
      <c r="O262">
        <v>1.216</v>
      </c>
      <c r="P262">
        <v>1.2889999999999999</v>
      </c>
      <c r="Q262">
        <v>5.8840000000000003</v>
      </c>
      <c r="R262">
        <v>0.92400000000000004</v>
      </c>
      <c r="S262">
        <v>0.84099999999999997</v>
      </c>
      <c r="T262">
        <v>0.83199999999999996</v>
      </c>
      <c r="U262">
        <v>171.142</v>
      </c>
      <c r="V262" t="s">
        <v>58</v>
      </c>
      <c r="W262">
        <v>0.97199999999999998</v>
      </c>
      <c r="X262">
        <v>0.93899999999999995</v>
      </c>
      <c r="Y262">
        <v>0.91100000000000003</v>
      </c>
      <c r="Z262">
        <v>0.96199999999999997</v>
      </c>
      <c r="AA262" s="9">
        <v>45713.681288749998</v>
      </c>
      <c r="AB262" t="s">
        <v>873</v>
      </c>
      <c r="AC262" s="9"/>
    </row>
    <row r="263" spans="1:29" hidden="1" x14ac:dyDescent="0.35">
      <c r="A263" t="s">
        <v>248</v>
      </c>
      <c r="B263" t="s">
        <v>314</v>
      </c>
      <c r="C263">
        <v>100</v>
      </c>
      <c r="D263" s="9">
        <v>45504.816666666666</v>
      </c>
      <c r="E263" s="9">
        <v>45604.898611111108</v>
      </c>
      <c r="F263" t="s">
        <v>874</v>
      </c>
      <c r="G263" t="s">
        <v>874</v>
      </c>
      <c r="H263">
        <v>825</v>
      </c>
      <c r="I263">
        <v>157</v>
      </c>
      <c r="J263">
        <v>122</v>
      </c>
      <c r="K263" t="s">
        <v>875</v>
      </c>
      <c r="L263">
        <v>687</v>
      </c>
      <c r="M263">
        <v>172</v>
      </c>
      <c r="N263">
        <v>8.0489999999999995</v>
      </c>
      <c r="O263">
        <v>1.649</v>
      </c>
      <c r="P263">
        <v>1.4530000000000001</v>
      </c>
      <c r="Q263">
        <v>6.7949999999999999</v>
      </c>
      <c r="R263">
        <v>0.82399999999999995</v>
      </c>
      <c r="S263">
        <v>0.83</v>
      </c>
      <c r="T263">
        <v>0.85</v>
      </c>
      <c r="U263">
        <v>148.197</v>
      </c>
      <c r="V263" t="s">
        <v>58</v>
      </c>
      <c r="W263">
        <v>0.997</v>
      </c>
      <c r="X263">
        <v>0.99299999999999999</v>
      </c>
      <c r="Y263">
        <v>0.95599999999999996</v>
      </c>
      <c r="Z263">
        <v>0.998</v>
      </c>
      <c r="AA263" s="9">
        <v>45713.681313518522</v>
      </c>
      <c r="AB263" t="s">
        <v>873</v>
      </c>
      <c r="AC263" s="9"/>
    </row>
    <row r="264" spans="1:29" x14ac:dyDescent="0.35">
      <c r="A264" t="s">
        <v>249</v>
      </c>
      <c r="B264" t="s">
        <v>313</v>
      </c>
      <c r="C264">
        <v>4522</v>
      </c>
      <c r="D264" s="9">
        <v>41082.302083333336</v>
      </c>
      <c r="E264" s="9">
        <v>45604.688194444447</v>
      </c>
      <c r="F264">
        <v>3687</v>
      </c>
      <c r="G264">
        <v>3687</v>
      </c>
      <c r="H264">
        <v>3018</v>
      </c>
      <c r="I264">
        <v>669</v>
      </c>
      <c r="J264">
        <v>610</v>
      </c>
      <c r="K264">
        <v>3077</v>
      </c>
      <c r="L264">
        <v>2830</v>
      </c>
      <c r="M264">
        <v>247</v>
      </c>
      <c r="N264">
        <v>1.071</v>
      </c>
      <c r="O264">
        <v>0.249</v>
      </c>
      <c r="P264">
        <v>0.25900000000000001</v>
      </c>
      <c r="Q264">
        <v>1.0269999999999999</v>
      </c>
      <c r="R264">
        <v>0.96799999999999997</v>
      </c>
      <c r="S264">
        <v>0.81100000000000005</v>
      </c>
      <c r="T264">
        <v>0.80400000000000005</v>
      </c>
      <c r="U264">
        <v>240.506</v>
      </c>
      <c r="V264" t="s">
        <v>58</v>
      </c>
      <c r="W264">
        <v>0.93500000000000005</v>
      </c>
      <c r="X264">
        <v>0.94099999999999995</v>
      </c>
      <c r="Y264">
        <v>0.80100000000000005</v>
      </c>
      <c r="Z264">
        <v>0.95599999999999996</v>
      </c>
      <c r="AA264" s="9">
        <v>45713.68141341435</v>
      </c>
      <c r="AB264" t="s">
        <v>873</v>
      </c>
      <c r="AC264" s="9"/>
    </row>
    <row r="265" spans="1:29" hidden="1" x14ac:dyDescent="0.35">
      <c r="A265" t="s">
        <v>249</v>
      </c>
      <c r="B265" t="s">
        <v>314</v>
      </c>
      <c r="C265">
        <v>99</v>
      </c>
      <c r="D265" s="9">
        <v>45505.417361111111</v>
      </c>
      <c r="E265" s="9">
        <v>45604.688194444447</v>
      </c>
      <c r="F265" t="s">
        <v>874</v>
      </c>
      <c r="G265" t="s">
        <v>874</v>
      </c>
      <c r="H265">
        <v>53</v>
      </c>
      <c r="I265">
        <v>12</v>
      </c>
      <c r="J265">
        <v>6</v>
      </c>
      <c r="K265" t="s">
        <v>875</v>
      </c>
      <c r="L265">
        <v>41</v>
      </c>
      <c r="M265">
        <v>17</v>
      </c>
      <c r="N265">
        <v>0.48299999999999998</v>
      </c>
      <c r="O265">
        <v>9.1999999999999998E-2</v>
      </c>
      <c r="P265">
        <v>5.6000000000000001E-2</v>
      </c>
      <c r="Q265">
        <v>0.36599999999999999</v>
      </c>
      <c r="R265">
        <v>0.70499999999999996</v>
      </c>
      <c r="S265">
        <v>0.84</v>
      </c>
      <c r="T265">
        <v>0.90300000000000002</v>
      </c>
      <c r="U265">
        <v>674.86300000000006</v>
      </c>
      <c r="V265" t="s">
        <v>58</v>
      </c>
      <c r="W265">
        <v>0.91400000000000003</v>
      </c>
      <c r="X265">
        <v>0.96599999999999997</v>
      </c>
      <c r="Y265">
        <v>0.98399999999999999</v>
      </c>
      <c r="Z265">
        <v>0.96899999999999997</v>
      </c>
      <c r="AA265" s="9">
        <v>45713.68144177083</v>
      </c>
      <c r="AB265" t="s">
        <v>873</v>
      </c>
      <c r="AC265" s="9"/>
    </row>
    <row r="266" spans="1:29" x14ac:dyDescent="0.35">
      <c r="A266" t="s">
        <v>250</v>
      </c>
      <c r="B266" t="s">
        <v>313</v>
      </c>
      <c r="C266">
        <v>3659</v>
      </c>
      <c r="D266" s="9">
        <v>41803.273611111108</v>
      </c>
      <c r="E266" s="9">
        <v>45462.273611111108</v>
      </c>
      <c r="F266">
        <v>1309</v>
      </c>
      <c r="G266">
        <v>1309</v>
      </c>
      <c r="H266">
        <v>251</v>
      </c>
      <c r="I266">
        <v>1058</v>
      </c>
      <c r="J266">
        <v>367</v>
      </c>
      <c r="K266">
        <v>942</v>
      </c>
      <c r="L266">
        <v>922</v>
      </c>
      <c r="M266">
        <v>20</v>
      </c>
      <c r="N266">
        <v>0.14799999999999999</v>
      </c>
      <c r="O266">
        <v>0.51</v>
      </c>
      <c r="P266">
        <v>0.185</v>
      </c>
      <c r="Q266">
        <v>0.46800000000000003</v>
      </c>
      <c r="R266">
        <v>0.98899999999999999</v>
      </c>
      <c r="S266">
        <v>0.22500000000000001</v>
      </c>
      <c r="T266">
        <v>0.71899999999999997</v>
      </c>
      <c r="U266">
        <v>42.734999999999999</v>
      </c>
      <c r="V266" t="s">
        <v>58</v>
      </c>
      <c r="W266">
        <v>0.97199999999999998</v>
      </c>
      <c r="X266">
        <v>0.92700000000000005</v>
      </c>
      <c r="Y266">
        <v>0.98</v>
      </c>
      <c r="Z266">
        <v>0.94499999999999995</v>
      </c>
      <c r="AA266" s="9">
        <v>45713.681532418981</v>
      </c>
      <c r="AB266" t="s">
        <v>873</v>
      </c>
      <c r="AC266" s="9"/>
    </row>
    <row r="267" spans="1:29" x14ac:dyDescent="0.35">
      <c r="A267" t="s">
        <v>251</v>
      </c>
      <c r="B267" t="s">
        <v>313</v>
      </c>
      <c r="C267">
        <v>2352</v>
      </c>
      <c r="D267" s="9">
        <v>43248.74722222222</v>
      </c>
      <c r="E267" s="9">
        <v>45600.877083333333</v>
      </c>
      <c r="F267">
        <v>432</v>
      </c>
      <c r="G267">
        <v>411</v>
      </c>
      <c r="H267">
        <v>252</v>
      </c>
      <c r="I267">
        <v>159</v>
      </c>
      <c r="J267">
        <v>41</v>
      </c>
      <c r="K267">
        <v>370</v>
      </c>
      <c r="L267">
        <v>303</v>
      </c>
      <c r="M267">
        <v>67</v>
      </c>
      <c r="N267">
        <v>0.22500000000000001</v>
      </c>
      <c r="O267">
        <v>0.153</v>
      </c>
      <c r="P267">
        <v>5.5E-2</v>
      </c>
      <c r="Q267">
        <v>0.314</v>
      </c>
      <c r="R267">
        <v>0.97199999999999998</v>
      </c>
      <c r="S267">
        <v>0.59499999999999997</v>
      </c>
      <c r="T267">
        <v>0.85399999999999998</v>
      </c>
      <c r="U267">
        <v>213.376</v>
      </c>
      <c r="V267" t="s">
        <v>58</v>
      </c>
      <c r="W267">
        <v>0.88800000000000001</v>
      </c>
      <c r="X267">
        <v>0.95799999999999996</v>
      </c>
      <c r="Y267">
        <v>0.90900000000000003</v>
      </c>
      <c r="Z267">
        <v>0.98499999999999999</v>
      </c>
      <c r="AA267" s="9">
        <v>45713.681627557868</v>
      </c>
      <c r="AB267" t="s">
        <v>873</v>
      </c>
      <c r="AC267" s="9"/>
    </row>
    <row r="268" spans="1:29" hidden="1" x14ac:dyDescent="0.35">
      <c r="A268" t="s">
        <v>251</v>
      </c>
      <c r="B268" t="s">
        <v>314</v>
      </c>
      <c r="C268">
        <v>95</v>
      </c>
      <c r="D268" s="9">
        <v>45505.511111111111</v>
      </c>
      <c r="E268" s="9">
        <v>45600.877083333333</v>
      </c>
      <c r="F268" t="s">
        <v>874</v>
      </c>
      <c r="G268" t="s">
        <v>874</v>
      </c>
      <c r="H268">
        <v>8</v>
      </c>
      <c r="I268">
        <v>8</v>
      </c>
      <c r="J268">
        <v>2</v>
      </c>
      <c r="K268" t="s">
        <v>875</v>
      </c>
      <c r="L268">
        <v>30</v>
      </c>
      <c r="M268">
        <v>-15</v>
      </c>
      <c r="N268">
        <v>8.4000000000000005E-2</v>
      </c>
      <c r="O268">
        <v>7.9000000000000001E-2</v>
      </c>
      <c r="P268">
        <v>1.4999999999999999E-2</v>
      </c>
      <c r="Q268">
        <v>0.314</v>
      </c>
      <c r="R268">
        <v>2.1219999999999999</v>
      </c>
      <c r="S268">
        <v>0.51500000000000001</v>
      </c>
      <c r="T268">
        <v>0.90800000000000003</v>
      </c>
      <c r="U268">
        <v>213.376</v>
      </c>
      <c r="V268" t="s">
        <v>64</v>
      </c>
      <c r="W268">
        <v>0.95699999999999996</v>
      </c>
      <c r="X268">
        <v>0.95399999999999996</v>
      </c>
      <c r="Y268">
        <v>1</v>
      </c>
      <c r="Z268">
        <v>0.60699999999999998</v>
      </c>
      <c r="AA268" s="9">
        <v>45713.681651481478</v>
      </c>
      <c r="AB268" t="s">
        <v>873</v>
      </c>
      <c r="AC268" s="9"/>
    </row>
    <row r="269" spans="1:29" x14ac:dyDescent="0.35">
      <c r="A269" t="s">
        <v>252</v>
      </c>
      <c r="B269" t="s">
        <v>313</v>
      </c>
      <c r="C269">
        <v>1752</v>
      </c>
      <c r="D269" s="9">
        <v>43858.220138888886</v>
      </c>
      <c r="E269" s="9">
        <v>45610.581944444442</v>
      </c>
      <c r="F269">
        <v>231</v>
      </c>
      <c r="G269">
        <v>226</v>
      </c>
      <c r="H269">
        <v>41</v>
      </c>
      <c r="I269">
        <v>185</v>
      </c>
      <c r="J269">
        <v>86</v>
      </c>
      <c r="K269">
        <v>140</v>
      </c>
      <c r="L269">
        <v>120</v>
      </c>
      <c r="M269">
        <v>20</v>
      </c>
      <c r="N269">
        <v>3.4000000000000002E-2</v>
      </c>
      <c r="O269">
        <v>0.253</v>
      </c>
      <c r="P269">
        <v>0.192</v>
      </c>
      <c r="Q269">
        <v>0.24</v>
      </c>
      <c r="R269">
        <v>2.5259999999999998</v>
      </c>
      <c r="S269">
        <v>0.11799999999999999</v>
      </c>
      <c r="T269">
        <v>0.33100000000000002</v>
      </c>
      <c r="U269">
        <v>83.332999999999998</v>
      </c>
      <c r="V269" t="s">
        <v>64</v>
      </c>
      <c r="W269">
        <v>0.57299999999999995</v>
      </c>
      <c r="X269">
        <v>0.72299999999999998</v>
      </c>
      <c r="Y269">
        <v>0.98</v>
      </c>
      <c r="Z269">
        <v>0.9</v>
      </c>
      <c r="AA269" s="9">
        <v>45713.681745185182</v>
      </c>
      <c r="AB269" t="s">
        <v>873</v>
      </c>
      <c r="AC269" s="9"/>
    </row>
    <row r="270" spans="1:29" hidden="1" x14ac:dyDescent="0.35">
      <c r="A270" t="s">
        <v>252</v>
      </c>
      <c r="B270" t="s">
        <v>314</v>
      </c>
      <c r="C270">
        <v>99</v>
      </c>
      <c r="D270" s="9">
        <v>45510.65347222222</v>
      </c>
      <c r="E270" s="9">
        <v>45610.581944444442</v>
      </c>
      <c r="F270" t="s">
        <v>874</v>
      </c>
      <c r="G270" t="s">
        <v>874</v>
      </c>
      <c r="H270">
        <v>7</v>
      </c>
      <c r="I270">
        <v>25</v>
      </c>
      <c r="J270">
        <v>15</v>
      </c>
      <c r="K270" t="s">
        <v>875</v>
      </c>
      <c r="L270">
        <v>17</v>
      </c>
      <c r="M270">
        <v>-1</v>
      </c>
      <c r="N270">
        <v>9.8000000000000004E-2</v>
      </c>
      <c r="O270">
        <v>0.22500000000000001</v>
      </c>
      <c r="P270">
        <v>0.114</v>
      </c>
      <c r="Q270">
        <v>0.159</v>
      </c>
      <c r="R270">
        <v>0.76100000000000001</v>
      </c>
      <c r="S270">
        <v>0.30299999999999999</v>
      </c>
      <c r="T270">
        <v>0.64700000000000002</v>
      </c>
      <c r="U270">
        <v>125.786</v>
      </c>
      <c r="V270" t="s">
        <v>58</v>
      </c>
      <c r="W270">
        <v>0.96599999999999997</v>
      </c>
      <c r="X270">
        <v>0.91600000000000004</v>
      </c>
      <c r="Y270">
        <v>0.81200000000000006</v>
      </c>
      <c r="Z270">
        <v>0.95699999999999996</v>
      </c>
      <c r="AA270" s="9">
        <v>45713.681774745368</v>
      </c>
      <c r="AB270" t="s">
        <v>873</v>
      </c>
      <c r="AC270" s="9"/>
    </row>
    <row r="271" spans="1:29" x14ac:dyDescent="0.35">
      <c r="A271" t="s">
        <v>253</v>
      </c>
      <c r="B271" t="s">
        <v>313</v>
      </c>
      <c r="C271">
        <v>2074</v>
      </c>
      <c r="D271" s="9">
        <v>43537.469444444447</v>
      </c>
      <c r="E271" s="9">
        <v>45611.663888888892</v>
      </c>
      <c r="F271">
        <v>12378</v>
      </c>
      <c r="G271">
        <v>12050</v>
      </c>
      <c r="H271">
        <v>2643</v>
      </c>
      <c r="I271">
        <v>9407</v>
      </c>
      <c r="J271">
        <v>2373</v>
      </c>
      <c r="K271">
        <v>9677</v>
      </c>
      <c r="L271">
        <v>3705</v>
      </c>
      <c r="M271">
        <v>5972</v>
      </c>
      <c r="N271">
        <v>3.8050000000000002</v>
      </c>
      <c r="O271">
        <v>17.166</v>
      </c>
      <c r="P271">
        <v>5.5030000000000001</v>
      </c>
      <c r="Q271">
        <v>8.9149999999999991</v>
      </c>
      <c r="R271">
        <v>0.57599999999999996</v>
      </c>
      <c r="S271">
        <v>0.18099999999999999</v>
      </c>
      <c r="T271">
        <v>0.73799999999999999</v>
      </c>
      <c r="U271">
        <v>669.88199999999995</v>
      </c>
      <c r="V271" t="s">
        <v>58</v>
      </c>
      <c r="W271">
        <v>0.82499999999999996</v>
      </c>
      <c r="X271">
        <v>0.93500000000000005</v>
      </c>
      <c r="Y271">
        <v>0.97899999999999998</v>
      </c>
      <c r="Z271">
        <v>0.89800000000000002</v>
      </c>
      <c r="AA271" s="9">
        <v>45713.681891840279</v>
      </c>
      <c r="AB271" t="s">
        <v>873</v>
      </c>
      <c r="AC271" s="9"/>
    </row>
    <row r="272" spans="1:29" hidden="1" x14ac:dyDescent="0.35">
      <c r="A272" t="s">
        <v>253</v>
      </c>
      <c r="B272" t="s">
        <v>314</v>
      </c>
      <c r="C272">
        <v>100</v>
      </c>
      <c r="D272" s="9">
        <v>45511.404166666667</v>
      </c>
      <c r="E272" s="9">
        <v>45611.663888888892</v>
      </c>
      <c r="F272" t="s">
        <v>874</v>
      </c>
      <c r="G272" t="s">
        <v>874</v>
      </c>
      <c r="H272">
        <v>499</v>
      </c>
      <c r="I272">
        <v>1727</v>
      </c>
      <c r="J272">
        <v>648</v>
      </c>
      <c r="K272" t="s">
        <v>875</v>
      </c>
      <c r="L272">
        <v>1270</v>
      </c>
      <c r="M272">
        <v>307</v>
      </c>
      <c r="N272">
        <v>4.7670000000000003</v>
      </c>
      <c r="O272">
        <v>16.001999999999999</v>
      </c>
      <c r="P272">
        <v>6.3940000000000001</v>
      </c>
      <c r="Q272">
        <v>10.089</v>
      </c>
      <c r="R272">
        <v>0.70199999999999996</v>
      </c>
      <c r="S272">
        <v>0.23</v>
      </c>
      <c r="T272">
        <v>0.69199999999999995</v>
      </c>
      <c r="U272">
        <v>591.93200000000002</v>
      </c>
      <c r="V272" t="s">
        <v>58</v>
      </c>
      <c r="W272">
        <v>0.99199999999999999</v>
      </c>
      <c r="X272">
        <v>0.996</v>
      </c>
      <c r="Y272">
        <v>0.997</v>
      </c>
      <c r="Z272">
        <v>0.63100000000000001</v>
      </c>
      <c r="AA272" s="9">
        <v>45713.681920486109</v>
      </c>
      <c r="AB272" t="s">
        <v>873</v>
      </c>
      <c r="AC272" s="9"/>
    </row>
    <row r="273" spans="1:29" x14ac:dyDescent="0.35">
      <c r="A273" t="s">
        <v>254</v>
      </c>
      <c r="B273" t="s">
        <v>313</v>
      </c>
      <c r="C273">
        <v>296</v>
      </c>
      <c r="D273" s="9">
        <v>45314.73333333333</v>
      </c>
      <c r="E273" s="9">
        <v>45611.70208333333</v>
      </c>
      <c r="F273">
        <v>1272</v>
      </c>
      <c r="G273">
        <v>1096</v>
      </c>
      <c r="H273">
        <v>792</v>
      </c>
      <c r="I273">
        <v>304</v>
      </c>
      <c r="J273">
        <v>104</v>
      </c>
      <c r="K273">
        <v>992</v>
      </c>
      <c r="L273">
        <v>571</v>
      </c>
      <c r="M273">
        <v>421</v>
      </c>
      <c r="N273">
        <v>4.13</v>
      </c>
      <c r="O273">
        <v>1.74</v>
      </c>
      <c r="P273">
        <v>0.64</v>
      </c>
      <c r="Q273">
        <v>3.621</v>
      </c>
      <c r="R273">
        <v>0.69199999999999995</v>
      </c>
      <c r="S273">
        <v>0.70399999999999996</v>
      </c>
      <c r="T273">
        <v>0.89100000000000001</v>
      </c>
      <c r="U273">
        <v>116.26600000000001</v>
      </c>
      <c r="V273" t="s">
        <v>58</v>
      </c>
      <c r="W273">
        <v>0.95099999999999996</v>
      </c>
      <c r="X273">
        <v>0.96799999999999997</v>
      </c>
      <c r="Y273">
        <v>0.99399999999999999</v>
      </c>
      <c r="Z273">
        <v>0.98</v>
      </c>
      <c r="AA273" s="9">
        <v>45713.682023541667</v>
      </c>
      <c r="AB273" t="s">
        <v>873</v>
      </c>
      <c r="AC273" s="9"/>
    </row>
    <row r="274" spans="1:29" hidden="1" x14ac:dyDescent="0.35">
      <c r="A274" t="s">
        <v>254</v>
      </c>
      <c r="B274" t="s">
        <v>314</v>
      </c>
      <c r="C274">
        <v>100</v>
      </c>
      <c r="D274" s="9">
        <v>45511.427083333336</v>
      </c>
      <c r="E274" s="9">
        <v>45611.70208333333</v>
      </c>
      <c r="F274" t="s">
        <v>874</v>
      </c>
      <c r="G274" t="s">
        <v>874</v>
      </c>
      <c r="H274">
        <v>472</v>
      </c>
      <c r="I274">
        <v>193</v>
      </c>
      <c r="J274">
        <v>61</v>
      </c>
      <c r="K274" t="s">
        <v>875</v>
      </c>
      <c r="L274">
        <v>408</v>
      </c>
      <c r="M274">
        <v>195</v>
      </c>
      <c r="N274">
        <v>4.9530000000000003</v>
      </c>
      <c r="O274">
        <v>2.2229999999999999</v>
      </c>
      <c r="P274">
        <v>0.61899999999999999</v>
      </c>
      <c r="Q274">
        <v>4.258</v>
      </c>
      <c r="R274">
        <v>0.64900000000000002</v>
      </c>
      <c r="S274">
        <v>0.69</v>
      </c>
      <c r="T274">
        <v>0.91400000000000003</v>
      </c>
      <c r="U274">
        <v>98.873000000000005</v>
      </c>
      <c r="V274" t="s">
        <v>58</v>
      </c>
      <c r="W274">
        <v>0.98799999999999999</v>
      </c>
      <c r="X274">
        <v>0.98799999999999999</v>
      </c>
      <c r="Y274">
        <v>0.98699999999999999</v>
      </c>
      <c r="Z274">
        <v>0.99099999999999999</v>
      </c>
      <c r="AA274" s="9">
        <v>45713.682048750001</v>
      </c>
      <c r="AB274" t="s">
        <v>873</v>
      </c>
      <c r="AC274" s="9"/>
    </row>
    <row r="275" spans="1:29" x14ac:dyDescent="0.35">
      <c r="A275" t="s">
        <v>255</v>
      </c>
      <c r="B275" t="s">
        <v>313</v>
      </c>
      <c r="C275">
        <v>1518</v>
      </c>
      <c r="D275" s="9">
        <v>44090.569444444445</v>
      </c>
      <c r="E275" s="9">
        <v>45609.517361111109</v>
      </c>
      <c r="F275">
        <v>132</v>
      </c>
      <c r="G275">
        <v>126</v>
      </c>
      <c r="H275">
        <v>49</v>
      </c>
      <c r="I275">
        <v>77</v>
      </c>
      <c r="J275">
        <v>31</v>
      </c>
      <c r="K275">
        <v>95</v>
      </c>
      <c r="L275">
        <v>67</v>
      </c>
      <c r="M275">
        <v>28</v>
      </c>
      <c r="N275">
        <v>3.7999999999999999E-2</v>
      </c>
      <c r="O275">
        <v>0.108</v>
      </c>
      <c r="P275">
        <v>5.2999999999999999E-2</v>
      </c>
      <c r="Q275">
        <v>0.104</v>
      </c>
      <c r="R275">
        <v>1.1180000000000001</v>
      </c>
      <c r="S275">
        <v>0.26</v>
      </c>
      <c r="T275">
        <v>0.63700000000000001</v>
      </c>
      <c r="U275">
        <v>269.23099999999999</v>
      </c>
      <c r="V275" t="s">
        <v>64</v>
      </c>
      <c r="W275">
        <v>0.82699999999999996</v>
      </c>
      <c r="X275">
        <v>0.92200000000000004</v>
      </c>
      <c r="Y275">
        <v>0.94399999999999995</v>
      </c>
      <c r="Z275">
        <v>0.94699999999999995</v>
      </c>
      <c r="AA275" s="9">
        <v>45713.682150138891</v>
      </c>
      <c r="AB275" t="s">
        <v>873</v>
      </c>
      <c r="AC275" s="9"/>
    </row>
    <row r="276" spans="1:29" hidden="1" x14ac:dyDescent="0.35">
      <c r="A276" t="s">
        <v>255</v>
      </c>
      <c r="B276" t="s">
        <v>314</v>
      </c>
      <c r="C276">
        <v>93</v>
      </c>
      <c r="D276" s="9">
        <v>45516.065972222219</v>
      </c>
      <c r="E276" s="9">
        <v>45609.517361111109</v>
      </c>
      <c r="F276" t="s">
        <v>874</v>
      </c>
      <c r="G276" t="s">
        <v>874</v>
      </c>
      <c r="H276">
        <v>7</v>
      </c>
      <c r="I276">
        <v>15</v>
      </c>
      <c r="J276">
        <v>5</v>
      </c>
      <c r="K276" t="s">
        <v>875</v>
      </c>
      <c r="L276">
        <v>17</v>
      </c>
      <c r="M276">
        <v>-1</v>
      </c>
      <c r="N276">
        <v>6.9000000000000006E-2</v>
      </c>
      <c r="O276">
        <v>0.17100000000000001</v>
      </c>
      <c r="P276">
        <v>7.4999999999999997E-2</v>
      </c>
      <c r="Q276">
        <v>0.223</v>
      </c>
      <c r="R276">
        <v>1.3520000000000001</v>
      </c>
      <c r="S276">
        <v>0.28799999999999998</v>
      </c>
      <c r="T276">
        <v>0.68799999999999994</v>
      </c>
      <c r="U276">
        <v>125.56100000000001</v>
      </c>
      <c r="V276" t="s">
        <v>64</v>
      </c>
      <c r="W276">
        <v>0.97699999999999998</v>
      </c>
      <c r="X276">
        <v>0.95599999999999996</v>
      </c>
      <c r="Y276">
        <v>0.97799999999999998</v>
      </c>
      <c r="Z276">
        <v>0.84499999999999997</v>
      </c>
      <c r="AA276" s="9">
        <v>45713.682176481481</v>
      </c>
      <c r="AB276" t="s">
        <v>873</v>
      </c>
      <c r="AC276" s="9"/>
    </row>
    <row r="277" spans="1:29" x14ac:dyDescent="0.35">
      <c r="A277" t="s">
        <v>256</v>
      </c>
      <c r="B277" t="s">
        <v>313</v>
      </c>
      <c r="C277">
        <v>1483</v>
      </c>
      <c r="D277" s="9">
        <v>44102.472222222219</v>
      </c>
      <c r="E277" s="9">
        <v>45586.417361111111</v>
      </c>
      <c r="F277">
        <v>5677</v>
      </c>
      <c r="G277">
        <v>5325</v>
      </c>
      <c r="H277">
        <v>4190</v>
      </c>
      <c r="I277">
        <v>1135</v>
      </c>
      <c r="J277">
        <v>656</v>
      </c>
      <c r="K277">
        <v>4669</v>
      </c>
      <c r="L277">
        <v>3692</v>
      </c>
      <c r="M277">
        <v>977</v>
      </c>
      <c r="N277">
        <v>3.7309999999999999</v>
      </c>
      <c r="O277">
        <v>1.177</v>
      </c>
      <c r="P277">
        <v>0.58799999999999997</v>
      </c>
      <c r="Q277">
        <v>3.4670000000000001</v>
      </c>
      <c r="R277">
        <v>0.80300000000000005</v>
      </c>
      <c r="S277">
        <v>0.76</v>
      </c>
      <c r="T277">
        <v>0.88</v>
      </c>
      <c r="U277">
        <v>281.8</v>
      </c>
      <c r="V277" t="s">
        <v>58</v>
      </c>
      <c r="W277">
        <v>0.99099999999999999</v>
      </c>
      <c r="X277">
        <v>0.99399999999999999</v>
      </c>
      <c r="Y277">
        <v>0.98399999999999999</v>
      </c>
      <c r="Z277">
        <v>0.98799999999999999</v>
      </c>
      <c r="AA277" s="9">
        <v>45713.682285023147</v>
      </c>
      <c r="AB277" t="s">
        <v>873</v>
      </c>
      <c r="AC277" s="9"/>
    </row>
    <row r="278" spans="1:29" x14ac:dyDescent="0.35">
      <c r="A278" t="s">
        <v>257</v>
      </c>
      <c r="B278" t="s">
        <v>313</v>
      </c>
      <c r="C278">
        <v>4214</v>
      </c>
      <c r="D278" s="9">
        <v>41395.521527777775</v>
      </c>
      <c r="E278" s="9">
        <v>45609.679861111108</v>
      </c>
      <c r="F278">
        <v>3276</v>
      </c>
      <c r="G278">
        <v>3276</v>
      </c>
      <c r="H278">
        <v>690</v>
      </c>
      <c r="I278">
        <v>2586</v>
      </c>
      <c r="J278">
        <v>1010</v>
      </c>
      <c r="K278">
        <v>2266</v>
      </c>
      <c r="L278">
        <v>2133</v>
      </c>
      <c r="M278">
        <v>133</v>
      </c>
      <c r="N278">
        <v>0.29699999999999999</v>
      </c>
      <c r="O278">
        <v>1.1200000000000001</v>
      </c>
      <c r="P278">
        <v>0.46899999999999997</v>
      </c>
      <c r="Q278">
        <v>0.93</v>
      </c>
      <c r="R278">
        <v>0.98099999999999998</v>
      </c>
      <c r="S278">
        <v>0.21</v>
      </c>
      <c r="T278">
        <v>0.66900000000000004</v>
      </c>
      <c r="U278">
        <v>143.011</v>
      </c>
      <c r="V278" t="s">
        <v>58</v>
      </c>
      <c r="W278">
        <v>0.96099999999999997</v>
      </c>
      <c r="X278">
        <v>0.92600000000000005</v>
      </c>
      <c r="Y278">
        <v>0.98099999999999998</v>
      </c>
      <c r="Z278">
        <v>0.93100000000000005</v>
      </c>
      <c r="AA278" s="9">
        <v>45713.682397673612</v>
      </c>
      <c r="AB278" t="s">
        <v>873</v>
      </c>
      <c r="AC278" s="9"/>
    </row>
    <row r="279" spans="1:29" x14ac:dyDescent="0.35">
      <c r="A279" t="s">
        <v>258</v>
      </c>
      <c r="B279" t="s">
        <v>313</v>
      </c>
      <c r="C279">
        <v>3466</v>
      </c>
      <c r="D279" s="9">
        <v>42122.258333333331</v>
      </c>
      <c r="E279" s="9">
        <v>45588.345833333333</v>
      </c>
      <c r="F279">
        <v>1442</v>
      </c>
      <c r="G279">
        <v>1076</v>
      </c>
      <c r="H279">
        <v>325</v>
      </c>
      <c r="I279">
        <v>751</v>
      </c>
      <c r="J279">
        <v>32</v>
      </c>
      <c r="K279">
        <v>1044</v>
      </c>
      <c r="L279">
        <v>956</v>
      </c>
      <c r="M279">
        <v>88</v>
      </c>
      <c r="N279">
        <v>9.0999999999999998E-2</v>
      </c>
      <c r="O279">
        <v>0.19400000000000001</v>
      </c>
      <c r="P279">
        <v>3.5999999999999997E-2</v>
      </c>
      <c r="Q279">
        <v>0.26700000000000002</v>
      </c>
      <c r="R279">
        <v>1.0720000000000001</v>
      </c>
      <c r="S279">
        <v>0.31900000000000001</v>
      </c>
      <c r="T279">
        <v>0.874</v>
      </c>
      <c r="U279">
        <v>329.58800000000002</v>
      </c>
      <c r="V279" t="s">
        <v>64</v>
      </c>
      <c r="W279">
        <v>0.82399999999999995</v>
      </c>
      <c r="X279">
        <v>0.83</v>
      </c>
      <c r="Y279">
        <v>0.96099999999999997</v>
      </c>
      <c r="Z279">
        <v>0.872</v>
      </c>
      <c r="AA279" s="9">
        <v>45713.682506446756</v>
      </c>
      <c r="AB279" t="s">
        <v>873</v>
      </c>
      <c r="AC279" s="9"/>
    </row>
    <row r="280" spans="1:29" x14ac:dyDescent="0.35">
      <c r="A280" t="s">
        <v>259</v>
      </c>
      <c r="B280" t="s">
        <v>313</v>
      </c>
      <c r="C280">
        <v>1365</v>
      </c>
      <c r="D280" s="9">
        <v>44239.408333333333</v>
      </c>
      <c r="E280" s="9">
        <v>45604.697222222225</v>
      </c>
      <c r="F280">
        <v>804</v>
      </c>
      <c r="G280">
        <v>804</v>
      </c>
      <c r="H280">
        <v>797</v>
      </c>
      <c r="I280">
        <v>7</v>
      </c>
      <c r="J280">
        <v>54</v>
      </c>
      <c r="K280">
        <v>750</v>
      </c>
      <c r="L280">
        <v>605</v>
      </c>
      <c r="M280">
        <v>145</v>
      </c>
      <c r="N280">
        <v>0.54800000000000004</v>
      </c>
      <c r="O280">
        <v>8.9999999999999993E-3</v>
      </c>
      <c r="P280">
        <v>0.04</v>
      </c>
      <c r="Q280">
        <v>0.433</v>
      </c>
      <c r="R280">
        <v>0.83799999999999997</v>
      </c>
      <c r="S280">
        <v>0.98399999999999999</v>
      </c>
      <c r="T280">
        <v>0.92800000000000005</v>
      </c>
      <c r="U280">
        <v>334.87299999999999</v>
      </c>
      <c r="V280" t="s">
        <v>58</v>
      </c>
      <c r="W280">
        <v>0.98899999999999999</v>
      </c>
      <c r="X280">
        <v>0.92400000000000004</v>
      </c>
      <c r="Y280">
        <v>0.96599999999999997</v>
      </c>
      <c r="Z280">
        <v>0.98599999999999999</v>
      </c>
      <c r="AA280" s="9">
        <v>45713.682607499999</v>
      </c>
      <c r="AB280" t="s">
        <v>873</v>
      </c>
      <c r="AC280" s="9"/>
    </row>
    <row r="281" spans="1:29" hidden="1" x14ac:dyDescent="0.35">
      <c r="A281" t="s">
        <v>259</v>
      </c>
      <c r="B281" t="s">
        <v>314</v>
      </c>
      <c r="C281">
        <v>100</v>
      </c>
      <c r="D281" s="9">
        <v>45503.804861111108</v>
      </c>
      <c r="E281" s="9">
        <v>45604.697222222225</v>
      </c>
      <c r="F281" t="s">
        <v>874</v>
      </c>
      <c r="G281" t="s">
        <v>874</v>
      </c>
      <c r="H281">
        <v>96</v>
      </c>
      <c r="I281">
        <v>2</v>
      </c>
      <c r="J281">
        <v>9</v>
      </c>
      <c r="K281" t="s">
        <v>875</v>
      </c>
      <c r="L281">
        <v>70</v>
      </c>
      <c r="M281">
        <v>20</v>
      </c>
      <c r="N281">
        <v>0.97699999999999998</v>
      </c>
      <c r="O281">
        <v>0.16700000000000001</v>
      </c>
      <c r="P281">
        <v>9.5000000000000001E-2</v>
      </c>
      <c r="Q281">
        <v>0.73699999999999999</v>
      </c>
      <c r="R281">
        <v>0.70299999999999996</v>
      </c>
      <c r="S281">
        <v>0.85399999999999998</v>
      </c>
      <c r="T281">
        <v>0.91700000000000004</v>
      </c>
      <c r="U281">
        <v>196.744</v>
      </c>
      <c r="V281" t="s">
        <v>58</v>
      </c>
      <c r="W281">
        <v>0.92600000000000005</v>
      </c>
      <c r="X281">
        <v>1</v>
      </c>
      <c r="Y281">
        <v>0.79900000000000004</v>
      </c>
      <c r="Z281">
        <v>0.90700000000000003</v>
      </c>
      <c r="AA281" s="9">
        <v>45713.682631365744</v>
      </c>
      <c r="AB281" t="s">
        <v>873</v>
      </c>
      <c r="AC281" s="9"/>
    </row>
    <row r="282" spans="1:29" x14ac:dyDescent="0.35">
      <c r="A282" t="s">
        <v>260</v>
      </c>
      <c r="B282" t="s">
        <v>313</v>
      </c>
      <c r="C282">
        <v>3717</v>
      </c>
      <c r="D282" s="9">
        <v>41893.519444444442</v>
      </c>
      <c r="E282" s="9">
        <v>45610.814583333333</v>
      </c>
      <c r="F282">
        <v>5880</v>
      </c>
      <c r="G282">
        <v>5834</v>
      </c>
      <c r="H282">
        <v>1592</v>
      </c>
      <c r="I282">
        <v>4242</v>
      </c>
      <c r="J282">
        <v>686</v>
      </c>
      <c r="K282">
        <v>5148</v>
      </c>
      <c r="L282">
        <v>3261</v>
      </c>
      <c r="M282">
        <v>1936</v>
      </c>
      <c r="N282">
        <v>1.1659999999999999</v>
      </c>
      <c r="O282">
        <v>3.0830000000000002</v>
      </c>
      <c r="P282">
        <v>0.75600000000000001</v>
      </c>
      <c r="Q282">
        <v>2.0350000000000001</v>
      </c>
      <c r="R282">
        <v>0.58299999999999996</v>
      </c>
      <c r="S282">
        <v>0.27400000000000002</v>
      </c>
      <c r="T282">
        <v>0.82199999999999995</v>
      </c>
      <c r="U282">
        <v>951.351</v>
      </c>
      <c r="V282" t="s">
        <v>58</v>
      </c>
      <c r="W282">
        <v>0.64800000000000002</v>
      </c>
      <c r="X282">
        <v>0.92300000000000004</v>
      </c>
      <c r="Y282">
        <v>0.871</v>
      </c>
      <c r="Z282">
        <v>0.80800000000000005</v>
      </c>
      <c r="AA282" s="9">
        <v>45713.682742500001</v>
      </c>
      <c r="AB282" t="s">
        <v>873</v>
      </c>
      <c r="AC282" s="9"/>
    </row>
    <row r="283" spans="1:29" hidden="1" x14ac:dyDescent="0.35">
      <c r="A283" t="s">
        <v>260</v>
      </c>
      <c r="B283" t="s">
        <v>314</v>
      </c>
      <c r="C283">
        <v>99</v>
      </c>
      <c r="D283" s="9">
        <v>45511.232638888891</v>
      </c>
      <c r="E283" s="9">
        <v>45610.814583333333</v>
      </c>
      <c r="F283" t="s">
        <v>874</v>
      </c>
      <c r="G283" t="s">
        <v>874</v>
      </c>
      <c r="H283">
        <v>694</v>
      </c>
      <c r="I283">
        <v>354</v>
      </c>
      <c r="J283">
        <v>282</v>
      </c>
      <c r="K283" t="s">
        <v>875</v>
      </c>
      <c r="L283">
        <v>748</v>
      </c>
      <c r="M283">
        <v>19</v>
      </c>
      <c r="N283">
        <v>6.83</v>
      </c>
      <c r="O283">
        <v>3.7949999999999999</v>
      </c>
      <c r="P283">
        <v>3.327</v>
      </c>
      <c r="Q283">
        <v>6.4429999999999996</v>
      </c>
      <c r="R283">
        <v>0.88300000000000001</v>
      </c>
      <c r="S283">
        <v>0.64300000000000002</v>
      </c>
      <c r="T283">
        <v>0.68700000000000006</v>
      </c>
      <c r="U283">
        <v>300.48099999999999</v>
      </c>
      <c r="V283" t="s">
        <v>58</v>
      </c>
      <c r="W283">
        <v>0.996</v>
      </c>
      <c r="X283">
        <v>0.97499999999999998</v>
      </c>
      <c r="Y283">
        <v>0.874</v>
      </c>
      <c r="Z283">
        <v>0.86399999999999999</v>
      </c>
      <c r="AA283" s="9">
        <v>45713.682766458332</v>
      </c>
      <c r="AB283" t="s">
        <v>873</v>
      </c>
      <c r="AC283" s="9"/>
    </row>
    <row r="284" spans="1:29" x14ac:dyDescent="0.35">
      <c r="A284" t="s">
        <v>261</v>
      </c>
      <c r="B284" t="s">
        <v>313</v>
      </c>
      <c r="C284">
        <v>375</v>
      </c>
      <c r="D284" s="9">
        <v>45034.45416666667</v>
      </c>
      <c r="E284" s="9">
        <v>45410.080555555556</v>
      </c>
      <c r="F284">
        <v>44</v>
      </c>
      <c r="G284">
        <v>44</v>
      </c>
      <c r="H284">
        <v>0</v>
      </c>
      <c r="I284">
        <v>44</v>
      </c>
      <c r="J284">
        <v>9</v>
      </c>
      <c r="K284">
        <v>35</v>
      </c>
      <c r="L284">
        <v>5</v>
      </c>
      <c r="M284">
        <v>30</v>
      </c>
      <c r="N284">
        <v>0</v>
      </c>
      <c r="O284">
        <v>0.108</v>
      </c>
      <c r="P284">
        <v>1.6E-2</v>
      </c>
      <c r="Q284">
        <v>0.05</v>
      </c>
      <c r="R284">
        <v>0.54300000000000004</v>
      </c>
      <c r="S284">
        <v>0</v>
      </c>
      <c r="T284">
        <v>0.85199999999999998</v>
      </c>
      <c r="U284">
        <v>600</v>
      </c>
      <c r="V284" t="s">
        <v>58</v>
      </c>
      <c r="W284">
        <v>0</v>
      </c>
      <c r="X284">
        <v>0.98499999999999999</v>
      </c>
      <c r="Y284">
        <v>0.81499999999999995</v>
      </c>
      <c r="Z284">
        <v>0.97099999999999997</v>
      </c>
      <c r="AA284" s="9">
        <v>45713.682853946761</v>
      </c>
      <c r="AB284" t="s">
        <v>873</v>
      </c>
      <c r="AC284" s="9"/>
    </row>
    <row r="285" spans="1:29" x14ac:dyDescent="0.35">
      <c r="A285" t="s">
        <v>262</v>
      </c>
      <c r="B285" t="s">
        <v>313</v>
      </c>
      <c r="C285">
        <v>2762</v>
      </c>
      <c r="D285" s="9">
        <v>42744.104166666664</v>
      </c>
      <c r="E285" s="9">
        <v>45506.84652777778</v>
      </c>
      <c r="F285">
        <v>1277</v>
      </c>
      <c r="G285">
        <v>1258</v>
      </c>
      <c r="H285">
        <v>1105</v>
      </c>
      <c r="I285">
        <v>153</v>
      </c>
      <c r="J285">
        <v>156</v>
      </c>
      <c r="K285">
        <v>1102</v>
      </c>
      <c r="L285">
        <v>995</v>
      </c>
      <c r="M285">
        <v>107</v>
      </c>
      <c r="N285">
        <v>0.495</v>
      </c>
      <c r="O285">
        <v>0.17899999999999999</v>
      </c>
      <c r="P285">
        <v>0.159</v>
      </c>
      <c r="Q285">
        <v>0.44400000000000001</v>
      </c>
      <c r="R285">
        <v>0.86199999999999999</v>
      </c>
      <c r="S285">
        <v>0.73399999999999999</v>
      </c>
      <c r="T285">
        <v>0.76400000000000001</v>
      </c>
      <c r="U285">
        <v>240.99100000000001</v>
      </c>
      <c r="V285" t="s">
        <v>58</v>
      </c>
      <c r="W285">
        <v>0.69699999999999995</v>
      </c>
      <c r="X285">
        <v>0.90600000000000003</v>
      </c>
      <c r="Y285">
        <v>0.81200000000000006</v>
      </c>
      <c r="Z285">
        <v>0.59499999999999997</v>
      </c>
      <c r="AA285" s="9">
        <v>45713.682952824071</v>
      </c>
      <c r="AB285" t="s">
        <v>873</v>
      </c>
      <c r="AC285" s="9"/>
    </row>
    <row r="286" spans="1:29" x14ac:dyDescent="0.35">
      <c r="A286" t="s">
        <v>263</v>
      </c>
      <c r="B286" t="s">
        <v>313</v>
      </c>
      <c r="C286">
        <v>1881</v>
      </c>
      <c r="D286" s="9">
        <v>43727.633333333331</v>
      </c>
      <c r="E286" s="9">
        <v>45608.856249999997</v>
      </c>
      <c r="F286">
        <v>2566</v>
      </c>
      <c r="G286">
        <v>2362</v>
      </c>
      <c r="H286">
        <v>2253</v>
      </c>
      <c r="I286">
        <v>109</v>
      </c>
      <c r="J286">
        <v>466</v>
      </c>
      <c r="K286">
        <v>1896</v>
      </c>
      <c r="L286">
        <v>1295</v>
      </c>
      <c r="M286">
        <v>601</v>
      </c>
      <c r="N286">
        <v>1.548</v>
      </c>
      <c r="O286">
        <v>8.7999999999999995E-2</v>
      </c>
      <c r="P286">
        <v>0.34399999999999997</v>
      </c>
      <c r="Q286">
        <v>0.97399999999999998</v>
      </c>
      <c r="R286">
        <v>0.754</v>
      </c>
      <c r="S286">
        <v>0.94599999999999995</v>
      </c>
      <c r="T286">
        <v>0.79</v>
      </c>
      <c r="U286">
        <v>617.04300000000001</v>
      </c>
      <c r="V286" t="s">
        <v>58</v>
      </c>
      <c r="W286">
        <v>0.97799999999999998</v>
      </c>
      <c r="X286">
        <v>0.82799999999999996</v>
      </c>
      <c r="Y286">
        <v>0.96799999999999997</v>
      </c>
      <c r="Z286">
        <v>0.99299999999999999</v>
      </c>
      <c r="AA286" s="9">
        <v>45713.68306127315</v>
      </c>
      <c r="AB286" t="s">
        <v>873</v>
      </c>
      <c r="AC286" s="9"/>
    </row>
    <row r="287" spans="1:29" hidden="1" x14ac:dyDescent="0.35">
      <c r="A287" t="s">
        <v>263</v>
      </c>
      <c r="B287" t="s">
        <v>314</v>
      </c>
      <c r="C287">
        <v>99</v>
      </c>
      <c r="D287" s="9">
        <v>45509.445138888892</v>
      </c>
      <c r="E287" s="9">
        <v>45608.856249999997</v>
      </c>
      <c r="F287" t="s">
        <v>874</v>
      </c>
      <c r="G287" t="s">
        <v>874</v>
      </c>
      <c r="H287">
        <v>204</v>
      </c>
      <c r="I287">
        <v>12</v>
      </c>
      <c r="J287">
        <v>49</v>
      </c>
      <c r="K287" t="s">
        <v>875</v>
      </c>
      <c r="L287">
        <v>112</v>
      </c>
      <c r="M287">
        <v>54</v>
      </c>
      <c r="N287">
        <v>2.0019999999999998</v>
      </c>
      <c r="O287">
        <v>0.13</v>
      </c>
      <c r="P287">
        <v>0.53500000000000003</v>
      </c>
      <c r="Q287">
        <v>1.0649999999999999</v>
      </c>
      <c r="R287">
        <v>0.66700000000000004</v>
      </c>
      <c r="S287">
        <v>0.93899999999999995</v>
      </c>
      <c r="T287">
        <v>0.749</v>
      </c>
      <c r="U287">
        <v>564.31899999999996</v>
      </c>
      <c r="V287" t="s">
        <v>58</v>
      </c>
      <c r="W287">
        <v>0.96199999999999997</v>
      </c>
      <c r="X287">
        <v>0.64100000000000001</v>
      </c>
      <c r="Y287">
        <v>0.93</v>
      </c>
      <c r="Z287">
        <v>0.98799999999999999</v>
      </c>
      <c r="AA287" s="9">
        <v>45713.68308490741</v>
      </c>
      <c r="AB287" t="s">
        <v>873</v>
      </c>
      <c r="AC287" s="9"/>
    </row>
    <row r="288" spans="1:29" x14ac:dyDescent="0.35">
      <c r="A288" t="s">
        <v>264</v>
      </c>
      <c r="B288" t="s">
        <v>313</v>
      </c>
      <c r="C288">
        <v>520</v>
      </c>
      <c r="D288" s="9">
        <v>45089.820138888892</v>
      </c>
      <c r="E288" s="9">
        <v>45610.754861111112</v>
      </c>
      <c r="F288">
        <v>57</v>
      </c>
      <c r="G288">
        <v>57</v>
      </c>
      <c r="H288">
        <v>57</v>
      </c>
      <c r="I288">
        <v>0</v>
      </c>
      <c r="J288">
        <v>5</v>
      </c>
      <c r="K288">
        <v>52</v>
      </c>
      <c r="L288">
        <v>3</v>
      </c>
      <c r="M288">
        <v>49</v>
      </c>
      <c r="N288">
        <v>0.10100000000000001</v>
      </c>
      <c r="O288">
        <v>0</v>
      </c>
      <c r="P288">
        <v>0.14699999999999999</v>
      </c>
      <c r="Q288">
        <v>4.2000000000000003E-2</v>
      </c>
      <c r="R288">
        <v>-0.91300000000000003</v>
      </c>
      <c r="S288">
        <v>1</v>
      </c>
      <c r="T288">
        <v>-0.45500000000000002</v>
      </c>
      <c r="U288">
        <v>1166.6669999999999</v>
      </c>
      <c r="V288" t="s">
        <v>58</v>
      </c>
      <c r="W288">
        <v>0.78800000000000003</v>
      </c>
      <c r="X288">
        <v>0</v>
      </c>
      <c r="Y288">
        <v>0.5</v>
      </c>
      <c r="Z288">
        <v>0.98199999999999998</v>
      </c>
      <c r="AA288" s="9">
        <v>45713.683177488427</v>
      </c>
      <c r="AB288" t="s">
        <v>873</v>
      </c>
      <c r="AC288" s="9"/>
    </row>
    <row r="289" spans="1:29" x14ac:dyDescent="0.35">
      <c r="A289" t="s">
        <v>265</v>
      </c>
      <c r="B289" t="s">
        <v>313</v>
      </c>
      <c r="C289">
        <v>1476</v>
      </c>
      <c r="D289" s="9">
        <v>44133.60833333333</v>
      </c>
      <c r="E289" s="9">
        <v>45609.652777777781</v>
      </c>
      <c r="F289">
        <v>67</v>
      </c>
      <c r="G289">
        <v>66</v>
      </c>
      <c r="H289">
        <v>56</v>
      </c>
      <c r="I289">
        <v>10</v>
      </c>
      <c r="J289">
        <v>21</v>
      </c>
      <c r="K289">
        <v>45</v>
      </c>
      <c r="L289">
        <v>44</v>
      </c>
      <c r="M289">
        <v>1</v>
      </c>
      <c r="N289">
        <v>4.1000000000000002E-2</v>
      </c>
      <c r="O289">
        <v>7.0000000000000001E-3</v>
      </c>
      <c r="P289">
        <v>1.7000000000000001E-2</v>
      </c>
      <c r="Q289">
        <v>3.4000000000000002E-2</v>
      </c>
      <c r="R289">
        <v>1.097</v>
      </c>
      <c r="S289">
        <v>0.85399999999999998</v>
      </c>
      <c r="T289">
        <v>0.64600000000000002</v>
      </c>
      <c r="U289">
        <v>29.411999999999999</v>
      </c>
      <c r="V289" t="s">
        <v>94</v>
      </c>
      <c r="W289">
        <v>0.96299999999999997</v>
      </c>
      <c r="X289">
        <v>0.81100000000000005</v>
      </c>
      <c r="Y289">
        <v>0.96699999999999997</v>
      </c>
      <c r="Z289">
        <v>0.96899999999999997</v>
      </c>
      <c r="AA289" s="9">
        <v>45713.683271238428</v>
      </c>
      <c r="AB289" t="s">
        <v>873</v>
      </c>
      <c r="AC289" s="9"/>
    </row>
    <row r="290" spans="1:29" x14ac:dyDescent="0.35">
      <c r="A290" t="s">
        <v>266</v>
      </c>
      <c r="B290" t="s">
        <v>313</v>
      </c>
      <c r="C290">
        <v>5363</v>
      </c>
      <c r="D290" s="9">
        <v>38965.552083333336</v>
      </c>
      <c r="E290" s="9">
        <v>44329.397222222222</v>
      </c>
      <c r="F290">
        <v>881</v>
      </c>
      <c r="G290">
        <v>881</v>
      </c>
      <c r="H290">
        <v>582</v>
      </c>
      <c r="I290">
        <v>299</v>
      </c>
      <c r="J290">
        <v>56</v>
      </c>
      <c r="K290">
        <v>825</v>
      </c>
      <c r="L290">
        <v>697</v>
      </c>
      <c r="M290">
        <v>128</v>
      </c>
      <c r="N290">
        <v>0.154</v>
      </c>
      <c r="O290">
        <v>7.5999999999999998E-2</v>
      </c>
      <c r="P290">
        <v>1.2E-2</v>
      </c>
      <c r="Q290">
        <v>0.17699999999999999</v>
      </c>
      <c r="R290">
        <v>0.81200000000000006</v>
      </c>
      <c r="S290">
        <v>0.67</v>
      </c>
      <c r="T290">
        <v>0.94799999999999995</v>
      </c>
      <c r="U290">
        <v>723.16399999999999</v>
      </c>
      <c r="V290" t="s">
        <v>58</v>
      </c>
      <c r="W290">
        <v>0.92400000000000004</v>
      </c>
      <c r="X290">
        <v>0.98099999999999998</v>
      </c>
      <c r="Y290">
        <v>0.92100000000000004</v>
      </c>
      <c r="Z290">
        <v>0.94799999999999995</v>
      </c>
      <c r="AA290" s="9">
        <v>45713.683351493055</v>
      </c>
      <c r="AB290" t="s">
        <v>873</v>
      </c>
      <c r="AC290" s="9"/>
    </row>
    <row r="291" spans="1:29" x14ac:dyDescent="0.35">
      <c r="A291" t="s">
        <v>267</v>
      </c>
      <c r="B291" t="s">
        <v>313</v>
      </c>
      <c r="C291">
        <v>4970</v>
      </c>
      <c r="D291" s="9">
        <v>40631.915277777778</v>
      </c>
      <c r="E291" s="9">
        <v>45602.634027777778</v>
      </c>
      <c r="F291">
        <v>333</v>
      </c>
      <c r="G291">
        <v>333</v>
      </c>
      <c r="H291">
        <v>184</v>
      </c>
      <c r="I291">
        <v>149</v>
      </c>
      <c r="J291">
        <v>35</v>
      </c>
      <c r="K291">
        <v>298</v>
      </c>
      <c r="L291">
        <v>244</v>
      </c>
      <c r="M291">
        <v>54</v>
      </c>
      <c r="N291">
        <v>3.5000000000000003E-2</v>
      </c>
      <c r="O291">
        <v>0.03</v>
      </c>
      <c r="P291">
        <v>7.0000000000000001E-3</v>
      </c>
      <c r="Q291">
        <v>4.5999999999999999E-2</v>
      </c>
      <c r="R291">
        <v>0.79300000000000004</v>
      </c>
      <c r="S291">
        <v>0.53800000000000003</v>
      </c>
      <c r="T291">
        <v>0.89200000000000002</v>
      </c>
      <c r="U291">
        <v>1173.913</v>
      </c>
      <c r="V291" t="s">
        <v>58</v>
      </c>
      <c r="W291">
        <v>0.70199999999999996</v>
      </c>
      <c r="X291">
        <v>0.85099999999999998</v>
      </c>
      <c r="Y291">
        <v>0.68700000000000006</v>
      </c>
      <c r="Z291">
        <v>0.75700000000000001</v>
      </c>
      <c r="AA291" s="9">
        <v>45713.683446087962</v>
      </c>
      <c r="AB291" t="s">
        <v>873</v>
      </c>
      <c r="AC291" s="9"/>
    </row>
    <row r="292" spans="1:29" x14ac:dyDescent="0.35">
      <c r="A292" t="s">
        <v>268</v>
      </c>
      <c r="B292" t="s">
        <v>313</v>
      </c>
      <c r="C292">
        <v>5571</v>
      </c>
      <c r="D292" s="9">
        <v>40030.680555555555</v>
      </c>
      <c r="E292" s="9">
        <v>45602.512499999997</v>
      </c>
      <c r="F292">
        <v>479</v>
      </c>
      <c r="G292">
        <v>479</v>
      </c>
      <c r="H292">
        <v>332</v>
      </c>
      <c r="I292">
        <v>147</v>
      </c>
      <c r="J292">
        <v>38</v>
      </c>
      <c r="K292">
        <v>441</v>
      </c>
      <c r="L292">
        <v>378</v>
      </c>
      <c r="M292">
        <v>63</v>
      </c>
      <c r="N292">
        <v>7.4999999999999997E-2</v>
      </c>
      <c r="O292">
        <v>2.9000000000000001E-2</v>
      </c>
      <c r="P292">
        <v>6.0000000000000001E-3</v>
      </c>
      <c r="Q292">
        <v>0.08</v>
      </c>
      <c r="R292">
        <v>0.81599999999999995</v>
      </c>
      <c r="S292">
        <v>0.72099999999999997</v>
      </c>
      <c r="T292">
        <v>0.94199999999999995</v>
      </c>
      <c r="U292">
        <v>787.5</v>
      </c>
      <c r="V292" t="s">
        <v>58</v>
      </c>
      <c r="W292">
        <v>0.53500000000000003</v>
      </c>
      <c r="X292">
        <v>0.66100000000000003</v>
      </c>
      <c r="Y292">
        <v>0.65900000000000003</v>
      </c>
      <c r="Z292">
        <v>0.50900000000000001</v>
      </c>
      <c r="AA292" s="9">
        <v>45713.683539224534</v>
      </c>
      <c r="AB292" t="s">
        <v>873</v>
      </c>
      <c r="AC292" s="9"/>
    </row>
    <row r="293" spans="1:29" x14ac:dyDescent="0.35">
      <c r="A293" t="s">
        <v>269</v>
      </c>
      <c r="B293" t="s">
        <v>313</v>
      </c>
      <c r="C293">
        <v>1184</v>
      </c>
      <c r="D293" s="9">
        <v>44426.634722222225</v>
      </c>
      <c r="E293" s="9">
        <v>45611.145833333336</v>
      </c>
      <c r="F293">
        <v>376</v>
      </c>
      <c r="G293">
        <v>372</v>
      </c>
      <c r="H293">
        <v>226</v>
      </c>
      <c r="I293">
        <v>146</v>
      </c>
      <c r="J293">
        <v>21</v>
      </c>
      <c r="K293">
        <v>351</v>
      </c>
      <c r="L293">
        <v>249</v>
      </c>
      <c r="M293">
        <v>102</v>
      </c>
      <c r="N293">
        <v>0.23400000000000001</v>
      </c>
      <c r="O293">
        <v>0.16</v>
      </c>
      <c r="P293">
        <v>2.5000000000000001E-2</v>
      </c>
      <c r="Q293">
        <v>0.23699999999999999</v>
      </c>
      <c r="R293">
        <v>0.64200000000000002</v>
      </c>
      <c r="S293">
        <v>0.59399999999999997</v>
      </c>
      <c r="T293">
        <v>0.93700000000000006</v>
      </c>
      <c r="U293">
        <v>430.38</v>
      </c>
      <c r="V293" t="s">
        <v>58</v>
      </c>
      <c r="W293">
        <v>0.88900000000000001</v>
      </c>
      <c r="X293">
        <v>0.9</v>
      </c>
      <c r="Y293">
        <v>0.84</v>
      </c>
      <c r="Z293">
        <v>0.85899999999999999</v>
      </c>
      <c r="AA293" s="9">
        <v>45713.683630717591</v>
      </c>
      <c r="AB293" t="s">
        <v>873</v>
      </c>
      <c r="AC293" s="9"/>
    </row>
    <row r="294" spans="1:29" hidden="1" x14ac:dyDescent="0.35">
      <c r="A294" t="s">
        <v>269</v>
      </c>
      <c r="B294" t="s">
        <v>314</v>
      </c>
      <c r="C294">
        <v>99</v>
      </c>
      <c r="D294" s="9">
        <v>45511.816666666666</v>
      </c>
      <c r="E294" s="9">
        <v>45611.145833333336</v>
      </c>
      <c r="F294" t="s">
        <v>874</v>
      </c>
      <c r="G294" t="s">
        <v>874</v>
      </c>
      <c r="H294">
        <v>46</v>
      </c>
      <c r="I294">
        <v>16</v>
      </c>
      <c r="J294">
        <v>9</v>
      </c>
      <c r="K294" t="s">
        <v>875</v>
      </c>
      <c r="L294">
        <v>93</v>
      </c>
      <c r="M294">
        <v>-39</v>
      </c>
      <c r="N294">
        <v>0.39600000000000002</v>
      </c>
      <c r="O294">
        <v>0.17</v>
      </c>
      <c r="P294">
        <v>8.1000000000000003E-2</v>
      </c>
      <c r="Q294">
        <v>0.86699999999999999</v>
      </c>
      <c r="R294">
        <v>1.788</v>
      </c>
      <c r="S294">
        <v>0.7</v>
      </c>
      <c r="T294">
        <v>0.85699999999999998</v>
      </c>
      <c r="U294">
        <v>117.64700000000001</v>
      </c>
      <c r="V294" t="s">
        <v>64</v>
      </c>
      <c r="W294">
        <v>0.94799999999999995</v>
      </c>
      <c r="X294">
        <v>0.91900000000000004</v>
      </c>
      <c r="Y294">
        <v>0.73899999999999999</v>
      </c>
      <c r="Z294">
        <v>0.92300000000000004</v>
      </c>
      <c r="AA294" s="9">
        <v>45713.683651168983</v>
      </c>
      <c r="AB294" t="s">
        <v>873</v>
      </c>
      <c r="AC294" s="9"/>
    </row>
    <row r="295" spans="1:29" x14ac:dyDescent="0.35">
      <c r="A295" t="s">
        <v>270</v>
      </c>
      <c r="B295" t="s">
        <v>313</v>
      </c>
      <c r="C295">
        <v>1467</v>
      </c>
      <c r="D295" s="9">
        <v>44134.292361111111</v>
      </c>
      <c r="E295" s="9">
        <v>45601.318749999999</v>
      </c>
      <c r="F295">
        <v>106</v>
      </c>
      <c r="G295">
        <v>86</v>
      </c>
      <c r="H295">
        <v>69</v>
      </c>
      <c r="I295">
        <v>17</v>
      </c>
      <c r="J295">
        <v>5</v>
      </c>
      <c r="K295">
        <v>81</v>
      </c>
      <c r="L295">
        <v>73</v>
      </c>
      <c r="M295">
        <v>8</v>
      </c>
      <c r="N295">
        <v>5.2999999999999999E-2</v>
      </c>
      <c r="O295">
        <v>1.2999999999999999E-2</v>
      </c>
      <c r="P295">
        <v>0</v>
      </c>
      <c r="Q295">
        <v>6.2E-2</v>
      </c>
      <c r="R295">
        <v>0.93899999999999995</v>
      </c>
      <c r="S295">
        <v>0.80300000000000005</v>
      </c>
      <c r="T295">
        <v>1</v>
      </c>
      <c r="U295">
        <v>129.03200000000001</v>
      </c>
      <c r="V295" t="s">
        <v>58</v>
      </c>
      <c r="W295">
        <v>0.91900000000000004</v>
      </c>
      <c r="X295">
        <v>0.72299999999999998</v>
      </c>
      <c r="Y295">
        <v>0</v>
      </c>
      <c r="Z295">
        <v>0.96399999999999997</v>
      </c>
      <c r="AA295" s="9">
        <v>45713.683740567132</v>
      </c>
      <c r="AB295" t="s">
        <v>873</v>
      </c>
      <c r="AC295" s="9"/>
    </row>
    <row r="296" spans="1:29" x14ac:dyDescent="0.35">
      <c r="A296" t="s">
        <v>271</v>
      </c>
      <c r="B296" t="s">
        <v>313</v>
      </c>
      <c r="C296">
        <v>1388</v>
      </c>
      <c r="D296" s="9">
        <v>44221.624305555553</v>
      </c>
      <c r="E296" s="9">
        <v>45609.820833333331</v>
      </c>
      <c r="F296">
        <v>1281</v>
      </c>
      <c r="G296">
        <v>1182</v>
      </c>
      <c r="H296">
        <v>1137</v>
      </c>
      <c r="I296">
        <v>45</v>
      </c>
      <c r="J296">
        <v>260</v>
      </c>
      <c r="K296">
        <v>922</v>
      </c>
      <c r="L296">
        <v>783</v>
      </c>
      <c r="M296">
        <v>139</v>
      </c>
      <c r="N296">
        <v>0.82699999999999996</v>
      </c>
      <c r="O296">
        <v>3.6999999999999998E-2</v>
      </c>
      <c r="P296">
        <v>0.23499999999999999</v>
      </c>
      <c r="Q296">
        <v>0.59699999999999998</v>
      </c>
      <c r="R296">
        <v>0.94899999999999995</v>
      </c>
      <c r="S296">
        <v>0.95699999999999996</v>
      </c>
      <c r="T296">
        <v>0.72799999999999998</v>
      </c>
      <c r="U296">
        <v>232.83099999999999</v>
      </c>
      <c r="V296" t="s">
        <v>58</v>
      </c>
      <c r="W296">
        <v>0.97099999999999997</v>
      </c>
      <c r="X296">
        <v>0.95599999999999996</v>
      </c>
      <c r="Y296">
        <v>0.874</v>
      </c>
      <c r="Z296">
        <v>0.97599999999999998</v>
      </c>
      <c r="AA296" s="9">
        <v>45713.68384380787</v>
      </c>
      <c r="AB296" t="s">
        <v>873</v>
      </c>
      <c r="AC296" s="9"/>
    </row>
    <row r="297" spans="1:29" hidden="1" x14ac:dyDescent="0.35">
      <c r="A297" t="s">
        <v>271</v>
      </c>
      <c r="B297" t="s">
        <v>314</v>
      </c>
      <c r="C297">
        <v>98</v>
      </c>
      <c r="D297" s="9">
        <v>45511.490972222222</v>
      </c>
      <c r="E297" s="9">
        <v>45609.820833333331</v>
      </c>
      <c r="F297" t="s">
        <v>874</v>
      </c>
      <c r="G297" t="s">
        <v>874</v>
      </c>
      <c r="H297">
        <v>145</v>
      </c>
      <c r="I297">
        <v>4</v>
      </c>
      <c r="J297">
        <v>20</v>
      </c>
      <c r="K297" t="s">
        <v>875</v>
      </c>
      <c r="L297">
        <v>82</v>
      </c>
      <c r="M297">
        <v>46</v>
      </c>
      <c r="N297">
        <v>1.306</v>
      </c>
      <c r="O297">
        <v>9.6000000000000002E-2</v>
      </c>
      <c r="P297">
        <v>0.24099999999999999</v>
      </c>
      <c r="Q297">
        <v>0.872</v>
      </c>
      <c r="R297">
        <v>0.751</v>
      </c>
      <c r="S297">
        <v>0.93200000000000005</v>
      </c>
      <c r="T297">
        <v>0.82799999999999996</v>
      </c>
      <c r="U297">
        <v>159.404</v>
      </c>
      <c r="V297" t="s">
        <v>58</v>
      </c>
      <c r="W297">
        <v>0.99399999999999999</v>
      </c>
      <c r="X297">
        <v>0.91600000000000004</v>
      </c>
      <c r="Y297">
        <v>0.94599999999999995</v>
      </c>
      <c r="Z297">
        <v>0.97599999999999998</v>
      </c>
      <c r="AA297" s="9">
        <v>45713.683866296298</v>
      </c>
      <c r="AB297" t="s">
        <v>873</v>
      </c>
      <c r="AC297" s="9"/>
    </row>
    <row r="298" spans="1:29" x14ac:dyDescent="0.35">
      <c r="A298" t="s">
        <v>272</v>
      </c>
      <c r="B298" t="s">
        <v>313</v>
      </c>
      <c r="C298">
        <v>1744</v>
      </c>
      <c r="D298" s="9">
        <v>43865.002083333333</v>
      </c>
      <c r="E298" s="9">
        <v>45609.750694444447</v>
      </c>
      <c r="F298">
        <v>3907</v>
      </c>
      <c r="G298">
        <v>3490</v>
      </c>
      <c r="H298">
        <v>2737</v>
      </c>
      <c r="I298">
        <v>753</v>
      </c>
      <c r="J298">
        <v>1103</v>
      </c>
      <c r="K298">
        <v>2387</v>
      </c>
      <c r="L298">
        <v>1773</v>
      </c>
      <c r="M298">
        <v>614</v>
      </c>
      <c r="N298">
        <v>1.835</v>
      </c>
      <c r="O298">
        <v>0.53200000000000003</v>
      </c>
      <c r="P298">
        <v>1.5620000000000001</v>
      </c>
      <c r="Q298">
        <v>1.27</v>
      </c>
      <c r="R298">
        <v>1.5780000000000001</v>
      </c>
      <c r="S298">
        <v>0.77500000000000002</v>
      </c>
      <c r="T298">
        <v>0.34</v>
      </c>
      <c r="U298">
        <v>483.46499999999997</v>
      </c>
      <c r="V298" t="s">
        <v>64</v>
      </c>
      <c r="W298">
        <v>0.84699999999999998</v>
      </c>
      <c r="X298">
        <v>0.98199999999999998</v>
      </c>
      <c r="Y298">
        <v>0.33700000000000002</v>
      </c>
      <c r="Z298">
        <v>0.98499999999999999</v>
      </c>
      <c r="AA298" s="9">
        <v>45713.683967418983</v>
      </c>
      <c r="AB298" t="s">
        <v>873</v>
      </c>
      <c r="AC298" s="9"/>
    </row>
    <row r="299" spans="1:29" hidden="1" x14ac:dyDescent="0.35">
      <c r="A299" t="s">
        <v>272</v>
      </c>
      <c r="B299" t="s">
        <v>314</v>
      </c>
      <c r="C299">
        <v>99</v>
      </c>
      <c r="D299" s="9">
        <v>45509.895833333336</v>
      </c>
      <c r="E299" s="9">
        <v>45609.750694444447</v>
      </c>
      <c r="F299" t="s">
        <v>874</v>
      </c>
      <c r="G299" t="s">
        <v>874</v>
      </c>
      <c r="H299">
        <v>246</v>
      </c>
      <c r="I299">
        <v>101</v>
      </c>
      <c r="J299">
        <v>107</v>
      </c>
      <c r="K299" t="s">
        <v>875</v>
      </c>
      <c r="L299">
        <v>202</v>
      </c>
      <c r="M299">
        <v>37</v>
      </c>
      <c r="N299">
        <v>2.141</v>
      </c>
      <c r="O299">
        <v>0.98199999999999998</v>
      </c>
      <c r="P299">
        <v>0.70799999999999996</v>
      </c>
      <c r="Q299">
        <v>2.1890000000000001</v>
      </c>
      <c r="R299">
        <v>0.90600000000000003</v>
      </c>
      <c r="S299">
        <v>0.68600000000000005</v>
      </c>
      <c r="T299">
        <v>0.77300000000000002</v>
      </c>
      <c r="U299">
        <v>280.49299999999999</v>
      </c>
      <c r="V299" t="s">
        <v>58</v>
      </c>
      <c r="W299">
        <v>0.94699999999999995</v>
      </c>
      <c r="X299">
        <v>0.98099999999999998</v>
      </c>
      <c r="Y299">
        <v>0.76200000000000001</v>
      </c>
      <c r="Z299">
        <v>0.97099999999999997</v>
      </c>
      <c r="AA299" s="9">
        <v>45713.684002824077</v>
      </c>
      <c r="AB299" t="s">
        <v>873</v>
      </c>
      <c r="AC299" s="9"/>
    </row>
    <row r="300" spans="1:29" x14ac:dyDescent="0.35">
      <c r="A300" t="s">
        <v>273</v>
      </c>
      <c r="B300" t="s">
        <v>313</v>
      </c>
      <c r="C300">
        <v>979</v>
      </c>
      <c r="D300" s="9">
        <v>44631.454861111109</v>
      </c>
      <c r="E300" s="9">
        <v>45610.469444444447</v>
      </c>
      <c r="F300">
        <v>389</v>
      </c>
      <c r="G300">
        <v>352</v>
      </c>
      <c r="H300">
        <v>280</v>
      </c>
      <c r="I300">
        <v>72</v>
      </c>
      <c r="J300">
        <v>22</v>
      </c>
      <c r="K300">
        <v>330</v>
      </c>
      <c r="L300">
        <v>131</v>
      </c>
      <c r="M300">
        <v>199</v>
      </c>
      <c r="N300">
        <v>0.26600000000000001</v>
      </c>
      <c r="O300">
        <v>9.6000000000000002E-2</v>
      </c>
      <c r="P300">
        <v>3.4000000000000002E-2</v>
      </c>
      <c r="Q300">
        <v>0.124</v>
      </c>
      <c r="R300">
        <v>0.378</v>
      </c>
      <c r="S300">
        <v>0.73499999999999999</v>
      </c>
      <c r="T300">
        <v>0.90600000000000003</v>
      </c>
      <c r="U300">
        <v>1604.8389999999999</v>
      </c>
      <c r="V300" t="s">
        <v>58</v>
      </c>
      <c r="W300">
        <v>0.95599999999999996</v>
      </c>
      <c r="X300">
        <v>0.78600000000000003</v>
      </c>
      <c r="Y300">
        <v>0.84799999999999998</v>
      </c>
      <c r="Z300">
        <v>0.95299999999999996</v>
      </c>
      <c r="AA300" s="9">
        <v>45713.684096990743</v>
      </c>
      <c r="AB300" t="s">
        <v>873</v>
      </c>
      <c r="AC300" s="9"/>
    </row>
    <row r="301" spans="1:29" hidden="1" x14ac:dyDescent="0.35">
      <c r="A301" t="s">
        <v>273</v>
      </c>
      <c r="B301" t="s">
        <v>314</v>
      </c>
      <c r="C301">
        <v>99</v>
      </c>
      <c r="D301" s="9">
        <v>45511.273611111108</v>
      </c>
      <c r="E301" s="9">
        <v>45610.469444444447</v>
      </c>
      <c r="F301" t="s">
        <v>874</v>
      </c>
      <c r="G301" t="s">
        <v>874</v>
      </c>
      <c r="H301">
        <v>61</v>
      </c>
      <c r="I301">
        <v>17</v>
      </c>
      <c r="J301">
        <v>7</v>
      </c>
      <c r="K301" t="s">
        <v>875</v>
      </c>
      <c r="L301">
        <v>19</v>
      </c>
      <c r="M301">
        <v>51</v>
      </c>
      <c r="N301">
        <v>0.59899999999999998</v>
      </c>
      <c r="O301">
        <v>0.40100000000000002</v>
      </c>
      <c r="P301">
        <v>6.6000000000000003E-2</v>
      </c>
      <c r="Q301">
        <v>0.219</v>
      </c>
      <c r="R301">
        <v>0.23400000000000001</v>
      </c>
      <c r="S301">
        <v>0.59899999999999998</v>
      </c>
      <c r="T301">
        <v>0.93400000000000005</v>
      </c>
      <c r="U301">
        <v>908.67600000000004</v>
      </c>
      <c r="V301" t="s">
        <v>58</v>
      </c>
      <c r="W301">
        <v>0.84099999999999997</v>
      </c>
      <c r="X301">
        <v>0.94399999999999995</v>
      </c>
      <c r="Y301">
        <v>0.78200000000000003</v>
      </c>
      <c r="Z301">
        <v>0.84399999999999997</v>
      </c>
      <c r="AA301" s="9">
        <v>45713.684120590275</v>
      </c>
      <c r="AB301" t="s">
        <v>873</v>
      </c>
      <c r="AC301" s="9"/>
    </row>
    <row r="302" spans="1:29" x14ac:dyDescent="0.35">
      <c r="A302" t="s">
        <v>274</v>
      </c>
      <c r="B302" t="s">
        <v>313</v>
      </c>
      <c r="C302">
        <v>1490</v>
      </c>
      <c r="D302" s="9">
        <v>44034.717361111114</v>
      </c>
      <c r="E302" s="9">
        <v>45525.688888888886</v>
      </c>
      <c r="F302">
        <v>37</v>
      </c>
      <c r="G302">
        <v>37</v>
      </c>
      <c r="H302">
        <v>27</v>
      </c>
      <c r="I302">
        <v>10</v>
      </c>
      <c r="J302">
        <v>0</v>
      </c>
      <c r="K302">
        <v>37</v>
      </c>
      <c r="L302">
        <v>27</v>
      </c>
      <c r="M302">
        <v>10</v>
      </c>
      <c r="N302">
        <v>1.9E-2</v>
      </c>
      <c r="O302">
        <v>6.0000000000000001E-3</v>
      </c>
      <c r="P302">
        <v>0</v>
      </c>
      <c r="Q302">
        <v>1.9E-2</v>
      </c>
      <c r="R302">
        <v>0.76</v>
      </c>
      <c r="S302">
        <v>0.76</v>
      </c>
      <c r="T302">
        <v>1</v>
      </c>
      <c r="U302">
        <v>526.31600000000003</v>
      </c>
      <c r="V302" t="s">
        <v>58</v>
      </c>
      <c r="W302">
        <v>0.90300000000000002</v>
      </c>
      <c r="X302">
        <v>0.93899999999999995</v>
      </c>
      <c r="Y302">
        <v>0</v>
      </c>
      <c r="Z302">
        <v>0.94599999999999995</v>
      </c>
      <c r="AA302" s="9">
        <v>45713.684197731483</v>
      </c>
      <c r="AB302" t="s">
        <v>873</v>
      </c>
      <c r="AC302" s="9"/>
    </row>
    <row r="303" spans="1:29" x14ac:dyDescent="0.35">
      <c r="A303" t="s">
        <v>275</v>
      </c>
      <c r="B303" t="s">
        <v>313</v>
      </c>
      <c r="C303">
        <v>1376</v>
      </c>
      <c r="D303" s="9">
        <v>44232.658333333333</v>
      </c>
      <c r="E303" s="9">
        <v>45609.459027777775</v>
      </c>
      <c r="F303">
        <v>1196</v>
      </c>
      <c r="G303">
        <v>997</v>
      </c>
      <c r="H303">
        <v>972</v>
      </c>
      <c r="I303">
        <v>25</v>
      </c>
      <c r="J303">
        <v>270</v>
      </c>
      <c r="K303">
        <v>727</v>
      </c>
      <c r="L303">
        <v>588</v>
      </c>
      <c r="M303">
        <v>139</v>
      </c>
      <c r="N303">
        <v>0.745</v>
      </c>
      <c r="O303">
        <v>2.3E-2</v>
      </c>
      <c r="P303">
        <v>0.247</v>
      </c>
      <c r="Q303">
        <v>0.48899999999999999</v>
      </c>
      <c r="R303">
        <v>0.93899999999999995</v>
      </c>
      <c r="S303">
        <v>0.97</v>
      </c>
      <c r="T303">
        <v>0.67800000000000005</v>
      </c>
      <c r="U303">
        <v>284.25400000000002</v>
      </c>
      <c r="V303" t="s">
        <v>58</v>
      </c>
      <c r="W303">
        <v>0.90600000000000003</v>
      </c>
      <c r="X303">
        <v>0.96399999999999997</v>
      </c>
      <c r="Y303">
        <v>0.77100000000000002</v>
      </c>
      <c r="Z303">
        <v>0.94399999999999995</v>
      </c>
      <c r="AA303" s="9">
        <v>45713.684290763886</v>
      </c>
      <c r="AB303" t="s">
        <v>873</v>
      </c>
      <c r="AC303" s="9"/>
    </row>
    <row r="304" spans="1:29" hidden="1" x14ac:dyDescent="0.35">
      <c r="A304" t="s">
        <v>275</v>
      </c>
      <c r="B304" t="s">
        <v>314</v>
      </c>
      <c r="C304">
        <v>99</v>
      </c>
      <c r="D304" s="9">
        <v>45509.609722222223</v>
      </c>
      <c r="E304" s="9">
        <v>45609.459027777775</v>
      </c>
      <c r="F304" t="s">
        <v>874</v>
      </c>
      <c r="G304" t="s">
        <v>874</v>
      </c>
      <c r="H304">
        <v>85</v>
      </c>
      <c r="I304">
        <v>6</v>
      </c>
      <c r="J304">
        <v>36</v>
      </c>
      <c r="K304" t="s">
        <v>875</v>
      </c>
      <c r="L304">
        <v>80</v>
      </c>
      <c r="M304">
        <v>-24</v>
      </c>
      <c r="N304">
        <v>0.79</v>
      </c>
      <c r="O304">
        <v>5.2999999999999999E-2</v>
      </c>
      <c r="P304">
        <v>0.40500000000000003</v>
      </c>
      <c r="Q304">
        <v>0.68300000000000005</v>
      </c>
      <c r="R304">
        <v>1.5589999999999999</v>
      </c>
      <c r="S304">
        <v>0.93700000000000006</v>
      </c>
      <c r="T304">
        <v>0.52</v>
      </c>
      <c r="U304">
        <v>203.51400000000001</v>
      </c>
      <c r="V304" t="s">
        <v>64</v>
      </c>
      <c r="W304">
        <v>0.90600000000000003</v>
      </c>
      <c r="X304">
        <v>0.75800000000000001</v>
      </c>
      <c r="Y304">
        <v>0.877</v>
      </c>
      <c r="Z304">
        <v>0.92900000000000005</v>
      </c>
      <c r="AA304" s="9">
        <v>45713.684314664351</v>
      </c>
      <c r="AB304" t="s">
        <v>873</v>
      </c>
      <c r="AC304" s="9"/>
    </row>
    <row r="305" spans="1:29" x14ac:dyDescent="0.35">
      <c r="A305" t="s">
        <v>276</v>
      </c>
      <c r="B305" t="s">
        <v>313</v>
      </c>
      <c r="C305">
        <v>1477</v>
      </c>
      <c r="D305" s="9">
        <v>44133.40902777778</v>
      </c>
      <c r="E305" s="9">
        <v>45610.804166666669</v>
      </c>
      <c r="F305">
        <v>912</v>
      </c>
      <c r="G305">
        <v>880</v>
      </c>
      <c r="H305">
        <v>732</v>
      </c>
      <c r="I305">
        <v>148</v>
      </c>
      <c r="J305">
        <v>116</v>
      </c>
      <c r="K305">
        <v>764</v>
      </c>
      <c r="L305">
        <v>585</v>
      </c>
      <c r="M305">
        <v>179</v>
      </c>
      <c r="N305">
        <v>0.877</v>
      </c>
      <c r="O305">
        <v>0.16800000000000001</v>
      </c>
      <c r="P305">
        <v>0.17100000000000001</v>
      </c>
      <c r="Q305">
        <v>0.83499999999999996</v>
      </c>
      <c r="R305">
        <v>0.95499999999999996</v>
      </c>
      <c r="S305">
        <v>0.83899999999999997</v>
      </c>
      <c r="T305">
        <v>0.83599999999999997</v>
      </c>
      <c r="U305">
        <v>214.37100000000001</v>
      </c>
      <c r="V305" t="s">
        <v>58</v>
      </c>
      <c r="W305">
        <v>0.96</v>
      </c>
      <c r="X305">
        <v>0.91400000000000003</v>
      </c>
      <c r="Y305">
        <v>0.94799999999999995</v>
      </c>
      <c r="Z305">
        <v>0.98799999999999999</v>
      </c>
      <c r="AA305" s="9">
        <v>45713.684409884256</v>
      </c>
      <c r="AB305" t="s">
        <v>873</v>
      </c>
      <c r="AC305" s="9"/>
    </row>
    <row r="306" spans="1:29" hidden="1" x14ac:dyDescent="0.35">
      <c r="A306" t="s">
        <v>276</v>
      </c>
      <c r="B306" t="s">
        <v>314</v>
      </c>
      <c r="C306">
        <v>99</v>
      </c>
      <c r="D306" s="9">
        <v>45511.296527777777</v>
      </c>
      <c r="E306" s="9">
        <v>45610.804166666669</v>
      </c>
      <c r="F306" t="s">
        <v>874</v>
      </c>
      <c r="G306" t="s">
        <v>874</v>
      </c>
      <c r="H306">
        <v>96</v>
      </c>
      <c r="I306">
        <v>25</v>
      </c>
      <c r="J306">
        <v>11</v>
      </c>
      <c r="K306" t="s">
        <v>875</v>
      </c>
      <c r="L306">
        <v>67</v>
      </c>
      <c r="M306">
        <v>42</v>
      </c>
      <c r="N306">
        <v>0.88900000000000001</v>
      </c>
      <c r="O306">
        <v>0.26400000000000001</v>
      </c>
      <c r="P306">
        <v>0.14000000000000001</v>
      </c>
      <c r="Q306">
        <v>0.80600000000000005</v>
      </c>
      <c r="R306">
        <v>0.79600000000000004</v>
      </c>
      <c r="S306">
        <v>0.77100000000000002</v>
      </c>
      <c r="T306">
        <v>0.879</v>
      </c>
      <c r="U306">
        <v>222.084</v>
      </c>
      <c r="V306" t="s">
        <v>58</v>
      </c>
      <c r="W306">
        <v>0.98799999999999999</v>
      </c>
      <c r="X306">
        <v>0.95899999999999996</v>
      </c>
      <c r="Y306">
        <v>0.98</v>
      </c>
      <c r="Z306">
        <v>0.96199999999999997</v>
      </c>
      <c r="AA306" s="9">
        <v>45713.684434537034</v>
      </c>
      <c r="AB306" t="s">
        <v>873</v>
      </c>
      <c r="AC306" s="9"/>
    </row>
    <row r="307" spans="1:29" x14ac:dyDescent="0.35">
      <c r="A307" t="s">
        <v>277</v>
      </c>
      <c r="B307" t="s">
        <v>313</v>
      </c>
      <c r="C307">
        <v>2122</v>
      </c>
      <c r="D307" s="9">
        <v>43145.470833333333</v>
      </c>
      <c r="E307" s="9">
        <v>45268.133333333331</v>
      </c>
      <c r="F307">
        <v>986</v>
      </c>
      <c r="G307">
        <v>980</v>
      </c>
      <c r="H307">
        <v>866</v>
      </c>
      <c r="I307">
        <v>114</v>
      </c>
      <c r="J307">
        <v>111</v>
      </c>
      <c r="K307">
        <v>869</v>
      </c>
      <c r="L307">
        <v>867</v>
      </c>
      <c r="M307">
        <v>2</v>
      </c>
      <c r="N307">
        <v>0.63400000000000001</v>
      </c>
      <c r="O307">
        <v>9.5000000000000001E-2</v>
      </c>
      <c r="P307">
        <v>4.8000000000000001E-2</v>
      </c>
      <c r="Q307">
        <v>0.623</v>
      </c>
      <c r="R307">
        <v>0.91500000000000004</v>
      </c>
      <c r="S307">
        <v>0.87</v>
      </c>
      <c r="T307">
        <v>0.93400000000000005</v>
      </c>
      <c r="U307">
        <v>3.21</v>
      </c>
      <c r="V307" t="s">
        <v>82</v>
      </c>
      <c r="W307">
        <v>0.95599999999999996</v>
      </c>
      <c r="X307">
        <v>0.82699999999999996</v>
      </c>
      <c r="Y307">
        <v>0.93200000000000005</v>
      </c>
      <c r="Z307">
        <v>0.94599999999999995</v>
      </c>
      <c r="AA307" s="9">
        <v>45713.684518773145</v>
      </c>
      <c r="AB307" t="s">
        <v>873</v>
      </c>
      <c r="AC307" s="9"/>
    </row>
    <row r="308" spans="1:29" x14ac:dyDescent="0.35">
      <c r="A308" t="s">
        <v>278</v>
      </c>
      <c r="B308" t="s">
        <v>313</v>
      </c>
      <c r="C308">
        <v>1192</v>
      </c>
      <c r="D308" s="9">
        <v>44249.291666666664</v>
      </c>
      <c r="E308" s="9">
        <v>45441.977777777778</v>
      </c>
      <c r="F308">
        <v>677</v>
      </c>
      <c r="G308">
        <v>648</v>
      </c>
      <c r="H308">
        <v>267</v>
      </c>
      <c r="I308">
        <v>381</v>
      </c>
      <c r="J308">
        <v>78</v>
      </c>
      <c r="K308">
        <v>570</v>
      </c>
      <c r="L308">
        <v>446</v>
      </c>
      <c r="M308">
        <v>124</v>
      </c>
      <c r="N308">
        <v>0.38900000000000001</v>
      </c>
      <c r="O308">
        <v>0.60499999999999998</v>
      </c>
      <c r="P308">
        <v>9.7000000000000003E-2</v>
      </c>
      <c r="Q308">
        <v>0.70299999999999996</v>
      </c>
      <c r="R308">
        <v>0.78400000000000003</v>
      </c>
      <c r="S308">
        <v>0.39100000000000001</v>
      </c>
      <c r="T308">
        <v>0.90200000000000002</v>
      </c>
      <c r="U308">
        <v>176.387</v>
      </c>
      <c r="V308" t="s">
        <v>58</v>
      </c>
      <c r="W308">
        <v>0.94799999999999995</v>
      </c>
      <c r="X308">
        <v>0.79500000000000004</v>
      </c>
      <c r="Y308">
        <v>0.73299999999999998</v>
      </c>
      <c r="Z308">
        <v>0.88700000000000001</v>
      </c>
      <c r="AA308" s="9">
        <v>45713.684607118055</v>
      </c>
      <c r="AB308" t="s">
        <v>873</v>
      </c>
      <c r="AC308" s="9"/>
    </row>
    <row r="309" spans="1:29" x14ac:dyDescent="0.35">
      <c r="A309" t="s">
        <v>279</v>
      </c>
      <c r="B309" t="s">
        <v>313</v>
      </c>
      <c r="C309">
        <v>5404</v>
      </c>
      <c r="D309" s="9">
        <v>38687</v>
      </c>
      <c r="E309" s="9">
        <v>44091.341666666667</v>
      </c>
      <c r="F309">
        <v>3011</v>
      </c>
      <c r="G309">
        <v>3011</v>
      </c>
      <c r="H309">
        <v>966</v>
      </c>
      <c r="I309">
        <v>2045</v>
      </c>
      <c r="J309">
        <v>983</v>
      </c>
      <c r="K309">
        <v>2028</v>
      </c>
      <c r="L309">
        <v>2028</v>
      </c>
      <c r="M309">
        <v>0</v>
      </c>
      <c r="N309">
        <v>0.30599999999999999</v>
      </c>
      <c r="O309">
        <v>0.61099999999999999</v>
      </c>
      <c r="P309">
        <v>0.19600000000000001</v>
      </c>
      <c r="Q309">
        <v>0.68</v>
      </c>
      <c r="R309">
        <v>0.94299999999999995</v>
      </c>
      <c r="S309">
        <v>0.33400000000000002</v>
      </c>
      <c r="T309">
        <v>0.78600000000000003</v>
      </c>
      <c r="U309">
        <v>0</v>
      </c>
      <c r="V309" t="s">
        <v>82</v>
      </c>
      <c r="W309">
        <v>0.97699999999999998</v>
      </c>
      <c r="X309">
        <v>0.99199999999999999</v>
      </c>
      <c r="Y309">
        <v>0.96199999999999997</v>
      </c>
      <c r="Z309">
        <v>0.97899999999999998</v>
      </c>
      <c r="AA309" s="9">
        <v>45713.684712442133</v>
      </c>
      <c r="AB309" t="s">
        <v>873</v>
      </c>
      <c r="AC309" s="9"/>
    </row>
    <row r="310" spans="1:29" x14ac:dyDescent="0.35">
      <c r="A310" t="s">
        <v>280</v>
      </c>
      <c r="B310" t="s">
        <v>313</v>
      </c>
      <c r="C310">
        <v>7929</v>
      </c>
      <c r="D310" s="9">
        <v>37195</v>
      </c>
      <c r="E310" s="9">
        <v>45124.817361111112</v>
      </c>
      <c r="F310">
        <v>5453</v>
      </c>
      <c r="G310">
        <v>5453</v>
      </c>
      <c r="H310">
        <v>2455</v>
      </c>
      <c r="I310">
        <v>2998</v>
      </c>
      <c r="J310">
        <v>976</v>
      </c>
      <c r="K310">
        <v>4477</v>
      </c>
      <c r="L310">
        <v>4396</v>
      </c>
      <c r="M310">
        <v>81</v>
      </c>
      <c r="N310">
        <v>0.54</v>
      </c>
      <c r="O310">
        <v>0.69499999999999995</v>
      </c>
      <c r="P310">
        <v>0.20699999999999999</v>
      </c>
      <c r="Q310">
        <v>1.0529999999999999</v>
      </c>
      <c r="R310">
        <v>1.024</v>
      </c>
      <c r="S310">
        <v>0.437</v>
      </c>
      <c r="T310">
        <v>0.83199999999999996</v>
      </c>
      <c r="U310">
        <v>76.923000000000002</v>
      </c>
      <c r="V310" t="s">
        <v>64</v>
      </c>
      <c r="W310">
        <v>0.98799999999999999</v>
      </c>
      <c r="X310">
        <v>0.98499999999999999</v>
      </c>
      <c r="Y310">
        <v>0.99099999999999999</v>
      </c>
      <c r="Z310">
        <v>0.995</v>
      </c>
      <c r="AA310" s="9">
        <v>45713.684818449074</v>
      </c>
      <c r="AB310" t="s">
        <v>873</v>
      </c>
      <c r="AC310" s="9"/>
    </row>
    <row r="311" spans="1:29" x14ac:dyDescent="0.35">
      <c r="A311" t="s">
        <v>281</v>
      </c>
      <c r="B311" t="s">
        <v>313</v>
      </c>
      <c r="C311">
        <v>4203</v>
      </c>
      <c r="D311" s="9">
        <v>41399.118750000001</v>
      </c>
      <c r="E311" s="9">
        <v>45602.256249999999</v>
      </c>
      <c r="F311">
        <v>506</v>
      </c>
      <c r="G311">
        <v>490</v>
      </c>
      <c r="H311">
        <v>392</v>
      </c>
      <c r="I311">
        <v>98</v>
      </c>
      <c r="J311">
        <v>13</v>
      </c>
      <c r="K311">
        <v>477</v>
      </c>
      <c r="L311">
        <v>153</v>
      </c>
      <c r="M311">
        <v>324</v>
      </c>
      <c r="N311">
        <v>0.16</v>
      </c>
      <c r="O311">
        <v>2.1000000000000001E-2</v>
      </c>
      <c r="P311">
        <v>2E-3</v>
      </c>
      <c r="Q311">
        <v>5.7000000000000002E-2</v>
      </c>
      <c r="R311">
        <v>0.318</v>
      </c>
      <c r="S311">
        <v>0.88400000000000001</v>
      </c>
      <c r="T311">
        <v>0.98899999999999999</v>
      </c>
      <c r="U311">
        <v>5684.2110000000002</v>
      </c>
      <c r="V311" t="s">
        <v>58</v>
      </c>
      <c r="W311">
        <v>0.79200000000000004</v>
      </c>
      <c r="X311">
        <v>0.61299999999999999</v>
      </c>
      <c r="Y311">
        <v>0.76700000000000002</v>
      </c>
      <c r="Z311">
        <v>0.38300000000000001</v>
      </c>
      <c r="AA311" s="9">
        <v>45713.684899826389</v>
      </c>
      <c r="AB311" t="s">
        <v>873</v>
      </c>
      <c r="AC311" s="9"/>
    </row>
    <row r="312" spans="1:29" x14ac:dyDescent="0.35">
      <c r="A312" t="s">
        <v>282</v>
      </c>
      <c r="B312" t="s">
        <v>313</v>
      </c>
      <c r="C312">
        <v>2957</v>
      </c>
      <c r="D312" s="9">
        <v>42653.404861111114</v>
      </c>
      <c r="E312" s="9">
        <v>45610.464583333334</v>
      </c>
      <c r="F312">
        <v>6095</v>
      </c>
      <c r="G312">
        <v>5797</v>
      </c>
      <c r="H312">
        <v>3652</v>
      </c>
      <c r="I312">
        <v>2145</v>
      </c>
      <c r="J312">
        <v>2089</v>
      </c>
      <c r="K312">
        <v>3708</v>
      </c>
      <c r="L312">
        <v>2877</v>
      </c>
      <c r="M312">
        <v>831</v>
      </c>
      <c r="N312">
        <v>1.419</v>
      </c>
      <c r="O312">
        <v>0.85199999999999998</v>
      </c>
      <c r="P312">
        <v>0.90100000000000002</v>
      </c>
      <c r="Q312">
        <v>1.143</v>
      </c>
      <c r="R312">
        <v>0.83399999999999996</v>
      </c>
      <c r="S312">
        <v>0.625</v>
      </c>
      <c r="T312">
        <v>0.60299999999999998</v>
      </c>
      <c r="U312">
        <v>727.03399999999999</v>
      </c>
      <c r="V312" t="s">
        <v>58</v>
      </c>
      <c r="W312">
        <v>0.98899999999999999</v>
      </c>
      <c r="X312">
        <v>0.96799999999999997</v>
      </c>
      <c r="Y312">
        <v>0.97</v>
      </c>
      <c r="Z312">
        <v>0.97599999999999998</v>
      </c>
      <c r="AA312" s="9">
        <v>45713.685009606481</v>
      </c>
      <c r="AB312" t="s">
        <v>873</v>
      </c>
      <c r="AC312" s="9"/>
    </row>
    <row r="313" spans="1:29" hidden="1" x14ac:dyDescent="0.35">
      <c r="A313" t="s">
        <v>282</v>
      </c>
      <c r="B313" t="s">
        <v>314</v>
      </c>
      <c r="C313">
        <v>100</v>
      </c>
      <c r="D313" s="9">
        <v>45510.299305555556</v>
      </c>
      <c r="E313" s="9">
        <v>45610.464583333334</v>
      </c>
      <c r="F313" t="s">
        <v>874</v>
      </c>
      <c r="G313" t="s">
        <v>874</v>
      </c>
      <c r="H313">
        <v>53</v>
      </c>
      <c r="I313">
        <v>45</v>
      </c>
      <c r="J313">
        <v>37</v>
      </c>
      <c r="K313" t="s">
        <v>875</v>
      </c>
      <c r="L313">
        <v>63</v>
      </c>
      <c r="M313">
        <v>-1</v>
      </c>
      <c r="N313">
        <v>0.52600000000000002</v>
      </c>
      <c r="O313">
        <v>0.47499999999999998</v>
      </c>
      <c r="P313">
        <v>0.496</v>
      </c>
      <c r="Q313">
        <v>0.59599999999999997</v>
      </c>
      <c r="R313">
        <v>1.18</v>
      </c>
      <c r="S313">
        <v>0.52500000000000002</v>
      </c>
      <c r="T313">
        <v>0.504</v>
      </c>
      <c r="U313">
        <v>1394.2950000000001</v>
      </c>
      <c r="V313" t="s">
        <v>64</v>
      </c>
      <c r="W313">
        <v>0.97599999999999998</v>
      </c>
      <c r="X313">
        <v>0.98899999999999999</v>
      </c>
      <c r="Y313">
        <v>0.871</v>
      </c>
      <c r="Z313">
        <v>0.95499999999999996</v>
      </c>
      <c r="AA313" s="9">
        <v>45713.685033437498</v>
      </c>
      <c r="AB313" t="s">
        <v>873</v>
      </c>
      <c r="AC313" s="9"/>
    </row>
    <row r="314" spans="1:29" x14ac:dyDescent="0.35">
      <c r="A314" t="s">
        <v>283</v>
      </c>
      <c r="B314" t="s">
        <v>313</v>
      </c>
      <c r="C314">
        <v>2478</v>
      </c>
      <c r="D314" s="9">
        <v>43126.15902777778</v>
      </c>
      <c r="E314" s="9">
        <v>45604.509722222225</v>
      </c>
      <c r="F314">
        <v>2728</v>
      </c>
      <c r="G314">
        <v>2728</v>
      </c>
      <c r="H314">
        <v>2333</v>
      </c>
      <c r="I314">
        <v>395</v>
      </c>
      <c r="J314">
        <v>1205</v>
      </c>
      <c r="K314">
        <v>1523</v>
      </c>
      <c r="L314">
        <v>1215</v>
      </c>
      <c r="M314">
        <v>308</v>
      </c>
      <c r="N314">
        <v>0.91600000000000004</v>
      </c>
      <c r="O314">
        <v>0.14599999999999999</v>
      </c>
      <c r="P314">
        <v>0.52500000000000002</v>
      </c>
      <c r="Q314">
        <v>0.47599999999999998</v>
      </c>
      <c r="R314">
        <v>0.88600000000000001</v>
      </c>
      <c r="S314">
        <v>0.86299999999999999</v>
      </c>
      <c r="T314">
        <v>0.50600000000000001</v>
      </c>
      <c r="U314">
        <v>647.05899999999997</v>
      </c>
      <c r="V314" t="s">
        <v>58</v>
      </c>
      <c r="W314">
        <v>0.99099999999999999</v>
      </c>
      <c r="X314">
        <v>0.95399999999999996</v>
      </c>
      <c r="Y314">
        <v>0.65600000000000003</v>
      </c>
      <c r="Z314">
        <v>0.85499999999999998</v>
      </c>
      <c r="AA314" s="9">
        <v>45713.685128703706</v>
      </c>
      <c r="AB314" t="s">
        <v>873</v>
      </c>
      <c r="AC314" s="9"/>
    </row>
    <row r="315" spans="1:29" hidden="1" x14ac:dyDescent="0.35">
      <c r="A315" t="s">
        <v>283</v>
      </c>
      <c r="B315" t="s">
        <v>314</v>
      </c>
      <c r="C315">
        <v>99</v>
      </c>
      <c r="D315" s="9">
        <v>45505.275000000001</v>
      </c>
      <c r="E315" s="9">
        <v>45604.509722222225</v>
      </c>
      <c r="F315" t="s">
        <v>874</v>
      </c>
      <c r="G315" t="s">
        <v>874</v>
      </c>
      <c r="H315">
        <v>159</v>
      </c>
      <c r="I315">
        <v>46</v>
      </c>
      <c r="J315">
        <v>24</v>
      </c>
      <c r="K315" t="s">
        <v>875</v>
      </c>
      <c r="L315">
        <v>102</v>
      </c>
      <c r="M315">
        <v>78</v>
      </c>
      <c r="N315">
        <v>1.778</v>
      </c>
      <c r="O315">
        <v>0.66100000000000003</v>
      </c>
      <c r="P315">
        <v>0.26200000000000001</v>
      </c>
      <c r="Q315">
        <v>1.0269999999999999</v>
      </c>
      <c r="R315">
        <v>0.47199999999999998</v>
      </c>
      <c r="S315">
        <v>0.72899999999999998</v>
      </c>
      <c r="T315">
        <v>0.89300000000000002</v>
      </c>
      <c r="U315">
        <v>299.90300000000002</v>
      </c>
      <c r="V315" t="s">
        <v>58</v>
      </c>
      <c r="W315">
        <v>0.91400000000000003</v>
      </c>
      <c r="X315">
        <v>0.97799999999999998</v>
      </c>
      <c r="Y315">
        <v>0.876</v>
      </c>
      <c r="Z315">
        <v>0.99</v>
      </c>
      <c r="AA315" s="9">
        <v>45713.685152094906</v>
      </c>
      <c r="AB315" t="s">
        <v>873</v>
      </c>
      <c r="AC315" s="9"/>
    </row>
    <row r="316" spans="1:29" x14ac:dyDescent="0.35">
      <c r="A316" t="s">
        <v>284</v>
      </c>
      <c r="B316" t="s">
        <v>313</v>
      </c>
      <c r="C316">
        <v>1679</v>
      </c>
      <c r="D316" s="9">
        <v>43928.405555555553</v>
      </c>
      <c r="E316" s="9">
        <v>45607.595833333333</v>
      </c>
      <c r="F316">
        <v>1725</v>
      </c>
      <c r="G316">
        <v>1694</v>
      </c>
      <c r="H316">
        <v>1434</v>
      </c>
      <c r="I316">
        <v>260</v>
      </c>
      <c r="J316">
        <v>172</v>
      </c>
      <c r="K316">
        <v>1522</v>
      </c>
      <c r="L316">
        <v>1357</v>
      </c>
      <c r="M316">
        <v>165</v>
      </c>
      <c r="N316">
        <v>1.369</v>
      </c>
      <c r="O316">
        <v>0.16400000000000001</v>
      </c>
      <c r="P316">
        <v>0.20699999999999999</v>
      </c>
      <c r="Q316">
        <v>1.254</v>
      </c>
      <c r="R316">
        <v>0.94599999999999995</v>
      </c>
      <c r="S316">
        <v>0.89300000000000002</v>
      </c>
      <c r="T316">
        <v>0.86499999999999999</v>
      </c>
      <c r="U316">
        <v>131.57900000000001</v>
      </c>
      <c r="V316" t="s">
        <v>58</v>
      </c>
      <c r="W316">
        <v>0.97699999999999998</v>
      </c>
      <c r="X316">
        <v>0.77200000000000002</v>
      </c>
      <c r="Y316">
        <v>0.9</v>
      </c>
      <c r="Z316">
        <v>0.94699999999999995</v>
      </c>
      <c r="AA316" s="9">
        <v>45713.685249641203</v>
      </c>
      <c r="AB316" t="s">
        <v>873</v>
      </c>
      <c r="AC316" s="9"/>
    </row>
    <row r="317" spans="1:29" hidden="1" x14ac:dyDescent="0.35">
      <c r="A317" t="s">
        <v>284</v>
      </c>
      <c r="B317" t="s">
        <v>314</v>
      </c>
      <c r="C317">
        <v>98</v>
      </c>
      <c r="D317" s="9">
        <v>45509.531944444447</v>
      </c>
      <c r="E317" s="9">
        <v>45607.595833333333</v>
      </c>
      <c r="F317" t="s">
        <v>874</v>
      </c>
      <c r="G317" t="s">
        <v>874</v>
      </c>
      <c r="H317">
        <v>74</v>
      </c>
      <c r="I317">
        <v>27</v>
      </c>
      <c r="J317">
        <v>10</v>
      </c>
      <c r="K317" t="s">
        <v>875</v>
      </c>
      <c r="L317">
        <v>75</v>
      </c>
      <c r="M317">
        <v>17</v>
      </c>
      <c r="N317">
        <v>0.88900000000000001</v>
      </c>
      <c r="O317">
        <v>0.42499999999999999</v>
      </c>
      <c r="P317">
        <v>0.14000000000000001</v>
      </c>
      <c r="Q317">
        <v>0.88500000000000001</v>
      </c>
      <c r="R317">
        <v>0.754</v>
      </c>
      <c r="S317">
        <v>0.67700000000000005</v>
      </c>
      <c r="T317">
        <v>0.89300000000000002</v>
      </c>
      <c r="U317">
        <v>186.441</v>
      </c>
      <c r="V317" t="s">
        <v>58</v>
      </c>
      <c r="W317">
        <v>0.98</v>
      </c>
      <c r="X317">
        <v>0.94499999999999995</v>
      </c>
      <c r="Y317">
        <v>0.91700000000000004</v>
      </c>
      <c r="Z317">
        <v>0.97</v>
      </c>
      <c r="AA317" s="9">
        <v>45713.685272488423</v>
      </c>
      <c r="AB317" t="s">
        <v>873</v>
      </c>
      <c r="AC317" s="9"/>
    </row>
    <row r="318" spans="1:29" x14ac:dyDescent="0.35">
      <c r="A318" t="s">
        <v>285</v>
      </c>
      <c r="B318" t="s">
        <v>313</v>
      </c>
      <c r="C318">
        <v>4633</v>
      </c>
      <c r="D318" s="9">
        <v>40968.604861111111</v>
      </c>
      <c r="E318" s="9">
        <v>45601.988888888889</v>
      </c>
      <c r="F318">
        <v>2093</v>
      </c>
      <c r="G318">
        <v>2092</v>
      </c>
      <c r="H318">
        <v>638</v>
      </c>
      <c r="I318">
        <v>1454</v>
      </c>
      <c r="J318">
        <v>319</v>
      </c>
      <c r="K318">
        <v>1773</v>
      </c>
      <c r="L318">
        <v>1533</v>
      </c>
      <c r="M318">
        <v>240</v>
      </c>
      <c r="N318">
        <v>0.14099999999999999</v>
      </c>
      <c r="O318">
        <v>0.38400000000000001</v>
      </c>
      <c r="P318">
        <v>0.08</v>
      </c>
      <c r="Q318">
        <v>0.374</v>
      </c>
      <c r="R318">
        <v>0.84</v>
      </c>
      <c r="S318">
        <v>0.26900000000000002</v>
      </c>
      <c r="T318">
        <v>0.84799999999999998</v>
      </c>
      <c r="U318">
        <v>641.71100000000001</v>
      </c>
      <c r="V318" t="s">
        <v>58</v>
      </c>
      <c r="W318">
        <v>0.996</v>
      </c>
      <c r="X318">
        <v>0.96799999999999997</v>
      </c>
      <c r="Y318">
        <v>0.97799999999999998</v>
      </c>
      <c r="Z318">
        <v>0.97399999999999998</v>
      </c>
      <c r="AA318" s="9">
        <v>45713.685370995372</v>
      </c>
      <c r="AB318" t="s">
        <v>873</v>
      </c>
      <c r="AC318" s="9"/>
    </row>
    <row r="319" spans="1:29" hidden="1" x14ac:dyDescent="0.35">
      <c r="A319" t="s">
        <v>285</v>
      </c>
      <c r="B319" t="s">
        <v>314</v>
      </c>
      <c r="C319">
        <v>95</v>
      </c>
      <c r="D319" s="9">
        <v>45506.942361111112</v>
      </c>
      <c r="E319" s="9">
        <v>45601.988888888889</v>
      </c>
      <c r="F319" t="s">
        <v>874</v>
      </c>
      <c r="G319" t="s">
        <v>874</v>
      </c>
      <c r="H319">
        <v>12</v>
      </c>
      <c r="I319">
        <v>18</v>
      </c>
      <c r="J319">
        <v>3</v>
      </c>
      <c r="K319" t="s">
        <v>875</v>
      </c>
      <c r="L319">
        <v>34</v>
      </c>
      <c r="M319">
        <v>-8</v>
      </c>
      <c r="N319">
        <v>0.11799999999999999</v>
      </c>
      <c r="O319">
        <v>0.188</v>
      </c>
      <c r="P319">
        <v>3.3000000000000002E-2</v>
      </c>
      <c r="Q319">
        <v>0.374</v>
      </c>
      <c r="R319">
        <v>1.37</v>
      </c>
      <c r="S319">
        <v>0.38600000000000001</v>
      </c>
      <c r="T319">
        <v>0.89200000000000002</v>
      </c>
      <c r="U319">
        <v>641.71100000000001</v>
      </c>
      <c r="V319" t="s">
        <v>64</v>
      </c>
      <c r="W319">
        <v>0.96099999999999997</v>
      </c>
      <c r="X319">
        <v>0.98799999999999999</v>
      </c>
      <c r="Y319">
        <v>0.96199999999999997</v>
      </c>
      <c r="Z319">
        <v>0.90600000000000003</v>
      </c>
      <c r="AA319" s="9">
        <v>45713.685392627318</v>
      </c>
      <c r="AB319" t="s">
        <v>873</v>
      </c>
      <c r="AC319" s="9"/>
    </row>
    <row r="320" spans="1:29" x14ac:dyDescent="0.35">
      <c r="A320" t="s">
        <v>286</v>
      </c>
      <c r="B320" t="s">
        <v>313</v>
      </c>
      <c r="C320">
        <v>919</v>
      </c>
      <c r="D320" s="9">
        <v>44689.420138888891</v>
      </c>
      <c r="E320" s="9">
        <v>45608.429861111108</v>
      </c>
      <c r="F320">
        <v>1983</v>
      </c>
      <c r="G320">
        <v>1860</v>
      </c>
      <c r="H320">
        <v>1363</v>
      </c>
      <c r="I320">
        <v>497</v>
      </c>
      <c r="J320">
        <v>302</v>
      </c>
      <c r="K320">
        <v>1558</v>
      </c>
      <c r="L320">
        <v>1324</v>
      </c>
      <c r="M320">
        <v>234</v>
      </c>
      <c r="N320">
        <v>1.786</v>
      </c>
      <c r="O320">
        <v>0.63900000000000001</v>
      </c>
      <c r="P320">
        <v>0.441</v>
      </c>
      <c r="Q320">
        <v>1.7929999999999999</v>
      </c>
      <c r="R320">
        <v>0.90400000000000003</v>
      </c>
      <c r="S320">
        <v>0.73599999999999999</v>
      </c>
      <c r="T320">
        <v>0.81799999999999995</v>
      </c>
      <c r="U320">
        <v>130.50800000000001</v>
      </c>
      <c r="V320" t="s">
        <v>58</v>
      </c>
      <c r="W320">
        <v>0.99199999999999999</v>
      </c>
      <c r="X320">
        <v>0.98399999999999999</v>
      </c>
      <c r="Y320">
        <v>0.96899999999999997</v>
      </c>
      <c r="Z320">
        <v>0.99099999999999999</v>
      </c>
      <c r="AA320" s="9">
        <v>45713.685485798611</v>
      </c>
      <c r="AB320" t="s">
        <v>873</v>
      </c>
      <c r="AC320" s="9"/>
    </row>
    <row r="321" spans="1:29" hidden="1" x14ac:dyDescent="0.35">
      <c r="A321" t="s">
        <v>286</v>
      </c>
      <c r="B321" t="s">
        <v>314</v>
      </c>
      <c r="C321">
        <v>99</v>
      </c>
      <c r="D321" s="9">
        <v>45509.35833333333</v>
      </c>
      <c r="E321" s="9">
        <v>45608.429861111108</v>
      </c>
      <c r="F321" t="s">
        <v>874</v>
      </c>
      <c r="G321" t="s">
        <v>874</v>
      </c>
      <c r="H321">
        <v>238</v>
      </c>
      <c r="I321">
        <v>44</v>
      </c>
      <c r="J321">
        <v>58</v>
      </c>
      <c r="K321" t="s">
        <v>875</v>
      </c>
      <c r="L321">
        <v>170</v>
      </c>
      <c r="M321">
        <v>55</v>
      </c>
      <c r="N321">
        <v>2.6259999999999999</v>
      </c>
      <c r="O321">
        <v>0.41499999999999998</v>
      </c>
      <c r="P321">
        <v>0.54200000000000004</v>
      </c>
      <c r="Q321">
        <v>1.665</v>
      </c>
      <c r="R321">
        <v>0.66600000000000004</v>
      </c>
      <c r="S321">
        <v>0.86399999999999999</v>
      </c>
      <c r="T321">
        <v>0.82199999999999995</v>
      </c>
      <c r="U321">
        <v>140.541</v>
      </c>
      <c r="V321" t="s">
        <v>58</v>
      </c>
      <c r="W321">
        <v>0.90500000000000003</v>
      </c>
      <c r="X321">
        <v>0.96099999999999997</v>
      </c>
      <c r="Y321">
        <v>0.79500000000000004</v>
      </c>
      <c r="Z321">
        <v>0.99099999999999999</v>
      </c>
      <c r="AA321" s="9">
        <v>45713.685507083334</v>
      </c>
      <c r="AB321" t="s">
        <v>873</v>
      </c>
      <c r="AC321" s="9"/>
    </row>
    <row r="322" spans="1:29" x14ac:dyDescent="0.35">
      <c r="A322" t="s">
        <v>876</v>
      </c>
      <c r="B322" t="s">
        <v>313</v>
      </c>
      <c r="C322">
        <v>345</v>
      </c>
      <c r="D322" s="9">
        <v>45265.720833333333</v>
      </c>
      <c r="E322" s="9">
        <v>45610.744444444441</v>
      </c>
      <c r="F322">
        <v>44</v>
      </c>
      <c r="G322">
        <v>44</v>
      </c>
      <c r="H322">
        <v>44</v>
      </c>
      <c r="I322">
        <v>0</v>
      </c>
      <c r="J322">
        <v>1</v>
      </c>
      <c r="K322">
        <v>43</v>
      </c>
      <c r="L322">
        <v>0</v>
      </c>
      <c r="M322">
        <v>43</v>
      </c>
      <c r="N322">
        <v>0.14499999999999999</v>
      </c>
      <c r="O322">
        <v>0</v>
      </c>
      <c r="P322">
        <v>0</v>
      </c>
      <c r="Q322">
        <v>0</v>
      </c>
      <c r="R322">
        <v>0</v>
      </c>
      <c r="S322">
        <v>1</v>
      </c>
      <c r="T322">
        <v>1</v>
      </c>
      <c r="U322" t="s">
        <v>877</v>
      </c>
      <c r="V322" t="s">
        <v>878</v>
      </c>
      <c r="W322">
        <v>0.36399999999999999</v>
      </c>
      <c r="X322">
        <v>0</v>
      </c>
      <c r="Y322">
        <v>0</v>
      </c>
      <c r="Z322">
        <v>0</v>
      </c>
      <c r="AA322" s="9">
        <v>45713.685579143515</v>
      </c>
      <c r="AB322" t="s">
        <v>873</v>
      </c>
      <c r="AC322" s="9"/>
    </row>
    <row r="323" spans="1:29" x14ac:dyDescent="0.35">
      <c r="A323" t="s">
        <v>287</v>
      </c>
      <c r="B323" t="s">
        <v>313</v>
      </c>
      <c r="C323">
        <v>2597</v>
      </c>
      <c r="D323" s="9">
        <v>42990.587500000001</v>
      </c>
      <c r="E323" s="9">
        <v>45587.912499999999</v>
      </c>
      <c r="F323">
        <v>127</v>
      </c>
      <c r="G323">
        <v>127</v>
      </c>
      <c r="H323">
        <v>73</v>
      </c>
      <c r="I323">
        <v>54</v>
      </c>
      <c r="J323">
        <v>4</v>
      </c>
      <c r="K323">
        <v>123</v>
      </c>
      <c r="L323">
        <v>104</v>
      </c>
      <c r="M323">
        <v>19</v>
      </c>
      <c r="N323">
        <v>3.5999999999999997E-2</v>
      </c>
      <c r="O323">
        <v>2.1999999999999999E-2</v>
      </c>
      <c r="P323">
        <v>2E-3</v>
      </c>
      <c r="Q323">
        <v>3.7999999999999999E-2</v>
      </c>
      <c r="R323">
        <v>0.67900000000000005</v>
      </c>
      <c r="S323">
        <v>0.621</v>
      </c>
      <c r="T323">
        <v>0.96599999999999997</v>
      </c>
      <c r="U323">
        <v>500</v>
      </c>
      <c r="V323" t="s">
        <v>58</v>
      </c>
      <c r="W323">
        <v>0.81299999999999994</v>
      </c>
      <c r="X323">
        <v>0.98799999999999999</v>
      </c>
      <c r="Y323">
        <v>0.88300000000000001</v>
      </c>
      <c r="Z323">
        <v>0.92900000000000005</v>
      </c>
      <c r="AA323" s="9">
        <v>45713.685664004632</v>
      </c>
      <c r="AB323" t="s">
        <v>873</v>
      </c>
      <c r="AC323" s="9"/>
    </row>
    <row r="324" spans="1:29" x14ac:dyDescent="0.35">
      <c r="A324" t="s">
        <v>288</v>
      </c>
      <c r="B324" t="s">
        <v>313</v>
      </c>
      <c r="C324">
        <v>6006</v>
      </c>
      <c r="D324" s="9">
        <v>39601.399305555555</v>
      </c>
      <c r="E324" s="9">
        <v>45607.525694444441</v>
      </c>
      <c r="F324">
        <v>2577</v>
      </c>
      <c r="G324">
        <v>2577</v>
      </c>
      <c r="H324">
        <v>1043</v>
      </c>
      <c r="I324">
        <v>1534</v>
      </c>
      <c r="J324">
        <v>536</v>
      </c>
      <c r="K324">
        <v>2041</v>
      </c>
      <c r="L324">
        <v>1949</v>
      </c>
      <c r="M324">
        <v>92</v>
      </c>
      <c r="N324">
        <v>0.224</v>
      </c>
      <c r="O324">
        <v>0.32</v>
      </c>
      <c r="P324">
        <v>0.124</v>
      </c>
      <c r="Q324">
        <v>0.41599999999999998</v>
      </c>
      <c r="R324">
        <v>0.99</v>
      </c>
      <c r="S324">
        <v>0.41199999999999998</v>
      </c>
      <c r="T324">
        <v>0.77200000000000002</v>
      </c>
      <c r="U324">
        <v>221.154</v>
      </c>
      <c r="V324" t="s">
        <v>58</v>
      </c>
      <c r="W324">
        <v>0.93500000000000005</v>
      </c>
      <c r="X324">
        <v>0.89500000000000002</v>
      </c>
      <c r="Y324">
        <v>0.92</v>
      </c>
      <c r="Z324">
        <v>0.91600000000000004</v>
      </c>
      <c r="AA324" s="9">
        <v>45713.685756712963</v>
      </c>
      <c r="AB324" t="s">
        <v>873</v>
      </c>
      <c r="AC324" s="9"/>
    </row>
    <row r="325" spans="1:29" x14ac:dyDescent="0.35">
      <c r="A325" t="s">
        <v>289</v>
      </c>
      <c r="B325" t="s">
        <v>313</v>
      </c>
      <c r="C325">
        <v>4748</v>
      </c>
      <c r="D325" s="9">
        <v>40862.601388888892</v>
      </c>
      <c r="E325" s="9">
        <v>45610.611805555556</v>
      </c>
      <c r="F325">
        <v>186</v>
      </c>
      <c r="G325">
        <v>186</v>
      </c>
      <c r="H325">
        <v>128</v>
      </c>
      <c r="I325">
        <v>58</v>
      </c>
      <c r="J325">
        <v>24</v>
      </c>
      <c r="K325">
        <v>162</v>
      </c>
      <c r="L325">
        <v>151</v>
      </c>
      <c r="M325">
        <v>11</v>
      </c>
      <c r="N325">
        <v>3.4000000000000002E-2</v>
      </c>
      <c r="O325">
        <v>1.4E-2</v>
      </c>
      <c r="P325">
        <v>7.0000000000000001E-3</v>
      </c>
      <c r="Q325">
        <v>4.4999999999999998E-2</v>
      </c>
      <c r="R325">
        <v>1.0980000000000001</v>
      </c>
      <c r="S325">
        <v>0.70799999999999996</v>
      </c>
      <c r="T325">
        <v>0.85399999999999998</v>
      </c>
      <c r="U325">
        <v>244.44399999999999</v>
      </c>
      <c r="V325" t="s">
        <v>64</v>
      </c>
      <c r="W325">
        <v>0.91100000000000003</v>
      </c>
      <c r="X325">
        <v>0.96499999999999997</v>
      </c>
      <c r="Y325">
        <v>0.92700000000000005</v>
      </c>
      <c r="Z325">
        <v>0.94899999999999995</v>
      </c>
      <c r="AA325" s="9">
        <v>45713.685841446757</v>
      </c>
      <c r="AB325" t="s">
        <v>873</v>
      </c>
      <c r="AC325" s="9"/>
    </row>
    <row r="326" spans="1:29" x14ac:dyDescent="0.35">
      <c r="A326" t="s">
        <v>290</v>
      </c>
      <c r="B326" t="s">
        <v>313</v>
      </c>
      <c r="C326">
        <v>2695</v>
      </c>
      <c r="D326" s="9">
        <v>42852.776388888888</v>
      </c>
      <c r="E326" s="9">
        <v>45548.691666666666</v>
      </c>
      <c r="F326">
        <v>302</v>
      </c>
      <c r="G326">
        <v>302</v>
      </c>
      <c r="H326">
        <v>253</v>
      </c>
      <c r="I326">
        <v>49</v>
      </c>
      <c r="J326">
        <v>41</v>
      </c>
      <c r="K326">
        <v>261</v>
      </c>
      <c r="L326">
        <v>21</v>
      </c>
      <c r="M326">
        <v>240</v>
      </c>
      <c r="N326">
        <v>0.08</v>
      </c>
      <c r="O326">
        <v>1.6E-2</v>
      </c>
      <c r="P326">
        <v>2.3E-2</v>
      </c>
      <c r="Q326">
        <v>6.0000000000000001E-3</v>
      </c>
      <c r="R326">
        <v>8.2000000000000003E-2</v>
      </c>
      <c r="S326">
        <v>0.83299999999999996</v>
      </c>
      <c r="T326">
        <v>0.76</v>
      </c>
      <c r="U326">
        <v>40000</v>
      </c>
      <c r="V326" t="s">
        <v>58</v>
      </c>
      <c r="W326">
        <v>0.316</v>
      </c>
      <c r="X326">
        <v>0.93500000000000005</v>
      </c>
      <c r="Y326">
        <v>0.55500000000000005</v>
      </c>
      <c r="Z326">
        <v>0.91600000000000004</v>
      </c>
      <c r="AA326" s="9">
        <v>45713.685929965279</v>
      </c>
      <c r="AB326" t="s">
        <v>873</v>
      </c>
      <c r="AC326" s="9"/>
    </row>
    <row r="327" spans="1:29" x14ac:dyDescent="0.35">
      <c r="A327" t="s">
        <v>291</v>
      </c>
      <c r="B327" t="s">
        <v>313</v>
      </c>
      <c r="C327">
        <v>2778</v>
      </c>
      <c r="D327" s="9">
        <v>42453.743055555555</v>
      </c>
      <c r="E327" s="9">
        <v>45232.540972222225</v>
      </c>
      <c r="F327">
        <v>69</v>
      </c>
      <c r="G327">
        <v>69</v>
      </c>
      <c r="H327">
        <v>58</v>
      </c>
      <c r="I327">
        <v>11</v>
      </c>
      <c r="J327">
        <v>10</v>
      </c>
      <c r="K327">
        <v>59</v>
      </c>
      <c r="L327">
        <v>52</v>
      </c>
      <c r="M327">
        <v>7</v>
      </c>
      <c r="N327">
        <v>2.4E-2</v>
      </c>
      <c r="O327">
        <v>5.0000000000000001E-3</v>
      </c>
      <c r="P327">
        <v>4.0000000000000001E-3</v>
      </c>
      <c r="Q327">
        <v>0.02</v>
      </c>
      <c r="R327">
        <v>0.8</v>
      </c>
      <c r="S327">
        <v>0.82799999999999996</v>
      </c>
      <c r="T327">
        <v>0.86199999999999999</v>
      </c>
      <c r="U327">
        <v>350</v>
      </c>
      <c r="V327" t="s">
        <v>58</v>
      </c>
      <c r="W327">
        <v>0.82</v>
      </c>
      <c r="X327">
        <v>0.72899999999999998</v>
      </c>
      <c r="Y327">
        <v>0.89200000000000002</v>
      </c>
      <c r="Z327">
        <v>0.70399999999999996</v>
      </c>
      <c r="AA327" s="9">
        <v>45713.686013206017</v>
      </c>
      <c r="AB327" t="s">
        <v>873</v>
      </c>
      <c r="AC327" s="9"/>
    </row>
    <row r="328" spans="1:29" x14ac:dyDescent="0.35">
      <c r="A328" t="s">
        <v>292</v>
      </c>
      <c r="B328" t="s">
        <v>313</v>
      </c>
      <c r="C328">
        <v>5405</v>
      </c>
      <c r="D328" s="9">
        <v>40204.557638888888</v>
      </c>
      <c r="E328" s="9">
        <v>45610.452777777777</v>
      </c>
      <c r="F328">
        <v>6002</v>
      </c>
      <c r="G328">
        <v>6002</v>
      </c>
      <c r="H328">
        <v>3291</v>
      </c>
      <c r="I328">
        <v>2711</v>
      </c>
      <c r="J328">
        <v>617</v>
      </c>
      <c r="K328">
        <v>5385</v>
      </c>
      <c r="L328">
        <v>4797</v>
      </c>
      <c r="M328">
        <v>588</v>
      </c>
      <c r="N328">
        <v>0.80900000000000005</v>
      </c>
      <c r="O328">
        <v>0.78500000000000003</v>
      </c>
      <c r="P328">
        <v>0.17599999999999999</v>
      </c>
      <c r="Q328">
        <v>1.321</v>
      </c>
      <c r="R328">
        <v>0.93200000000000005</v>
      </c>
      <c r="S328">
        <v>0.50800000000000001</v>
      </c>
      <c r="T328">
        <v>0.89</v>
      </c>
      <c r="U328">
        <v>445.11700000000002</v>
      </c>
      <c r="V328" t="s">
        <v>58</v>
      </c>
      <c r="W328">
        <v>0.98299999999999998</v>
      </c>
      <c r="X328">
        <v>0.88200000000000001</v>
      </c>
      <c r="Y328">
        <v>0.94499999999999995</v>
      </c>
      <c r="Z328">
        <v>0.95699999999999996</v>
      </c>
      <c r="AA328" s="9">
        <v>45713.686115983794</v>
      </c>
      <c r="AB328" t="s">
        <v>873</v>
      </c>
      <c r="AC328" s="9"/>
    </row>
    <row r="329" spans="1:29" hidden="1" x14ac:dyDescent="0.35">
      <c r="A329" t="s">
        <v>292</v>
      </c>
      <c r="B329" t="s">
        <v>314</v>
      </c>
      <c r="C329">
        <v>98</v>
      </c>
      <c r="D329" s="9">
        <v>45512.400694444441</v>
      </c>
      <c r="E329" s="9">
        <v>45610.452777777777</v>
      </c>
      <c r="F329" t="s">
        <v>874</v>
      </c>
      <c r="G329" t="s">
        <v>874</v>
      </c>
      <c r="H329">
        <v>60</v>
      </c>
      <c r="I329">
        <v>31</v>
      </c>
      <c r="J329">
        <v>10</v>
      </c>
      <c r="K329" t="s">
        <v>875</v>
      </c>
      <c r="L329">
        <v>75</v>
      </c>
      <c r="M329">
        <v>5</v>
      </c>
      <c r="N329">
        <v>0.56999999999999995</v>
      </c>
      <c r="O329">
        <v>0.33</v>
      </c>
      <c r="P329">
        <v>0.10100000000000001</v>
      </c>
      <c r="Q329">
        <v>0.83799999999999997</v>
      </c>
      <c r="R329">
        <v>1.0489999999999999</v>
      </c>
      <c r="S329">
        <v>0.63300000000000001</v>
      </c>
      <c r="T329">
        <v>0.88800000000000001</v>
      </c>
      <c r="U329">
        <v>701.67100000000005</v>
      </c>
      <c r="V329" t="s">
        <v>64</v>
      </c>
      <c r="W329">
        <v>0.94599999999999995</v>
      </c>
      <c r="X329">
        <v>0.98399999999999999</v>
      </c>
      <c r="Y329">
        <v>0.88300000000000001</v>
      </c>
      <c r="Z329">
        <v>0.97</v>
      </c>
      <c r="AA329" s="9">
        <v>45713.686137557874</v>
      </c>
      <c r="AB329" t="s">
        <v>873</v>
      </c>
      <c r="AC329" s="9"/>
    </row>
    <row r="330" spans="1:29" x14ac:dyDescent="0.35">
      <c r="A330" t="s">
        <v>293</v>
      </c>
      <c r="B330" t="s">
        <v>313</v>
      </c>
      <c r="C330">
        <v>2738</v>
      </c>
      <c r="D330" s="9">
        <v>42660.556250000001</v>
      </c>
      <c r="E330" s="9">
        <v>45399.451388888891</v>
      </c>
      <c r="F330">
        <v>50</v>
      </c>
      <c r="G330">
        <v>50</v>
      </c>
      <c r="H330">
        <v>37</v>
      </c>
      <c r="I330">
        <v>13</v>
      </c>
      <c r="J330">
        <v>2</v>
      </c>
      <c r="K330">
        <v>48</v>
      </c>
      <c r="L330">
        <v>37</v>
      </c>
      <c r="M330">
        <v>11</v>
      </c>
      <c r="N330">
        <v>8.9999999999999993E-3</v>
      </c>
      <c r="O330">
        <v>3.0000000000000001E-3</v>
      </c>
      <c r="P330">
        <v>1E-3</v>
      </c>
      <c r="Q330">
        <v>8.9999999999999993E-3</v>
      </c>
      <c r="R330">
        <v>0.81799999999999995</v>
      </c>
      <c r="S330">
        <v>0.75</v>
      </c>
      <c r="T330">
        <v>0.91700000000000004</v>
      </c>
      <c r="U330">
        <v>1222.222</v>
      </c>
      <c r="V330" t="s">
        <v>58</v>
      </c>
      <c r="W330">
        <v>0.78700000000000003</v>
      </c>
      <c r="X330">
        <v>0.75600000000000001</v>
      </c>
      <c r="Y330">
        <v>1</v>
      </c>
      <c r="Z330">
        <v>0.68300000000000005</v>
      </c>
      <c r="AA330" s="9">
        <v>45713.686220949072</v>
      </c>
      <c r="AB330" t="s">
        <v>873</v>
      </c>
      <c r="AC330" s="9"/>
    </row>
    <row r="331" spans="1:29" x14ac:dyDescent="0.35">
      <c r="A331" t="s">
        <v>294</v>
      </c>
      <c r="B331" t="s">
        <v>313</v>
      </c>
      <c r="C331">
        <v>5811</v>
      </c>
      <c r="D331" s="9">
        <v>39800.223611111112</v>
      </c>
      <c r="E331" s="9">
        <v>45611.443749999999</v>
      </c>
      <c r="F331">
        <v>15772</v>
      </c>
      <c r="G331">
        <v>15772</v>
      </c>
      <c r="H331">
        <v>7980</v>
      </c>
      <c r="I331">
        <v>7792</v>
      </c>
      <c r="J331">
        <v>2657</v>
      </c>
      <c r="K331">
        <v>13115</v>
      </c>
      <c r="L331">
        <v>11695</v>
      </c>
      <c r="M331">
        <v>1420</v>
      </c>
      <c r="N331">
        <v>1.7130000000000001</v>
      </c>
      <c r="O331">
        <v>1.8819999999999999</v>
      </c>
      <c r="P331">
        <v>0.63800000000000001</v>
      </c>
      <c r="Q331">
        <v>2.714</v>
      </c>
      <c r="R331">
        <v>0.91800000000000004</v>
      </c>
      <c r="S331">
        <v>0.47599999999999998</v>
      </c>
      <c r="T331">
        <v>0.82299999999999995</v>
      </c>
      <c r="U331">
        <v>523.21299999999997</v>
      </c>
      <c r="V331" t="s">
        <v>58</v>
      </c>
      <c r="W331">
        <v>0.98299999999999998</v>
      </c>
      <c r="X331">
        <v>0.97399999999999998</v>
      </c>
      <c r="Y331">
        <v>0.97899999999999998</v>
      </c>
      <c r="Z331">
        <v>0.999</v>
      </c>
      <c r="AA331" s="9">
        <v>45713.686339282409</v>
      </c>
      <c r="AB331" t="s">
        <v>873</v>
      </c>
      <c r="AC331" s="9"/>
    </row>
    <row r="332" spans="1:29" hidden="1" x14ac:dyDescent="0.35">
      <c r="A332" t="s">
        <v>294</v>
      </c>
      <c r="B332" t="s">
        <v>314</v>
      </c>
      <c r="C332">
        <v>99</v>
      </c>
      <c r="D332" s="9">
        <v>45511.486805555556</v>
      </c>
      <c r="E332" s="9">
        <v>45611.443749999999</v>
      </c>
      <c r="F332" t="s">
        <v>874</v>
      </c>
      <c r="G332" t="s">
        <v>874</v>
      </c>
      <c r="H332">
        <v>200</v>
      </c>
      <c r="I332">
        <v>100</v>
      </c>
      <c r="J332">
        <v>23</v>
      </c>
      <c r="K332" t="s">
        <v>875</v>
      </c>
      <c r="L332">
        <v>200</v>
      </c>
      <c r="M332">
        <v>76</v>
      </c>
      <c r="N332">
        <v>1.9339999999999999</v>
      </c>
      <c r="O332">
        <v>1.0669999999999999</v>
      </c>
      <c r="P332">
        <v>0.27</v>
      </c>
      <c r="Q332">
        <v>2.2639999999999998</v>
      </c>
      <c r="R332">
        <v>0.82899999999999996</v>
      </c>
      <c r="S332">
        <v>0.64400000000000002</v>
      </c>
      <c r="T332">
        <v>0.91</v>
      </c>
      <c r="U332">
        <v>627.20799999999997</v>
      </c>
      <c r="V332" t="s">
        <v>58</v>
      </c>
      <c r="W332">
        <v>0.995</v>
      </c>
      <c r="X332">
        <v>0.98799999999999999</v>
      </c>
      <c r="Y332">
        <v>0.97799999999999998</v>
      </c>
      <c r="Z332">
        <v>0.96499999999999997</v>
      </c>
      <c r="AA332" s="9">
        <v>45713.686360740743</v>
      </c>
      <c r="AB332" t="s">
        <v>873</v>
      </c>
      <c r="AC332" s="9"/>
    </row>
    <row r="333" spans="1:29" x14ac:dyDescent="0.35">
      <c r="A333" t="s">
        <v>295</v>
      </c>
      <c r="B333" t="s">
        <v>313</v>
      </c>
      <c r="C333">
        <v>3653</v>
      </c>
      <c r="D333" s="9">
        <v>41957.189583333333</v>
      </c>
      <c r="E333" s="9">
        <v>45610.606249999997</v>
      </c>
      <c r="F333">
        <v>270</v>
      </c>
      <c r="G333">
        <v>270</v>
      </c>
      <c r="H333">
        <v>169</v>
      </c>
      <c r="I333">
        <v>101</v>
      </c>
      <c r="J333">
        <v>43</v>
      </c>
      <c r="K333">
        <v>227</v>
      </c>
      <c r="L333">
        <v>213</v>
      </c>
      <c r="M333">
        <v>14</v>
      </c>
      <c r="N333">
        <v>0.04</v>
      </c>
      <c r="O333">
        <v>2.4E-2</v>
      </c>
      <c r="P333">
        <v>1.0999999999999999E-2</v>
      </c>
      <c r="Q333">
        <v>5.1999999999999998E-2</v>
      </c>
      <c r="R333">
        <v>0.98099999999999998</v>
      </c>
      <c r="S333">
        <v>0.625</v>
      </c>
      <c r="T333">
        <v>0.82799999999999996</v>
      </c>
      <c r="U333">
        <v>269.23099999999999</v>
      </c>
      <c r="V333" t="s">
        <v>58</v>
      </c>
      <c r="W333">
        <v>0.93500000000000005</v>
      </c>
      <c r="X333">
        <v>0.95099999999999996</v>
      </c>
      <c r="Y333">
        <v>0.96799999999999997</v>
      </c>
      <c r="Z333">
        <v>0.93700000000000006</v>
      </c>
      <c r="AA333" s="9">
        <v>45713.686447071763</v>
      </c>
      <c r="AB333" t="s">
        <v>873</v>
      </c>
      <c r="AC333" s="9"/>
    </row>
    <row r="334" spans="1:29" hidden="1" x14ac:dyDescent="0.35">
      <c r="A334" t="s">
        <v>295</v>
      </c>
      <c r="B334" t="s">
        <v>314</v>
      </c>
      <c r="C334">
        <v>93</v>
      </c>
      <c r="D334" s="9">
        <v>45516.63958333333</v>
      </c>
      <c r="E334" s="9">
        <v>45610.606249999997</v>
      </c>
      <c r="F334" t="s">
        <v>874</v>
      </c>
      <c r="G334" t="s">
        <v>874</v>
      </c>
      <c r="H334">
        <v>10</v>
      </c>
      <c r="I334">
        <v>5</v>
      </c>
      <c r="J334">
        <v>3</v>
      </c>
      <c r="K334" t="s">
        <v>875</v>
      </c>
      <c r="L334">
        <v>16</v>
      </c>
      <c r="M334">
        <v>-5</v>
      </c>
      <c r="N334">
        <v>0.28799999999999998</v>
      </c>
      <c r="O334">
        <v>6.7000000000000004E-2</v>
      </c>
      <c r="P334">
        <v>2.1999999999999999E-2</v>
      </c>
      <c r="Q334">
        <v>0.189</v>
      </c>
      <c r="R334">
        <v>0.56799999999999995</v>
      </c>
      <c r="S334">
        <v>0.81100000000000005</v>
      </c>
      <c r="T334">
        <v>0.93799999999999994</v>
      </c>
      <c r="U334">
        <v>74.073999999999998</v>
      </c>
      <c r="V334" t="s">
        <v>58</v>
      </c>
      <c r="W334">
        <v>0.91400000000000003</v>
      </c>
      <c r="X334">
        <v>0.89800000000000002</v>
      </c>
      <c r="Y334">
        <v>0.88300000000000001</v>
      </c>
      <c r="Z334">
        <v>0.75</v>
      </c>
      <c r="AA334" s="9">
        <v>45713.686469201391</v>
      </c>
      <c r="AB334" t="s">
        <v>873</v>
      </c>
      <c r="AC334" s="9"/>
    </row>
    <row r="335" spans="1:29" x14ac:dyDescent="0.35">
      <c r="A335" t="s">
        <v>296</v>
      </c>
      <c r="B335" t="s">
        <v>313</v>
      </c>
      <c r="C335">
        <v>2818</v>
      </c>
      <c r="D335" s="9">
        <v>42544.677083333336</v>
      </c>
      <c r="E335" s="9">
        <v>45363.456250000003</v>
      </c>
      <c r="F335">
        <v>88</v>
      </c>
      <c r="G335">
        <v>88</v>
      </c>
      <c r="H335">
        <v>59</v>
      </c>
      <c r="I335">
        <v>29</v>
      </c>
      <c r="J335">
        <v>4</v>
      </c>
      <c r="K335">
        <v>84</v>
      </c>
      <c r="L335">
        <v>72</v>
      </c>
      <c r="M335">
        <v>12</v>
      </c>
      <c r="N335">
        <v>1.6E-2</v>
      </c>
      <c r="O335">
        <v>8.9999999999999993E-3</v>
      </c>
      <c r="P335">
        <v>4.0000000000000001E-3</v>
      </c>
      <c r="Q335">
        <v>0.02</v>
      </c>
      <c r="R335">
        <v>0.95199999999999996</v>
      </c>
      <c r="S335">
        <v>0.64</v>
      </c>
      <c r="T335">
        <v>0.84</v>
      </c>
      <c r="U335">
        <v>600</v>
      </c>
      <c r="V335" t="s">
        <v>58</v>
      </c>
      <c r="W335">
        <v>0.88600000000000001</v>
      </c>
      <c r="X335">
        <v>0.71299999999999997</v>
      </c>
      <c r="Y335">
        <v>0.71</v>
      </c>
      <c r="Z335">
        <v>0.86099999999999999</v>
      </c>
      <c r="AA335" s="9">
        <v>45713.686551701387</v>
      </c>
      <c r="AB335" t="s">
        <v>873</v>
      </c>
      <c r="AC335" s="9"/>
    </row>
    <row r="336" spans="1:29" x14ac:dyDescent="0.35">
      <c r="A336" t="s">
        <v>297</v>
      </c>
      <c r="B336" t="s">
        <v>313</v>
      </c>
      <c r="C336">
        <v>2646</v>
      </c>
      <c r="D336" s="9">
        <v>42879.243750000001</v>
      </c>
      <c r="E336" s="9">
        <v>45525.688888888886</v>
      </c>
      <c r="F336">
        <v>110</v>
      </c>
      <c r="G336">
        <v>110</v>
      </c>
      <c r="H336">
        <v>66</v>
      </c>
      <c r="I336">
        <v>44</v>
      </c>
      <c r="J336">
        <v>2</v>
      </c>
      <c r="K336">
        <v>108</v>
      </c>
      <c r="L336">
        <v>89</v>
      </c>
      <c r="M336">
        <v>19</v>
      </c>
      <c r="N336">
        <v>4.5999999999999999E-2</v>
      </c>
      <c r="O336">
        <v>1.9E-2</v>
      </c>
      <c r="P336">
        <v>4.8000000000000001E-2</v>
      </c>
      <c r="Q336">
        <v>4.7E-2</v>
      </c>
      <c r="R336">
        <v>2.7650000000000001</v>
      </c>
      <c r="S336">
        <v>0.70799999999999996</v>
      </c>
      <c r="T336">
        <v>0.26200000000000001</v>
      </c>
      <c r="U336">
        <v>404.255</v>
      </c>
      <c r="V336" t="s">
        <v>64</v>
      </c>
      <c r="W336">
        <v>0.93600000000000005</v>
      </c>
      <c r="X336">
        <v>0.96099999999999997</v>
      </c>
      <c r="Y336">
        <v>1</v>
      </c>
      <c r="Z336">
        <v>0.89900000000000002</v>
      </c>
      <c r="AA336" s="9">
        <v>45713.686628425923</v>
      </c>
      <c r="AB336" t="s">
        <v>873</v>
      </c>
      <c r="AC336" s="9"/>
    </row>
    <row r="337" spans="1:29" x14ac:dyDescent="0.35">
      <c r="A337" t="s">
        <v>298</v>
      </c>
      <c r="B337" t="s">
        <v>313</v>
      </c>
      <c r="C337">
        <v>2712</v>
      </c>
      <c r="D337" s="9">
        <v>42635.509027777778</v>
      </c>
      <c r="E337" s="9">
        <v>45348.395833333336</v>
      </c>
      <c r="F337">
        <v>126</v>
      </c>
      <c r="G337">
        <v>126</v>
      </c>
      <c r="H337">
        <v>71</v>
      </c>
      <c r="I337">
        <v>55</v>
      </c>
      <c r="J337">
        <v>10</v>
      </c>
      <c r="K337">
        <v>116</v>
      </c>
      <c r="L337">
        <v>100</v>
      </c>
      <c r="M337">
        <v>17</v>
      </c>
      <c r="N337">
        <v>2.1000000000000001E-2</v>
      </c>
      <c r="O337">
        <v>2.1999999999999999E-2</v>
      </c>
      <c r="P337">
        <v>3.0000000000000001E-3</v>
      </c>
      <c r="Q337">
        <v>3.2000000000000001E-2</v>
      </c>
      <c r="R337">
        <v>0.8</v>
      </c>
      <c r="S337">
        <v>0.48799999999999999</v>
      </c>
      <c r="T337">
        <v>0.93</v>
      </c>
      <c r="U337">
        <v>531.25</v>
      </c>
      <c r="V337" t="s">
        <v>58</v>
      </c>
      <c r="W337">
        <v>0.91600000000000004</v>
      </c>
      <c r="X337">
        <v>0.85499999999999998</v>
      </c>
      <c r="Y337">
        <v>0.95299999999999996</v>
      </c>
      <c r="Z337">
        <v>0.95499999999999996</v>
      </c>
      <c r="AA337" s="9">
        <v>45713.686709988426</v>
      </c>
      <c r="AB337" t="s">
        <v>873</v>
      </c>
      <c r="AC337" s="9"/>
    </row>
    <row r="338" spans="1:29" x14ac:dyDescent="0.35">
      <c r="A338" t="s">
        <v>299</v>
      </c>
      <c r="B338" t="s">
        <v>313</v>
      </c>
      <c r="C338">
        <v>2519</v>
      </c>
      <c r="D338" s="9">
        <v>43070.382638888892</v>
      </c>
      <c r="E338" s="9">
        <v>45589.457638888889</v>
      </c>
      <c r="F338">
        <v>479</v>
      </c>
      <c r="G338">
        <v>479</v>
      </c>
      <c r="H338">
        <v>35</v>
      </c>
      <c r="I338">
        <v>444</v>
      </c>
      <c r="J338">
        <v>89</v>
      </c>
      <c r="K338">
        <v>390</v>
      </c>
      <c r="L338">
        <v>354</v>
      </c>
      <c r="M338">
        <v>36</v>
      </c>
      <c r="N338">
        <v>1.4E-2</v>
      </c>
      <c r="O338">
        <v>0.182</v>
      </c>
      <c r="P338">
        <v>4.3999999999999997E-2</v>
      </c>
      <c r="Q338">
        <v>0.14199999999999999</v>
      </c>
      <c r="R338">
        <v>0.93400000000000005</v>
      </c>
      <c r="S338">
        <v>7.0999999999999994E-2</v>
      </c>
      <c r="T338">
        <v>0.77600000000000002</v>
      </c>
      <c r="U338">
        <v>253.52099999999999</v>
      </c>
      <c r="V338" t="s">
        <v>58</v>
      </c>
      <c r="W338">
        <v>0.93700000000000006</v>
      </c>
      <c r="X338">
        <v>0.97799999999999998</v>
      </c>
      <c r="Y338">
        <v>0.92</v>
      </c>
      <c r="Z338">
        <v>0.96199999999999997</v>
      </c>
      <c r="AA338" s="9">
        <v>45713.686798553237</v>
      </c>
      <c r="AB338" t="s">
        <v>873</v>
      </c>
      <c r="AC338" s="9"/>
    </row>
    <row r="339" spans="1:29" x14ac:dyDescent="0.35">
      <c r="A339" t="s">
        <v>300</v>
      </c>
      <c r="B339" t="s">
        <v>313</v>
      </c>
      <c r="C339">
        <v>1491</v>
      </c>
      <c r="D339" s="9">
        <v>44117.617361111108</v>
      </c>
      <c r="E339" s="9">
        <v>45608.820138888892</v>
      </c>
      <c r="F339">
        <v>634</v>
      </c>
      <c r="G339">
        <v>607</v>
      </c>
      <c r="H339">
        <v>604</v>
      </c>
      <c r="I339">
        <v>3</v>
      </c>
      <c r="J339">
        <v>161</v>
      </c>
      <c r="K339">
        <v>446</v>
      </c>
      <c r="L339">
        <v>377</v>
      </c>
      <c r="M339">
        <v>69</v>
      </c>
      <c r="N339">
        <v>0.442</v>
      </c>
      <c r="O339">
        <v>3.0000000000000001E-3</v>
      </c>
      <c r="P339">
        <v>0.13800000000000001</v>
      </c>
      <c r="Q339">
        <v>0.30299999999999999</v>
      </c>
      <c r="R339">
        <v>0.98699999999999999</v>
      </c>
      <c r="S339">
        <v>0.99299999999999999</v>
      </c>
      <c r="T339">
        <v>0.69</v>
      </c>
      <c r="U339">
        <v>227.72300000000001</v>
      </c>
      <c r="V339" t="s">
        <v>58</v>
      </c>
      <c r="W339">
        <v>0.997</v>
      </c>
      <c r="X339">
        <v>0.84599999999999997</v>
      </c>
      <c r="Y339">
        <v>0.98599999999999999</v>
      </c>
      <c r="Z339">
        <v>0.99</v>
      </c>
      <c r="AA339" s="9">
        <v>45713.686887002317</v>
      </c>
      <c r="AB339" t="s">
        <v>873</v>
      </c>
      <c r="AC339" s="9"/>
    </row>
    <row r="340" spans="1:29" x14ac:dyDescent="0.35">
      <c r="A340" t="s">
        <v>301</v>
      </c>
      <c r="B340" t="s">
        <v>313</v>
      </c>
      <c r="C340">
        <v>2710</v>
      </c>
      <c r="D340" s="9">
        <v>38826.411805555559</v>
      </c>
      <c r="E340" s="9">
        <v>41537.211805555555</v>
      </c>
      <c r="F340">
        <v>5481</v>
      </c>
      <c r="G340">
        <v>5479</v>
      </c>
      <c r="H340">
        <v>2376</v>
      </c>
      <c r="I340">
        <v>3103</v>
      </c>
      <c r="J340">
        <v>1085</v>
      </c>
      <c r="K340">
        <v>4394</v>
      </c>
      <c r="L340">
        <v>4394</v>
      </c>
      <c r="M340">
        <v>0</v>
      </c>
      <c r="N340">
        <v>2.6869999999999998</v>
      </c>
      <c r="O340">
        <v>4.3049999999999997</v>
      </c>
      <c r="P340">
        <v>1.56</v>
      </c>
      <c r="Q340">
        <v>5.8940000000000001</v>
      </c>
      <c r="R340">
        <v>1.085</v>
      </c>
      <c r="S340">
        <v>0.38400000000000001</v>
      </c>
      <c r="T340">
        <v>0.77700000000000002</v>
      </c>
      <c r="U340">
        <v>0</v>
      </c>
      <c r="V340" t="s">
        <v>94</v>
      </c>
      <c r="W340">
        <v>0.92400000000000004</v>
      </c>
      <c r="X340">
        <v>0.91900000000000004</v>
      </c>
      <c r="Y340">
        <v>0.97199999999999998</v>
      </c>
      <c r="Z340">
        <v>0.96699999999999997</v>
      </c>
      <c r="AA340" s="9">
        <v>45713.686987766203</v>
      </c>
      <c r="AB340" t="s">
        <v>873</v>
      </c>
      <c r="AC340" s="9"/>
    </row>
    <row r="341" spans="1:29" x14ac:dyDescent="0.35">
      <c r="A341" t="s">
        <v>302</v>
      </c>
      <c r="B341" t="s">
        <v>313</v>
      </c>
      <c r="C341">
        <v>7124</v>
      </c>
      <c r="D341" s="9">
        <v>38462.288888888892</v>
      </c>
      <c r="E341" s="9">
        <v>45586.76458333333</v>
      </c>
      <c r="F341">
        <v>364</v>
      </c>
      <c r="G341">
        <v>364</v>
      </c>
      <c r="H341">
        <v>170</v>
      </c>
      <c r="I341">
        <v>194</v>
      </c>
      <c r="J341">
        <v>44</v>
      </c>
      <c r="K341">
        <v>320</v>
      </c>
      <c r="L341">
        <v>292</v>
      </c>
      <c r="M341">
        <v>28</v>
      </c>
      <c r="N341">
        <v>2.3E-2</v>
      </c>
      <c r="O341">
        <v>4.2999999999999997E-2</v>
      </c>
      <c r="P341">
        <v>8.0000000000000002E-3</v>
      </c>
      <c r="Q341">
        <v>0.05</v>
      </c>
      <c r="R341">
        <v>0.86199999999999999</v>
      </c>
      <c r="S341">
        <v>0.34799999999999998</v>
      </c>
      <c r="T341">
        <v>0.879</v>
      </c>
      <c r="U341">
        <v>560</v>
      </c>
      <c r="V341" t="s">
        <v>58</v>
      </c>
      <c r="W341">
        <v>0.94599999999999995</v>
      </c>
      <c r="X341">
        <v>0.94599999999999995</v>
      </c>
      <c r="Y341">
        <v>0.878</v>
      </c>
      <c r="Z341">
        <v>0.97499999999999998</v>
      </c>
      <c r="AA341" s="9">
        <v>45713.687081307871</v>
      </c>
      <c r="AB341" t="s">
        <v>873</v>
      </c>
      <c r="AC341" s="9"/>
    </row>
    <row r="342" spans="1:29" x14ac:dyDescent="0.35">
      <c r="A342" t="s">
        <v>303</v>
      </c>
      <c r="B342" t="s">
        <v>313</v>
      </c>
      <c r="C342">
        <v>3990</v>
      </c>
      <c r="D342" s="9">
        <v>41557.647916666669</v>
      </c>
      <c r="E342" s="9">
        <v>45547.65625</v>
      </c>
      <c r="F342">
        <v>691</v>
      </c>
      <c r="G342">
        <v>660</v>
      </c>
      <c r="H342">
        <v>486</v>
      </c>
      <c r="I342">
        <v>174</v>
      </c>
      <c r="J342">
        <v>66</v>
      </c>
      <c r="K342">
        <v>594</v>
      </c>
      <c r="L342">
        <v>256</v>
      </c>
      <c r="M342">
        <v>338</v>
      </c>
      <c r="N342">
        <v>0.13</v>
      </c>
      <c r="O342">
        <v>4.5999999999999999E-2</v>
      </c>
      <c r="P342">
        <v>1.9E-2</v>
      </c>
      <c r="Q342">
        <v>7.5999999999999998E-2</v>
      </c>
      <c r="R342">
        <v>0.48399999999999999</v>
      </c>
      <c r="S342">
        <v>0.73899999999999999</v>
      </c>
      <c r="T342">
        <v>0.89200000000000002</v>
      </c>
      <c r="U342">
        <v>4447.3680000000004</v>
      </c>
      <c r="V342" t="s">
        <v>58</v>
      </c>
      <c r="W342">
        <v>0.97699999999999998</v>
      </c>
      <c r="X342">
        <v>0.94899999999999995</v>
      </c>
      <c r="Y342">
        <v>0.85899999999999999</v>
      </c>
      <c r="Z342">
        <v>0.98</v>
      </c>
      <c r="AA342" s="9">
        <v>45713.687172430553</v>
      </c>
      <c r="AB342" t="s">
        <v>873</v>
      </c>
      <c r="AC342" s="9"/>
    </row>
    <row r="343" spans="1:29" x14ac:dyDescent="0.35">
      <c r="A343" t="s">
        <v>304</v>
      </c>
      <c r="B343" t="s">
        <v>313</v>
      </c>
      <c r="C343">
        <v>4149</v>
      </c>
      <c r="D343" s="9">
        <v>41403.345138888886</v>
      </c>
      <c r="E343" s="9">
        <v>45552.543749999997</v>
      </c>
      <c r="F343">
        <v>3596</v>
      </c>
      <c r="G343">
        <v>3469</v>
      </c>
      <c r="H343">
        <v>2121</v>
      </c>
      <c r="I343">
        <v>1348</v>
      </c>
      <c r="J343">
        <v>461</v>
      </c>
      <c r="K343">
        <v>3008</v>
      </c>
      <c r="L343">
        <v>1686</v>
      </c>
      <c r="M343">
        <v>1322</v>
      </c>
      <c r="N343">
        <v>0.55000000000000004</v>
      </c>
      <c r="O343">
        <v>0.38500000000000001</v>
      </c>
      <c r="P343">
        <v>0.121</v>
      </c>
      <c r="Q343">
        <v>0.42299999999999999</v>
      </c>
      <c r="R343">
        <v>0.52</v>
      </c>
      <c r="S343">
        <v>0.58799999999999997</v>
      </c>
      <c r="T343">
        <v>0.871</v>
      </c>
      <c r="U343">
        <v>3125.2959999999998</v>
      </c>
      <c r="V343" t="s">
        <v>58</v>
      </c>
      <c r="W343">
        <v>0.99299999999999999</v>
      </c>
      <c r="X343">
        <v>0.98199999999999998</v>
      </c>
      <c r="Y343">
        <v>0.96099999999999997</v>
      </c>
      <c r="Z343">
        <v>0.99299999999999999</v>
      </c>
      <c r="AA343" s="9">
        <v>45713.687269780094</v>
      </c>
      <c r="AB343" t="s">
        <v>873</v>
      </c>
      <c r="AC343" s="9"/>
    </row>
    <row r="344" spans="1:29" x14ac:dyDescent="0.35">
      <c r="A344" t="s">
        <v>305</v>
      </c>
      <c r="B344" t="s">
        <v>313</v>
      </c>
      <c r="C344">
        <v>1380</v>
      </c>
      <c r="D344" s="9">
        <v>44229.352777777778</v>
      </c>
      <c r="E344" s="9">
        <v>45609.734027777777</v>
      </c>
      <c r="F344">
        <v>707</v>
      </c>
      <c r="G344">
        <v>590</v>
      </c>
      <c r="H344">
        <v>582</v>
      </c>
      <c r="I344">
        <v>8</v>
      </c>
      <c r="J344">
        <v>150</v>
      </c>
      <c r="K344">
        <v>440</v>
      </c>
      <c r="L344">
        <v>335</v>
      </c>
      <c r="M344">
        <v>105</v>
      </c>
      <c r="N344">
        <v>0.434</v>
      </c>
      <c r="O344">
        <v>5.0000000000000001E-3</v>
      </c>
      <c r="P344">
        <v>0.153</v>
      </c>
      <c r="Q344">
        <v>0.254</v>
      </c>
      <c r="R344">
        <v>0.88800000000000001</v>
      </c>
      <c r="S344">
        <v>0.98899999999999999</v>
      </c>
      <c r="T344">
        <v>0.65100000000000002</v>
      </c>
      <c r="U344">
        <v>413.38600000000002</v>
      </c>
      <c r="V344" t="s">
        <v>58</v>
      </c>
      <c r="W344">
        <v>0.877</v>
      </c>
      <c r="X344">
        <v>0.95199999999999996</v>
      </c>
      <c r="Y344">
        <v>0.83899999999999997</v>
      </c>
      <c r="Z344">
        <v>0.91400000000000003</v>
      </c>
      <c r="AA344" s="9">
        <v>45713.687363553239</v>
      </c>
      <c r="AB344" t="s">
        <v>873</v>
      </c>
      <c r="AC344" s="9"/>
    </row>
    <row r="345" spans="1:29" hidden="1" x14ac:dyDescent="0.35">
      <c r="A345" t="s">
        <v>305</v>
      </c>
      <c r="B345" t="s">
        <v>314</v>
      </c>
      <c r="C345">
        <v>99</v>
      </c>
      <c r="D345" s="9">
        <v>45509.828472222223</v>
      </c>
      <c r="E345" s="9">
        <v>45609.734027777777</v>
      </c>
      <c r="F345" t="s">
        <v>874</v>
      </c>
      <c r="G345" t="s">
        <v>874</v>
      </c>
      <c r="H345">
        <v>42</v>
      </c>
      <c r="I345">
        <v>2</v>
      </c>
      <c r="J345">
        <v>15</v>
      </c>
      <c r="K345" t="s">
        <v>875</v>
      </c>
      <c r="L345">
        <v>29</v>
      </c>
      <c r="M345">
        <v>1</v>
      </c>
      <c r="N345">
        <v>0.35199999999999998</v>
      </c>
      <c r="O345">
        <v>3.6999999999999998E-2</v>
      </c>
      <c r="P345">
        <v>0.39700000000000002</v>
      </c>
      <c r="Q345">
        <v>0.26600000000000001</v>
      </c>
      <c r="R345">
        <v>-33.25</v>
      </c>
      <c r="S345">
        <v>0.90500000000000003</v>
      </c>
      <c r="T345">
        <v>-2.1000000000000001E-2</v>
      </c>
      <c r="U345">
        <v>394.73700000000002</v>
      </c>
      <c r="V345" t="s">
        <v>58</v>
      </c>
      <c r="W345">
        <v>0.91400000000000003</v>
      </c>
      <c r="X345">
        <v>1</v>
      </c>
      <c r="Y345">
        <v>0.443</v>
      </c>
      <c r="Z345">
        <v>0.98399999999999999</v>
      </c>
      <c r="AA345" s="9">
        <v>45713.687384861114</v>
      </c>
      <c r="AB345" t="s">
        <v>873</v>
      </c>
      <c r="AC345" s="9"/>
    </row>
    <row r="346" spans="1:29" x14ac:dyDescent="0.35">
      <c r="A346" t="s">
        <v>306</v>
      </c>
      <c r="B346" t="s">
        <v>313</v>
      </c>
      <c r="C346">
        <v>1600</v>
      </c>
      <c r="D346" s="9">
        <v>44004.60833333333</v>
      </c>
      <c r="E346" s="9">
        <v>45604.629861111112</v>
      </c>
      <c r="F346">
        <v>210</v>
      </c>
      <c r="G346">
        <v>195</v>
      </c>
      <c r="H346">
        <v>158</v>
      </c>
      <c r="I346">
        <v>37</v>
      </c>
      <c r="J346">
        <v>12</v>
      </c>
      <c r="K346">
        <v>183</v>
      </c>
      <c r="L346">
        <v>147</v>
      </c>
      <c r="M346">
        <v>36</v>
      </c>
      <c r="N346">
        <v>7.8E-2</v>
      </c>
      <c r="O346">
        <v>1.9E-2</v>
      </c>
      <c r="P346">
        <v>7.0000000000000001E-3</v>
      </c>
      <c r="Q346">
        <v>7.5999999999999998E-2</v>
      </c>
      <c r="R346">
        <v>0.84399999999999997</v>
      </c>
      <c r="S346">
        <v>0.80400000000000005</v>
      </c>
      <c r="T346">
        <v>0.92800000000000005</v>
      </c>
      <c r="U346">
        <v>473.68400000000003</v>
      </c>
      <c r="V346" t="s">
        <v>58</v>
      </c>
      <c r="W346">
        <v>0.95299999999999996</v>
      </c>
      <c r="X346">
        <v>0.96</v>
      </c>
      <c r="Y346">
        <v>0.64500000000000002</v>
      </c>
      <c r="Z346">
        <v>0.96699999999999997</v>
      </c>
      <c r="AA346" s="9">
        <v>45713.687647453706</v>
      </c>
      <c r="AB346" t="s">
        <v>873</v>
      </c>
      <c r="AC346" s="9"/>
    </row>
    <row r="347" spans="1:29" x14ac:dyDescent="0.35">
      <c r="A347" t="s">
        <v>307</v>
      </c>
      <c r="B347" t="s">
        <v>313</v>
      </c>
      <c r="C347">
        <v>5992</v>
      </c>
      <c r="D347" s="9">
        <v>39603.574999999997</v>
      </c>
      <c r="E347" s="9">
        <v>45595.84652777778</v>
      </c>
      <c r="F347">
        <v>397</v>
      </c>
      <c r="G347">
        <v>397</v>
      </c>
      <c r="H347">
        <v>178</v>
      </c>
      <c r="I347">
        <v>219</v>
      </c>
      <c r="J347">
        <v>51</v>
      </c>
      <c r="K347">
        <v>346</v>
      </c>
      <c r="L347">
        <v>295</v>
      </c>
      <c r="M347">
        <v>51</v>
      </c>
      <c r="N347">
        <v>2.8000000000000001E-2</v>
      </c>
      <c r="O347">
        <v>3.9E-2</v>
      </c>
      <c r="P347">
        <v>0.01</v>
      </c>
      <c r="Q347">
        <v>4.8000000000000001E-2</v>
      </c>
      <c r="R347">
        <v>0.84199999999999997</v>
      </c>
      <c r="S347">
        <v>0.41799999999999998</v>
      </c>
      <c r="T347">
        <v>0.85099999999999998</v>
      </c>
      <c r="U347">
        <v>1062.5</v>
      </c>
      <c r="V347" t="s">
        <v>58</v>
      </c>
      <c r="W347">
        <v>0.96899999999999997</v>
      </c>
      <c r="X347">
        <v>0.97</v>
      </c>
      <c r="Y347">
        <v>0.97099999999999997</v>
      </c>
      <c r="Z347">
        <v>0.96799999999999997</v>
      </c>
      <c r="AA347" s="9">
        <v>45713.68774119213</v>
      </c>
      <c r="AB347" t="s">
        <v>873</v>
      </c>
    </row>
    <row r="348" spans="1:29" x14ac:dyDescent="0.35">
      <c r="A348" t="s">
        <v>879</v>
      </c>
      <c r="B348" t="s">
        <v>313</v>
      </c>
      <c r="C348">
        <v>91</v>
      </c>
      <c r="D348" s="9">
        <v>44686.599305555559</v>
      </c>
      <c r="E348" s="9">
        <v>44777.627083333333</v>
      </c>
      <c r="F348">
        <v>65</v>
      </c>
      <c r="G348">
        <v>65</v>
      </c>
      <c r="H348">
        <v>65</v>
      </c>
      <c r="I348">
        <v>0</v>
      </c>
      <c r="J348">
        <v>25</v>
      </c>
      <c r="K348">
        <v>40</v>
      </c>
      <c r="L348">
        <v>40</v>
      </c>
      <c r="M348">
        <v>0</v>
      </c>
      <c r="N348">
        <v>0.36899999999999999</v>
      </c>
      <c r="O348">
        <v>0</v>
      </c>
      <c r="P348">
        <v>0</v>
      </c>
      <c r="Q348">
        <v>0</v>
      </c>
      <c r="R348">
        <v>0</v>
      </c>
      <c r="S348">
        <v>1</v>
      </c>
      <c r="T348">
        <v>1</v>
      </c>
      <c r="U348" t="s">
        <v>877</v>
      </c>
      <c r="V348" t="s">
        <v>878</v>
      </c>
      <c r="W348">
        <v>0.71199999999999997</v>
      </c>
      <c r="X348">
        <v>0</v>
      </c>
      <c r="Y348">
        <v>0</v>
      </c>
      <c r="Z348">
        <v>0</v>
      </c>
      <c r="AA348" s="9">
        <v>45713.68781560185</v>
      </c>
      <c r="AB348" t="s">
        <v>873</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2591A-7470-40A6-89C1-90E0A05D1DFF}">
  <dimension ref="A1:G264"/>
  <sheetViews>
    <sheetView workbookViewId="0">
      <selection activeCell="B2" sqref="B2"/>
    </sheetView>
  </sheetViews>
  <sheetFormatPr defaultRowHeight="14.5" x14ac:dyDescent="0.35"/>
  <sheetData>
    <row r="1" spans="1:7" x14ac:dyDescent="0.35">
      <c r="A1" t="s">
        <v>5</v>
      </c>
      <c r="B1" t="s">
        <v>22</v>
      </c>
      <c r="C1" t="s">
        <v>23</v>
      </c>
      <c r="D1" t="s">
        <v>24</v>
      </c>
      <c r="E1" t="s">
        <v>25</v>
      </c>
      <c r="F1" t="s">
        <v>26</v>
      </c>
      <c r="G1" t="s">
        <v>27</v>
      </c>
    </row>
    <row r="2" spans="1:7" x14ac:dyDescent="0.35">
      <c r="A2">
        <v>0</v>
      </c>
      <c r="B2" s="2">
        <f>Inputs!B$6+(Inputs!B$2+Inputs!B$3-Inputs!B$4)*Timelines!$A2</f>
        <v>1007</v>
      </c>
      <c r="C2" s="2">
        <f>Inputs!B$5*Timelines!$A2</f>
        <v>0</v>
      </c>
      <c r="D2" s="2">
        <f>IF(B2&lt;C2,0,B2-C2)</f>
        <v>1007</v>
      </c>
      <c r="E2" s="2">
        <f>Inputs!C$6+(Inputs!C$2+Inputs!C$3-Inputs!C$4)*Timelines!$A2</f>
        <v>500</v>
      </c>
      <c r="F2">
        <f>Inputs!C$5*Timelines!$A2</f>
        <v>0</v>
      </c>
      <c r="G2" s="2">
        <f t="shared" ref="G2:G65" si="0">IF(E2&lt;F2,0,E2-F2)</f>
        <v>500</v>
      </c>
    </row>
    <row r="3" spans="1:7" x14ac:dyDescent="0.35">
      <c r="A3">
        <v>7</v>
      </c>
      <c r="B3" s="2">
        <f>Inputs!B$6+(Inputs!B$2+Inputs!B$3-Inputs!B$4)*Timelines!$A3</f>
        <v>1051.5619999999999</v>
      </c>
      <c r="C3" s="2">
        <f>Inputs!B$5*Timelines!$A3</f>
        <v>41.188000000000002</v>
      </c>
      <c r="D3" s="2">
        <f t="shared" ref="D3:D66" si="1">IF(B3&lt;C3,0,B3-C3)</f>
        <v>1010.3739999999999</v>
      </c>
      <c r="E3" s="2">
        <f>Inputs!C$6+(Inputs!C$2+Inputs!C$3-Inputs!C$4)*Timelines!$A3</f>
        <v>542</v>
      </c>
      <c r="F3">
        <f>Inputs!C$5*Timelines!$A3</f>
        <v>47.6</v>
      </c>
      <c r="G3" s="2">
        <f t="shared" si="0"/>
        <v>494.4</v>
      </c>
    </row>
    <row r="4" spans="1:7" x14ac:dyDescent="0.35">
      <c r="A4">
        <v>14</v>
      </c>
      <c r="B4" s="2">
        <f>Inputs!B$6+(Inputs!B$2+Inputs!B$3-Inputs!B$4)*Timelines!$A4</f>
        <v>1096.124</v>
      </c>
      <c r="C4" s="2">
        <f>Inputs!B$5*Timelines!$A4</f>
        <v>82.376000000000005</v>
      </c>
      <c r="D4" s="2">
        <f t="shared" si="1"/>
        <v>1013.748</v>
      </c>
      <c r="E4" s="2">
        <f>Inputs!C$6+(Inputs!C$2+Inputs!C$3-Inputs!C$4)*Timelines!$A4</f>
        <v>584</v>
      </c>
      <c r="F4">
        <f>Inputs!C$5*Timelines!$A4</f>
        <v>95.2</v>
      </c>
      <c r="G4" s="2">
        <f t="shared" si="0"/>
        <v>488.8</v>
      </c>
    </row>
    <row r="5" spans="1:7" x14ac:dyDescent="0.35">
      <c r="A5">
        <v>21</v>
      </c>
      <c r="B5" s="2">
        <f>Inputs!B$6+(Inputs!B$2+Inputs!B$3-Inputs!B$4)*Timelines!$A5</f>
        <v>1140.6859999999999</v>
      </c>
      <c r="C5" s="2">
        <f>Inputs!B$5*Timelines!$A5</f>
        <v>123.56400000000001</v>
      </c>
      <c r="D5" s="2">
        <f t="shared" si="1"/>
        <v>1017.122</v>
      </c>
      <c r="E5" s="2">
        <f>Inputs!C$6+(Inputs!C$2+Inputs!C$3-Inputs!C$4)*Timelines!$A5</f>
        <v>626</v>
      </c>
      <c r="F5">
        <f>Inputs!C$5*Timelines!$A5</f>
        <v>142.79999999999998</v>
      </c>
      <c r="G5" s="2">
        <f t="shared" si="0"/>
        <v>483.20000000000005</v>
      </c>
    </row>
    <row r="6" spans="1:7" x14ac:dyDescent="0.35">
      <c r="A6">
        <v>28</v>
      </c>
      <c r="B6" s="2">
        <f>Inputs!B$6+(Inputs!B$2+Inputs!B$3-Inputs!B$4)*Timelines!$A6</f>
        <v>1185.248</v>
      </c>
      <c r="C6" s="2">
        <f>Inputs!B$5*Timelines!$A6</f>
        <v>164.75200000000001</v>
      </c>
      <c r="D6" s="2">
        <f t="shared" si="1"/>
        <v>1020.4960000000001</v>
      </c>
      <c r="E6" s="2">
        <f>Inputs!C$6+(Inputs!C$2+Inputs!C$3-Inputs!C$4)*Timelines!$A6</f>
        <v>668</v>
      </c>
      <c r="F6">
        <f>Inputs!C$5*Timelines!$A6</f>
        <v>190.4</v>
      </c>
      <c r="G6" s="2">
        <f t="shared" si="0"/>
        <v>477.6</v>
      </c>
    </row>
    <row r="7" spans="1:7" x14ac:dyDescent="0.35">
      <c r="A7">
        <v>35</v>
      </c>
      <c r="B7" s="2">
        <f>Inputs!B$6+(Inputs!B$2+Inputs!B$3-Inputs!B$4)*Timelines!$A7</f>
        <v>1229.81</v>
      </c>
      <c r="C7" s="2">
        <f>Inputs!B$5*Timelines!$A7</f>
        <v>205.94</v>
      </c>
      <c r="D7" s="2">
        <f t="shared" si="1"/>
        <v>1023.8699999999999</v>
      </c>
      <c r="E7" s="2">
        <f>Inputs!C$6+(Inputs!C$2+Inputs!C$3-Inputs!C$4)*Timelines!$A7</f>
        <v>710</v>
      </c>
      <c r="F7">
        <f>Inputs!C$5*Timelines!$A7</f>
        <v>238</v>
      </c>
      <c r="G7" s="2">
        <f t="shared" si="0"/>
        <v>472</v>
      </c>
    </row>
    <row r="8" spans="1:7" x14ac:dyDescent="0.35">
      <c r="A8">
        <v>42</v>
      </c>
      <c r="B8" s="2">
        <f>Inputs!B$6+(Inputs!B$2+Inputs!B$3-Inputs!B$4)*Timelines!$A8</f>
        <v>1274.3720000000001</v>
      </c>
      <c r="C8" s="2">
        <f>Inputs!B$5*Timelines!$A8</f>
        <v>247.12800000000001</v>
      </c>
      <c r="D8" s="2">
        <f t="shared" si="1"/>
        <v>1027.2440000000001</v>
      </c>
      <c r="E8" s="2">
        <f>Inputs!C$6+(Inputs!C$2+Inputs!C$3-Inputs!C$4)*Timelines!$A8</f>
        <v>752</v>
      </c>
      <c r="F8">
        <f>Inputs!C$5*Timelines!$A8</f>
        <v>285.59999999999997</v>
      </c>
      <c r="G8" s="2">
        <f t="shared" si="0"/>
        <v>466.40000000000003</v>
      </c>
    </row>
    <row r="9" spans="1:7" x14ac:dyDescent="0.35">
      <c r="A9">
        <v>49</v>
      </c>
      <c r="B9" s="2">
        <f>Inputs!B$6+(Inputs!B$2+Inputs!B$3-Inputs!B$4)*Timelines!$A9</f>
        <v>1318.934</v>
      </c>
      <c r="C9" s="2">
        <f>Inputs!B$5*Timelines!$A9</f>
        <v>288.31600000000003</v>
      </c>
      <c r="D9" s="2">
        <f t="shared" si="1"/>
        <v>1030.6179999999999</v>
      </c>
      <c r="E9" s="2">
        <f>Inputs!C$6+(Inputs!C$2+Inputs!C$3-Inputs!C$4)*Timelines!$A9</f>
        <v>794</v>
      </c>
      <c r="F9">
        <f>Inputs!C$5*Timelines!$A9</f>
        <v>333.2</v>
      </c>
      <c r="G9" s="2">
        <f t="shared" si="0"/>
        <v>460.8</v>
      </c>
    </row>
    <row r="10" spans="1:7" x14ac:dyDescent="0.35">
      <c r="A10">
        <v>56</v>
      </c>
      <c r="B10" s="2">
        <f>Inputs!B$6+(Inputs!B$2+Inputs!B$3-Inputs!B$4)*Timelines!$A10</f>
        <v>1363.4960000000001</v>
      </c>
      <c r="C10" s="2">
        <f>Inputs!B$5*Timelines!$A10</f>
        <v>329.50400000000002</v>
      </c>
      <c r="D10" s="2">
        <f t="shared" si="1"/>
        <v>1033.9920000000002</v>
      </c>
      <c r="E10" s="2">
        <f>Inputs!C$6+(Inputs!C$2+Inputs!C$3-Inputs!C$4)*Timelines!$A10</f>
        <v>836</v>
      </c>
      <c r="F10">
        <f>Inputs!C$5*Timelines!$A10</f>
        <v>380.8</v>
      </c>
      <c r="G10" s="2">
        <f t="shared" si="0"/>
        <v>455.2</v>
      </c>
    </row>
    <row r="11" spans="1:7" x14ac:dyDescent="0.35">
      <c r="A11">
        <v>63</v>
      </c>
      <c r="B11" s="2">
        <f>Inputs!B$6+(Inputs!B$2+Inputs!B$3-Inputs!B$4)*Timelines!$A11</f>
        <v>1408.058</v>
      </c>
      <c r="C11" s="2">
        <f>Inputs!B$5*Timelines!$A11</f>
        <v>370.69200000000001</v>
      </c>
      <c r="D11" s="2">
        <f t="shared" si="1"/>
        <v>1037.366</v>
      </c>
      <c r="E11" s="2">
        <f>Inputs!C$6+(Inputs!C$2+Inputs!C$3-Inputs!C$4)*Timelines!$A11</f>
        <v>878</v>
      </c>
      <c r="F11">
        <f>Inputs!C$5*Timelines!$A11</f>
        <v>428.4</v>
      </c>
      <c r="G11" s="2">
        <f t="shared" si="0"/>
        <v>449.6</v>
      </c>
    </row>
    <row r="12" spans="1:7" x14ac:dyDescent="0.35">
      <c r="A12">
        <v>70</v>
      </c>
      <c r="B12" s="2">
        <f>Inputs!B$6+(Inputs!B$2+Inputs!B$3-Inputs!B$4)*Timelines!$A12</f>
        <v>1452.6200000000001</v>
      </c>
      <c r="C12" s="2">
        <f>Inputs!B$5*Timelines!$A12</f>
        <v>411.88</v>
      </c>
      <c r="D12" s="2">
        <f t="shared" si="1"/>
        <v>1040.7400000000002</v>
      </c>
      <c r="E12" s="2">
        <f>Inputs!C$6+(Inputs!C$2+Inputs!C$3-Inputs!C$4)*Timelines!$A12</f>
        <v>920</v>
      </c>
      <c r="F12">
        <f>Inputs!C$5*Timelines!$A12</f>
        <v>476</v>
      </c>
      <c r="G12" s="2">
        <f t="shared" si="0"/>
        <v>444</v>
      </c>
    </row>
    <row r="13" spans="1:7" x14ac:dyDescent="0.35">
      <c r="A13">
        <v>77</v>
      </c>
      <c r="B13" s="2">
        <f>Inputs!B$6+(Inputs!B$2+Inputs!B$3-Inputs!B$4)*Timelines!$A13</f>
        <v>1497.182</v>
      </c>
      <c r="C13" s="2">
        <f>Inputs!B$5*Timelines!$A13</f>
        <v>453.06800000000004</v>
      </c>
      <c r="D13" s="2">
        <f t="shared" si="1"/>
        <v>1044.114</v>
      </c>
      <c r="E13" s="2">
        <f>Inputs!C$6+(Inputs!C$2+Inputs!C$3-Inputs!C$4)*Timelines!$A13</f>
        <v>962</v>
      </c>
      <c r="F13">
        <f>Inputs!C$5*Timelines!$A13</f>
        <v>523.6</v>
      </c>
      <c r="G13" s="2">
        <f t="shared" si="0"/>
        <v>438.4</v>
      </c>
    </row>
    <row r="14" spans="1:7" x14ac:dyDescent="0.35">
      <c r="A14">
        <v>84</v>
      </c>
      <c r="B14" s="2">
        <f>Inputs!B$6+(Inputs!B$2+Inputs!B$3-Inputs!B$4)*Timelines!$A14</f>
        <v>1541.7440000000001</v>
      </c>
      <c r="C14" s="2">
        <f>Inputs!B$5*Timelines!$A14</f>
        <v>494.25600000000003</v>
      </c>
      <c r="D14" s="2">
        <f t="shared" si="1"/>
        <v>1047.4880000000001</v>
      </c>
      <c r="E14" s="2">
        <f>Inputs!C$6+(Inputs!C$2+Inputs!C$3-Inputs!C$4)*Timelines!$A14</f>
        <v>1004</v>
      </c>
      <c r="F14">
        <f>Inputs!C$5*Timelines!$A14</f>
        <v>571.19999999999993</v>
      </c>
      <c r="G14" s="2">
        <f t="shared" si="0"/>
        <v>432.80000000000007</v>
      </c>
    </row>
    <row r="15" spans="1:7" x14ac:dyDescent="0.35">
      <c r="A15">
        <v>91</v>
      </c>
      <c r="B15" s="2">
        <f>Inputs!B$6+(Inputs!B$2+Inputs!B$3-Inputs!B$4)*Timelines!$A15</f>
        <v>1586.306</v>
      </c>
      <c r="C15" s="2">
        <f>Inputs!B$5*Timelines!$A15</f>
        <v>535.44400000000007</v>
      </c>
      <c r="D15" s="2">
        <f t="shared" si="1"/>
        <v>1050.8620000000001</v>
      </c>
      <c r="E15" s="2">
        <f>Inputs!C$6+(Inputs!C$2+Inputs!C$3-Inputs!C$4)*Timelines!$A15</f>
        <v>1046</v>
      </c>
      <c r="F15">
        <f>Inputs!C$5*Timelines!$A15</f>
        <v>618.79999999999995</v>
      </c>
      <c r="G15" s="2">
        <f t="shared" si="0"/>
        <v>427.20000000000005</v>
      </c>
    </row>
    <row r="16" spans="1:7" x14ac:dyDescent="0.35">
      <c r="A16">
        <v>98</v>
      </c>
      <c r="B16" s="2">
        <f>Inputs!B$6+(Inputs!B$2+Inputs!B$3-Inputs!B$4)*Timelines!$A16</f>
        <v>1630.8679999999999</v>
      </c>
      <c r="C16" s="2">
        <f>Inputs!B$5*Timelines!$A16</f>
        <v>576.63200000000006</v>
      </c>
      <c r="D16" s="2">
        <f t="shared" si="1"/>
        <v>1054.2359999999999</v>
      </c>
      <c r="E16" s="2">
        <f>Inputs!C$6+(Inputs!C$2+Inputs!C$3-Inputs!C$4)*Timelines!$A16</f>
        <v>1088</v>
      </c>
      <c r="F16">
        <f>Inputs!C$5*Timelines!$A16</f>
        <v>666.4</v>
      </c>
      <c r="G16" s="2">
        <f t="shared" si="0"/>
        <v>421.6</v>
      </c>
    </row>
    <row r="17" spans="1:7" x14ac:dyDescent="0.35">
      <c r="A17">
        <v>105</v>
      </c>
      <c r="B17" s="2">
        <f>Inputs!B$6+(Inputs!B$2+Inputs!B$3-Inputs!B$4)*Timelines!$A17</f>
        <v>1675.43</v>
      </c>
      <c r="C17" s="2">
        <f>Inputs!B$5*Timelines!$A17</f>
        <v>617.82000000000005</v>
      </c>
      <c r="D17" s="2">
        <f t="shared" si="1"/>
        <v>1057.6100000000001</v>
      </c>
      <c r="E17" s="2">
        <f>Inputs!C$6+(Inputs!C$2+Inputs!C$3-Inputs!C$4)*Timelines!$A17</f>
        <v>1130</v>
      </c>
      <c r="F17">
        <f>Inputs!C$5*Timelines!$A17</f>
        <v>714</v>
      </c>
      <c r="G17" s="2">
        <f t="shared" si="0"/>
        <v>416</v>
      </c>
    </row>
    <row r="18" spans="1:7" x14ac:dyDescent="0.35">
      <c r="A18">
        <v>112</v>
      </c>
      <c r="B18" s="2">
        <f>Inputs!B$6+(Inputs!B$2+Inputs!B$3-Inputs!B$4)*Timelines!$A18</f>
        <v>1719.9920000000002</v>
      </c>
      <c r="C18" s="2">
        <f>Inputs!B$5*Timelines!$A18</f>
        <v>659.00800000000004</v>
      </c>
      <c r="D18" s="2">
        <f t="shared" si="1"/>
        <v>1060.9840000000002</v>
      </c>
      <c r="E18" s="2">
        <f>Inputs!C$6+(Inputs!C$2+Inputs!C$3-Inputs!C$4)*Timelines!$A18</f>
        <v>1172</v>
      </c>
      <c r="F18">
        <f>Inputs!C$5*Timelines!$A18</f>
        <v>761.6</v>
      </c>
      <c r="G18" s="2">
        <f t="shared" si="0"/>
        <v>410.4</v>
      </c>
    </row>
    <row r="19" spans="1:7" x14ac:dyDescent="0.35">
      <c r="A19">
        <v>119</v>
      </c>
      <c r="B19" s="2">
        <f>Inputs!B$6+(Inputs!B$2+Inputs!B$3-Inputs!B$4)*Timelines!$A19</f>
        <v>1764.5540000000001</v>
      </c>
      <c r="C19" s="2">
        <f>Inputs!B$5*Timelines!$A19</f>
        <v>700.19600000000003</v>
      </c>
      <c r="D19" s="2">
        <f t="shared" si="1"/>
        <v>1064.3580000000002</v>
      </c>
      <c r="E19" s="2">
        <f>Inputs!C$6+(Inputs!C$2+Inputs!C$3-Inputs!C$4)*Timelines!$A19</f>
        <v>1214</v>
      </c>
      <c r="F19">
        <f>Inputs!C$5*Timelines!$A19</f>
        <v>809.19999999999993</v>
      </c>
      <c r="G19" s="2">
        <f t="shared" si="0"/>
        <v>404.80000000000007</v>
      </c>
    </row>
    <row r="20" spans="1:7" x14ac:dyDescent="0.35">
      <c r="A20">
        <v>126</v>
      </c>
      <c r="B20" s="2">
        <f>Inputs!B$6+(Inputs!B$2+Inputs!B$3-Inputs!B$4)*Timelines!$A20</f>
        <v>1809.116</v>
      </c>
      <c r="C20" s="2">
        <f>Inputs!B$5*Timelines!$A20</f>
        <v>741.38400000000001</v>
      </c>
      <c r="D20" s="2">
        <f t="shared" si="1"/>
        <v>1067.732</v>
      </c>
      <c r="E20" s="2">
        <f>Inputs!C$6+(Inputs!C$2+Inputs!C$3-Inputs!C$4)*Timelines!$A20</f>
        <v>1256</v>
      </c>
      <c r="F20">
        <f>Inputs!C$5*Timelines!$A20</f>
        <v>856.8</v>
      </c>
      <c r="G20" s="2">
        <f t="shared" si="0"/>
        <v>399.20000000000005</v>
      </c>
    </row>
    <row r="21" spans="1:7" x14ac:dyDescent="0.35">
      <c r="A21">
        <v>133</v>
      </c>
      <c r="B21" s="2">
        <f>Inputs!B$6+(Inputs!B$2+Inputs!B$3-Inputs!B$4)*Timelines!$A21</f>
        <v>1853.6780000000001</v>
      </c>
      <c r="C21" s="2">
        <f>Inputs!B$5*Timelines!$A21</f>
        <v>782.572</v>
      </c>
      <c r="D21" s="2">
        <f t="shared" si="1"/>
        <v>1071.1060000000002</v>
      </c>
      <c r="E21" s="2">
        <f>Inputs!C$6+(Inputs!C$2+Inputs!C$3-Inputs!C$4)*Timelines!$A21</f>
        <v>1298</v>
      </c>
      <c r="F21">
        <f>Inputs!C$5*Timelines!$A21</f>
        <v>904.4</v>
      </c>
      <c r="G21" s="2">
        <f t="shared" si="0"/>
        <v>393.6</v>
      </c>
    </row>
    <row r="22" spans="1:7" x14ac:dyDescent="0.35">
      <c r="A22">
        <v>140</v>
      </c>
      <c r="B22" s="2">
        <f>Inputs!B$6+(Inputs!B$2+Inputs!B$3-Inputs!B$4)*Timelines!$A22</f>
        <v>1898.2400000000002</v>
      </c>
      <c r="C22" s="2">
        <f>Inputs!B$5*Timelines!$A22</f>
        <v>823.76</v>
      </c>
      <c r="D22" s="2">
        <f t="shared" si="1"/>
        <v>1074.4800000000002</v>
      </c>
      <c r="E22" s="2">
        <f>Inputs!C$6+(Inputs!C$2+Inputs!C$3-Inputs!C$4)*Timelines!$A22</f>
        <v>1340</v>
      </c>
      <c r="F22">
        <f>Inputs!C$5*Timelines!$A22</f>
        <v>952</v>
      </c>
      <c r="G22" s="2">
        <f t="shared" si="0"/>
        <v>388</v>
      </c>
    </row>
    <row r="23" spans="1:7" x14ac:dyDescent="0.35">
      <c r="A23">
        <v>147</v>
      </c>
      <c r="B23" s="2">
        <f>Inputs!B$6+(Inputs!B$2+Inputs!B$3-Inputs!B$4)*Timelines!$A23</f>
        <v>1942.8020000000001</v>
      </c>
      <c r="C23" s="2">
        <f>Inputs!B$5*Timelines!$A23</f>
        <v>864.94800000000009</v>
      </c>
      <c r="D23" s="2">
        <f t="shared" si="1"/>
        <v>1077.854</v>
      </c>
      <c r="E23" s="2">
        <f>Inputs!C$6+(Inputs!C$2+Inputs!C$3-Inputs!C$4)*Timelines!$A23</f>
        <v>1382</v>
      </c>
      <c r="F23">
        <f>Inputs!C$5*Timelines!$A23</f>
        <v>999.6</v>
      </c>
      <c r="G23" s="2">
        <f t="shared" si="0"/>
        <v>382.4</v>
      </c>
    </row>
    <row r="24" spans="1:7" x14ac:dyDescent="0.35">
      <c r="A24">
        <v>154</v>
      </c>
      <c r="B24" s="2">
        <f>Inputs!B$6+(Inputs!B$2+Inputs!B$3-Inputs!B$4)*Timelines!$A24</f>
        <v>1987.364</v>
      </c>
      <c r="C24" s="2">
        <f>Inputs!B$5*Timelines!$A24</f>
        <v>906.13600000000008</v>
      </c>
      <c r="D24" s="2">
        <f t="shared" si="1"/>
        <v>1081.2280000000001</v>
      </c>
      <c r="E24" s="2">
        <f>Inputs!C$6+(Inputs!C$2+Inputs!C$3-Inputs!C$4)*Timelines!$A24</f>
        <v>1424</v>
      </c>
      <c r="F24">
        <f>Inputs!C$5*Timelines!$A24</f>
        <v>1047.2</v>
      </c>
      <c r="G24" s="2">
        <f t="shared" si="0"/>
        <v>376.79999999999995</v>
      </c>
    </row>
    <row r="25" spans="1:7" x14ac:dyDescent="0.35">
      <c r="A25">
        <v>161</v>
      </c>
      <c r="B25" s="2">
        <f>Inputs!B$6+(Inputs!B$2+Inputs!B$3-Inputs!B$4)*Timelines!$A25</f>
        <v>2031.9260000000002</v>
      </c>
      <c r="C25" s="2">
        <f>Inputs!B$5*Timelines!$A25</f>
        <v>947.32400000000007</v>
      </c>
      <c r="D25" s="2">
        <f t="shared" si="1"/>
        <v>1084.6020000000001</v>
      </c>
      <c r="E25" s="2">
        <f>Inputs!C$6+(Inputs!C$2+Inputs!C$3-Inputs!C$4)*Timelines!$A25</f>
        <v>1466</v>
      </c>
      <c r="F25">
        <f>Inputs!C$5*Timelines!$A25</f>
        <v>1094.8</v>
      </c>
      <c r="G25" s="2">
        <f t="shared" si="0"/>
        <v>371.20000000000005</v>
      </c>
    </row>
    <row r="26" spans="1:7" x14ac:dyDescent="0.35">
      <c r="A26">
        <v>168</v>
      </c>
      <c r="B26" s="2">
        <f>Inputs!B$6+(Inputs!B$2+Inputs!B$3-Inputs!B$4)*Timelines!$A26</f>
        <v>2076.4880000000003</v>
      </c>
      <c r="C26" s="2">
        <f>Inputs!B$5*Timelines!$A26</f>
        <v>988.51200000000006</v>
      </c>
      <c r="D26" s="2">
        <f t="shared" si="1"/>
        <v>1087.9760000000001</v>
      </c>
      <c r="E26" s="2">
        <f>Inputs!C$6+(Inputs!C$2+Inputs!C$3-Inputs!C$4)*Timelines!$A26</f>
        <v>1508</v>
      </c>
      <c r="F26">
        <f>Inputs!C$5*Timelines!$A26</f>
        <v>1142.3999999999999</v>
      </c>
      <c r="G26" s="2">
        <f t="shared" si="0"/>
        <v>365.60000000000014</v>
      </c>
    </row>
    <row r="27" spans="1:7" x14ac:dyDescent="0.35">
      <c r="A27">
        <v>175</v>
      </c>
      <c r="B27" s="2">
        <f>Inputs!B$6+(Inputs!B$2+Inputs!B$3-Inputs!B$4)*Timelines!$A27</f>
        <v>2121.0500000000002</v>
      </c>
      <c r="C27" s="2">
        <f>Inputs!B$5*Timelines!$A27</f>
        <v>1029.7</v>
      </c>
      <c r="D27" s="2">
        <f t="shared" si="1"/>
        <v>1091.3500000000001</v>
      </c>
      <c r="E27" s="2">
        <f>Inputs!C$6+(Inputs!C$2+Inputs!C$3-Inputs!C$4)*Timelines!$A27</f>
        <v>1550</v>
      </c>
      <c r="F27">
        <f>Inputs!C$5*Timelines!$A27</f>
        <v>1190</v>
      </c>
      <c r="G27" s="2">
        <f t="shared" si="0"/>
        <v>360</v>
      </c>
    </row>
    <row r="28" spans="1:7" x14ac:dyDescent="0.35">
      <c r="A28">
        <v>182</v>
      </c>
      <c r="B28" s="2">
        <f>Inputs!B$6+(Inputs!B$2+Inputs!B$3-Inputs!B$4)*Timelines!$A28</f>
        <v>2165.6120000000001</v>
      </c>
      <c r="C28" s="2">
        <f>Inputs!B$5*Timelines!$A28</f>
        <v>1070.8880000000001</v>
      </c>
      <c r="D28" s="2">
        <f t="shared" si="1"/>
        <v>1094.7239999999999</v>
      </c>
      <c r="E28" s="2">
        <f>Inputs!C$6+(Inputs!C$2+Inputs!C$3-Inputs!C$4)*Timelines!$A28</f>
        <v>1592</v>
      </c>
      <c r="F28">
        <f>Inputs!C$5*Timelines!$A28</f>
        <v>1237.5999999999999</v>
      </c>
      <c r="G28" s="2">
        <f t="shared" si="0"/>
        <v>354.40000000000009</v>
      </c>
    </row>
    <row r="29" spans="1:7" x14ac:dyDescent="0.35">
      <c r="A29">
        <v>189</v>
      </c>
      <c r="B29" s="2">
        <f>Inputs!B$6+(Inputs!B$2+Inputs!B$3-Inputs!B$4)*Timelines!$A29</f>
        <v>2210.174</v>
      </c>
      <c r="C29" s="2">
        <f>Inputs!B$5*Timelines!$A29</f>
        <v>1112.076</v>
      </c>
      <c r="D29" s="2">
        <f t="shared" si="1"/>
        <v>1098.098</v>
      </c>
      <c r="E29" s="2">
        <f>Inputs!C$6+(Inputs!C$2+Inputs!C$3-Inputs!C$4)*Timelines!$A29</f>
        <v>1634</v>
      </c>
      <c r="F29">
        <f>Inputs!C$5*Timelines!$A29</f>
        <v>1285.2</v>
      </c>
      <c r="G29" s="2">
        <f t="shared" si="0"/>
        <v>348.79999999999995</v>
      </c>
    </row>
    <row r="30" spans="1:7" x14ac:dyDescent="0.35">
      <c r="A30">
        <v>196</v>
      </c>
      <c r="B30" s="2">
        <f>Inputs!B$6+(Inputs!B$2+Inputs!B$3-Inputs!B$4)*Timelines!$A30</f>
        <v>2254.7359999999999</v>
      </c>
      <c r="C30" s="2">
        <f>Inputs!B$5*Timelines!$A30</f>
        <v>1153.2640000000001</v>
      </c>
      <c r="D30" s="2">
        <f t="shared" si="1"/>
        <v>1101.4719999999998</v>
      </c>
      <c r="E30" s="2">
        <f>Inputs!C$6+(Inputs!C$2+Inputs!C$3-Inputs!C$4)*Timelines!$A30</f>
        <v>1676</v>
      </c>
      <c r="F30">
        <f>Inputs!C$5*Timelines!$A30</f>
        <v>1332.8</v>
      </c>
      <c r="G30" s="2">
        <f t="shared" si="0"/>
        <v>343.20000000000005</v>
      </c>
    </row>
    <row r="31" spans="1:7" x14ac:dyDescent="0.35">
      <c r="A31">
        <v>203</v>
      </c>
      <c r="B31" s="2">
        <f>Inputs!B$6+(Inputs!B$2+Inputs!B$3-Inputs!B$4)*Timelines!$A31</f>
        <v>2299.2979999999998</v>
      </c>
      <c r="C31" s="2">
        <f>Inputs!B$5*Timelines!$A31</f>
        <v>1194.452</v>
      </c>
      <c r="D31" s="2">
        <f t="shared" si="1"/>
        <v>1104.8459999999998</v>
      </c>
      <c r="E31" s="2">
        <f>Inputs!C$6+(Inputs!C$2+Inputs!C$3-Inputs!C$4)*Timelines!$A31</f>
        <v>1718</v>
      </c>
      <c r="F31">
        <f>Inputs!C$5*Timelines!$A31</f>
        <v>1380.3999999999999</v>
      </c>
      <c r="G31" s="2">
        <f t="shared" si="0"/>
        <v>337.60000000000014</v>
      </c>
    </row>
    <row r="32" spans="1:7" x14ac:dyDescent="0.35">
      <c r="A32">
        <v>210</v>
      </c>
      <c r="B32" s="2">
        <f>Inputs!B$6+(Inputs!B$2+Inputs!B$3-Inputs!B$4)*Timelines!$A32</f>
        <v>2343.86</v>
      </c>
      <c r="C32" s="2">
        <f>Inputs!B$5*Timelines!$A32</f>
        <v>1235.6400000000001</v>
      </c>
      <c r="D32" s="2">
        <f t="shared" si="1"/>
        <v>1108.22</v>
      </c>
      <c r="E32" s="2">
        <f>Inputs!C$6+(Inputs!C$2+Inputs!C$3-Inputs!C$4)*Timelines!$A32</f>
        <v>1760</v>
      </c>
      <c r="F32">
        <f>Inputs!C$5*Timelines!$A32</f>
        <v>1428</v>
      </c>
      <c r="G32" s="2">
        <f t="shared" si="0"/>
        <v>332</v>
      </c>
    </row>
    <row r="33" spans="1:7" x14ac:dyDescent="0.35">
      <c r="A33">
        <v>217</v>
      </c>
      <c r="B33" s="2">
        <f>Inputs!B$6+(Inputs!B$2+Inputs!B$3-Inputs!B$4)*Timelines!$A33</f>
        <v>2388.422</v>
      </c>
      <c r="C33" s="2">
        <f>Inputs!B$5*Timelines!$A33</f>
        <v>1276.828</v>
      </c>
      <c r="D33" s="2">
        <f t="shared" si="1"/>
        <v>1111.5940000000001</v>
      </c>
      <c r="E33" s="2">
        <f>Inputs!C$6+(Inputs!C$2+Inputs!C$3-Inputs!C$4)*Timelines!$A33</f>
        <v>1802</v>
      </c>
      <c r="F33">
        <f>Inputs!C$5*Timelines!$A33</f>
        <v>1475.6</v>
      </c>
      <c r="G33" s="2">
        <f t="shared" si="0"/>
        <v>326.40000000000009</v>
      </c>
    </row>
    <row r="34" spans="1:7" x14ac:dyDescent="0.35">
      <c r="A34">
        <v>224</v>
      </c>
      <c r="B34" s="2">
        <f>Inputs!B$6+(Inputs!B$2+Inputs!B$3-Inputs!B$4)*Timelines!$A34</f>
        <v>2432.9840000000004</v>
      </c>
      <c r="C34" s="2">
        <f>Inputs!B$5*Timelines!$A34</f>
        <v>1318.0160000000001</v>
      </c>
      <c r="D34" s="2">
        <f t="shared" si="1"/>
        <v>1114.9680000000003</v>
      </c>
      <c r="E34" s="2">
        <f>Inputs!C$6+(Inputs!C$2+Inputs!C$3-Inputs!C$4)*Timelines!$A34</f>
        <v>1844</v>
      </c>
      <c r="F34">
        <f>Inputs!C$5*Timelines!$A34</f>
        <v>1523.2</v>
      </c>
      <c r="G34" s="2">
        <f t="shared" si="0"/>
        <v>320.79999999999995</v>
      </c>
    </row>
    <row r="35" spans="1:7" x14ac:dyDescent="0.35">
      <c r="A35">
        <v>231</v>
      </c>
      <c r="B35" s="2">
        <f>Inputs!B$6+(Inputs!B$2+Inputs!B$3-Inputs!B$4)*Timelines!$A35</f>
        <v>2477.5460000000003</v>
      </c>
      <c r="C35" s="2">
        <f>Inputs!B$5*Timelines!$A35</f>
        <v>1359.2040000000002</v>
      </c>
      <c r="D35" s="2">
        <f t="shared" si="1"/>
        <v>1118.3420000000001</v>
      </c>
      <c r="E35" s="2">
        <f>Inputs!C$6+(Inputs!C$2+Inputs!C$3-Inputs!C$4)*Timelines!$A35</f>
        <v>1886</v>
      </c>
      <c r="F35">
        <f>Inputs!C$5*Timelines!$A35</f>
        <v>1570.8</v>
      </c>
      <c r="G35" s="2">
        <f t="shared" si="0"/>
        <v>315.20000000000005</v>
      </c>
    </row>
    <row r="36" spans="1:7" x14ac:dyDescent="0.35">
      <c r="A36">
        <v>238</v>
      </c>
      <c r="B36" s="2">
        <f>Inputs!B$6+(Inputs!B$2+Inputs!B$3-Inputs!B$4)*Timelines!$A36</f>
        <v>2522.1080000000002</v>
      </c>
      <c r="C36" s="2">
        <f>Inputs!B$5*Timelines!$A36</f>
        <v>1400.3920000000001</v>
      </c>
      <c r="D36" s="2">
        <f t="shared" si="1"/>
        <v>1121.7160000000001</v>
      </c>
      <c r="E36" s="2">
        <f>Inputs!C$6+(Inputs!C$2+Inputs!C$3-Inputs!C$4)*Timelines!$A36</f>
        <v>1928</v>
      </c>
      <c r="F36">
        <f>Inputs!C$5*Timelines!$A36</f>
        <v>1618.3999999999999</v>
      </c>
      <c r="G36" s="2">
        <f t="shared" si="0"/>
        <v>309.60000000000014</v>
      </c>
    </row>
    <row r="37" spans="1:7" x14ac:dyDescent="0.35">
      <c r="A37">
        <v>245</v>
      </c>
      <c r="B37" s="2">
        <f>Inputs!B$6+(Inputs!B$2+Inputs!B$3-Inputs!B$4)*Timelines!$A37</f>
        <v>2566.67</v>
      </c>
      <c r="C37" s="2">
        <f>Inputs!B$5*Timelines!$A37</f>
        <v>1441.5800000000002</v>
      </c>
      <c r="D37" s="2">
        <f t="shared" si="1"/>
        <v>1125.0899999999999</v>
      </c>
      <c r="E37" s="2">
        <f>Inputs!C$6+(Inputs!C$2+Inputs!C$3-Inputs!C$4)*Timelines!$A37</f>
        <v>1970</v>
      </c>
      <c r="F37">
        <f>Inputs!C$5*Timelines!$A37</f>
        <v>1666</v>
      </c>
      <c r="G37" s="2">
        <f t="shared" si="0"/>
        <v>304</v>
      </c>
    </row>
    <row r="38" spans="1:7" x14ac:dyDescent="0.35">
      <c r="A38">
        <v>252</v>
      </c>
      <c r="B38" s="2">
        <f>Inputs!B$6+(Inputs!B$2+Inputs!B$3-Inputs!B$4)*Timelines!$A38</f>
        <v>2611.232</v>
      </c>
      <c r="C38" s="2">
        <f>Inputs!B$5*Timelines!$A38</f>
        <v>1482.768</v>
      </c>
      <c r="D38" s="2">
        <f t="shared" si="1"/>
        <v>1128.4639999999999</v>
      </c>
      <c r="E38" s="2">
        <f>Inputs!C$6+(Inputs!C$2+Inputs!C$3-Inputs!C$4)*Timelines!$A38</f>
        <v>2012</v>
      </c>
      <c r="F38">
        <f>Inputs!C$5*Timelines!$A38</f>
        <v>1713.6</v>
      </c>
      <c r="G38" s="2">
        <f t="shared" si="0"/>
        <v>298.40000000000009</v>
      </c>
    </row>
    <row r="39" spans="1:7" x14ac:dyDescent="0.35">
      <c r="A39">
        <v>259</v>
      </c>
      <c r="B39" s="2">
        <f>Inputs!B$6+(Inputs!B$2+Inputs!B$3-Inputs!B$4)*Timelines!$A39</f>
        <v>2655.7939999999999</v>
      </c>
      <c r="C39" s="2">
        <f>Inputs!B$5*Timelines!$A39</f>
        <v>1523.9560000000001</v>
      </c>
      <c r="D39" s="2">
        <f t="shared" si="1"/>
        <v>1131.8379999999997</v>
      </c>
      <c r="E39" s="2">
        <f>Inputs!C$6+(Inputs!C$2+Inputs!C$3-Inputs!C$4)*Timelines!$A39</f>
        <v>2054</v>
      </c>
      <c r="F39">
        <f>Inputs!C$5*Timelines!$A39</f>
        <v>1761.2</v>
      </c>
      <c r="G39" s="2">
        <f t="shared" si="0"/>
        <v>292.79999999999995</v>
      </c>
    </row>
    <row r="40" spans="1:7" x14ac:dyDescent="0.35">
      <c r="A40">
        <v>266</v>
      </c>
      <c r="B40" s="2">
        <f>Inputs!B$6+(Inputs!B$2+Inputs!B$3-Inputs!B$4)*Timelines!$A40</f>
        <v>2700.3560000000002</v>
      </c>
      <c r="C40" s="2">
        <f>Inputs!B$5*Timelines!$A40</f>
        <v>1565.144</v>
      </c>
      <c r="D40" s="2">
        <f t="shared" si="1"/>
        <v>1135.2120000000002</v>
      </c>
      <c r="E40" s="2">
        <f>Inputs!C$6+(Inputs!C$2+Inputs!C$3-Inputs!C$4)*Timelines!$A40</f>
        <v>2096</v>
      </c>
      <c r="F40">
        <f>Inputs!C$5*Timelines!$A40</f>
        <v>1808.8</v>
      </c>
      <c r="G40" s="2">
        <f t="shared" si="0"/>
        <v>287.20000000000005</v>
      </c>
    </row>
    <row r="41" spans="1:7" x14ac:dyDescent="0.35">
      <c r="A41">
        <v>273</v>
      </c>
      <c r="B41" s="2">
        <f>Inputs!B$6+(Inputs!B$2+Inputs!B$3-Inputs!B$4)*Timelines!$A41</f>
        <v>2744.9180000000001</v>
      </c>
      <c r="C41" s="2">
        <f>Inputs!B$5*Timelines!$A41</f>
        <v>1606.3320000000001</v>
      </c>
      <c r="D41" s="2">
        <f t="shared" si="1"/>
        <v>1138.586</v>
      </c>
      <c r="E41" s="2">
        <f>Inputs!C$6+(Inputs!C$2+Inputs!C$3-Inputs!C$4)*Timelines!$A41</f>
        <v>2138</v>
      </c>
      <c r="F41">
        <f>Inputs!C$5*Timelines!$A41</f>
        <v>1856.3999999999999</v>
      </c>
      <c r="G41" s="2">
        <f t="shared" si="0"/>
        <v>281.60000000000014</v>
      </c>
    </row>
    <row r="42" spans="1:7" x14ac:dyDescent="0.35">
      <c r="A42">
        <v>280</v>
      </c>
      <c r="B42" s="2">
        <f>Inputs!B$6+(Inputs!B$2+Inputs!B$3-Inputs!B$4)*Timelines!$A42</f>
        <v>2789.4800000000005</v>
      </c>
      <c r="C42" s="2">
        <f>Inputs!B$5*Timelines!$A42</f>
        <v>1647.52</v>
      </c>
      <c r="D42" s="2">
        <f t="shared" si="1"/>
        <v>1141.9600000000005</v>
      </c>
      <c r="E42" s="2">
        <f>Inputs!C$6+(Inputs!C$2+Inputs!C$3-Inputs!C$4)*Timelines!$A42</f>
        <v>2180</v>
      </c>
      <c r="F42">
        <f>Inputs!C$5*Timelines!$A42</f>
        <v>1904</v>
      </c>
      <c r="G42" s="2">
        <f t="shared" si="0"/>
        <v>276</v>
      </c>
    </row>
    <row r="43" spans="1:7" x14ac:dyDescent="0.35">
      <c r="A43">
        <v>287</v>
      </c>
      <c r="B43" s="2">
        <f>Inputs!B$6+(Inputs!B$2+Inputs!B$3-Inputs!B$4)*Timelines!$A43</f>
        <v>2834.0420000000004</v>
      </c>
      <c r="C43" s="2">
        <f>Inputs!B$5*Timelines!$A43</f>
        <v>1688.7080000000001</v>
      </c>
      <c r="D43" s="2">
        <f t="shared" si="1"/>
        <v>1145.3340000000003</v>
      </c>
      <c r="E43" s="2">
        <f>Inputs!C$6+(Inputs!C$2+Inputs!C$3-Inputs!C$4)*Timelines!$A43</f>
        <v>2222</v>
      </c>
      <c r="F43">
        <f>Inputs!C$5*Timelines!$A43</f>
        <v>1951.6</v>
      </c>
      <c r="G43" s="2">
        <f t="shared" si="0"/>
        <v>270.40000000000009</v>
      </c>
    </row>
    <row r="44" spans="1:7" x14ac:dyDescent="0.35">
      <c r="A44">
        <v>294</v>
      </c>
      <c r="B44" s="2">
        <f>Inputs!B$6+(Inputs!B$2+Inputs!B$3-Inputs!B$4)*Timelines!$A44</f>
        <v>2878.6040000000003</v>
      </c>
      <c r="C44" s="2">
        <f>Inputs!B$5*Timelines!$A44</f>
        <v>1729.8960000000002</v>
      </c>
      <c r="D44" s="2">
        <f t="shared" si="1"/>
        <v>1148.7080000000001</v>
      </c>
      <c r="E44" s="2">
        <f>Inputs!C$6+(Inputs!C$2+Inputs!C$3-Inputs!C$4)*Timelines!$A44</f>
        <v>2264</v>
      </c>
      <c r="F44">
        <f>Inputs!C$5*Timelines!$A44</f>
        <v>1999.2</v>
      </c>
      <c r="G44" s="2">
        <f t="shared" si="0"/>
        <v>264.79999999999995</v>
      </c>
    </row>
    <row r="45" spans="1:7" x14ac:dyDescent="0.35">
      <c r="A45">
        <v>301</v>
      </c>
      <c r="B45" s="2">
        <f>Inputs!B$6+(Inputs!B$2+Inputs!B$3-Inputs!B$4)*Timelines!$A45</f>
        <v>2923.1660000000002</v>
      </c>
      <c r="C45" s="2">
        <f>Inputs!B$5*Timelines!$A45</f>
        <v>1771.0840000000001</v>
      </c>
      <c r="D45" s="2">
        <f t="shared" si="1"/>
        <v>1152.0820000000001</v>
      </c>
      <c r="E45" s="2">
        <f>Inputs!C$6+(Inputs!C$2+Inputs!C$3-Inputs!C$4)*Timelines!$A45</f>
        <v>2306</v>
      </c>
      <c r="F45">
        <f>Inputs!C$5*Timelines!$A45</f>
        <v>2046.8</v>
      </c>
      <c r="G45" s="2">
        <f t="shared" si="0"/>
        <v>259.20000000000005</v>
      </c>
    </row>
    <row r="46" spans="1:7" x14ac:dyDescent="0.35">
      <c r="A46">
        <v>308</v>
      </c>
      <c r="B46" s="2">
        <f>Inputs!B$6+(Inputs!B$2+Inputs!B$3-Inputs!B$4)*Timelines!$A46</f>
        <v>2967.7280000000001</v>
      </c>
      <c r="C46" s="2">
        <f>Inputs!B$5*Timelines!$A46</f>
        <v>1812.2720000000002</v>
      </c>
      <c r="D46" s="2">
        <f t="shared" si="1"/>
        <v>1155.4559999999999</v>
      </c>
      <c r="E46" s="2">
        <f>Inputs!C$6+(Inputs!C$2+Inputs!C$3-Inputs!C$4)*Timelines!$A46</f>
        <v>2348</v>
      </c>
      <c r="F46">
        <f>Inputs!C$5*Timelines!$A46</f>
        <v>2094.4</v>
      </c>
      <c r="G46" s="2">
        <f t="shared" si="0"/>
        <v>253.59999999999991</v>
      </c>
    </row>
    <row r="47" spans="1:7" x14ac:dyDescent="0.35">
      <c r="A47">
        <v>315</v>
      </c>
      <c r="B47" s="2">
        <f>Inputs!B$6+(Inputs!B$2+Inputs!B$3-Inputs!B$4)*Timelines!$A47</f>
        <v>3012.29</v>
      </c>
      <c r="C47" s="2">
        <f>Inputs!B$5*Timelines!$A47</f>
        <v>1853.46</v>
      </c>
      <c r="D47" s="2">
        <f t="shared" si="1"/>
        <v>1158.83</v>
      </c>
      <c r="E47" s="2">
        <f>Inputs!C$6+(Inputs!C$2+Inputs!C$3-Inputs!C$4)*Timelines!$A47</f>
        <v>2390</v>
      </c>
      <c r="F47">
        <f>Inputs!C$5*Timelines!$A47</f>
        <v>2142</v>
      </c>
      <c r="G47" s="2">
        <f t="shared" si="0"/>
        <v>248</v>
      </c>
    </row>
    <row r="48" spans="1:7" x14ac:dyDescent="0.35">
      <c r="A48">
        <v>322</v>
      </c>
      <c r="B48" s="2">
        <f>Inputs!B$6+(Inputs!B$2+Inputs!B$3-Inputs!B$4)*Timelines!$A48</f>
        <v>3056.8520000000003</v>
      </c>
      <c r="C48" s="2">
        <f>Inputs!B$5*Timelines!$A48</f>
        <v>1894.6480000000001</v>
      </c>
      <c r="D48" s="2">
        <f t="shared" si="1"/>
        <v>1162.2040000000002</v>
      </c>
      <c r="E48" s="2">
        <f>Inputs!C$6+(Inputs!C$2+Inputs!C$3-Inputs!C$4)*Timelines!$A48</f>
        <v>2432</v>
      </c>
      <c r="F48">
        <f>Inputs!C$5*Timelines!$A48</f>
        <v>2189.6</v>
      </c>
      <c r="G48" s="2">
        <f t="shared" si="0"/>
        <v>242.40000000000009</v>
      </c>
    </row>
    <row r="49" spans="1:7" x14ac:dyDescent="0.35">
      <c r="A49">
        <v>329</v>
      </c>
      <c r="B49" s="2">
        <f>Inputs!B$6+(Inputs!B$2+Inputs!B$3-Inputs!B$4)*Timelines!$A49</f>
        <v>3101.4140000000002</v>
      </c>
      <c r="C49" s="2">
        <f>Inputs!B$5*Timelines!$A49</f>
        <v>1935.836</v>
      </c>
      <c r="D49" s="2">
        <f t="shared" si="1"/>
        <v>1165.5780000000002</v>
      </c>
      <c r="E49" s="2">
        <f>Inputs!C$6+(Inputs!C$2+Inputs!C$3-Inputs!C$4)*Timelines!$A49</f>
        <v>2474</v>
      </c>
      <c r="F49">
        <f>Inputs!C$5*Timelines!$A49</f>
        <v>2237.1999999999998</v>
      </c>
      <c r="G49" s="2">
        <f t="shared" si="0"/>
        <v>236.80000000000018</v>
      </c>
    </row>
    <row r="50" spans="1:7" x14ac:dyDescent="0.35">
      <c r="A50">
        <v>336</v>
      </c>
      <c r="B50" s="2">
        <f>Inputs!B$6+(Inputs!B$2+Inputs!B$3-Inputs!B$4)*Timelines!$A50</f>
        <v>3145.9760000000001</v>
      </c>
      <c r="C50" s="2">
        <f>Inputs!B$5*Timelines!$A50</f>
        <v>1977.0240000000001</v>
      </c>
      <c r="D50" s="2">
        <f t="shared" si="1"/>
        <v>1168.952</v>
      </c>
      <c r="E50" s="2">
        <f>Inputs!C$6+(Inputs!C$2+Inputs!C$3-Inputs!C$4)*Timelines!$A50</f>
        <v>2516</v>
      </c>
      <c r="F50">
        <f>Inputs!C$5*Timelines!$A50</f>
        <v>2284.7999999999997</v>
      </c>
      <c r="G50" s="2">
        <f t="shared" si="0"/>
        <v>231.20000000000027</v>
      </c>
    </row>
    <row r="51" spans="1:7" x14ac:dyDescent="0.35">
      <c r="A51">
        <v>343</v>
      </c>
      <c r="B51" s="2">
        <f>Inputs!B$6+(Inputs!B$2+Inputs!B$3-Inputs!B$4)*Timelines!$A51</f>
        <v>3190.538</v>
      </c>
      <c r="C51" s="2">
        <f>Inputs!B$5*Timelines!$A51</f>
        <v>2018.2120000000002</v>
      </c>
      <c r="D51" s="2">
        <f t="shared" si="1"/>
        <v>1172.3259999999998</v>
      </c>
      <c r="E51" s="2">
        <f>Inputs!C$6+(Inputs!C$2+Inputs!C$3-Inputs!C$4)*Timelines!$A51</f>
        <v>2558</v>
      </c>
      <c r="F51">
        <f>Inputs!C$5*Timelines!$A51</f>
        <v>2332.4</v>
      </c>
      <c r="G51" s="2">
        <f t="shared" si="0"/>
        <v>225.59999999999991</v>
      </c>
    </row>
    <row r="52" spans="1:7" x14ac:dyDescent="0.35">
      <c r="A52">
        <v>350</v>
      </c>
      <c r="B52" s="2">
        <f>Inputs!B$6+(Inputs!B$2+Inputs!B$3-Inputs!B$4)*Timelines!$A52</f>
        <v>3235.1000000000004</v>
      </c>
      <c r="C52" s="2">
        <f>Inputs!B$5*Timelines!$A52</f>
        <v>2059.4</v>
      </c>
      <c r="D52" s="2">
        <f t="shared" si="1"/>
        <v>1175.7000000000003</v>
      </c>
      <c r="E52" s="2">
        <f>Inputs!C$6+(Inputs!C$2+Inputs!C$3-Inputs!C$4)*Timelines!$A52</f>
        <v>2600</v>
      </c>
      <c r="F52">
        <f>Inputs!C$5*Timelines!$A52</f>
        <v>2380</v>
      </c>
      <c r="G52" s="2">
        <f t="shared" si="0"/>
        <v>220</v>
      </c>
    </row>
    <row r="53" spans="1:7" x14ac:dyDescent="0.35">
      <c r="A53">
        <v>357</v>
      </c>
      <c r="B53" s="2">
        <f>Inputs!B$6+(Inputs!B$2+Inputs!B$3-Inputs!B$4)*Timelines!$A53</f>
        <v>3279.6620000000003</v>
      </c>
      <c r="C53" s="2">
        <f>Inputs!B$5*Timelines!$A53</f>
        <v>2100.5880000000002</v>
      </c>
      <c r="D53" s="2">
        <f t="shared" si="1"/>
        <v>1179.0740000000001</v>
      </c>
      <c r="E53" s="2">
        <f>Inputs!C$6+(Inputs!C$2+Inputs!C$3-Inputs!C$4)*Timelines!$A53</f>
        <v>2642</v>
      </c>
      <c r="F53">
        <f>Inputs!C$5*Timelines!$A53</f>
        <v>2427.6</v>
      </c>
      <c r="G53" s="2">
        <f t="shared" si="0"/>
        <v>214.40000000000009</v>
      </c>
    </row>
    <row r="54" spans="1:7" x14ac:dyDescent="0.35">
      <c r="A54">
        <v>364</v>
      </c>
      <c r="B54" s="2">
        <f>Inputs!B$6+(Inputs!B$2+Inputs!B$3-Inputs!B$4)*Timelines!$A54</f>
        <v>3324.2240000000002</v>
      </c>
      <c r="C54" s="2">
        <f>Inputs!B$5*Timelines!$A54</f>
        <v>2141.7760000000003</v>
      </c>
      <c r="D54" s="2">
        <f t="shared" si="1"/>
        <v>1182.4479999999999</v>
      </c>
      <c r="E54" s="2">
        <f>Inputs!C$6+(Inputs!C$2+Inputs!C$3-Inputs!C$4)*Timelines!$A54</f>
        <v>2684</v>
      </c>
      <c r="F54">
        <f>Inputs!C$5*Timelines!$A54</f>
        <v>2475.1999999999998</v>
      </c>
      <c r="G54" s="2">
        <f t="shared" si="0"/>
        <v>208.80000000000018</v>
      </c>
    </row>
    <row r="55" spans="1:7" x14ac:dyDescent="0.35">
      <c r="A55">
        <v>371</v>
      </c>
      <c r="B55" s="2">
        <f>Inputs!B$6+(Inputs!B$2+Inputs!B$3-Inputs!B$4)*Timelines!$A55</f>
        <v>3368.7860000000001</v>
      </c>
      <c r="C55" s="2">
        <f>Inputs!B$5*Timelines!$A55</f>
        <v>2182.9639999999999</v>
      </c>
      <c r="D55" s="2">
        <f t="shared" si="1"/>
        <v>1185.8220000000001</v>
      </c>
      <c r="E55" s="2">
        <f>Inputs!C$6+(Inputs!C$2+Inputs!C$3-Inputs!C$4)*Timelines!$A55</f>
        <v>2726</v>
      </c>
      <c r="F55">
        <f>Inputs!C$5*Timelines!$A55</f>
        <v>2522.7999999999997</v>
      </c>
      <c r="G55" s="2">
        <f t="shared" si="0"/>
        <v>203.20000000000027</v>
      </c>
    </row>
    <row r="56" spans="1:7" x14ac:dyDescent="0.35">
      <c r="A56">
        <v>378</v>
      </c>
      <c r="B56" s="2">
        <f>Inputs!B$6+(Inputs!B$2+Inputs!B$3-Inputs!B$4)*Timelines!$A56</f>
        <v>3413.3480000000004</v>
      </c>
      <c r="C56" s="2">
        <f>Inputs!B$5*Timelines!$A56</f>
        <v>2224.152</v>
      </c>
      <c r="D56" s="2">
        <f t="shared" si="1"/>
        <v>1189.1960000000004</v>
      </c>
      <c r="E56" s="2">
        <f>Inputs!C$6+(Inputs!C$2+Inputs!C$3-Inputs!C$4)*Timelines!$A56</f>
        <v>2768</v>
      </c>
      <c r="F56">
        <f>Inputs!C$5*Timelines!$A56</f>
        <v>2570.4</v>
      </c>
      <c r="G56" s="2">
        <f t="shared" si="0"/>
        <v>197.59999999999991</v>
      </c>
    </row>
    <row r="57" spans="1:7" x14ac:dyDescent="0.35">
      <c r="A57">
        <v>385</v>
      </c>
      <c r="B57" s="2">
        <f>Inputs!B$6+(Inputs!B$2+Inputs!B$3-Inputs!B$4)*Timelines!$A57</f>
        <v>3457.9100000000003</v>
      </c>
      <c r="C57" s="2">
        <f>Inputs!B$5*Timelines!$A57</f>
        <v>2265.34</v>
      </c>
      <c r="D57" s="2">
        <f t="shared" si="1"/>
        <v>1192.5700000000002</v>
      </c>
      <c r="E57" s="2">
        <f>Inputs!C$6+(Inputs!C$2+Inputs!C$3-Inputs!C$4)*Timelines!$A57</f>
        <v>2810</v>
      </c>
      <c r="F57">
        <f>Inputs!C$5*Timelines!$A57</f>
        <v>2618</v>
      </c>
      <c r="G57" s="2">
        <f t="shared" si="0"/>
        <v>192</v>
      </c>
    </row>
    <row r="58" spans="1:7" x14ac:dyDescent="0.35">
      <c r="A58">
        <v>392</v>
      </c>
      <c r="B58" s="2">
        <f>Inputs!B$6+(Inputs!B$2+Inputs!B$3-Inputs!B$4)*Timelines!$A58</f>
        <v>3502.4720000000002</v>
      </c>
      <c r="C58" s="2">
        <f>Inputs!B$5*Timelines!$A58</f>
        <v>2306.5280000000002</v>
      </c>
      <c r="D58" s="2">
        <f t="shared" si="1"/>
        <v>1195.944</v>
      </c>
      <c r="E58" s="2">
        <f>Inputs!C$6+(Inputs!C$2+Inputs!C$3-Inputs!C$4)*Timelines!$A58</f>
        <v>2852</v>
      </c>
      <c r="F58">
        <f>Inputs!C$5*Timelines!$A58</f>
        <v>2665.6</v>
      </c>
      <c r="G58" s="2">
        <f t="shared" si="0"/>
        <v>186.40000000000009</v>
      </c>
    </row>
    <row r="59" spans="1:7" x14ac:dyDescent="0.35">
      <c r="A59">
        <v>399</v>
      </c>
      <c r="B59" s="2">
        <f>Inputs!B$6+(Inputs!B$2+Inputs!B$3-Inputs!B$4)*Timelines!$A59</f>
        <v>3547.0340000000001</v>
      </c>
      <c r="C59" s="2">
        <f>Inputs!B$5*Timelines!$A59</f>
        <v>2347.7160000000003</v>
      </c>
      <c r="D59" s="2">
        <f t="shared" si="1"/>
        <v>1199.3179999999998</v>
      </c>
      <c r="E59" s="2">
        <f>Inputs!C$6+(Inputs!C$2+Inputs!C$3-Inputs!C$4)*Timelines!$A59</f>
        <v>2894</v>
      </c>
      <c r="F59">
        <f>Inputs!C$5*Timelines!$A59</f>
        <v>2713.2</v>
      </c>
      <c r="G59" s="2">
        <f t="shared" si="0"/>
        <v>180.80000000000018</v>
      </c>
    </row>
    <row r="60" spans="1:7" x14ac:dyDescent="0.35">
      <c r="A60">
        <v>406</v>
      </c>
      <c r="B60" s="2">
        <f>Inputs!B$6+(Inputs!B$2+Inputs!B$3-Inputs!B$4)*Timelines!$A60</f>
        <v>3591.596</v>
      </c>
      <c r="C60" s="2">
        <f>Inputs!B$5*Timelines!$A60</f>
        <v>2388.904</v>
      </c>
      <c r="D60" s="2">
        <f t="shared" si="1"/>
        <v>1202.692</v>
      </c>
      <c r="E60" s="2">
        <f>Inputs!C$6+(Inputs!C$2+Inputs!C$3-Inputs!C$4)*Timelines!$A60</f>
        <v>2936</v>
      </c>
      <c r="F60">
        <f>Inputs!C$5*Timelines!$A60</f>
        <v>2760.7999999999997</v>
      </c>
      <c r="G60" s="2">
        <f t="shared" si="0"/>
        <v>175.20000000000027</v>
      </c>
    </row>
    <row r="61" spans="1:7" x14ac:dyDescent="0.35">
      <c r="A61">
        <v>413</v>
      </c>
      <c r="B61" s="2">
        <f>Inputs!B$6+(Inputs!B$2+Inputs!B$3-Inputs!B$4)*Timelines!$A61</f>
        <v>3636.1580000000004</v>
      </c>
      <c r="C61" s="2">
        <f>Inputs!B$5*Timelines!$A61</f>
        <v>2430.0920000000001</v>
      </c>
      <c r="D61" s="2">
        <f t="shared" si="1"/>
        <v>1206.0660000000003</v>
      </c>
      <c r="E61" s="2">
        <f>Inputs!C$6+(Inputs!C$2+Inputs!C$3-Inputs!C$4)*Timelines!$A61</f>
        <v>2978</v>
      </c>
      <c r="F61">
        <f>Inputs!C$5*Timelines!$A61</f>
        <v>2808.4</v>
      </c>
      <c r="G61" s="2">
        <f t="shared" si="0"/>
        <v>169.59999999999991</v>
      </c>
    </row>
    <row r="62" spans="1:7" x14ac:dyDescent="0.35">
      <c r="A62">
        <v>420</v>
      </c>
      <c r="B62" s="2">
        <f>Inputs!B$6+(Inputs!B$2+Inputs!B$3-Inputs!B$4)*Timelines!$A62</f>
        <v>3680.7200000000003</v>
      </c>
      <c r="C62" s="2">
        <f>Inputs!B$5*Timelines!$A62</f>
        <v>2471.2800000000002</v>
      </c>
      <c r="D62" s="2">
        <f t="shared" si="1"/>
        <v>1209.44</v>
      </c>
      <c r="E62" s="2">
        <f>Inputs!C$6+(Inputs!C$2+Inputs!C$3-Inputs!C$4)*Timelines!$A62</f>
        <v>3020</v>
      </c>
      <c r="F62">
        <f>Inputs!C$5*Timelines!$A62</f>
        <v>2856</v>
      </c>
      <c r="G62" s="2">
        <f t="shared" si="0"/>
        <v>164</v>
      </c>
    </row>
    <row r="63" spans="1:7" x14ac:dyDescent="0.35">
      <c r="A63">
        <v>427</v>
      </c>
      <c r="B63" s="2">
        <f>Inputs!B$6+(Inputs!B$2+Inputs!B$3-Inputs!B$4)*Timelines!$A63</f>
        <v>3725.2820000000002</v>
      </c>
      <c r="C63" s="2">
        <f>Inputs!B$5*Timelines!$A63</f>
        <v>2512.4680000000003</v>
      </c>
      <c r="D63" s="2">
        <f t="shared" si="1"/>
        <v>1212.8139999999999</v>
      </c>
      <c r="E63" s="2">
        <f>Inputs!C$6+(Inputs!C$2+Inputs!C$3-Inputs!C$4)*Timelines!$A63</f>
        <v>3062</v>
      </c>
      <c r="F63">
        <f>Inputs!C$5*Timelines!$A63</f>
        <v>2903.6</v>
      </c>
      <c r="G63" s="2">
        <f t="shared" si="0"/>
        <v>158.40000000000009</v>
      </c>
    </row>
    <row r="64" spans="1:7" x14ac:dyDescent="0.35">
      <c r="A64">
        <v>434</v>
      </c>
      <c r="B64" s="2">
        <f>Inputs!B$6+(Inputs!B$2+Inputs!B$3-Inputs!B$4)*Timelines!$A64</f>
        <v>3769.8440000000001</v>
      </c>
      <c r="C64" s="2">
        <f>Inputs!B$5*Timelines!$A64</f>
        <v>2553.6559999999999</v>
      </c>
      <c r="D64" s="2">
        <f t="shared" si="1"/>
        <v>1216.1880000000001</v>
      </c>
      <c r="E64" s="2">
        <f>Inputs!C$6+(Inputs!C$2+Inputs!C$3-Inputs!C$4)*Timelines!$A64</f>
        <v>3104</v>
      </c>
      <c r="F64">
        <f>Inputs!C$5*Timelines!$A64</f>
        <v>2951.2</v>
      </c>
      <c r="G64" s="2">
        <f t="shared" si="0"/>
        <v>152.80000000000018</v>
      </c>
    </row>
    <row r="65" spans="1:7" x14ac:dyDescent="0.35">
      <c r="A65">
        <v>441</v>
      </c>
      <c r="B65" s="2">
        <f>Inputs!B$6+(Inputs!B$2+Inputs!B$3-Inputs!B$4)*Timelines!$A65</f>
        <v>3814.4060000000004</v>
      </c>
      <c r="C65" s="2">
        <f>Inputs!B$5*Timelines!$A65</f>
        <v>2594.8440000000001</v>
      </c>
      <c r="D65" s="2">
        <f t="shared" si="1"/>
        <v>1219.5620000000004</v>
      </c>
      <c r="E65" s="2">
        <f>Inputs!C$6+(Inputs!C$2+Inputs!C$3-Inputs!C$4)*Timelines!$A65</f>
        <v>3146</v>
      </c>
      <c r="F65">
        <f>Inputs!C$5*Timelines!$A65</f>
        <v>2998.7999999999997</v>
      </c>
      <c r="G65" s="2">
        <f t="shared" si="0"/>
        <v>147.20000000000027</v>
      </c>
    </row>
    <row r="66" spans="1:7" x14ac:dyDescent="0.35">
      <c r="A66">
        <v>448</v>
      </c>
      <c r="B66" s="2">
        <f>Inputs!B$6+(Inputs!B$2+Inputs!B$3-Inputs!B$4)*Timelines!$A66</f>
        <v>3858.9680000000003</v>
      </c>
      <c r="C66" s="2">
        <f>Inputs!B$5*Timelines!$A66</f>
        <v>2636.0320000000002</v>
      </c>
      <c r="D66" s="2">
        <f t="shared" si="1"/>
        <v>1222.9360000000001</v>
      </c>
      <c r="E66" s="2">
        <f>Inputs!C$6+(Inputs!C$2+Inputs!C$3-Inputs!C$4)*Timelines!$A66</f>
        <v>3188</v>
      </c>
      <c r="F66">
        <f>Inputs!C$5*Timelines!$A66</f>
        <v>3046.4</v>
      </c>
      <c r="G66" s="2">
        <f t="shared" ref="G66:G129" si="2">IF(E66&lt;F66,0,E66-F66)</f>
        <v>141.59999999999991</v>
      </c>
    </row>
    <row r="67" spans="1:7" x14ac:dyDescent="0.35">
      <c r="A67">
        <v>455</v>
      </c>
      <c r="B67" s="2">
        <f>Inputs!B$6+(Inputs!B$2+Inputs!B$3-Inputs!B$4)*Timelines!$A67</f>
        <v>3903.53</v>
      </c>
      <c r="C67" s="2">
        <f>Inputs!B$5*Timelines!$A67</f>
        <v>2677.2200000000003</v>
      </c>
      <c r="D67" s="2">
        <f t="shared" ref="D67:D130" si="3">IF(B67&lt;C67,0,B67-C67)</f>
        <v>1226.31</v>
      </c>
      <c r="E67" s="2">
        <f>Inputs!C$6+(Inputs!C$2+Inputs!C$3-Inputs!C$4)*Timelines!$A67</f>
        <v>3230</v>
      </c>
      <c r="F67">
        <f>Inputs!C$5*Timelines!$A67</f>
        <v>3094</v>
      </c>
      <c r="G67" s="2">
        <f t="shared" si="2"/>
        <v>136</v>
      </c>
    </row>
    <row r="68" spans="1:7" x14ac:dyDescent="0.35">
      <c r="A68">
        <v>462</v>
      </c>
      <c r="B68" s="2">
        <f>Inputs!B$6+(Inputs!B$2+Inputs!B$3-Inputs!B$4)*Timelines!$A68</f>
        <v>3948.0920000000001</v>
      </c>
      <c r="C68" s="2">
        <f>Inputs!B$5*Timelines!$A68</f>
        <v>2718.4080000000004</v>
      </c>
      <c r="D68" s="2">
        <f t="shared" si="3"/>
        <v>1229.6839999999997</v>
      </c>
      <c r="E68" s="2">
        <f>Inputs!C$6+(Inputs!C$2+Inputs!C$3-Inputs!C$4)*Timelines!$A68</f>
        <v>3272</v>
      </c>
      <c r="F68">
        <f>Inputs!C$5*Timelines!$A68</f>
        <v>3141.6</v>
      </c>
      <c r="G68" s="2">
        <f t="shared" si="2"/>
        <v>130.40000000000009</v>
      </c>
    </row>
    <row r="69" spans="1:7" x14ac:dyDescent="0.35">
      <c r="A69">
        <v>469</v>
      </c>
      <c r="B69" s="2">
        <f>Inputs!B$6+(Inputs!B$2+Inputs!B$3-Inputs!B$4)*Timelines!$A69</f>
        <v>3992.6540000000005</v>
      </c>
      <c r="C69" s="2">
        <f>Inputs!B$5*Timelines!$A69</f>
        <v>2759.596</v>
      </c>
      <c r="D69" s="2">
        <f t="shared" si="3"/>
        <v>1233.0580000000004</v>
      </c>
      <c r="E69" s="2">
        <f>Inputs!C$6+(Inputs!C$2+Inputs!C$3-Inputs!C$4)*Timelines!$A69</f>
        <v>3314</v>
      </c>
      <c r="F69">
        <f>Inputs!C$5*Timelines!$A69</f>
        <v>3189.2</v>
      </c>
      <c r="G69" s="2">
        <f t="shared" si="2"/>
        <v>124.80000000000018</v>
      </c>
    </row>
    <row r="70" spans="1:7" x14ac:dyDescent="0.35">
      <c r="A70">
        <v>476</v>
      </c>
      <c r="B70" s="2">
        <f>Inputs!B$6+(Inputs!B$2+Inputs!B$3-Inputs!B$4)*Timelines!$A70</f>
        <v>4037.2160000000003</v>
      </c>
      <c r="C70" s="2">
        <f>Inputs!B$5*Timelines!$A70</f>
        <v>2800.7840000000001</v>
      </c>
      <c r="D70" s="2">
        <f t="shared" si="3"/>
        <v>1236.4320000000002</v>
      </c>
      <c r="E70" s="2">
        <f>Inputs!C$6+(Inputs!C$2+Inputs!C$3-Inputs!C$4)*Timelines!$A70</f>
        <v>3356</v>
      </c>
      <c r="F70">
        <f>Inputs!C$5*Timelines!$A70</f>
        <v>3236.7999999999997</v>
      </c>
      <c r="G70" s="2">
        <f t="shared" si="2"/>
        <v>119.20000000000027</v>
      </c>
    </row>
    <row r="71" spans="1:7" x14ac:dyDescent="0.35">
      <c r="A71">
        <v>483</v>
      </c>
      <c r="B71" s="2">
        <f>Inputs!B$6+(Inputs!B$2+Inputs!B$3-Inputs!B$4)*Timelines!$A71</f>
        <v>4081.7780000000002</v>
      </c>
      <c r="C71" s="2">
        <f>Inputs!B$5*Timelines!$A71</f>
        <v>2841.9720000000002</v>
      </c>
      <c r="D71" s="2">
        <f t="shared" si="3"/>
        <v>1239.806</v>
      </c>
      <c r="E71" s="2">
        <f>Inputs!C$6+(Inputs!C$2+Inputs!C$3-Inputs!C$4)*Timelines!$A71</f>
        <v>3398</v>
      </c>
      <c r="F71">
        <f>Inputs!C$5*Timelines!$A71</f>
        <v>3284.4</v>
      </c>
      <c r="G71" s="2">
        <f t="shared" si="2"/>
        <v>113.59999999999991</v>
      </c>
    </row>
    <row r="72" spans="1:7" x14ac:dyDescent="0.35">
      <c r="A72">
        <v>490</v>
      </c>
      <c r="B72" s="2">
        <f>Inputs!B$6+(Inputs!B$2+Inputs!B$3-Inputs!B$4)*Timelines!$A72</f>
        <v>4126.34</v>
      </c>
      <c r="C72" s="2">
        <f>Inputs!B$5*Timelines!$A72</f>
        <v>2883.1600000000003</v>
      </c>
      <c r="D72" s="2">
        <f t="shared" si="3"/>
        <v>1243.1799999999998</v>
      </c>
      <c r="E72" s="2">
        <f>Inputs!C$6+(Inputs!C$2+Inputs!C$3-Inputs!C$4)*Timelines!$A72</f>
        <v>3440</v>
      </c>
      <c r="F72">
        <f>Inputs!C$5*Timelines!$A72</f>
        <v>3332</v>
      </c>
      <c r="G72" s="2">
        <f t="shared" si="2"/>
        <v>108</v>
      </c>
    </row>
    <row r="73" spans="1:7" x14ac:dyDescent="0.35">
      <c r="A73">
        <v>497</v>
      </c>
      <c r="B73" s="2">
        <f>Inputs!B$6+(Inputs!B$2+Inputs!B$3-Inputs!B$4)*Timelines!$A73</f>
        <v>4170.902</v>
      </c>
      <c r="C73" s="2">
        <f>Inputs!B$5*Timelines!$A73</f>
        <v>2924.348</v>
      </c>
      <c r="D73" s="2">
        <f t="shared" si="3"/>
        <v>1246.5540000000001</v>
      </c>
      <c r="E73" s="2">
        <f>Inputs!C$6+(Inputs!C$2+Inputs!C$3-Inputs!C$4)*Timelines!$A73</f>
        <v>3482</v>
      </c>
      <c r="F73">
        <f>Inputs!C$5*Timelines!$A73</f>
        <v>3379.6</v>
      </c>
      <c r="G73" s="2">
        <f t="shared" si="2"/>
        <v>102.40000000000009</v>
      </c>
    </row>
    <row r="74" spans="1:7" x14ac:dyDescent="0.35">
      <c r="A74">
        <v>504</v>
      </c>
      <c r="B74" s="2">
        <f>Inputs!B$6+(Inputs!B$2+Inputs!B$3-Inputs!B$4)*Timelines!$A74</f>
        <v>4215.4639999999999</v>
      </c>
      <c r="C74" s="2">
        <f>Inputs!B$5*Timelines!$A74</f>
        <v>2965.5360000000001</v>
      </c>
      <c r="D74" s="2">
        <f t="shared" si="3"/>
        <v>1249.9279999999999</v>
      </c>
      <c r="E74" s="2">
        <f>Inputs!C$6+(Inputs!C$2+Inputs!C$3-Inputs!C$4)*Timelines!$A74</f>
        <v>3524</v>
      </c>
      <c r="F74">
        <f>Inputs!C$5*Timelines!$A74</f>
        <v>3427.2</v>
      </c>
      <c r="G74" s="2">
        <f t="shared" si="2"/>
        <v>96.800000000000182</v>
      </c>
    </row>
    <row r="75" spans="1:7" x14ac:dyDescent="0.35">
      <c r="A75">
        <v>511</v>
      </c>
      <c r="B75" s="2">
        <f>Inputs!B$6+(Inputs!B$2+Inputs!B$3-Inputs!B$4)*Timelines!$A75</f>
        <v>4260.0259999999998</v>
      </c>
      <c r="C75" s="2">
        <f>Inputs!B$5*Timelines!$A75</f>
        <v>3006.7240000000002</v>
      </c>
      <c r="D75" s="2">
        <f t="shared" si="3"/>
        <v>1253.3019999999997</v>
      </c>
      <c r="E75" s="2">
        <f>Inputs!C$6+(Inputs!C$2+Inputs!C$3-Inputs!C$4)*Timelines!$A75</f>
        <v>3566</v>
      </c>
      <c r="F75">
        <f>Inputs!C$5*Timelines!$A75</f>
        <v>3474.7999999999997</v>
      </c>
      <c r="G75" s="2">
        <f t="shared" si="2"/>
        <v>91.200000000000273</v>
      </c>
    </row>
    <row r="76" spans="1:7" x14ac:dyDescent="0.35">
      <c r="A76">
        <v>518</v>
      </c>
      <c r="B76" s="2">
        <f>Inputs!B$6+(Inputs!B$2+Inputs!B$3-Inputs!B$4)*Timelines!$A76</f>
        <v>4304.5879999999997</v>
      </c>
      <c r="C76" s="2">
        <f>Inputs!B$5*Timelines!$A76</f>
        <v>3047.9120000000003</v>
      </c>
      <c r="D76" s="2">
        <f t="shared" si="3"/>
        <v>1256.6759999999995</v>
      </c>
      <c r="E76" s="2">
        <f>Inputs!C$6+(Inputs!C$2+Inputs!C$3-Inputs!C$4)*Timelines!$A76</f>
        <v>3608</v>
      </c>
      <c r="F76">
        <f>Inputs!C$5*Timelines!$A76</f>
        <v>3522.4</v>
      </c>
      <c r="G76" s="2">
        <f t="shared" si="2"/>
        <v>85.599999999999909</v>
      </c>
    </row>
    <row r="77" spans="1:7" x14ac:dyDescent="0.35">
      <c r="A77">
        <v>525</v>
      </c>
      <c r="B77" s="2">
        <f>Inputs!B$6+(Inputs!B$2+Inputs!B$3-Inputs!B$4)*Timelines!$A77</f>
        <v>4349.1499999999996</v>
      </c>
      <c r="C77" s="2">
        <f>Inputs!B$5*Timelines!$A77</f>
        <v>3089.1000000000004</v>
      </c>
      <c r="D77" s="2">
        <f t="shared" si="3"/>
        <v>1260.0499999999993</v>
      </c>
      <c r="E77" s="2">
        <f>Inputs!C$6+(Inputs!C$2+Inputs!C$3-Inputs!C$4)*Timelines!$A77</f>
        <v>3650</v>
      </c>
      <c r="F77">
        <f>Inputs!C$5*Timelines!$A77</f>
        <v>3570</v>
      </c>
      <c r="G77" s="2">
        <f t="shared" si="2"/>
        <v>80</v>
      </c>
    </row>
    <row r="78" spans="1:7" x14ac:dyDescent="0.35">
      <c r="A78">
        <v>532</v>
      </c>
      <c r="B78" s="2">
        <f>Inputs!B$6+(Inputs!B$2+Inputs!B$3-Inputs!B$4)*Timelines!$A78</f>
        <v>4393.7120000000004</v>
      </c>
      <c r="C78" s="2">
        <f>Inputs!B$5*Timelines!$A78</f>
        <v>3130.288</v>
      </c>
      <c r="D78" s="2">
        <f t="shared" si="3"/>
        <v>1263.4240000000004</v>
      </c>
      <c r="E78" s="2">
        <f>Inputs!C$6+(Inputs!C$2+Inputs!C$3-Inputs!C$4)*Timelines!$A78</f>
        <v>3692</v>
      </c>
      <c r="F78">
        <f>Inputs!C$5*Timelines!$A78</f>
        <v>3617.6</v>
      </c>
      <c r="G78" s="2">
        <f t="shared" si="2"/>
        <v>74.400000000000091</v>
      </c>
    </row>
    <row r="79" spans="1:7" x14ac:dyDescent="0.35">
      <c r="A79">
        <v>539</v>
      </c>
      <c r="B79" s="2">
        <f>Inputs!B$6+(Inputs!B$2+Inputs!B$3-Inputs!B$4)*Timelines!$A79</f>
        <v>4438.2740000000003</v>
      </c>
      <c r="C79" s="2">
        <f>Inputs!B$5*Timelines!$A79</f>
        <v>3171.4760000000001</v>
      </c>
      <c r="D79" s="2">
        <f t="shared" si="3"/>
        <v>1266.7980000000002</v>
      </c>
      <c r="E79" s="2">
        <f>Inputs!C$6+(Inputs!C$2+Inputs!C$3-Inputs!C$4)*Timelines!$A79</f>
        <v>3734</v>
      </c>
      <c r="F79">
        <f>Inputs!C$5*Timelines!$A79</f>
        <v>3665.2</v>
      </c>
      <c r="G79" s="2">
        <f t="shared" si="2"/>
        <v>68.800000000000182</v>
      </c>
    </row>
    <row r="80" spans="1:7" x14ac:dyDescent="0.35">
      <c r="A80">
        <v>546</v>
      </c>
      <c r="B80" s="2">
        <f>Inputs!B$6+(Inputs!B$2+Inputs!B$3-Inputs!B$4)*Timelines!$A80</f>
        <v>4482.8360000000002</v>
      </c>
      <c r="C80" s="2">
        <f>Inputs!B$5*Timelines!$A80</f>
        <v>3212.6640000000002</v>
      </c>
      <c r="D80" s="2">
        <f t="shared" si="3"/>
        <v>1270.172</v>
      </c>
      <c r="E80" s="2">
        <f>Inputs!C$6+(Inputs!C$2+Inputs!C$3-Inputs!C$4)*Timelines!$A80</f>
        <v>3776</v>
      </c>
      <c r="F80">
        <f>Inputs!C$5*Timelines!$A80</f>
        <v>3712.7999999999997</v>
      </c>
      <c r="G80" s="2">
        <f t="shared" si="2"/>
        <v>63.200000000000273</v>
      </c>
    </row>
    <row r="81" spans="1:7" x14ac:dyDescent="0.35">
      <c r="A81">
        <v>553</v>
      </c>
      <c r="B81" s="2">
        <f>Inputs!B$6+(Inputs!B$2+Inputs!B$3-Inputs!B$4)*Timelines!$A81</f>
        <v>4527.3980000000001</v>
      </c>
      <c r="C81" s="2">
        <f>Inputs!B$5*Timelines!$A81</f>
        <v>3253.8520000000003</v>
      </c>
      <c r="D81" s="2">
        <f t="shared" si="3"/>
        <v>1273.5459999999998</v>
      </c>
      <c r="E81" s="2">
        <f>Inputs!C$6+(Inputs!C$2+Inputs!C$3-Inputs!C$4)*Timelines!$A81</f>
        <v>3818</v>
      </c>
      <c r="F81">
        <f>Inputs!C$5*Timelines!$A81</f>
        <v>3760.4</v>
      </c>
      <c r="G81" s="2">
        <f t="shared" si="2"/>
        <v>57.599999999999909</v>
      </c>
    </row>
    <row r="82" spans="1:7" x14ac:dyDescent="0.35">
      <c r="A82">
        <v>560</v>
      </c>
      <c r="B82" s="2">
        <f>Inputs!B$6+(Inputs!B$2+Inputs!B$3-Inputs!B$4)*Timelines!$A82</f>
        <v>4571.9600000000009</v>
      </c>
      <c r="C82" s="2">
        <f>Inputs!B$5*Timelines!$A82</f>
        <v>3295.04</v>
      </c>
      <c r="D82" s="2">
        <f t="shared" si="3"/>
        <v>1276.920000000001</v>
      </c>
      <c r="E82" s="2">
        <f>Inputs!C$6+(Inputs!C$2+Inputs!C$3-Inputs!C$4)*Timelines!$A82</f>
        <v>3860</v>
      </c>
      <c r="F82">
        <f>Inputs!C$5*Timelines!$A82</f>
        <v>3808</v>
      </c>
      <c r="G82" s="2">
        <f t="shared" si="2"/>
        <v>52</v>
      </c>
    </row>
    <row r="83" spans="1:7" x14ac:dyDescent="0.35">
      <c r="A83">
        <v>567</v>
      </c>
      <c r="B83" s="2">
        <f>Inputs!B$6+(Inputs!B$2+Inputs!B$3-Inputs!B$4)*Timelines!$A83</f>
        <v>4616.5220000000008</v>
      </c>
      <c r="C83" s="2">
        <f>Inputs!B$5*Timelines!$A83</f>
        <v>3336.2280000000001</v>
      </c>
      <c r="D83" s="2">
        <f t="shared" si="3"/>
        <v>1280.2940000000008</v>
      </c>
      <c r="E83" s="2">
        <f>Inputs!C$6+(Inputs!C$2+Inputs!C$3-Inputs!C$4)*Timelines!$A83</f>
        <v>3902</v>
      </c>
      <c r="F83">
        <f>Inputs!C$5*Timelines!$A83</f>
        <v>3855.6</v>
      </c>
      <c r="G83" s="2">
        <f t="shared" si="2"/>
        <v>46.400000000000091</v>
      </c>
    </row>
    <row r="84" spans="1:7" x14ac:dyDescent="0.35">
      <c r="A84">
        <v>574</v>
      </c>
      <c r="B84" s="2">
        <f>Inputs!B$6+(Inputs!B$2+Inputs!B$3-Inputs!B$4)*Timelines!$A84</f>
        <v>4661.0840000000007</v>
      </c>
      <c r="C84" s="2">
        <f>Inputs!B$5*Timelines!$A84</f>
        <v>3377.4160000000002</v>
      </c>
      <c r="D84" s="2">
        <f t="shared" si="3"/>
        <v>1283.6680000000006</v>
      </c>
      <c r="E84" s="2">
        <f>Inputs!C$6+(Inputs!C$2+Inputs!C$3-Inputs!C$4)*Timelines!$A84</f>
        <v>3944</v>
      </c>
      <c r="F84">
        <f>Inputs!C$5*Timelines!$A84</f>
        <v>3903.2</v>
      </c>
      <c r="G84" s="2">
        <f t="shared" si="2"/>
        <v>40.800000000000182</v>
      </c>
    </row>
    <row r="85" spans="1:7" x14ac:dyDescent="0.35">
      <c r="A85">
        <v>581</v>
      </c>
      <c r="B85" s="2">
        <f>Inputs!B$6+(Inputs!B$2+Inputs!B$3-Inputs!B$4)*Timelines!$A85</f>
        <v>4705.6460000000006</v>
      </c>
      <c r="C85" s="2">
        <f>Inputs!B$5*Timelines!$A85</f>
        <v>3418.6040000000003</v>
      </c>
      <c r="D85" s="2">
        <f t="shared" si="3"/>
        <v>1287.0420000000004</v>
      </c>
      <c r="E85" s="2">
        <f>Inputs!C$6+(Inputs!C$2+Inputs!C$3-Inputs!C$4)*Timelines!$A85</f>
        <v>3986</v>
      </c>
      <c r="F85">
        <f>Inputs!C$5*Timelines!$A85</f>
        <v>3950.7999999999997</v>
      </c>
      <c r="G85" s="2">
        <f t="shared" si="2"/>
        <v>35.200000000000273</v>
      </c>
    </row>
    <row r="86" spans="1:7" x14ac:dyDescent="0.35">
      <c r="A86">
        <v>588</v>
      </c>
      <c r="B86" s="2">
        <f>Inputs!B$6+(Inputs!B$2+Inputs!B$3-Inputs!B$4)*Timelines!$A86</f>
        <v>4750.2080000000005</v>
      </c>
      <c r="C86" s="2">
        <f>Inputs!B$5*Timelines!$A86</f>
        <v>3459.7920000000004</v>
      </c>
      <c r="D86" s="2">
        <f t="shared" si="3"/>
        <v>1290.4160000000002</v>
      </c>
      <c r="E86" s="2">
        <f>Inputs!C$6+(Inputs!C$2+Inputs!C$3-Inputs!C$4)*Timelines!$A86</f>
        <v>4028</v>
      </c>
      <c r="F86">
        <f>Inputs!C$5*Timelines!$A86</f>
        <v>3998.4</v>
      </c>
      <c r="G86" s="2">
        <f t="shared" si="2"/>
        <v>29.599999999999909</v>
      </c>
    </row>
    <row r="87" spans="1:7" x14ac:dyDescent="0.35">
      <c r="A87">
        <v>595</v>
      </c>
      <c r="B87" s="2">
        <f>Inputs!B$6+(Inputs!B$2+Inputs!B$3-Inputs!B$4)*Timelines!$A87</f>
        <v>4794.7700000000004</v>
      </c>
      <c r="C87" s="2">
        <f>Inputs!B$5*Timelines!$A87</f>
        <v>3500.98</v>
      </c>
      <c r="D87" s="2">
        <f t="shared" si="3"/>
        <v>1293.7900000000004</v>
      </c>
      <c r="E87" s="2">
        <f>Inputs!C$6+(Inputs!C$2+Inputs!C$3-Inputs!C$4)*Timelines!$A87</f>
        <v>4070</v>
      </c>
      <c r="F87">
        <f>Inputs!C$5*Timelines!$A87</f>
        <v>4046</v>
      </c>
      <c r="G87" s="2">
        <f t="shared" si="2"/>
        <v>24</v>
      </c>
    </row>
    <row r="88" spans="1:7" x14ac:dyDescent="0.35">
      <c r="A88">
        <v>602</v>
      </c>
      <c r="B88" s="2">
        <f>Inputs!B$6+(Inputs!B$2+Inputs!B$3-Inputs!B$4)*Timelines!$A88</f>
        <v>4839.3320000000003</v>
      </c>
      <c r="C88" s="2">
        <f>Inputs!B$5*Timelines!$A88</f>
        <v>3542.1680000000001</v>
      </c>
      <c r="D88" s="2">
        <f t="shared" si="3"/>
        <v>1297.1640000000002</v>
      </c>
      <c r="E88" s="2">
        <f>Inputs!C$6+(Inputs!C$2+Inputs!C$3-Inputs!C$4)*Timelines!$A88</f>
        <v>4112</v>
      </c>
      <c r="F88">
        <f>Inputs!C$5*Timelines!$A88</f>
        <v>4093.6</v>
      </c>
      <c r="G88" s="2">
        <f t="shared" si="2"/>
        <v>18.400000000000091</v>
      </c>
    </row>
    <row r="89" spans="1:7" x14ac:dyDescent="0.35">
      <c r="A89">
        <v>609</v>
      </c>
      <c r="B89" s="2">
        <f>Inputs!B$6+(Inputs!B$2+Inputs!B$3-Inputs!B$4)*Timelines!$A89</f>
        <v>4883.8940000000002</v>
      </c>
      <c r="C89" s="2">
        <f>Inputs!B$5*Timelines!$A89</f>
        <v>3583.3560000000002</v>
      </c>
      <c r="D89" s="2">
        <f t="shared" si="3"/>
        <v>1300.538</v>
      </c>
      <c r="E89" s="2">
        <f>Inputs!C$6+(Inputs!C$2+Inputs!C$3-Inputs!C$4)*Timelines!$A89</f>
        <v>4154</v>
      </c>
      <c r="F89">
        <f>Inputs!C$5*Timelines!$A89</f>
        <v>4141.2</v>
      </c>
      <c r="G89" s="2">
        <f t="shared" si="2"/>
        <v>12.800000000000182</v>
      </c>
    </row>
    <row r="90" spans="1:7" x14ac:dyDescent="0.35">
      <c r="A90">
        <v>616</v>
      </c>
      <c r="B90" s="2">
        <f>Inputs!B$6+(Inputs!B$2+Inputs!B$3-Inputs!B$4)*Timelines!$A90</f>
        <v>4928.4560000000001</v>
      </c>
      <c r="C90" s="2">
        <f>Inputs!B$5*Timelines!$A90</f>
        <v>3624.5440000000003</v>
      </c>
      <c r="D90" s="2">
        <f t="shared" si="3"/>
        <v>1303.9119999999998</v>
      </c>
      <c r="E90" s="2">
        <f>Inputs!C$6+(Inputs!C$2+Inputs!C$3-Inputs!C$4)*Timelines!$A90</f>
        <v>4196</v>
      </c>
      <c r="F90">
        <f>Inputs!C$5*Timelines!$A90</f>
        <v>4188.8</v>
      </c>
      <c r="G90" s="2">
        <f t="shared" si="2"/>
        <v>7.1999999999998181</v>
      </c>
    </row>
    <row r="91" spans="1:7" x14ac:dyDescent="0.35">
      <c r="A91">
        <v>623</v>
      </c>
      <c r="B91" s="2">
        <f>Inputs!B$6+(Inputs!B$2+Inputs!B$3-Inputs!B$4)*Timelines!$A91</f>
        <v>4973.018</v>
      </c>
      <c r="C91" s="2">
        <f>Inputs!B$5*Timelines!$A91</f>
        <v>3665.7320000000004</v>
      </c>
      <c r="D91" s="2">
        <f t="shared" si="3"/>
        <v>1307.2859999999996</v>
      </c>
      <c r="E91" s="2">
        <f>Inputs!C$6+(Inputs!C$2+Inputs!C$3-Inputs!C$4)*Timelines!$A91</f>
        <v>4238</v>
      </c>
      <c r="F91">
        <f>Inputs!C$5*Timelines!$A91</f>
        <v>4236.3999999999996</v>
      </c>
      <c r="G91" s="2">
        <f t="shared" si="2"/>
        <v>1.6000000000003638</v>
      </c>
    </row>
    <row r="92" spans="1:7" x14ac:dyDescent="0.35">
      <c r="A92">
        <v>630</v>
      </c>
      <c r="B92" s="2">
        <f>Inputs!B$6+(Inputs!B$2+Inputs!B$3-Inputs!B$4)*Timelines!$A92</f>
        <v>5017.58</v>
      </c>
      <c r="C92" s="2">
        <f>Inputs!B$5*Timelines!$A92</f>
        <v>3706.92</v>
      </c>
      <c r="D92" s="2">
        <f t="shared" si="3"/>
        <v>1310.6599999999999</v>
      </c>
      <c r="E92" s="2">
        <f>Inputs!C$6+(Inputs!C$2+Inputs!C$3-Inputs!C$4)*Timelines!$A92</f>
        <v>4280</v>
      </c>
      <c r="F92">
        <f>Inputs!C$5*Timelines!$A92</f>
        <v>4284</v>
      </c>
      <c r="G92" s="2">
        <f t="shared" si="2"/>
        <v>0</v>
      </c>
    </row>
    <row r="93" spans="1:7" x14ac:dyDescent="0.35">
      <c r="A93">
        <v>637</v>
      </c>
      <c r="B93" s="2">
        <f>Inputs!B$6+(Inputs!B$2+Inputs!B$3-Inputs!B$4)*Timelines!$A93</f>
        <v>5062.1419999999998</v>
      </c>
      <c r="C93" s="2">
        <f>Inputs!B$5*Timelines!$A93</f>
        <v>3748.1080000000002</v>
      </c>
      <c r="D93" s="2">
        <f t="shared" si="3"/>
        <v>1314.0339999999997</v>
      </c>
      <c r="E93" s="2">
        <f>Inputs!C$6+(Inputs!C$2+Inputs!C$3-Inputs!C$4)*Timelines!$A93</f>
        <v>4322</v>
      </c>
      <c r="F93">
        <f>Inputs!C$5*Timelines!$A93</f>
        <v>4331.5999999999995</v>
      </c>
      <c r="G93" s="2">
        <f t="shared" si="2"/>
        <v>0</v>
      </c>
    </row>
    <row r="94" spans="1:7" x14ac:dyDescent="0.35">
      <c r="A94">
        <v>644</v>
      </c>
      <c r="B94" s="2">
        <f>Inputs!B$6+(Inputs!B$2+Inputs!B$3-Inputs!B$4)*Timelines!$A94</f>
        <v>5106.7040000000006</v>
      </c>
      <c r="C94" s="2">
        <f>Inputs!B$5*Timelines!$A94</f>
        <v>3789.2960000000003</v>
      </c>
      <c r="D94" s="2">
        <f t="shared" si="3"/>
        <v>1317.4080000000004</v>
      </c>
      <c r="E94" s="2">
        <f>Inputs!C$6+(Inputs!C$2+Inputs!C$3-Inputs!C$4)*Timelines!$A94</f>
        <v>4364</v>
      </c>
      <c r="F94">
        <f>Inputs!C$5*Timelines!$A94</f>
        <v>4379.2</v>
      </c>
      <c r="G94" s="2">
        <f t="shared" si="2"/>
        <v>0</v>
      </c>
    </row>
    <row r="95" spans="1:7" x14ac:dyDescent="0.35">
      <c r="A95">
        <v>651</v>
      </c>
      <c r="B95" s="2">
        <f>Inputs!B$6+(Inputs!B$2+Inputs!B$3-Inputs!B$4)*Timelines!$A95</f>
        <v>5151.2660000000005</v>
      </c>
      <c r="C95" s="2">
        <f>Inputs!B$5*Timelines!$A95</f>
        <v>3830.4840000000004</v>
      </c>
      <c r="D95" s="2">
        <f t="shared" si="3"/>
        <v>1320.7820000000002</v>
      </c>
      <c r="E95" s="2">
        <f>Inputs!C$6+(Inputs!C$2+Inputs!C$3-Inputs!C$4)*Timelines!$A95</f>
        <v>4406</v>
      </c>
      <c r="F95">
        <f>Inputs!C$5*Timelines!$A95</f>
        <v>4426.8</v>
      </c>
      <c r="G95" s="2">
        <f t="shared" si="2"/>
        <v>0</v>
      </c>
    </row>
    <row r="96" spans="1:7" x14ac:dyDescent="0.35">
      <c r="A96">
        <v>658</v>
      </c>
      <c r="B96" s="2">
        <f>Inputs!B$6+(Inputs!B$2+Inputs!B$3-Inputs!B$4)*Timelines!$A96</f>
        <v>5195.8280000000004</v>
      </c>
      <c r="C96" s="2">
        <f>Inputs!B$5*Timelines!$A96</f>
        <v>3871.672</v>
      </c>
      <c r="D96" s="2">
        <f t="shared" si="3"/>
        <v>1324.1560000000004</v>
      </c>
      <c r="E96" s="2">
        <f>Inputs!C$6+(Inputs!C$2+Inputs!C$3-Inputs!C$4)*Timelines!$A96</f>
        <v>4448</v>
      </c>
      <c r="F96">
        <f>Inputs!C$5*Timelines!$A96</f>
        <v>4474.3999999999996</v>
      </c>
      <c r="G96" s="2">
        <f t="shared" si="2"/>
        <v>0</v>
      </c>
    </row>
    <row r="97" spans="1:7" x14ac:dyDescent="0.35">
      <c r="A97">
        <v>665</v>
      </c>
      <c r="B97" s="2">
        <f>Inputs!B$6+(Inputs!B$2+Inputs!B$3-Inputs!B$4)*Timelines!$A97</f>
        <v>5240.3900000000003</v>
      </c>
      <c r="C97" s="2">
        <f>Inputs!B$5*Timelines!$A97</f>
        <v>3912.86</v>
      </c>
      <c r="D97" s="2">
        <f t="shared" si="3"/>
        <v>1327.5300000000002</v>
      </c>
      <c r="E97" s="2">
        <f>Inputs!C$6+(Inputs!C$2+Inputs!C$3-Inputs!C$4)*Timelines!$A97</f>
        <v>4490</v>
      </c>
      <c r="F97">
        <f>Inputs!C$5*Timelines!$A97</f>
        <v>4522</v>
      </c>
      <c r="G97" s="2">
        <f t="shared" si="2"/>
        <v>0</v>
      </c>
    </row>
    <row r="98" spans="1:7" x14ac:dyDescent="0.35">
      <c r="A98">
        <v>672</v>
      </c>
      <c r="B98" s="2">
        <f>Inputs!B$6+(Inputs!B$2+Inputs!B$3-Inputs!B$4)*Timelines!$A98</f>
        <v>5284.9520000000002</v>
      </c>
      <c r="C98" s="2">
        <f>Inputs!B$5*Timelines!$A98</f>
        <v>3954.0480000000002</v>
      </c>
      <c r="D98" s="2">
        <f t="shared" si="3"/>
        <v>1330.904</v>
      </c>
      <c r="E98" s="2">
        <f>Inputs!C$6+(Inputs!C$2+Inputs!C$3-Inputs!C$4)*Timelines!$A98</f>
        <v>4532</v>
      </c>
      <c r="F98">
        <f>Inputs!C$5*Timelines!$A98</f>
        <v>4569.5999999999995</v>
      </c>
      <c r="G98" s="2">
        <f t="shared" si="2"/>
        <v>0</v>
      </c>
    </row>
    <row r="99" spans="1:7" x14ac:dyDescent="0.35">
      <c r="A99">
        <v>679</v>
      </c>
      <c r="B99" s="2">
        <f>Inputs!B$6+(Inputs!B$2+Inputs!B$3-Inputs!B$4)*Timelines!$A99</f>
        <v>5329.5140000000001</v>
      </c>
      <c r="C99" s="2">
        <f>Inputs!B$5*Timelines!$A99</f>
        <v>3995.2360000000003</v>
      </c>
      <c r="D99" s="2">
        <f t="shared" si="3"/>
        <v>1334.2779999999998</v>
      </c>
      <c r="E99" s="2">
        <f>Inputs!C$6+(Inputs!C$2+Inputs!C$3-Inputs!C$4)*Timelines!$A99</f>
        <v>4574</v>
      </c>
      <c r="F99">
        <f>Inputs!C$5*Timelines!$A99</f>
        <v>4617.2</v>
      </c>
      <c r="G99" s="2">
        <f t="shared" si="2"/>
        <v>0</v>
      </c>
    </row>
    <row r="100" spans="1:7" x14ac:dyDescent="0.35">
      <c r="A100">
        <v>686</v>
      </c>
      <c r="B100" s="2">
        <f>Inputs!B$6+(Inputs!B$2+Inputs!B$3-Inputs!B$4)*Timelines!$A100</f>
        <v>5374.076</v>
      </c>
      <c r="C100" s="2">
        <f>Inputs!B$5*Timelines!$A100</f>
        <v>4036.4240000000004</v>
      </c>
      <c r="D100" s="2">
        <f t="shared" si="3"/>
        <v>1337.6519999999996</v>
      </c>
      <c r="E100" s="2">
        <f>Inputs!C$6+(Inputs!C$2+Inputs!C$3-Inputs!C$4)*Timelines!$A100</f>
        <v>4616</v>
      </c>
      <c r="F100">
        <f>Inputs!C$5*Timelines!$A100</f>
        <v>4664.8</v>
      </c>
      <c r="G100" s="2">
        <f t="shared" si="2"/>
        <v>0</v>
      </c>
    </row>
    <row r="101" spans="1:7" x14ac:dyDescent="0.35">
      <c r="A101">
        <v>693</v>
      </c>
      <c r="B101" s="2">
        <f>Inputs!B$6+(Inputs!B$2+Inputs!B$3-Inputs!B$4)*Timelines!$A101</f>
        <v>5418.6380000000008</v>
      </c>
      <c r="C101" s="2">
        <f>Inputs!B$5*Timelines!$A101</f>
        <v>4077.6120000000001</v>
      </c>
      <c r="D101" s="2">
        <f t="shared" si="3"/>
        <v>1341.0260000000007</v>
      </c>
      <c r="E101" s="2">
        <f>Inputs!C$6+(Inputs!C$2+Inputs!C$3-Inputs!C$4)*Timelines!$A101</f>
        <v>4658</v>
      </c>
      <c r="F101">
        <f>Inputs!C$5*Timelines!$A101</f>
        <v>4712.3999999999996</v>
      </c>
      <c r="G101" s="2">
        <f t="shared" si="2"/>
        <v>0</v>
      </c>
    </row>
    <row r="102" spans="1:7" x14ac:dyDescent="0.35">
      <c r="A102">
        <v>700</v>
      </c>
      <c r="B102" s="2">
        <f>Inputs!B$6+(Inputs!B$2+Inputs!B$3-Inputs!B$4)*Timelines!$A102</f>
        <v>5463.2000000000007</v>
      </c>
      <c r="C102" s="2">
        <f>Inputs!B$5*Timelines!$A102</f>
        <v>4118.8</v>
      </c>
      <c r="D102" s="2">
        <f t="shared" si="3"/>
        <v>1344.4000000000005</v>
      </c>
      <c r="E102" s="2">
        <f>Inputs!C$6+(Inputs!C$2+Inputs!C$3-Inputs!C$4)*Timelines!$A102</f>
        <v>4700</v>
      </c>
      <c r="F102">
        <f>Inputs!C$5*Timelines!$A102</f>
        <v>4760</v>
      </c>
      <c r="G102" s="2">
        <f t="shared" si="2"/>
        <v>0</v>
      </c>
    </row>
    <row r="103" spans="1:7" x14ac:dyDescent="0.35">
      <c r="A103">
        <v>707</v>
      </c>
      <c r="B103" s="2">
        <f>Inputs!B$6+(Inputs!B$2+Inputs!B$3-Inputs!B$4)*Timelines!$A103</f>
        <v>5507.7620000000006</v>
      </c>
      <c r="C103" s="2">
        <f>Inputs!B$5*Timelines!$A103</f>
        <v>4159.9880000000003</v>
      </c>
      <c r="D103" s="2">
        <f t="shared" si="3"/>
        <v>1347.7740000000003</v>
      </c>
      <c r="E103" s="2">
        <f>Inputs!C$6+(Inputs!C$2+Inputs!C$3-Inputs!C$4)*Timelines!$A103</f>
        <v>4742</v>
      </c>
      <c r="F103">
        <f>Inputs!C$5*Timelines!$A103</f>
        <v>4807.5999999999995</v>
      </c>
      <c r="G103" s="2">
        <f t="shared" si="2"/>
        <v>0</v>
      </c>
    </row>
    <row r="104" spans="1:7" x14ac:dyDescent="0.35">
      <c r="A104">
        <v>714</v>
      </c>
      <c r="B104" s="2">
        <f>Inputs!B$6+(Inputs!B$2+Inputs!B$3-Inputs!B$4)*Timelines!$A104</f>
        <v>5552.3240000000005</v>
      </c>
      <c r="C104" s="2">
        <f>Inputs!B$5*Timelines!$A104</f>
        <v>4201.1760000000004</v>
      </c>
      <c r="D104" s="2">
        <f t="shared" si="3"/>
        <v>1351.1480000000001</v>
      </c>
      <c r="E104" s="2">
        <f>Inputs!C$6+(Inputs!C$2+Inputs!C$3-Inputs!C$4)*Timelines!$A104</f>
        <v>4784</v>
      </c>
      <c r="F104">
        <f>Inputs!C$5*Timelines!$A104</f>
        <v>4855.2</v>
      </c>
      <c r="G104" s="2">
        <f t="shared" si="2"/>
        <v>0</v>
      </c>
    </row>
    <row r="105" spans="1:7" x14ac:dyDescent="0.35">
      <c r="A105">
        <v>721</v>
      </c>
      <c r="B105" s="2">
        <f>Inputs!B$6+(Inputs!B$2+Inputs!B$3-Inputs!B$4)*Timelines!$A105</f>
        <v>5596.8860000000004</v>
      </c>
      <c r="C105" s="2">
        <f>Inputs!B$5*Timelines!$A105</f>
        <v>4242.3640000000005</v>
      </c>
      <c r="D105" s="2">
        <f t="shared" si="3"/>
        <v>1354.5219999999999</v>
      </c>
      <c r="E105" s="2">
        <f>Inputs!C$6+(Inputs!C$2+Inputs!C$3-Inputs!C$4)*Timelines!$A105</f>
        <v>4826</v>
      </c>
      <c r="F105">
        <f>Inputs!C$5*Timelines!$A105</f>
        <v>4902.8</v>
      </c>
      <c r="G105" s="2">
        <f t="shared" si="2"/>
        <v>0</v>
      </c>
    </row>
    <row r="106" spans="1:7" x14ac:dyDescent="0.35">
      <c r="A106">
        <v>728</v>
      </c>
      <c r="B106" s="2">
        <f>Inputs!B$6+(Inputs!B$2+Inputs!B$3-Inputs!B$4)*Timelines!$A106</f>
        <v>5641.4480000000003</v>
      </c>
      <c r="C106" s="2">
        <f>Inputs!B$5*Timelines!$A106</f>
        <v>4283.5520000000006</v>
      </c>
      <c r="D106" s="2">
        <f t="shared" si="3"/>
        <v>1357.8959999999997</v>
      </c>
      <c r="E106" s="2">
        <f>Inputs!C$6+(Inputs!C$2+Inputs!C$3-Inputs!C$4)*Timelines!$A106</f>
        <v>4868</v>
      </c>
      <c r="F106">
        <f>Inputs!C$5*Timelines!$A106</f>
        <v>4950.3999999999996</v>
      </c>
      <c r="G106" s="2">
        <f t="shared" si="2"/>
        <v>0</v>
      </c>
    </row>
    <row r="107" spans="1:7" x14ac:dyDescent="0.35">
      <c r="A107">
        <v>735</v>
      </c>
      <c r="B107" s="2">
        <f>Inputs!B$6+(Inputs!B$2+Inputs!B$3-Inputs!B$4)*Timelines!$A107</f>
        <v>5686.01</v>
      </c>
      <c r="C107" s="2">
        <f>Inputs!B$5*Timelines!$A107</f>
        <v>4324.7400000000007</v>
      </c>
      <c r="D107" s="2">
        <f t="shared" si="3"/>
        <v>1361.2699999999995</v>
      </c>
      <c r="E107" s="2">
        <f>Inputs!C$6+(Inputs!C$2+Inputs!C$3-Inputs!C$4)*Timelines!$A107</f>
        <v>4910</v>
      </c>
      <c r="F107">
        <f>Inputs!C$5*Timelines!$A107</f>
        <v>4998</v>
      </c>
      <c r="G107" s="2">
        <f t="shared" si="2"/>
        <v>0</v>
      </c>
    </row>
    <row r="108" spans="1:7" x14ac:dyDescent="0.35">
      <c r="A108">
        <v>742</v>
      </c>
      <c r="B108" s="2">
        <f>Inputs!B$6+(Inputs!B$2+Inputs!B$3-Inputs!B$4)*Timelines!$A108</f>
        <v>5730.5720000000001</v>
      </c>
      <c r="C108" s="2">
        <f>Inputs!B$5*Timelines!$A108</f>
        <v>4365.9279999999999</v>
      </c>
      <c r="D108" s="2">
        <f t="shared" si="3"/>
        <v>1364.6440000000002</v>
      </c>
      <c r="E108" s="2">
        <f>Inputs!C$6+(Inputs!C$2+Inputs!C$3-Inputs!C$4)*Timelines!$A108</f>
        <v>4952</v>
      </c>
      <c r="F108">
        <f>Inputs!C$5*Timelines!$A108</f>
        <v>5045.5999999999995</v>
      </c>
      <c r="G108" s="2">
        <f t="shared" si="2"/>
        <v>0</v>
      </c>
    </row>
    <row r="109" spans="1:7" x14ac:dyDescent="0.35">
      <c r="A109">
        <v>749</v>
      </c>
      <c r="B109" s="2">
        <f>Inputs!B$6+(Inputs!B$2+Inputs!B$3-Inputs!B$4)*Timelines!$A109</f>
        <v>5775.134</v>
      </c>
      <c r="C109" s="2">
        <f>Inputs!B$5*Timelines!$A109</f>
        <v>4407.116</v>
      </c>
      <c r="D109" s="2">
        <f t="shared" si="3"/>
        <v>1368.018</v>
      </c>
      <c r="E109" s="2">
        <f>Inputs!C$6+(Inputs!C$2+Inputs!C$3-Inputs!C$4)*Timelines!$A109</f>
        <v>4994</v>
      </c>
      <c r="F109">
        <f>Inputs!C$5*Timelines!$A109</f>
        <v>5093.2</v>
      </c>
      <c r="G109" s="2">
        <f t="shared" si="2"/>
        <v>0</v>
      </c>
    </row>
    <row r="110" spans="1:7" x14ac:dyDescent="0.35">
      <c r="A110">
        <v>756</v>
      </c>
      <c r="B110" s="2">
        <f>Inputs!B$6+(Inputs!B$2+Inputs!B$3-Inputs!B$4)*Timelines!$A110</f>
        <v>5819.6960000000008</v>
      </c>
      <c r="C110" s="2">
        <f>Inputs!B$5*Timelines!$A110</f>
        <v>4448.3040000000001</v>
      </c>
      <c r="D110" s="2">
        <f t="shared" si="3"/>
        <v>1371.3920000000007</v>
      </c>
      <c r="E110" s="2">
        <f>Inputs!C$6+(Inputs!C$2+Inputs!C$3-Inputs!C$4)*Timelines!$A110</f>
        <v>5036</v>
      </c>
      <c r="F110">
        <f>Inputs!C$5*Timelines!$A110</f>
        <v>5140.8</v>
      </c>
      <c r="G110" s="2">
        <f t="shared" si="2"/>
        <v>0</v>
      </c>
    </row>
    <row r="111" spans="1:7" x14ac:dyDescent="0.35">
      <c r="A111">
        <v>763</v>
      </c>
      <c r="B111" s="2">
        <f>Inputs!B$6+(Inputs!B$2+Inputs!B$3-Inputs!B$4)*Timelines!$A111</f>
        <v>5864.2580000000007</v>
      </c>
      <c r="C111" s="2">
        <f>Inputs!B$5*Timelines!$A111</f>
        <v>4489.4920000000002</v>
      </c>
      <c r="D111" s="2">
        <f t="shared" si="3"/>
        <v>1374.7660000000005</v>
      </c>
      <c r="E111" s="2">
        <f>Inputs!C$6+(Inputs!C$2+Inputs!C$3-Inputs!C$4)*Timelines!$A111</f>
        <v>5078</v>
      </c>
      <c r="F111">
        <f>Inputs!C$5*Timelines!$A111</f>
        <v>5188.3999999999996</v>
      </c>
      <c r="G111" s="2">
        <f t="shared" si="2"/>
        <v>0</v>
      </c>
    </row>
    <row r="112" spans="1:7" x14ac:dyDescent="0.35">
      <c r="A112">
        <v>770</v>
      </c>
      <c r="B112" s="2">
        <f>Inputs!B$6+(Inputs!B$2+Inputs!B$3-Inputs!B$4)*Timelines!$A112</f>
        <v>5908.8200000000006</v>
      </c>
      <c r="C112" s="2">
        <f>Inputs!B$5*Timelines!$A112</f>
        <v>4530.68</v>
      </c>
      <c r="D112" s="2">
        <f t="shared" si="3"/>
        <v>1378.1400000000003</v>
      </c>
      <c r="E112" s="2">
        <f>Inputs!C$6+(Inputs!C$2+Inputs!C$3-Inputs!C$4)*Timelines!$A112</f>
        <v>5120</v>
      </c>
      <c r="F112">
        <f>Inputs!C$5*Timelines!$A112</f>
        <v>5236</v>
      </c>
      <c r="G112" s="2">
        <f t="shared" si="2"/>
        <v>0</v>
      </c>
    </row>
    <row r="113" spans="1:7" x14ac:dyDescent="0.35">
      <c r="A113">
        <v>777</v>
      </c>
      <c r="B113" s="2">
        <f>Inputs!B$6+(Inputs!B$2+Inputs!B$3-Inputs!B$4)*Timelines!$A113</f>
        <v>5953.3820000000005</v>
      </c>
      <c r="C113" s="2">
        <f>Inputs!B$5*Timelines!$A113</f>
        <v>4571.8680000000004</v>
      </c>
      <c r="D113" s="2">
        <f t="shared" si="3"/>
        <v>1381.5140000000001</v>
      </c>
      <c r="E113" s="2">
        <f>Inputs!C$6+(Inputs!C$2+Inputs!C$3-Inputs!C$4)*Timelines!$A113</f>
        <v>5162</v>
      </c>
      <c r="F113">
        <f>Inputs!C$5*Timelines!$A113</f>
        <v>5283.5999999999995</v>
      </c>
      <c r="G113" s="2">
        <f t="shared" si="2"/>
        <v>0</v>
      </c>
    </row>
    <row r="114" spans="1:7" x14ac:dyDescent="0.35">
      <c r="A114">
        <v>784</v>
      </c>
      <c r="B114" s="2">
        <f>Inputs!B$6+(Inputs!B$2+Inputs!B$3-Inputs!B$4)*Timelines!$A114</f>
        <v>5997.9440000000004</v>
      </c>
      <c r="C114" s="2">
        <f>Inputs!B$5*Timelines!$A114</f>
        <v>4613.0560000000005</v>
      </c>
      <c r="D114" s="2">
        <f t="shared" si="3"/>
        <v>1384.8879999999999</v>
      </c>
      <c r="E114" s="2">
        <f>Inputs!C$6+(Inputs!C$2+Inputs!C$3-Inputs!C$4)*Timelines!$A114</f>
        <v>5204</v>
      </c>
      <c r="F114">
        <f>Inputs!C$5*Timelines!$A114</f>
        <v>5331.2</v>
      </c>
      <c r="G114" s="2">
        <f t="shared" si="2"/>
        <v>0</v>
      </c>
    </row>
    <row r="115" spans="1:7" x14ac:dyDescent="0.35">
      <c r="A115">
        <v>791</v>
      </c>
      <c r="B115" s="2">
        <f>Inputs!B$6+(Inputs!B$2+Inputs!B$3-Inputs!B$4)*Timelines!$A115</f>
        <v>6042.5060000000003</v>
      </c>
      <c r="C115" s="2">
        <f>Inputs!B$5*Timelines!$A115</f>
        <v>4654.2440000000006</v>
      </c>
      <c r="D115" s="2">
        <f t="shared" si="3"/>
        <v>1388.2619999999997</v>
      </c>
      <c r="E115" s="2">
        <f>Inputs!C$6+(Inputs!C$2+Inputs!C$3-Inputs!C$4)*Timelines!$A115</f>
        <v>5246</v>
      </c>
      <c r="F115">
        <f>Inputs!C$5*Timelines!$A115</f>
        <v>5378.8</v>
      </c>
      <c r="G115" s="2">
        <f t="shared" si="2"/>
        <v>0</v>
      </c>
    </row>
    <row r="116" spans="1:7" x14ac:dyDescent="0.35">
      <c r="A116">
        <v>798</v>
      </c>
      <c r="B116" s="2">
        <f>Inputs!B$6+(Inputs!B$2+Inputs!B$3-Inputs!B$4)*Timelines!$A116</f>
        <v>6087.0680000000002</v>
      </c>
      <c r="C116" s="2">
        <f>Inputs!B$5*Timelines!$A116</f>
        <v>4695.4320000000007</v>
      </c>
      <c r="D116" s="2">
        <f t="shared" si="3"/>
        <v>1391.6359999999995</v>
      </c>
      <c r="E116" s="2">
        <f>Inputs!C$6+(Inputs!C$2+Inputs!C$3-Inputs!C$4)*Timelines!$A116</f>
        <v>5288</v>
      </c>
      <c r="F116">
        <f>Inputs!C$5*Timelines!$A116</f>
        <v>5426.4</v>
      </c>
      <c r="G116" s="2">
        <f t="shared" si="2"/>
        <v>0</v>
      </c>
    </row>
    <row r="117" spans="1:7" x14ac:dyDescent="0.35">
      <c r="A117">
        <v>805</v>
      </c>
      <c r="B117" s="2">
        <f>Inputs!B$6+(Inputs!B$2+Inputs!B$3-Inputs!B$4)*Timelines!$A117</f>
        <v>6131.63</v>
      </c>
      <c r="C117" s="2">
        <f>Inputs!B$5*Timelines!$A117</f>
        <v>4736.62</v>
      </c>
      <c r="D117" s="2">
        <f t="shared" si="3"/>
        <v>1395.0100000000002</v>
      </c>
      <c r="E117" s="2">
        <f>Inputs!C$6+(Inputs!C$2+Inputs!C$3-Inputs!C$4)*Timelines!$A117</f>
        <v>5330</v>
      </c>
      <c r="F117">
        <f>Inputs!C$5*Timelines!$A117</f>
        <v>5474</v>
      </c>
      <c r="G117" s="2">
        <f t="shared" si="2"/>
        <v>0</v>
      </c>
    </row>
    <row r="118" spans="1:7" x14ac:dyDescent="0.35">
      <c r="A118">
        <v>812</v>
      </c>
      <c r="B118" s="2">
        <f>Inputs!B$6+(Inputs!B$2+Inputs!B$3-Inputs!B$4)*Timelines!$A118</f>
        <v>6176.192</v>
      </c>
      <c r="C118" s="2">
        <f>Inputs!B$5*Timelines!$A118</f>
        <v>4777.808</v>
      </c>
      <c r="D118" s="2">
        <f t="shared" si="3"/>
        <v>1398.384</v>
      </c>
      <c r="E118" s="2">
        <f>Inputs!C$6+(Inputs!C$2+Inputs!C$3-Inputs!C$4)*Timelines!$A118</f>
        <v>5372</v>
      </c>
      <c r="F118">
        <f>Inputs!C$5*Timelines!$A118</f>
        <v>5521.5999999999995</v>
      </c>
      <c r="G118" s="2">
        <f t="shared" si="2"/>
        <v>0</v>
      </c>
    </row>
    <row r="119" spans="1:7" x14ac:dyDescent="0.35">
      <c r="A119">
        <v>819</v>
      </c>
      <c r="B119" s="2">
        <f>Inputs!B$6+(Inputs!B$2+Inputs!B$3-Inputs!B$4)*Timelines!$A119</f>
        <v>6220.7540000000008</v>
      </c>
      <c r="C119" s="2">
        <f>Inputs!B$5*Timelines!$A119</f>
        <v>4818.9960000000001</v>
      </c>
      <c r="D119" s="2">
        <f t="shared" si="3"/>
        <v>1401.7580000000007</v>
      </c>
      <c r="E119" s="2">
        <f>Inputs!C$6+(Inputs!C$2+Inputs!C$3-Inputs!C$4)*Timelines!$A119</f>
        <v>5414</v>
      </c>
      <c r="F119">
        <f>Inputs!C$5*Timelines!$A119</f>
        <v>5569.2</v>
      </c>
      <c r="G119" s="2">
        <f t="shared" si="2"/>
        <v>0</v>
      </c>
    </row>
    <row r="120" spans="1:7" x14ac:dyDescent="0.35">
      <c r="A120">
        <v>826</v>
      </c>
      <c r="B120" s="2">
        <f>Inputs!B$6+(Inputs!B$2+Inputs!B$3-Inputs!B$4)*Timelines!$A120</f>
        <v>6265.3160000000007</v>
      </c>
      <c r="C120" s="2">
        <f>Inputs!B$5*Timelines!$A120</f>
        <v>4860.1840000000002</v>
      </c>
      <c r="D120" s="2">
        <f t="shared" si="3"/>
        <v>1405.1320000000005</v>
      </c>
      <c r="E120" s="2">
        <f>Inputs!C$6+(Inputs!C$2+Inputs!C$3-Inputs!C$4)*Timelines!$A120</f>
        <v>5456</v>
      </c>
      <c r="F120">
        <f>Inputs!C$5*Timelines!$A120</f>
        <v>5616.8</v>
      </c>
      <c r="G120" s="2">
        <f t="shared" si="2"/>
        <v>0</v>
      </c>
    </row>
    <row r="121" spans="1:7" x14ac:dyDescent="0.35">
      <c r="A121">
        <v>833</v>
      </c>
      <c r="B121" s="2">
        <f>Inputs!B$6+(Inputs!B$2+Inputs!B$3-Inputs!B$4)*Timelines!$A121</f>
        <v>6309.8780000000006</v>
      </c>
      <c r="C121" s="2">
        <f>Inputs!B$5*Timelines!$A121</f>
        <v>4901.3720000000003</v>
      </c>
      <c r="D121" s="2">
        <f t="shared" si="3"/>
        <v>1408.5060000000003</v>
      </c>
      <c r="E121" s="2">
        <f>Inputs!C$6+(Inputs!C$2+Inputs!C$3-Inputs!C$4)*Timelines!$A121</f>
        <v>5498</v>
      </c>
      <c r="F121">
        <f>Inputs!C$5*Timelines!$A121</f>
        <v>5664.4</v>
      </c>
      <c r="G121" s="2">
        <f t="shared" si="2"/>
        <v>0</v>
      </c>
    </row>
    <row r="122" spans="1:7" x14ac:dyDescent="0.35">
      <c r="A122">
        <v>840</v>
      </c>
      <c r="B122" s="2">
        <f>Inputs!B$6+(Inputs!B$2+Inputs!B$3-Inputs!B$4)*Timelines!$A122</f>
        <v>6354.4400000000005</v>
      </c>
      <c r="C122" s="2">
        <f>Inputs!B$5*Timelines!$A122</f>
        <v>4942.5600000000004</v>
      </c>
      <c r="D122" s="2">
        <f t="shared" si="3"/>
        <v>1411.88</v>
      </c>
      <c r="E122" s="2">
        <f>Inputs!C$6+(Inputs!C$2+Inputs!C$3-Inputs!C$4)*Timelines!$A122</f>
        <v>5540</v>
      </c>
      <c r="F122">
        <f>Inputs!C$5*Timelines!$A122</f>
        <v>5712</v>
      </c>
      <c r="G122" s="2">
        <f t="shared" si="2"/>
        <v>0</v>
      </c>
    </row>
    <row r="123" spans="1:7" x14ac:dyDescent="0.35">
      <c r="A123">
        <v>847</v>
      </c>
      <c r="B123" s="2">
        <f>Inputs!B$6+(Inputs!B$2+Inputs!B$3-Inputs!B$4)*Timelines!$A123</f>
        <v>6399.0020000000004</v>
      </c>
      <c r="C123" s="2">
        <f>Inputs!B$5*Timelines!$A123</f>
        <v>4983.7480000000005</v>
      </c>
      <c r="D123" s="2">
        <f t="shared" si="3"/>
        <v>1415.2539999999999</v>
      </c>
      <c r="E123" s="2">
        <f>Inputs!C$6+(Inputs!C$2+Inputs!C$3-Inputs!C$4)*Timelines!$A123</f>
        <v>5582</v>
      </c>
      <c r="F123">
        <f>Inputs!C$5*Timelines!$A123</f>
        <v>5759.5999999999995</v>
      </c>
      <c r="G123" s="2">
        <f t="shared" si="2"/>
        <v>0</v>
      </c>
    </row>
    <row r="124" spans="1:7" x14ac:dyDescent="0.35">
      <c r="A124">
        <v>854</v>
      </c>
      <c r="B124" s="2">
        <f>Inputs!B$6+(Inputs!B$2+Inputs!B$3-Inputs!B$4)*Timelines!$A124</f>
        <v>6443.5640000000003</v>
      </c>
      <c r="C124" s="2">
        <f>Inputs!B$5*Timelines!$A124</f>
        <v>5024.9360000000006</v>
      </c>
      <c r="D124" s="2">
        <f t="shared" si="3"/>
        <v>1418.6279999999997</v>
      </c>
      <c r="E124" s="2">
        <f>Inputs!C$6+(Inputs!C$2+Inputs!C$3-Inputs!C$4)*Timelines!$A124</f>
        <v>5624</v>
      </c>
      <c r="F124">
        <f>Inputs!C$5*Timelines!$A124</f>
        <v>5807.2</v>
      </c>
      <c r="G124" s="2">
        <f t="shared" si="2"/>
        <v>0</v>
      </c>
    </row>
    <row r="125" spans="1:7" x14ac:dyDescent="0.35">
      <c r="A125">
        <v>861</v>
      </c>
      <c r="B125" s="2">
        <f>Inputs!B$6+(Inputs!B$2+Inputs!B$3-Inputs!B$4)*Timelines!$A125</f>
        <v>6488.1260000000002</v>
      </c>
      <c r="C125" s="2">
        <f>Inputs!B$5*Timelines!$A125</f>
        <v>5066.1240000000007</v>
      </c>
      <c r="D125" s="2">
        <f t="shared" si="3"/>
        <v>1422.0019999999995</v>
      </c>
      <c r="E125" s="2">
        <f>Inputs!C$6+(Inputs!C$2+Inputs!C$3-Inputs!C$4)*Timelines!$A125</f>
        <v>5666</v>
      </c>
      <c r="F125">
        <f>Inputs!C$5*Timelines!$A125</f>
        <v>5854.8</v>
      </c>
      <c r="G125" s="2">
        <f t="shared" si="2"/>
        <v>0</v>
      </c>
    </row>
    <row r="126" spans="1:7" x14ac:dyDescent="0.35">
      <c r="A126">
        <v>868</v>
      </c>
      <c r="B126" s="2">
        <f>Inputs!B$6+(Inputs!B$2+Inputs!B$3-Inputs!B$4)*Timelines!$A126</f>
        <v>6532.6880000000001</v>
      </c>
      <c r="C126" s="2">
        <f>Inputs!B$5*Timelines!$A126</f>
        <v>5107.3119999999999</v>
      </c>
      <c r="D126" s="2">
        <f t="shared" si="3"/>
        <v>1425.3760000000002</v>
      </c>
      <c r="E126" s="2">
        <f>Inputs!C$6+(Inputs!C$2+Inputs!C$3-Inputs!C$4)*Timelines!$A126</f>
        <v>5708</v>
      </c>
      <c r="F126">
        <f>Inputs!C$5*Timelines!$A126</f>
        <v>5902.4</v>
      </c>
      <c r="G126" s="2">
        <f t="shared" si="2"/>
        <v>0</v>
      </c>
    </row>
    <row r="127" spans="1:7" x14ac:dyDescent="0.35">
      <c r="A127">
        <v>875</v>
      </c>
      <c r="B127" s="2">
        <f>Inputs!B$6+(Inputs!B$2+Inputs!B$3-Inputs!B$4)*Timelines!$A127</f>
        <v>6577.2500000000009</v>
      </c>
      <c r="C127" s="2">
        <f>Inputs!B$5*Timelines!$A127</f>
        <v>5148.5</v>
      </c>
      <c r="D127" s="2">
        <f t="shared" si="3"/>
        <v>1428.7500000000009</v>
      </c>
      <c r="E127" s="2">
        <f>Inputs!C$6+(Inputs!C$2+Inputs!C$3-Inputs!C$4)*Timelines!$A127</f>
        <v>5750</v>
      </c>
      <c r="F127">
        <f>Inputs!C$5*Timelines!$A127</f>
        <v>5950</v>
      </c>
      <c r="G127" s="2">
        <f t="shared" si="2"/>
        <v>0</v>
      </c>
    </row>
    <row r="128" spans="1:7" x14ac:dyDescent="0.35">
      <c r="A128">
        <v>882</v>
      </c>
      <c r="B128" s="2">
        <f>Inputs!B$6+(Inputs!B$2+Inputs!B$3-Inputs!B$4)*Timelines!$A128</f>
        <v>6621.8120000000008</v>
      </c>
      <c r="C128" s="2">
        <f>Inputs!B$5*Timelines!$A128</f>
        <v>5189.6880000000001</v>
      </c>
      <c r="D128" s="2">
        <f t="shared" si="3"/>
        <v>1432.1240000000007</v>
      </c>
      <c r="E128" s="2">
        <f>Inputs!C$6+(Inputs!C$2+Inputs!C$3-Inputs!C$4)*Timelines!$A128</f>
        <v>5792</v>
      </c>
      <c r="F128">
        <f>Inputs!C$5*Timelines!$A128</f>
        <v>5997.5999999999995</v>
      </c>
      <c r="G128" s="2">
        <f t="shared" si="2"/>
        <v>0</v>
      </c>
    </row>
    <row r="129" spans="1:7" x14ac:dyDescent="0.35">
      <c r="A129">
        <v>889</v>
      </c>
      <c r="B129" s="2">
        <f>Inputs!B$6+(Inputs!B$2+Inputs!B$3-Inputs!B$4)*Timelines!$A129</f>
        <v>6666.3740000000007</v>
      </c>
      <c r="C129" s="2">
        <f>Inputs!B$5*Timelines!$A129</f>
        <v>5230.8760000000002</v>
      </c>
      <c r="D129" s="2">
        <f t="shared" si="3"/>
        <v>1435.4980000000005</v>
      </c>
      <c r="E129" s="2">
        <f>Inputs!C$6+(Inputs!C$2+Inputs!C$3-Inputs!C$4)*Timelines!$A129</f>
        <v>5834</v>
      </c>
      <c r="F129">
        <f>Inputs!C$5*Timelines!$A129</f>
        <v>6045.2</v>
      </c>
      <c r="G129" s="2">
        <f t="shared" si="2"/>
        <v>0</v>
      </c>
    </row>
    <row r="130" spans="1:7" x14ac:dyDescent="0.35">
      <c r="A130">
        <v>896</v>
      </c>
      <c r="B130" s="2">
        <f>Inputs!B$6+(Inputs!B$2+Inputs!B$3-Inputs!B$4)*Timelines!$A130</f>
        <v>6710.9360000000006</v>
      </c>
      <c r="C130" s="2">
        <f>Inputs!B$5*Timelines!$A130</f>
        <v>5272.0640000000003</v>
      </c>
      <c r="D130" s="2">
        <f t="shared" si="3"/>
        <v>1438.8720000000003</v>
      </c>
      <c r="E130" s="2">
        <f>Inputs!C$6+(Inputs!C$2+Inputs!C$3-Inputs!C$4)*Timelines!$A130</f>
        <v>5876</v>
      </c>
      <c r="F130">
        <f>Inputs!C$5*Timelines!$A130</f>
        <v>6092.8</v>
      </c>
      <c r="G130" s="2">
        <f t="shared" ref="G130:G193" si="4">IF(E130&lt;F130,0,E130-F130)</f>
        <v>0</v>
      </c>
    </row>
    <row r="131" spans="1:7" x14ac:dyDescent="0.35">
      <c r="A131">
        <v>903</v>
      </c>
      <c r="B131" s="2">
        <f>Inputs!B$6+(Inputs!B$2+Inputs!B$3-Inputs!B$4)*Timelines!$A131</f>
        <v>6755.4980000000005</v>
      </c>
      <c r="C131" s="2">
        <f>Inputs!B$5*Timelines!$A131</f>
        <v>5313.2520000000004</v>
      </c>
      <c r="D131" s="2">
        <f t="shared" ref="D131:D194" si="5">IF(B131&lt;C131,0,B131-C131)</f>
        <v>1442.2460000000001</v>
      </c>
      <c r="E131" s="2">
        <f>Inputs!C$6+(Inputs!C$2+Inputs!C$3-Inputs!C$4)*Timelines!$A131</f>
        <v>5918</v>
      </c>
      <c r="F131">
        <f>Inputs!C$5*Timelines!$A131</f>
        <v>6140.4</v>
      </c>
      <c r="G131" s="2">
        <f t="shared" si="4"/>
        <v>0</v>
      </c>
    </row>
    <row r="132" spans="1:7" x14ac:dyDescent="0.35">
      <c r="A132">
        <v>910</v>
      </c>
      <c r="B132" s="2">
        <f>Inputs!B$6+(Inputs!B$2+Inputs!B$3-Inputs!B$4)*Timelines!$A132</f>
        <v>6800.06</v>
      </c>
      <c r="C132" s="2">
        <f>Inputs!B$5*Timelines!$A132</f>
        <v>5354.4400000000005</v>
      </c>
      <c r="D132" s="2">
        <f t="shared" si="5"/>
        <v>1445.62</v>
      </c>
      <c r="E132" s="2">
        <f>Inputs!C$6+(Inputs!C$2+Inputs!C$3-Inputs!C$4)*Timelines!$A132</f>
        <v>5960</v>
      </c>
      <c r="F132">
        <f>Inputs!C$5*Timelines!$A132</f>
        <v>6188</v>
      </c>
      <c r="G132" s="2">
        <f t="shared" si="4"/>
        <v>0</v>
      </c>
    </row>
    <row r="133" spans="1:7" x14ac:dyDescent="0.35">
      <c r="A133">
        <v>917</v>
      </c>
      <c r="B133" s="2">
        <f>Inputs!B$6+(Inputs!B$2+Inputs!B$3-Inputs!B$4)*Timelines!$A133</f>
        <v>6844.6220000000003</v>
      </c>
      <c r="C133" s="2">
        <f>Inputs!B$5*Timelines!$A133</f>
        <v>5395.6280000000006</v>
      </c>
      <c r="D133" s="2">
        <f t="shared" si="5"/>
        <v>1448.9939999999997</v>
      </c>
      <c r="E133" s="2">
        <f>Inputs!C$6+(Inputs!C$2+Inputs!C$3-Inputs!C$4)*Timelines!$A133</f>
        <v>6002</v>
      </c>
      <c r="F133">
        <f>Inputs!C$5*Timelines!$A133</f>
        <v>6235.5999999999995</v>
      </c>
      <c r="G133" s="2">
        <f t="shared" si="4"/>
        <v>0</v>
      </c>
    </row>
    <row r="134" spans="1:7" x14ac:dyDescent="0.35">
      <c r="A134">
        <v>924</v>
      </c>
      <c r="B134" s="2">
        <f>Inputs!B$6+(Inputs!B$2+Inputs!B$3-Inputs!B$4)*Timelines!$A134</f>
        <v>6889.1840000000002</v>
      </c>
      <c r="C134" s="2">
        <f>Inputs!B$5*Timelines!$A134</f>
        <v>5436.8160000000007</v>
      </c>
      <c r="D134" s="2">
        <f t="shared" si="5"/>
        <v>1452.3679999999995</v>
      </c>
      <c r="E134" s="2">
        <f>Inputs!C$6+(Inputs!C$2+Inputs!C$3-Inputs!C$4)*Timelines!$A134</f>
        <v>6044</v>
      </c>
      <c r="F134">
        <f>Inputs!C$5*Timelines!$A134</f>
        <v>6283.2</v>
      </c>
      <c r="G134" s="2">
        <f t="shared" si="4"/>
        <v>0</v>
      </c>
    </row>
    <row r="135" spans="1:7" x14ac:dyDescent="0.35">
      <c r="A135">
        <v>931</v>
      </c>
      <c r="B135" s="2">
        <f>Inputs!B$6+(Inputs!B$2+Inputs!B$3-Inputs!B$4)*Timelines!$A135</f>
        <v>6933.7460000000001</v>
      </c>
      <c r="C135" s="2">
        <f>Inputs!B$5*Timelines!$A135</f>
        <v>5478.0039999999999</v>
      </c>
      <c r="D135" s="2">
        <f t="shared" si="5"/>
        <v>1455.7420000000002</v>
      </c>
      <c r="E135" s="2">
        <f>Inputs!C$6+(Inputs!C$2+Inputs!C$3-Inputs!C$4)*Timelines!$A135</f>
        <v>6086</v>
      </c>
      <c r="F135">
        <f>Inputs!C$5*Timelines!$A135</f>
        <v>6330.8</v>
      </c>
      <c r="G135" s="2">
        <f t="shared" si="4"/>
        <v>0</v>
      </c>
    </row>
    <row r="136" spans="1:7" x14ac:dyDescent="0.35">
      <c r="A136">
        <v>938</v>
      </c>
      <c r="B136" s="2">
        <f>Inputs!B$6+(Inputs!B$2+Inputs!B$3-Inputs!B$4)*Timelines!$A136</f>
        <v>6978.3080000000009</v>
      </c>
      <c r="C136" s="2">
        <f>Inputs!B$5*Timelines!$A136</f>
        <v>5519.192</v>
      </c>
      <c r="D136" s="2">
        <f t="shared" si="5"/>
        <v>1459.1160000000009</v>
      </c>
      <c r="E136" s="2">
        <f>Inputs!C$6+(Inputs!C$2+Inputs!C$3-Inputs!C$4)*Timelines!$A136</f>
        <v>6128</v>
      </c>
      <c r="F136">
        <f>Inputs!C$5*Timelines!$A136</f>
        <v>6378.4</v>
      </c>
      <c r="G136" s="2">
        <f t="shared" si="4"/>
        <v>0</v>
      </c>
    </row>
    <row r="137" spans="1:7" x14ac:dyDescent="0.35">
      <c r="A137">
        <v>945</v>
      </c>
      <c r="B137" s="2">
        <f>Inputs!B$6+(Inputs!B$2+Inputs!B$3-Inputs!B$4)*Timelines!$A137</f>
        <v>7022.8700000000008</v>
      </c>
      <c r="C137" s="2">
        <f>Inputs!B$5*Timelines!$A137</f>
        <v>5560.38</v>
      </c>
      <c r="D137" s="2">
        <f t="shared" si="5"/>
        <v>1462.4900000000007</v>
      </c>
      <c r="E137" s="2">
        <f>Inputs!C$6+(Inputs!C$2+Inputs!C$3-Inputs!C$4)*Timelines!$A137</f>
        <v>6170</v>
      </c>
      <c r="F137">
        <f>Inputs!C$5*Timelines!$A137</f>
        <v>6426</v>
      </c>
      <c r="G137" s="2">
        <f t="shared" si="4"/>
        <v>0</v>
      </c>
    </row>
    <row r="138" spans="1:7" x14ac:dyDescent="0.35">
      <c r="A138">
        <v>952</v>
      </c>
      <c r="B138" s="2">
        <f>Inputs!B$6+(Inputs!B$2+Inputs!B$3-Inputs!B$4)*Timelines!$A138</f>
        <v>7067.4320000000007</v>
      </c>
      <c r="C138" s="2">
        <f>Inputs!B$5*Timelines!$A138</f>
        <v>5601.5680000000002</v>
      </c>
      <c r="D138" s="2">
        <f t="shared" si="5"/>
        <v>1465.8640000000005</v>
      </c>
      <c r="E138" s="2">
        <f>Inputs!C$6+(Inputs!C$2+Inputs!C$3-Inputs!C$4)*Timelines!$A138</f>
        <v>6212</v>
      </c>
      <c r="F138">
        <f>Inputs!C$5*Timelines!$A138</f>
        <v>6473.5999999999995</v>
      </c>
      <c r="G138" s="2">
        <f t="shared" si="4"/>
        <v>0</v>
      </c>
    </row>
    <row r="139" spans="1:7" x14ac:dyDescent="0.35">
      <c r="A139">
        <v>959</v>
      </c>
      <c r="B139" s="2">
        <f>Inputs!B$6+(Inputs!B$2+Inputs!B$3-Inputs!B$4)*Timelines!$A139</f>
        <v>7111.9940000000006</v>
      </c>
      <c r="C139" s="2">
        <f>Inputs!B$5*Timelines!$A139</f>
        <v>5642.7560000000003</v>
      </c>
      <c r="D139" s="2">
        <f t="shared" si="5"/>
        <v>1469.2380000000003</v>
      </c>
      <c r="E139" s="2">
        <f>Inputs!C$6+(Inputs!C$2+Inputs!C$3-Inputs!C$4)*Timelines!$A139</f>
        <v>6254</v>
      </c>
      <c r="F139">
        <f>Inputs!C$5*Timelines!$A139</f>
        <v>6521.2</v>
      </c>
      <c r="G139" s="2">
        <f t="shared" si="4"/>
        <v>0</v>
      </c>
    </row>
    <row r="140" spans="1:7" x14ac:dyDescent="0.35">
      <c r="A140">
        <v>966</v>
      </c>
      <c r="B140" s="2">
        <f>Inputs!B$6+(Inputs!B$2+Inputs!B$3-Inputs!B$4)*Timelines!$A140</f>
        <v>7156.5560000000005</v>
      </c>
      <c r="C140" s="2">
        <f>Inputs!B$5*Timelines!$A140</f>
        <v>5683.9440000000004</v>
      </c>
      <c r="D140" s="2">
        <f t="shared" si="5"/>
        <v>1472.6120000000001</v>
      </c>
      <c r="E140" s="2">
        <f>Inputs!C$6+(Inputs!C$2+Inputs!C$3-Inputs!C$4)*Timelines!$A140</f>
        <v>6296</v>
      </c>
      <c r="F140">
        <f>Inputs!C$5*Timelines!$A140</f>
        <v>6568.8</v>
      </c>
      <c r="G140" s="2">
        <f t="shared" si="4"/>
        <v>0</v>
      </c>
    </row>
    <row r="141" spans="1:7" x14ac:dyDescent="0.35">
      <c r="A141">
        <v>973</v>
      </c>
      <c r="B141" s="2">
        <f>Inputs!B$6+(Inputs!B$2+Inputs!B$3-Inputs!B$4)*Timelines!$A141</f>
        <v>7201.1180000000004</v>
      </c>
      <c r="C141" s="2">
        <f>Inputs!B$5*Timelines!$A141</f>
        <v>5725.1320000000005</v>
      </c>
      <c r="D141" s="2">
        <f t="shared" si="5"/>
        <v>1475.9859999999999</v>
      </c>
      <c r="E141" s="2">
        <f>Inputs!C$6+(Inputs!C$2+Inputs!C$3-Inputs!C$4)*Timelines!$A141</f>
        <v>6338</v>
      </c>
      <c r="F141">
        <f>Inputs!C$5*Timelines!$A141</f>
        <v>6616.4</v>
      </c>
      <c r="G141" s="2">
        <f t="shared" si="4"/>
        <v>0</v>
      </c>
    </row>
    <row r="142" spans="1:7" x14ac:dyDescent="0.35">
      <c r="A142">
        <v>980</v>
      </c>
      <c r="B142" s="2">
        <f>Inputs!B$6+(Inputs!B$2+Inputs!B$3-Inputs!B$4)*Timelines!$A142</f>
        <v>7245.68</v>
      </c>
      <c r="C142" s="2">
        <f>Inputs!B$5*Timelines!$A142</f>
        <v>5766.3200000000006</v>
      </c>
      <c r="D142" s="2">
        <f t="shared" si="5"/>
        <v>1479.3599999999997</v>
      </c>
      <c r="E142" s="2">
        <f>Inputs!C$6+(Inputs!C$2+Inputs!C$3-Inputs!C$4)*Timelines!$A142</f>
        <v>6380</v>
      </c>
      <c r="F142">
        <f>Inputs!C$5*Timelines!$A142</f>
        <v>6664</v>
      </c>
      <c r="G142" s="2">
        <f t="shared" si="4"/>
        <v>0</v>
      </c>
    </row>
    <row r="143" spans="1:7" x14ac:dyDescent="0.35">
      <c r="A143">
        <v>987</v>
      </c>
      <c r="B143" s="2">
        <f>Inputs!B$6+(Inputs!B$2+Inputs!B$3-Inputs!B$4)*Timelines!$A143</f>
        <v>7290.2420000000002</v>
      </c>
      <c r="C143" s="2">
        <f>Inputs!B$5*Timelines!$A143</f>
        <v>5807.5080000000007</v>
      </c>
      <c r="D143" s="2">
        <f t="shared" si="5"/>
        <v>1482.7339999999995</v>
      </c>
      <c r="E143" s="2">
        <f>Inputs!C$6+(Inputs!C$2+Inputs!C$3-Inputs!C$4)*Timelines!$A143</f>
        <v>6422</v>
      </c>
      <c r="F143">
        <f>Inputs!C$5*Timelines!$A143</f>
        <v>6711.5999999999995</v>
      </c>
      <c r="G143" s="2">
        <f t="shared" si="4"/>
        <v>0</v>
      </c>
    </row>
    <row r="144" spans="1:7" x14ac:dyDescent="0.35">
      <c r="A144">
        <v>994</v>
      </c>
      <c r="B144" s="2">
        <f>Inputs!B$6+(Inputs!B$2+Inputs!B$3-Inputs!B$4)*Timelines!$A144</f>
        <v>7334.804000000001</v>
      </c>
      <c r="C144" s="2">
        <f>Inputs!B$5*Timelines!$A144</f>
        <v>5848.6959999999999</v>
      </c>
      <c r="D144" s="2">
        <f t="shared" si="5"/>
        <v>1486.1080000000011</v>
      </c>
      <c r="E144" s="2">
        <f>Inputs!C$6+(Inputs!C$2+Inputs!C$3-Inputs!C$4)*Timelines!$A144</f>
        <v>6464</v>
      </c>
      <c r="F144">
        <f>Inputs!C$5*Timelines!$A144</f>
        <v>6759.2</v>
      </c>
      <c r="G144" s="2">
        <f t="shared" si="4"/>
        <v>0</v>
      </c>
    </row>
    <row r="145" spans="1:7" x14ac:dyDescent="0.35">
      <c r="A145">
        <v>1001</v>
      </c>
      <c r="B145" s="2">
        <f>Inputs!B$6+(Inputs!B$2+Inputs!B$3-Inputs!B$4)*Timelines!$A145</f>
        <v>7379.3660000000009</v>
      </c>
      <c r="C145" s="2">
        <f>Inputs!B$5*Timelines!$A145</f>
        <v>5889.884</v>
      </c>
      <c r="D145" s="2">
        <f t="shared" si="5"/>
        <v>1489.4820000000009</v>
      </c>
      <c r="E145" s="2">
        <f>Inputs!C$6+(Inputs!C$2+Inputs!C$3-Inputs!C$4)*Timelines!$A145</f>
        <v>6506</v>
      </c>
      <c r="F145">
        <f>Inputs!C$5*Timelines!$A145</f>
        <v>6806.8</v>
      </c>
      <c r="G145" s="2">
        <f t="shared" si="4"/>
        <v>0</v>
      </c>
    </row>
    <row r="146" spans="1:7" x14ac:dyDescent="0.35">
      <c r="A146">
        <v>1008</v>
      </c>
      <c r="B146" s="2">
        <f>Inputs!B$6+(Inputs!B$2+Inputs!B$3-Inputs!B$4)*Timelines!$A146</f>
        <v>7423.9280000000008</v>
      </c>
      <c r="C146" s="2">
        <f>Inputs!B$5*Timelines!$A146</f>
        <v>5931.0720000000001</v>
      </c>
      <c r="D146" s="2">
        <f t="shared" si="5"/>
        <v>1492.8560000000007</v>
      </c>
      <c r="E146" s="2">
        <f>Inputs!C$6+(Inputs!C$2+Inputs!C$3-Inputs!C$4)*Timelines!$A146</f>
        <v>6548</v>
      </c>
      <c r="F146">
        <f>Inputs!C$5*Timelines!$A146</f>
        <v>6854.4</v>
      </c>
      <c r="G146" s="2">
        <f t="shared" si="4"/>
        <v>0</v>
      </c>
    </row>
    <row r="147" spans="1:7" x14ac:dyDescent="0.35">
      <c r="A147">
        <v>1015</v>
      </c>
      <c r="B147" s="2">
        <f>Inputs!B$6+(Inputs!B$2+Inputs!B$3-Inputs!B$4)*Timelines!$A147</f>
        <v>7468.4900000000007</v>
      </c>
      <c r="C147" s="2">
        <f>Inputs!B$5*Timelines!$A147</f>
        <v>5972.26</v>
      </c>
      <c r="D147" s="2">
        <f t="shared" si="5"/>
        <v>1496.2300000000005</v>
      </c>
      <c r="E147" s="2">
        <f>Inputs!C$6+(Inputs!C$2+Inputs!C$3-Inputs!C$4)*Timelines!$A147</f>
        <v>6590</v>
      </c>
      <c r="F147">
        <f>Inputs!C$5*Timelines!$A147</f>
        <v>6902</v>
      </c>
      <c r="G147" s="2">
        <f t="shared" si="4"/>
        <v>0</v>
      </c>
    </row>
    <row r="148" spans="1:7" x14ac:dyDescent="0.35">
      <c r="A148">
        <v>1022</v>
      </c>
      <c r="B148" s="2">
        <f>Inputs!B$6+(Inputs!B$2+Inputs!B$3-Inputs!B$4)*Timelines!$A148</f>
        <v>7513.0520000000006</v>
      </c>
      <c r="C148" s="2">
        <f>Inputs!B$5*Timelines!$A148</f>
        <v>6013.4480000000003</v>
      </c>
      <c r="D148" s="2">
        <f t="shared" si="5"/>
        <v>1499.6040000000003</v>
      </c>
      <c r="E148" s="2">
        <f>Inputs!C$6+(Inputs!C$2+Inputs!C$3-Inputs!C$4)*Timelines!$A148</f>
        <v>6632</v>
      </c>
      <c r="F148">
        <f>Inputs!C$5*Timelines!$A148</f>
        <v>6949.5999999999995</v>
      </c>
      <c r="G148" s="2">
        <f t="shared" si="4"/>
        <v>0</v>
      </c>
    </row>
    <row r="149" spans="1:7" x14ac:dyDescent="0.35">
      <c r="A149">
        <v>1029</v>
      </c>
      <c r="B149" s="2">
        <f>Inputs!B$6+(Inputs!B$2+Inputs!B$3-Inputs!B$4)*Timelines!$A149</f>
        <v>7557.6140000000005</v>
      </c>
      <c r="C149" s="2">
        <f>Inputs!B$5*Timelines!$A149</f>
        <v>6054.6360000000004</v>
      </c>
      <c r="D149" s="2">
        <f t="shared" si="5"/>
        <v>1502.9780000000001</v>
      </c>
      <c r="E149" s="2">
        <f>Inputs!C$6+(Inputs!C$2+Inputs!C$3-Inputs!C$4)*Timelines!$A149</f>
        <v>6674</v>
      </c>
      <c r="F149">
        <f>Inputs!C$5*Timelines!$A149</f>
        <v>6997.2</v>
      </c>
      <c r="G149" s="2">
        <f t="shared" si="4"/>
        <v>0</v>
      </c>
    </row>
    <row r="150" spans="1:7" x14ac:dyDescent="0.35">
      <c r="A150">
        <v>1036</v>
      </c>
      <c r="B150" s="2">
        <f>Inputs!B$6+(Inputs!B$2+Inputs!B$3-Inputs!B$4)*Timelines!$A150</f>
        <v>7602.1760000000004</v>
      </c>
      <c r="C150" s="2">
        <f>Inputs!B$5*Timelines!$A150</f>
        <v>6095.8240000000005</v>
      </c>
      <c r="D150" s="2">
        <f t="shared" si="5"/>
        <v>1506.3519999999999</v>
      </c>
      <c r="E150" s="2">
        <f>Inputs!C$6+(Inputs!C$2+Inputs!C$3-Inputs!C$4)*Timelines!$A150</f>
        <v>6716</v>
      </c>
      <c r="F150">
        <f>Inputs!C$5*Timelines!$A150</f>
        <v>7044.8</v>
      </c>
      <c r="G150" s="2">
        <f t="shared" si="4"/>
        <v>0</v>
      </c>
    </row>
    <row r="151" spans="1:7" x14ac:dyDescent="0.35">
      <c r="A151">
        <v>1043</v>
      </c>
      <c r="B151" s="2">
        <f>Inputs!B$6+(Inputs!B$2+Inputs!B$3-Inputs!B$4)*Timelines!$A151</f>
        <v>7646.7380000000003</v>
      </c>
      <c r="C151" s="2">
        <f>Inputs!B$5*Timelines!$A151</f>
        <v>6137.0120000000006</v>
      </c>
      <c r="D151" s="2">
        <f t="shared" si="5"/>
        <v>1509.7259999999997</v>
      </c>
      <c r="E151" s="2">
        <f>Inputs!C$6+(Inputs!C$2+Inputs!C$3-Inputs!C$4)*Timelines!$A151</f>
        <v>6758</v>
      </c>
      <c r="F151">
        <f>Inputs!C$5*Timelines!$A151</f>
        <v>7092.4</v>
      </c>
      <c r="G151" s="2">
        <f t="shared" si="4"/>
        <v>0</v>
      </c>
    </row>
    <row r="152" spans="1:7" x14ac:dyDescent="0.35">
      <c r="A152">
        <v>1050</v>
      </c>
      <c r="B152" s="2">
        <f>Inputs!B$6+(Inputs!B$2+Inputs!B$3-Inputs!B$4)*Timelines!$A152</f>
        <v>7691.3</v>
      </c>
      <c r="C152" s="2">
        <f>Inputs!B$5*Timelines!$A152</f>
        <v>6178.2000000000007</v>
      </c>
      <c r="D152" s="2">
        <f t="shared" si="5"/>
        <v>1513.0999999999995</v>
      </c>
      <c r="E152" s="2">
        <f>Inputs!C$6+(Inputs!C$2+Inputs!C$3-Inputs!C$4)*Timelines!$A152</f>
        <v>6800</v>
      </c>
      <c r="F152">
        <f>Inputs!C$5*Timelines!$A152</f>
        <v>7140</v>
      </c>
      <c r="G152" s="2">
        <f t="shared" si="4"/>
        <v>0</v>
      </c>
    </row>
    <row r="153" spans="1:7" x14ac:dyDescent="0.35">
      <c r="A153">
        <v>1057</v>
      </c>
      <c r="B153" s="2">
        <f>Inputs!B$6+(Inputs!B$2+Inputs!B$3-Inputs!B$4)*Timelines!$A153</f>
        <v>7735.862000000001</v>
      </c>
      <c r="C153" s="2">
        <f>Inputs!B$5*Timelines!$A153</f>
        <v>6219.3879999999999</v>
      </c>
      <c r="D153" s="2">
        <f t="shared" si="5"/>
        <v>1516.4740000000011</v>
      </c>
      <c r="E153" s="2">
        <f>Inputs!C$6+(Inputs!C$2+Inputs!C$3-Inputs!C$4)*Timelines!$A153</f>
        <v>6842</v>
      </c>
      <c r="F153">
        <f>Inputs!C$5*Timelines!$A153</f>
        <v>7187.5999999999995</v>
      </c>
      <c r="G153" s="2">
        <f t="shared" si="4"/>
        <v>0</v>
      </c>
    </row>
    <row r="154" spans="1:7" x14ac:dyDescent="0.35">
      <c r="A154">
        <v>1064</v>
      </c>
      <c r="B154" s="2">
        <f>Inputs!B$6+(Inputs!B$2+Inputs!B$3-Inputs!B$4)*Timelines!$A154</f>
        <v>7780.4240000000009</v>
      </c>
      <c r="C154" s="2">
        <f>Inputs!B$5*Timelines!$A154</f>
        <v>6260.576</v>
      </c>
      <c r="D154" s="2">
        <f t="shared" si="5"/>
        <v>1519.8480000000009</v>
      </c>
      <c r="E154" s="2">
        <f>Inputs!C$6+(Inputs!C$2+Inputs!C$3-Inputs!C$4)*Timelines!$A154</f>
        <v>6884</v>
      </c>
      <c r="F154">
        <f>Inputs!C$5*Timelines!$A154</f>
        <v>7235.2</v>
      </c>
      <c r="G154" s="2">
        <f t="shared" si="4"/>
        <v>0</v>
      </c>
    </row>
    <row r="155" spans="1:7" x14ac:dyDescent="0.35">
      <c r="A155">
        <v>1071</v>
      </c>
      <c r="B155" s="2">
        <f>Inputs!B$6+(Inputs!B$2+Inputs!B$3-Inputs!B$4)*Timelines!$A155</f>
        <v>7824.9860000000008</v>
      </c>
      <c r="C155" s="2">
        <f>Inputs!B$5*Timelines!$A155</f>
        <v>6301.7640000000001</v>
      </c>
      <c r="D155" s="2">
        <f t="shared" si="5"/>
        <v>1523.2220000000007</v>
      </c>
      <c r="E155" s="2">
        <f>Inputs!C$6+(Inputs!C$2+Inputs!C$3-Inputs!C$4)*Timelines!$A155</f>
        <v>6926</v>
      </c>
      <c r="F155">
        <f>Inputs!C$5*Timelines!$A155</f>
        <v>7282.8</v>
      </c>
      <c r="G155" s="2">
        <f t="shared" si="4"/>
        <v>0</v>
      </c>
    </row>
    <row r="156" spans="1:7" x14ac:dyDescent="0.35">
      <c r="A156">
        <v>1078</v>
      </c>
      <c r="B156" s="2">
        <f>Inputs!B$6+(Inputs!B$2+Inputs!B$3-Inputs!B$4)*Timelines!$A156</f>
        <v>7869.5480000000007</v>
      </c>
      <c r="C156" s="2">
        <f>Inputs!B$5*Timelines!$A156</f>
        <v>6342.9520000000002</v>
      </c>
      <c r="D156" s="2">
        <f t="shared" si="5"/>
        <v>1526.5960000000005</v>
      </c>
      <c r="E156" s="2">
        <f>Inputs!C$6+(Inputs!C$2+Inputs!C$3-Inputs!C$4)*Timelines!$A156</f>
        <v>6968</v>
      </c>
      <c r="F156">
        <f>Inputs!C$5*Timelines!$A156</f>
        <v>7330.4</v>
      </c>
      <c r="G156" s="2">
        <f t="shared" si="4"/>
        <v>0</v>
      </c>
    </row>
    <row r="157" spans="1:7" x14ac:dyDescent="0.35">
      <c r="A157">
        <v>1085</v>
      </c>
      <c r="B157" s="2">
        <f>Inputs!B$6+(Inputs!B$2+Inputs!B$3-Inputs!B$4)*Timelines!$A157</f>
        <v>7914.1100000000006</v>
      </c>
      <c r="C157" s="2">
        <f>Inputs!B$5*Timelines!$A157</f>
        <v>6384.14</v>
      </c>
      <c r="D157" s="2">
        <f t="shared" si="5"/>
        <v>1529.9700000000003</v>
      </c>
      <c r="E157" s="2">
        <f>Inputs!C$6+(Inputs!C$2+Inputs!C$3-Inputs!C$4)*Timelines!$A157</f>
        <v>7010</v>
      </c>
      <c r="F157">
        <f>Inputs!C$5*Timelines!$A157</f>
        <v>7378</v>
      </c>
      <c r="G157" s="2">
        <f t="shared" si="4"/>
        <v>0</v>
      </c>
    </row>
    <row r="158" spans="1:7" x14ac:dyDescent="0.35">
      <c r="A158">
        <v>1092</v>
      </c>
      <c r="B158" s="2">
        <f>Inputs!B$6+(Inputs!B$2+Inputs!B$3-Inputs!B$4)*Timelines!$A158</f>
        <v>7958.6720000000005</v>
      </c>
      <c r="C158" s="2">
        <f>Inputs!B$5*Timelines!$A158</f>
        <v>6425.3280000000004</v>
      </c>
      <c r="D158" s="2">
        <f t="shared" si="5"/>
        <v>1533.3440000000001</v>
      </c>
      <c r="E158" s="2">
        <f>Inputs!C$6+(Inputs!C$2+Inputs!C$3-Inputs!C$4)*Timelines!$A158</f>
        <v>7052</v>
      </c>
      <c r="F158">
        <f>Inputs!C$5*Timelines!$A158</f>
        <v>7425.5999999999995</v>
      </c>
      <c r="G158" s="2">
        <f t="shared" si="4"/>
        <v>0</v>
      </c>
    </row>
    <row r="159" spans="1:7" x14ac:dyDescent="0.35">
      <c r="A159">
        <v>1099</v>
      </c>
      <c r="B159" s="2">
        <f>Inputs!B$6+(Inputs!B$2+Inputs!B$3-Inputs!B$4)*Timelines!$A159</f>
        <v>8003.2340000000004</v>
      </c>
      <c r="C159" s="2">
        <f>Inputs!B$5*Timelines!$A159</f>
        <v>6466.5160000000005</v>
      </c>
      <c r="D159" s="2">
        <f t="shared" si="5"/>
        <v>1536.7179999999998</v>
      </c>
      <c r="E159" s="2">
        <f>Inputs!C$6+(Inputs!C$2+Inputs!C$3-Inputs!C$4)*Timelines!$A159</f>
        <v>7094</v>
      </c>
      <c r="F159">
        <f>Inputs!C$5*Timelines!$A159</f>
        <v>7473.2</v>
      </c>
      <c r="G159" s="2">
        <f t="shared" si="4"/>
        <v>0</v>
      </c>
    </row>
    <row r="160" spans="1:7" x14ac:dyDescent="0.35">
      <c r="A160">
        <v>1106</v>
      </c>
      <c r="B160" s="2">
        <f>Inputs!B$6+(Inputs!B$2+Inputs!B$3-Inputs!B$4)*Timelines!$A160</f>
        <v>8047.7960000000003</v>
      </c>
      <c r="C160" s="2">
        <f>Inputs!B$5*Timelines!$A160</f>
        <v>6507.7040000000006</v>
      </c>
      <c r="D160" s="2">
        <f t="shared" si="5"/>
        <v>1540.0919999999996</v>
      </c>
      <c r="E160" s="2">
        <f>Inputs!C$6+(Inputs!C$2+Inputs!C$3-Inputs!C$4)*Timelines!$A160</f>
        <v>7136</v>
      </c>
      <c r="F160">
        <f>Inputs!C$5*Timelines!$A160</f>
        <v>7520.8</v>
      </c>
      <c r="G160" s="2">
        <f t="shared" si="4"/>
        <v>0</v>
      </c>
    </row>
    <row r="161" spans="1:7" x14ac:dyDescent="0.35">
      <c r="A161">
        <v>1113</v>
      </c>
      <c r="B161" s="2">
        <f>Inputs!B$6+(Inputs!B$2+Inputs!B$3-Inputs!B$4)*Timelines!$A161</f>
        <v>8092.3580000000002</v>
      </c>
      <c r="C161" s="2">
        <f>Inputs!B$5*Timelines!$A161</f>
        <v>6548.8920000000007</v>
      </c>
      <c r="D161" s="2">
        <f t="shared" si="5"/>
        <v>1543.4659999999994</v>
      </c>
      <c r="E161" s="2">
        <f>Inputs!C$6+(Inputs!C$2+Inputs!C$3-Inputs!C$4)*Timelines!$A161</f>
        <v>7178</v>
      </c>
      <c r="F161">
        <f>Inputs!C$5*Timelines!$A161</f>
        <v>7568.4</v>
      </c>
      <c r="G161" s="2">
        <f t="shared" si="4"/>
        <v>0</v>
      </c>
    </row>
    <row r="162" spans="1:7" x14ac:dyDescent="0.35">
      <c r="A162">
        <v>1120</v>
      </c>
      <c r="B162" s="2">
        <f>Inputs!B$6+(Inputs!B$2+Inputs!B$3-Inputs!B$4)*Timelines!$A162</f>
        <v>8136.920000000001</v>
      </c>
      <c r="C162" s="2">
        <f>Inputs!B$5*Timelines!$A162</f>
        <v>6590.08</v>
      </c>
      <c r="D162" s="2">
        <f t="shared" si="5"/>
        <v>1546.8400000000011</v>
      </c>
      <c r="E162" s="2">
        <f>Inputs!C$6+(Inputs!C$2+Inputs!C$3-Inputs!C$4)*Timelines!$A162</f>
        <v>7220</v>
      </c>
      <c r="F162">
        <f>Inputs!C$5*Timelines!$A162</f>
        <v>7616</v>
      </c>
      <c r="G162" s="2">
        <f t="shared" si="4"/>
        <v>0</v>
      </c>
    </row>
    <row r="163" spans="1:7" x14ac:dyDescent="0.35">
      <c r="A163">
        <v>1127</v>
      </c>
      <c r="B163" s="2">
        <f>Inputs!B$6+(Inputs!B$2+Inputs!B$3-Inputs!B$4)*Timelines!$A163</f>
        <v>8181.4820000000009</v>
      </c>
      <c r="C163" s="2">
        <f>Inputs!B$5*Timelines!$A163</f>
        <v>6631.268</v>
      </c>
      <c r="D163" s="2">
        <f t="shared" si="5"/>
        <v>1550.2140000000009</v>
      </c>
      <c r="E163" s="2">
        <f>Inputs!C$6+(Inputs!C$2+Inputs!C$3-Inputs!C$4)*Timelines!$A163</f>
        <v>7262</v>
      </c>
      <c r="F163">
        <f>Inputs!C$5*Timelines!$A163</f>
        <v>7663.5999999999995</v>
      </c>
      <c r="G163" s="2">
        <f t="shared" si="4"/>
        <v>0</v>
      </c>
    </row>
    <row r="164" spans="1:7" x14ac:dyDescent="0.35">
      <c r="A164">
        <v>1134</v>
      </c>
      <c r="B164" s="2">
        <f>Inputs!B$6+(Inputs!B$2+Inputs!B$3-Inputs!B$4)*Timelines!$A164</f>
        <v>8226.0440000000017</v>
      </c>
      <c r="C164" s="2">
        <f>Inputs!B$5*Timelines!$A164</f>
        <v>6672.4560000000001</v>
      </c>
      <c r="D164" s="2">
        <f t="shared" si="5"/>
        <v>1553.5880000000016</v>
      </c>
      <c r="E164" s="2">
        <f>Inputs!C$6+(Inputs!C$2+Inputs!C$3-Inputs!C$4)*Timelines!$A164</f>
        <v>7304</v>
      </c>
      <c r="F164">
        <f>Inputs!C$5*Timelines!$A164</f>
        <v>7711.2</v>
      </c>
      <c r="G164" s="2">
        <f t="shared" si="4"/>
        <v>0</v>
      </c>
    </row>
    <row r="165" spans="1:7" x14ac:dyDescent="0.35">
      <c r="A165">
        <v>1141</v>
      </c>
      <c r="B165" s="2">
        <f>Inputs!B$6+(Inputs!B$2+Inputs!B$3-Inputs!B$4)*Timelines!$A165</f>
        <v>8270.6059999999998</v>
      </c>
      <c r="C165" s="2">
        <f>Inputs!B$5*Timelines!$A165</f>
        <v>6713.6440000000002</v>
      </c>
      <c r="D165" s="2">
        <f t="shared" si="5"/>
        <v>1556.9619999999995</v>
      </c>
      <c r="E165" s="2">
        <f>Inputs!C$6+(Inputs!C$2+Inputs!C$3-Inputs!C$4)*Timelines!$A165</f>
        <v>7346</v>
      </c>
      <c r="F165">
        <f>Inputs!C$5*Timelines!$A165</f>
        <v>7758.8</v>
      </c>
      <c r="G165" s="2">
        <f t="shared" si="4"/>
        <v>0</v>
      </c>
    </row>
    <row r="166" spans="1:7" x14ac:dyDescent="0.35">
      <c r="A166">
        <v>1148</v>
      </c>
      <c r="B166" s="2">
        <f>Inputs!B$6+(Inputs!B$2+Inputs!B$3-Inputs!B$4)*Timelines!$A166</f>
        <v>8315.1680000000015</v>
      </c>
      <c r="C166" s="2">
        <f>Inputs!B$5*Timelines!$A166</f>
        <v>6754.8320000000003</v>
      </c>
      <c r="D166" s="2">
        <f t="shared" si="5"/>
        <v>1560.3360000000011</v>
      </c>
      <c r="E166" s="2">
        <f>Inputs!C$6+(Inputs!C$2+Inputs!C$3-Inputs!C$4)*Timelines!$A166</f>
        <v>7388</v>
      </c>
      <c r="F166">
        <f>Inputs!C$5*Timelines!$A166</f>
        <v>7806.4</v>
      </c>
      <c r="G166" s="2">
        <f t="shared" si="4"/>
        <v>0</v>
      </c>
    </row>
    <row r="167" spans="1:7" x14ac:dyDescent="0.35">
      <c r="A167">
        <v>1155</v>
      </c>
      <c r="B167" s="2">
        <f>Inputs!B$6+(Inputs!B$2+Inputs!B$3-Inputs!B$4)*Timelines!$A167</f>
        <v>8359.73</v>
      </c>
      <c r="C167" s="2">
        <f>Inputs!B$5*Timelines!$A167</f>
        <v>6796.02</v>
      </c>
      <c r="D167" s="2">
        <f t="shared" si="5"/>
        <v>1563.7099999999991</v>
      </c>
      <c r="E167" s="2">
        <f>Inputs!C$6+(Inputs!C$2+Inputs!C$3-Inputs!C$4)*Timelines!$A167</f>
        <v>7430</v>
      </c>
      <c r="F167">
        <f>Inputs!C$5*Timelines!$A167</f>
        <v>7854</v>
      </c>
      <c r="G167" s="2">
        <f t="shared" si="4"/>
        <v>0</v>
      </c>
    </row>
    <row r="168" spans="1:7" x14ac:dyDescent="0.35">
      <c r="A168">
        <v>1162</v>
      </c>
      <c r="B168" s="2">
        <f>Inputs!B$6+(Inputs!B$2+Inputs!B$3-Inputs!B$4)*Timelines!$A168</f>
        <v>8404.2920000000013</v>
      </c>
      <c r="C168" s="2">
        <f>Inputs!B$5*Timelines!$A168</f>
        <v>6837.2080000000005</v>
      </c>
      <c r="D168" s="2">
        <f t="shared" si="5"/>
        <v>1567.0840000000007</v>
      </c>
      <c r="E168" s="2">
        <f>Inputs!C$6+(Inputs!C$2+Inputs!C$3-Inputs!C$4)*Timelines!$A168</f>
        <v>7472</v>
      </c>
      <c r="F168">
        <f>Inputs!C$5*Timelines!$A168</f>
        <v>7901.5999999999995</v>
      </c>
      <c r="G168" s="2">
        <f t="shared" si="4"/>
        <v>0</v>
      </c>
    </row>
    <row r="169" spans="1:7" x14ac:dyDescent="0.35">
      <c r="A169">
        <v>1169</v>
      </c>
      <c r="B169" s="2">
        <f>Inputs!B$6+(Inputs!B$2+Inputs!B$3-Inputs!B$4)*Timelines!$A169</f>
        <v>8448.8539999999994</v>
      </c>
      <c r="C169" s="2">
        <f>Inputs!B$5*Timelines!$A169</f>
        <v>6878.3960000000006</v>
      </c>
      <c r="D169" s="2">
        <f t="shared" si="5"/>
        <v>1570.4579999999987</v>
      </c>
      <c r="E169" s="2">
        <f>Inputs!C$6+(Inputs!C$2+Inputs!C$3-Inputs!C$4)*Timelines!$A169</f>
        <v>7514</v>
      </c>
      <c r="F169">
        <f>Inputs!C$5*Timelines!$A169</f>
        <v>7949.2</v>
      </c>
      <c r="G169" s="2">
        <f t="shared" si="4"/>
        <v>0</v>
      </c>
    </row>
    <row r="170" spans="1:7" x14ac:dyDescent="0.35">
      <c r="A170">
        <v>1176</v>
      </c>
      <c r="B170" s="2">
        <f>Inputs!B$6+(Inputs!B$2+Inputs!B$3-Inputs!B$4)*Timelines!$A170</f>
        <v>8493.4160000000011</v>
      </c>
      <c r="C170" s="2">
        <f>Inputs!B$5*Timelines!$A170</f>
        <v>6919.5840000000007</v>
      </c>
      <c r="D170" s="2">
        <f t="shared" si="5"/>
        <v>1573.8320000000003</v>
      </c>
      <c r="E170" s="2">
        <f>Inputs!C$6+(Inputs!C$2+Inputs!C$3-Inputs!C$4)*Timelines!$A170</f>
        <v>7556</v>
      </c>
      <c r="F170">
        <f>Inputs!C$5*Timelines!$A170</f>
        <v>7996.8</v>
      </c>
      <c r="G170" s="2">
        <f t="shared" si="4"/>
        <v>0</v>
      </c>
    </row>
    <row r="171" spans="1:7" x14ac:dyDescent="0.35">
      <c r="A171">
        <v>1183</v>
      </c>
      <c r="B171" s="2">
        <f>Inputs!B$6+(Inputs!B$2+Inputs!B$3-Inputs!B$4)*Timelines!$A171</f>
        <v>8537.978000000001</v>
      </c>
      <c r="C171" s="2">
        <f>Inputs!B$5*Timelines!$A171</f>
        <v>6960.7720000000008</v>
      </c>
      <c r="D171" s="2">
        <f t="shared" si="5"/>
        <v>1577.2060000000001</v>
      </c>
      <c r="E171" s="2">
        <f>Inputs!C$6+(Inputs!C$2+Inputs!C$3-Inputs!C$4)*Timelines!$A171</f>
        <v>7598</v>
      </c>
      <c r="F171">
        <f>Inputs!C$5*Timelines!$A171</f>
        <v>8044.4</v>
      </c>
      <c r="G171" s="2">
        <f t="shared" si="4"/>
        <v>0</v>
      </c>
    </row>
    <row r="172" spans="1:7" x14ac:dyDescent="0.35">
      <c r="A172">
        <v>1190</v>
      </c>
      <c r="B172" s="2">
        <f>Inputs!B$6+(Inputs!B$2+Inputs!B$3-Inputs!B$4)*Timelines!$A172</f>
        <v>8582.5400000000009</v>
      </c>
      <c r="C172" s="2">
        <f>Inputs!B$5*Timelines!$A172</f>
        <v>7001.96</v>
      </c>
      <c r="D172" s="2">
        <f t="shared" si="5"/>
        <v>1580.5800000000008</v>
      </c>
      <c r="E172" s="2">
        <f>Inputs!C$6+(Inputs!C$2+Inputs!C$3-Inputs!C$4)*Timelines!$A172</f>
        <v>7640</v>
      </c>
      <c r="F172">
        <f>Inputs!C$5*Timelines!$A172</f>
        <v>8092</v>
      </c>
      <c r="G172" s="2">
        <f t="shared" si="4"/>
        <v>0</v>
      </c>
    </row>
    <row r="173" spans="1:7" x14ac:dyDescent="0.35">
      <c r="A173">
        <v>1197</v>
      </c>
      <c r="B173" s="2">
        <f>Inputs!B$6+(Inputs!B$2+Inputs!B$3-Inputs!B$4)*Timelines!$A173</f>
        <v>8627.1020000000008</v>
      </c>
      <c r="C173" s="2">
        <f>Inputs!B$5*Timelines!$A173</f>
        <v>7043.1480000000001</v>
      </c>
      <c r="D173" s="2">
        <f t="shared" si="5"/>
        <v>1583.9540000000006</v>
      </c>
      <c r="E173" s="2">
        <f>Inputs!C$6+(Inputs!C$2+Inputs!C$3-Inputs!C$4)*Timelines!$A173</f>
        <v>7682</v>
      </c>
      <c r="F173">
        <f>Inputs!C$5*Timelines!$A173</f>
        <v>8139.5999999999995</v>
      </c>
      <c r="G173" s="2">
        <f t="shared" si="4"/>
        <v>0</v>
      </c>
    </row>
    <row r="174" spans="1:7" x14ac:dyDescent="0.35">
      <c r="A174">
        <v>1204</v>
      </c>
      <c r="B174" s="2">
        <f>Inputs!B$6+(Inputs!B$2+Inputs!B$3-Inputs!B$4)*Timelines!$A174</f>
        <v>8671.6640000000007</v>
      </c>
      <c r="C174" s="2">
        <f>Inputs!B$5*Timelines!$A174</f>
        <v>7084.3360000000002</v>
      </c>
      <c r="D174" s="2">
        <f t="shared" si="5"/>
        <v>1587.3280000000004</v>
      </c>
      <c r="E174" s="2">
        <f>Inputs!C$6+(Inputs!C$2+Inputs!C$3-Inputs!C$4)*Timelines!$A174</f>
        <v>7724</v>
      </c>
      <c r="F174">
        <f>Inputs!C$5*Timelines!$A174</f>
        <v>8187.2</v>
      </c>
      <c r="G174" s="2">
        <f t="shared" si="4"/>
        <v>0</v>
      </c>
    </row>
    <row r="175" spans="1:7" x14ac:dyDescent="0.35">
      <c r="A175">
        <v>1211</v>
      </c>
      <c r="B175" s="2">
        <f>Inputs!B$6+(Inputs!B$2+Inputs!B$3-Inputs!B$4)*Timelines!$A175</f>
        <v>8716.2260000000006</v>
      </c>
      <c r="C175" s="2">
        <f>Inputs!B$5*Timelines!$A175</f>
        <v>7125.5240000000003</v>
      </c>
      <c r="D175" s="2">
        <f t="shared" si="5"/>
        <v>1590.7020000000002</v>
      </c>
      <c r="E175" s="2">
        <f>Inputs!C$6+(Inputs!C$2+Inputs!C$3-Inputs!C$4)*Timelines!$A175</f>
        <v>7766</v>
      </c>
      <c r="F175">
        <f>Inputs!C$5*Timelines!$A175</f>
        <v>8234.7999999999993</v>
      </c>
      <c r="G175" s="2">
        <f t="shared" si="4"/>
        <v>0</v>
      </c>
    </row>
    <row r="176" spans="1:7" x14ac:dyDescent="0.35">
      <c r="A176">
        <v>1218</v>
      </c>
      <c r="B176" s="2">
        <f>Inputs!B$6+(Inputs!B$2+Inputs!B$3-Inputs!B$4)*Timelines!$A176</f>
        <v>8760.7880000000005</v>
      </c>
      <c r="C176" s="2">
        <f>Inputs!B$5*Timelines!$A176</f>
        <v>7166.7120000000004</v>
      </c>
      <c r="D176" s="2">
        <f t="shared" si="5"/>
        <v>1594.076</v>
      </c>
      <c r="E176" s="2">
        <f>Inputs!C$6+(Inputs!C$2+Inputs!C$3-Inputs!C$4)*Timelines!$A176</f>
        <v>7808</v>
      </c>
      <c r="F176">
        <f>Inputs!C$5*Timelines!$A176</f>
        <v>8282.4</v>
      </c>
      <c r="G176" s="2">
        <f t="shared" si="4"/>
        <v>0</v>
      </c>
    </row>
    <row r="177" spans="1:7" x14ac:dyDescent="0.35">
      <c r="A177">
        <v>1225</v>
      </c>
      <c r="B177" s="2">
        <f>Inputs!B$6+(Inputs!B$2+Inputs!B$3-Inputs!B$4)*Timelines!$A177</f>
        <v>8805.35</v>
      </c>
      <c r="C177" s="2">
        <f>Inputs!B$5*Timelines!$A177</f>
        <v>7207.9000000000005</v>
      </c>
      <c r="D177" s="2">
        <f t="shared" si="5"/>
        <v>1597.4499999999998</v>
      </c>
      <c r="E177" s="2">
        <f>Inputs!C$6+(Inputs!C$2+Inputs!C$3-Inputs!C$4)*Timelines!$A177</f>
        <v>7850</v>
      </c>
      <c r="F177">
        <f>Inputs!C$5*Timelines!$A177</f>
        <v>8330</v>
      </c>
      <c r="G177" s="2">
        <f t="shared" si="4"/>
        <v>0</v>
      </c>
    </row>
    <row r="178" spans="1:7" x14ac:dyDescent="0.35">
      <c r="A178">
        <v>1232</v>
      </c>
      <c r="B178" s="2">
        <f>Inputs!B$6+(Inputs!B$2+Inputs!B$3-Inputs!B$4)*Timelines!$A178</f>
        <v>8849.9120000000003</v>
      </c>
      <c r="C178" s="2">
        <f>Inputs!B$5*Timelines!$A178</f>
        <v>7249.0880000000006</v>
      </c>
      <c r="D178" s="2">
        <f t="shared" si="5"/>
        <v>1600.8239999999996</v>
      </c>
      <c r="E178" s="2">
        <f>Inputs!C$6+(Inputs!C$2+Inputs!C$3-Inputs!C$4)*Timelines!$A178</f>
        <v>7892</v>
      </c>
      <c r="F178">
        <f>Inputs!C$5*Timelines!$A178</f>
        <v>8377.6</v>
      </c>
      <c r="G178" s="2">
        <f t="shared" si="4"/>
        <v>0</v>
      </c>
    </row>
    <row r="179" spans="1:7" x14ac:dyDescent="0.35">
      <c r="A179">
        <v>1239</v>
      </c>
      <c r="B179" s="2">
        <f>Inputs!B$6+(Inputs!B$2+Inputs!B$3-Inputs!B$4)*Timelines!$A179</f>
        <v>8894.474000000002</v>
      </c>
      <c r="C179" s="2">
        <f>Inputs!B$5*Timelines!$A179</f>
        <v>7290.2760000000007</v>
      </c>
      <c r="D179" s="2">
        <f t="shared" si="5"/>
        <v>1604.1980000000012</v>
      </c>
      <c r="E179" s="2">
        <f>Inputs!C$6+(Inputs!C$2+Inputs!C$3-Inputs!C$4)*Timelines!$A179</f>
        <v>7934</v>
      </c>
      <c r="F179">
        <f>Inputs!C$5*Timelines!$A179</f>
        <v>8425.1999999999989</v>
      </c>
      <c r="G179" s="2">
        <f t="shared" si="4"/>
        <v>0</v>
      </c>
    </row>
    <row r="180" spans="1:7" x14ac:dyDescent="0.35">
      <c r="A180">
        <v>1246</v>
      </c>
      <c r="B180" s="2">
        <f>Inputs!B$6+(Inputs!B$2+Inputs!B$3-Inputs!B$4)*Timelines!$A180</f>
        <v>8939.0360000000001</v>
      </c>
      <c r="C180" s="2">
        <f>Inputs!B$5*Timelines!$A180</f>
        <v>7331.4640000000009</v>
      </c>
      <c r="D180" s="2">
        <f t="shared" si="5"/>
        <v>1607.5719999999992</v>
      </c>
      <c r="E180" s="2">
        <f>Inputs!C$6+(Inputs!C$2+Inputs!C$3-Inputs!C$4)*Timelines!$A180</f>
        <v>7976</v>
      </c>
      <c r="F180">
        <f>Inputs!C$5*Timelines!$A180</f>
        <v>8472.7999999999993</v>
      </c>
      <c r="G180" s="2">
        <f t="shared" si="4"/>
        <v>0</v>
      </c>
    </row>
    <row r="181" spans="1:7" x14ac:dyDescent="0.35">
      <c r="A181">
        <v>1253</v>
      </c>
      <c r="B181" s="2">
        <f>Inputs!B$6+(Inputs!B$2+Inputs!B$3-Inputs!B$4)*Timelines!$A181</f>
        <v>8983.5980000000018</v>
      </c>
      <c r="C181" s="2">
        <f>Inputs!B$5*Timelines!$A181</f>
        <v>7372.652</v>
      </c>
      <c r="D181" s="2">
        <f t="shared" si="5"/>
        <v>1610.9460000000017</v>
      </c>
      <c r="E181" s="2">
        <f>Inputs!C$6+(Inputs!C$2+Inputs!C$3-Inputs!C$4)*Timelines!$A181</f>
        <v>8018</v>
      </c>
      <c r="F181">
        <f>Inputs!C$5*Timelines!$A181</f>
        <v>8520.4</v>
      </c>
      <c r="G181" s="2">
        <f t="shared" si="4"/>
        <v>0</v>
      </c>
    </row>
    <row r="182" spans="1:7" x14ac:dyDescent="0.35">
      <c r="A182">
        <v>1260</v>
      </c>
      <c r="B182" s="2">
        <f>Inputs!B$6+(Inputs!B$2+Inputs!B$3-Inputs!B$4)*Timelines!$A182</f>
        <v>9028.16</v>
      </c>
      <c r="C182" s="2">
        <f>Inputs!B$5*Timelines!$A182</f>
        <v>7413.84</v>
      </c>
      <c r="D182" s="2">
        <f t="shared" si="5"/>
        <v>1614.3199999999997</v>
      </c>
      <c r="E182" s="2">
        <f>Inputs!C$6+(Inputs!C$2+Inputs!C$3-Inputs!C$4)*Timelines!$A182</f>
        <v>8060</v>
      </c>
      <c r="F182">
        <f>Inputs!C$5*Timelines!$A182</f>
        <v>8568</v>
      </c>
      <c r="G182" s="2">
        <f t="shared" si="4"/>
        <v>0</v>
      </c>
    </row>
    <row r="183" spans="1:7" x14ac:dyDescent="0.35">
      <c r="A183">
        <v>1267</v>
      </c>
      <c r="B183" s="2">
        <f>Inputs!B$6+(Inputs!B$2+Inputs!B$3-Inputs!B$4)*Timelines!$A183</f>
        <v>9072.7220000000016</v>
      </c>
      <c r="C183" s="2">
        <f>Inputs!B$5*Timelines!$A183</f>
        <v>7455.0280000000002</v>
      </c>
      <c r="D183" s="2">
        <f t="shared" si="5"/>
        <v>1617.6940000000013</v>
      </c>
      <c r="E183" s="2">
        <f>Inputs!C$6+(Inputs!C$2+Inputs!C$3-Inputs!C$4)*Timelines!$A183</f>
        <v>8102</v>
      </c>
      <c r="F183">
        <f>Inputs!C$5*Timelines!$A183</f>
        <v>8615.6</v>
      </c>
      <c r="G183" s="2">
        <f t="shared" si="4"/>
        <v>0</v>
      </c>
    </row>
    <row r="184" spans="1:7" x14ac:dyDescent="0.35">
      <c r="A184">
        <v>1274</v>
      </c>
      <c r="B184" s="2">
        <f>Inputs!B$6+(Inputs!B$2+Inputs!B$3-Inputs!B$4)*Timelines!$A184</f>
        <v>9117.2839999999997</v>
      </c>
      <c r="C184" s="2">
        <f>Inputs!B$5*Timelines!$A184</f>
        <v>7496.2160000000003</v>
      </c>
      <c r="D184" s="2">
        <f t="shared" si="5"/>
        <v>1621.0679999999993</v>
      </c>
      <c r="E184" s="2">
        <f>Inputs!C$6+(Inputs!C$2+Inputs!C$3-Inputs!C$4)*Timelines!$A184</f>
        <v>8144</v>
      </c>
      <c r="F184">
        <f>Inputs!C$5*Timelines!$A184</f>
        <v>8663.1999999999989</v>
      </c>
      <c r="G184" s="2">
        <f t="shared" si="4"/>
        <v>0</v>
      </c>
    </row>
    <row r="185" spans="1:7" x14ac:dyDescent="0.35">
      <c r="A185">
        <v>1281</v>
      </c>
      <c r="B185" s="2">
        <f>Inputs!B$6+(Inputs!B$2+Inputs!B$3-Inputs!B$4)*Timelines!$A185</f>
        <v>9161.8460000000014</v>
      </c>
      <c r="C185" s="2">
        <f>Inputs!B$5*Timelines!$A185</f>
        <v>7537.4040000000005</v>
      </c>
      <c r="D185" s="2">
        <f t="shared" si="5"/>
        <v>1624.4420000000009</v>
      </c>
      <c r="E185" s="2">
        <f>Inputs!C$6+(Inputs!C$2+Inputs!C$3-Inputs!C$4)*Timelines!$A185</f>
        <v>8186</v>
      </c>
      <c r="F185">
        <f>Inputs!C$5*Timelines!$A185</f>
        <v>8710.7999999999993</v>
      </c>
      <c r="G185" s="2">
        <f t="shared" si="4"/>
        <v>0</v>
      </c>
    </row>
    <row r="186" spans="1:7" x14ac:dyDescent="0.35">
      <c r="A186">
        <v>1288</v>
      </c>
      <c r="B186" s="2">
        <f>Inputs!B$6+(Inputs!B$2+Inputs!B$3-Inputs!B$4)*Timelines!$A186</f>
        <v>9206.4080000000013</v>
      </c>
      <c r="C186" s="2">
        <f>Inputs!B$5*Timelines!$A186</f>
        <v>7578.5920000000006</v>
      </c>
      <c r="D186" s="2">
        <f t="shared" si="5"/>
        <v>1627.8160000000007</v>
      </c>
      <c r="E186" s="2">
        <f>Inputs!C$6+(Inputs!C$2+Inputs!C$3-Inputs!C$4)*Timelines!$A186</f>
        <v>8228</v>
      </c>
      <c r="F186">
        <f>Inputs!C$5*Timelines!$A186</f>
        <v>8758.4</v>
      </c>
      <c r="G186" s="2">
        <f t="shared" si="4"/>
        <v>0</v>
      </c>
    </row>
    <row r="187" spans="1:7" x14ac:dyDescent="0.35">
      <c r="A187">
        <v>1295</v>
      </c>
      <c r="B187" s="2">
        <f>Inputs!B$6+(Inputs!B$2+Inputs!B$3-Inputs!B$4)*Timelines!$A187</f>
        <v>9250.9700000000012</v>
      </c>
      <c r="C187" s="2">
        <f>Inputs!B$5*Timelines!$A187</f>
        <v>7619.7800000000007</v>
      </c>
      <c r="D187" s="2">
        <f t="shared" si="5"/>
        <v>1631.1900000000005</v>
      </c>
      <c r="E187" s="2">
        <f>Inputs!C$6+(Inputs!C$2+Inputs!C$3-Inputs!C$4)*Timelines!$A187</f>
        <v>8270</v>
      </c>
      <c r="F187">
        <f>Inputs!C$5*Timelines!$A187</f>
        <v>8806</v>
      </c>
      <c r="G187" s="2">
        <f t="shared" si="4"/>
        <v>0</v>
      </c>
    </row>
    <row r="188" spans="1:7" x14ac:dyDescent="0.35">
      <c r="A188">
        <v>1302</v>
      </c>
      <c r="B188" s="2">
        <f>Inputs!B$6+(Inputs!B$2+Inputs!B$3-Inputs!B$4)*Timelines!$A188</f>
        <v>9295.5320000000011</v>
      </c>
      <c r="C188" s="2">
        <f>Inputs!B$5*Timelines!$A188</f>
        <v>7660.9680000000008</v>
      </c>
      <c r="D188" s="2">
        <f t="shared" si="5"/>
        <v>1634.5640000000003</v>
      </c>
      <c r="E188" s="2">
        <f>Inputs!C$6+(Inputs!C$2+Inputs!C$3-Inputs!C$4)*Timelines!$A188</f>
        <v>8312</v>
      </c>
      <c r="F188">
        <f>Inputs!C$5*Timelines!$A188</f>
        <v>8853.6</v>
      </c>
      <c r="G188" s="2">
        <f t="shared" si="4"/>
        <v>0</v>
      </c>
    </row>
    <row r="189" spans="1:7" x14ac:dyDescent="0.35">
      <c r="A189">
        <v>1309</v>
      </c>
      <c r="B189" s="2">
        <f>Inputs!B$6+(Inputs!B$2+Inputs!B$3-Inputs!B$4)*Timelines!$A189</f>
        <v>9340.094000000001</v>
      </c>
      <c r="C189" s="2">
        <f>Inputs!B$5*Timelines!$A189</f>
        <v>7702.1560000000009</v>
      </c>
      <c r="D189" s="2">
        <f t="shared" si="5"/>
        <v>1637.9380000000001</v>
      </c>
      <c r="E189" s="2">
        <f>Inputs!C$6+(Inputs!C$2+Inputs!C$3-Inputs!C$4)*Timelines!$A189</f>
        <v>8354</v>
      </c>
      <c r="F189">
        <f>Inputs!C$5*Timelines!$A189</f>
        <v>8901.1999999999989</v>
      </c>
      <c r="G189" s="2">
        <f t="shared" si="4"/>
        <v>0</v>
      </c>
    </row>
    <row r="190" spans="1:7" x14ac:dyDescent="0.35">
      <c r="A190">
        <v>1316</v>
      </c>
      <c r="B190" s="2">
        <f>Inputs!B$6+(Inputs!B$2+Inputs!B$3-Inputs!B$4)*Timelines!$A190</f>
        <v>9384.6560000000009</v>
      </c>
      <c r="C190" s="2">
        <f>Inputs!B$5*Timelines!$A190</f>
        <v>7743.3440000000001</v>
      </c>
      <c r="D190" s="2">
        <f t="shared" si="5"/>
        <v>1641.3120000000008</v>
      </c>
      <c r="E190" s="2">
        <f>Inputs!C$6+(Inputs!C$2+Inputs!C$3-Inputs!C$4)*Timelines!$A190</f>
        <v>8396</v>
      </c>
      <c r="F190">
        <f>Inputs!C$5*Timelines!$A190</f>
        <v>8948.7999999999993</v>
      </c>
      <c r="G190" s="2">
        <f t="shared" si="4"/>
        <v>0</v>
      </c>
    </row>
    <row r="191" spans="1:7" x14ac:dyDescent="0.35">
      <c r="A191">
        <v>1323</v>
      </c>
      <c r="B191" s="2">
        <f>Inputs!B$6+(Inputs!B$2+Inputs!B$3-Inputs!B$4)*Timelines!$A191</f>
        <v>9429.2180000000008</v>
      </c>
      <c r="C191" s="2">
        <f>Inputs!B$5*Timelines!$A191</f>
        <v>7784.5320000000002</v>
      </c>
      <c r="D191" s="2">
        <f t="shared" si="5"/>
        <v>1644.6860000000006</v>
      </c>
      <c r="E191" s="2">
        <f>Inputs!C$6+(Inputs!C$2+Inputs!C$3-Inputs!C$4)*Timelines!$A191</f>
        <v>8438</v>
      </c>
      <c r="F191">
        <f>Inputs!C$5*Timelines!$A191</f>
        <v>8996.4</v>
      </c>
      <c r="G191" s="2">
        <f t="shared" si="4"/>
        <v>0</v>
      </c>
    </row>
    <row r="192" spans="1:7" x14ac:dyDescent="0.35">
      <c r="A192">
        <v>1330</v>
      </c>
      <c r="B192" s="2">
        <f>Inputs!B$6+(Inputs!B$2+Inputs!B$3-Inputs!B$4)*Timelines!$A192</f>
        <v>9473.7800000000007</v>
      </c>
      <c r="C192" s="2">
        <f>Inputs!B$5*Timelines!$A192</f>
        <v>7825.72</v>
      </c>
      <c r="D192" s="2">
        <f t="shared" si="5"/>
        <v>1648.0600000000004</v>
      </c>
      <c r="E192" s="2">
        <f>Inputs!C$6+(Inputs!C$2+Inputs!C$3-Inputs!C$4)*Timelines!$A192</f>
        <v>8480</v>
      </c>
      <c r="F192">
        <f>Inputs!C$5*Timelines!$A192</f>
        <v>9044</v>
      </c>
      <c r="G192" s="2">
        <f t="shared" si="4"/>
        <v>0</v>
      </c>
    </row>
    <row r="193" spans="1:7" x14ac:dyDescent="0.35">
      <c r="A193">
        <v>1337</v>
      </c>
      <c r="B193" s="2">
        <f>Inputs!B$6+(Inputs!B$2+Inputs!B$3-Inputs!B$4)*Timelines!$A193</f>
        <v>9518.3420000000006</v>
      </c>
      <c r="C193" s="2">
        <f>Inputs!B$5*Timelines!$A193</f>
        <v>7866.9080000000004</v>
      </c>
      <c r="D193" s="2">
        <f t="shared" si="5"/>
        <v>1651.4340000000002</v>
      </c>
      <c r="E193" s="2">
        <f>Inputs!C$6+(Inputs!C$2+Inputs!C$3-Inputs!C$4)*Timelines!$A193</f>
        <v>8522</v>
      </c>
      <c r="F193">
        <f>Inputs!C$5*Timelines!$A193</f>
        <v>9091.6</v>
      </c>
      <c r="G193" s="2">
        <f t="shared" si="4"/>
        <v>0</v>
      </c>
    </row>
    <row r="194" spans="1:7" x14ac:dyDescent="0.35">
      <c r="A194">
        <v>1344</v>
      </c>
      <c r="B194" s="2">
        <f>Inputs!B$6+(Inputs!B$2+Inputs!B$3-Inputs!B$4)*Timelines!$A194</f>
        <v>9562.9040000000005</v>
      </c>
      <c r="C194" s="2">
        <f>Inputs!B$5*Timelines!$A194</f>
        <v>7908.0960000000005</v>
      </c>
      <c r="D194" s="2">
        <f t="shared" si="5"/>
        <v>1654.808</v>
      </c>
      <c r="E194" s="2">
        <f>Inputs!C$6+(Inputs!C$2+Inputs!C$3-Inputs!C$4)*Timelines!$A194</f>
        <v>8564</v>
      </c>
      <c r="F194">
        <f>Inputs!C$5*Timelines!$A194</f>
        <v>9139.1999999999989</v>
      </c>
      <c r="G194" s="2">
        <f t="shared" ref="G194:G257" si="6">IF(E194&lt;F194,0,E194-F194)</f>
        <v>0</v>
      </c>
    </row>
    <row r="195" spans="1:7" x14ac:dyDescent="0.35">
      <c r="A195">
        <v>1351</v>
      </c>
      <c r="B195" s="2">
        <f>Inputs!B$6+(Inputs!B$2+Inputs!B$3-Inputs!B$4)*Timelines!$A195</f>
        <v>9607.4660000000003</v>
      </c>
      <c r="C195" s="2">
        <f>Inputs!B$5*Timelines!$A195</f>
        <v>7949.2840000000006</v>
      </c>
      <c r="D195" s="2">
        <f t="shared" ref="D195:D258" si="7">IF(B195&lt;C195,0,B195-C195)</f>
        <v>1658.1819999999998</v>
      </c>
      <c r="E195" s="2">
        <f>Inputs!C$6+(Inputs!C$2+Inputs!C$3-Inputs!C$4)*Timelines!$A195</f>
        <v>8606</v>
      </c>
      <c r="F195">
        <f>Inputs!C$5*Timelines!$A195</f>
        <v>9186.7999999999993</v>
      </c>
      <c r="G195" s="2">
        <f t="shared" si="6"/>
        <v>0</v>
      </c>
    </row>
    <row r="196" spans="1:7" x14ac:dyDescent="0.35">
      <c r="A196">
        <v>1358</v>
      </c>
      <c r="B196" s="2">
        <f>Inputs!B$6+(Inputs!B$2+Inputs!B$3-Inputs!B$4)*Timelines!$A196</f>
        <v>9652.0280000000002</v>
      </c>
      <c r="C196" s="2">
        <f>Inputs!B$5*Timelines!$A196</f>
        <v>7990.4720000000007</v>
      </c>
      <c r="D196" s="2">
        <f t="shared" si="7"/>
        <v>1661.5559999999996</v>
      </c>
      <c r="E196" s="2">
        <f>Inputs!C$6+(Inputs!C$2+Inputs!C$3-Inputs!C$4)*Timelines!$A196</f>
        <v>8648</v>
      </c>
      <c r="F196">
        <f>Inputs!C$5*Timelines!$A196</f>
        <v>9234.4</v>
      </c>
      <c r="G196" s="2">
        <f t="shared" si="6"/>
        <v>0</v>
      </c>
    </row>
    <row r="197" spans="1:7" x14ac:dyDescent="0.35">
      <c r="A197">
        <v>1365</v>
      </c>
      <c r="B197" s="2">
        <f>Inputs!B$6+(Inputs!B$2+Inputs!B$3-Inputs!B$4)*Timelines!$A197</f>
        <v>9696.59</v>
      </c>
      <c r="C197" s="2">
        <f>Inputs!B$5*Timelines!$A197</f>
        <v>8031.6600000000008</v>
      </c>
      <c r="D197" s="2">
        <f t="shared" si="7"/>
        <v>1664.9299999999994</v>
      </c>
      <c r="E197" s="2">
        <f>Inputs!C$6+(Inputs!C$2+Inputs!C$3-Inputs!C$4)*Timelines!$A197</f>
        <v>8690</v>
      </c>
      <c r="F197">
        <f>Inputs!C$5*Timelines!$A197</f>
        <v>9282</v>
      </c>
      <c r="G197" s="2">
        <f t="shared" si="6"/>
        <v>0</v>
      </c>
    </row>
    <row r="198" spans="1:7" x14ac:dyDescent="0.35">
      <c r="A198">
        <v>1372</v>
      </c>
      <c r="B198" s="2">
        <f>Inputs!B$6+(Inputs!B$2+Inputs!B$3-Inputs!B$4)*Timelines!$A198</f>
        <v>9741.152</v>
      </c>
      <c r="C198" s="2">
        <f>Inputs!B$5*Timelines!$A198</f>
        <v>8072.8480000000009</v>
      </c>
      <c r="D198" s="2">
        <f t="shared" si="7"/>
        <v>1668.3039999999992</v>
      </c>
      <c r="E198" s="2">
        <f>Inputs!C$6+(Inputs!C$2+Inputs!C$3-Inputs!C$4)*Timelines!$A198</f>
        <v>8732</v>
      </c>
      <c r="F198">
        <f>Inputs!C$5*Timelines!$A198</f>
        <v>9329.6</v>
      </c>
      <c r="G198" s="2">
        <f t="shared" si="6"/>
        <v>0</v>
      </c>
    </row>
    <row r="199" spans="1:7" x14ac:dyDescent="0.35">
      <c r="A199">
        <v>1379</v>
      </c>
      <c r="B199" s="2">
        <f>Inputs!B$6+(Inputs!B$2+Inputs!B$3-Inputs!B$4)*Timelines!$A199</f>
        <v>9785.7139999999999</v>
      </c>
      <c r="C199" s="2">
        <f>Inputs!B$5*Timelines!$A199</f>
        <v>8114.0360000000001</v>
      </c>
      <c r="D199" s="2">
        <f t="shared" si="7"/>
        <v>1671.6779999999999</v>
      </c>
      <c r="E199" s="2">
        <f>Inputs!C$6+(Inputs!C$2+Inputs!C$3-Inputs!C$4)*Timelines!$A199</f>
        <v>8774</v>
      </c>
      <c r="F199">
        <f>Inputs!C$5*Timelines!$A199</f>
        <v>9377.1999999999989</v>
      </c>
      <c r="G199" s="2">
        <f t="shared" si="6"/>
        <v>0</v>
      </c>
    </row>
    <row r="200" spans="1:7" x14ac:dyDescent="0.35">
      <c r="A200">
        <v>1386</v>
      </c>
      <c r="B200" s="2">
        <f>Inputs!B$6+(Inputs!B$2+Inputs!B$3-Inputs!B$4)*Timelines!$A200</f>
        <v>9830.2760000000017</v>
      </c>
      <c r="C200" s="2">
        <f>Inputs!B$5*Timelines!$A200</f>
        <v>8155.2240000000002</v>
      </c>
      <c r="D200" s="2">
        <f t="shared" si="7"/>
        <v>1675.0520000000015</v>
      </c>
      <c r="E200" s="2">
        <f>Inputs!C$6+(Inputs!C$2+Inputs!C$3-Inputs!C$4)*Timelines!$A200</f>
        <v>8816</v>
      </c>
      <c r="F200">
        <f>Inputs!C$5*Timelines!$A200</f>
        <v>9424.7999999999993</v>
      </c>
      <c r="G200" s="2">
        <f t="shared" si="6"/>
        <v>0</v>
      </c>
    </row>
    <row r="201" spans="1:7" x14ac:dyDescent="0.35">
      <c r="A201">
        <v>1393</v>
      </c>
      <c r="B201" s="2">
        <f>Inputs!B$6+(Inputs!B$2+Inputs!B$3-Inputs!B$4)*Timelines!$A201</f>
        <v>9874.8380000000016</v>
      </c>
      <c r="C201" s="2">
        <f>Inputs!B$5*Timelines!$A201</f>
        <v>8196.4120000000003</v>
      </c>
      <c r="D201" s="2">
        <f t="shared" si="7"/>
        <v>1678.4260000000013</v>
      </c>
      <c r="E201" s="2">
        <f>Inputs!C$6+(Inputs!C$2+Inputs!C$3-Inputs!C$4)*Timelines!$A201</f>
        <v>8858</v>
      </c>
      <c r="F201">
        <f>Inputs!C$5*Timelines!$A201</f>
        <v>9472.4</v>
      </c>
      <c r="G201" s="2">
        <f t="shared" si="6"/>
        <v>0</v>
      </c>
    </row>
    <row r="202" spans="1:7" x14ac:dyDescent="0.35">
      <c r="A202">
        <v>1400</v>
      </c>
      <c r="B202" s="2">
        <f>Inputs!B$6+(Inputs!B$2+Inputs!B$3-Inputs!B$4)*Timelines!$A202</f>
        <v>9919.4000000000015</v>
      </c>
      <c r="C202" s="2">
        <f>Inputs!B$5*Timelines!$A202</f>
        <v>8237.6</v>
      </c>
      <c r="D202" s="2">
        <f t="shared" si="7"/>
        <v>1681.8000000000011</v>
      </c>
      <c r="E202" s="2">
        <f>Inputs!C$6+(Inputs!C$2+Inputs!C$3-Inputs!C$4)*Timelines!$A202</f>
        <v>8900</v>
      </c>
      <c r="F202">
        <f>Inputs!C$5*Timelines!$A202</f>
        <v>9520</v>
      </c>
      <c r="G202" s="2">
        <f t="shared" si="6"/>
        <v>0</v>
      </c>
    </row>
    <row r="203" spans="1:7" x14ac:dyDescent="0.35">
      <c r="A203">
        <v>1407</v>
      </c>
      <c r="B203" s="2">
        <f>Inputs!B$6+(Inputs!B$2+Inputs!B$3-Inputs!B$4)*Timelines!$A203</f>
        <v>9963.9620000000014</v>
      </c>
      <c r="C203" s="2">
        <f>Inputs!B$5*Timelines!$A203</f>
        <v>8278.7880000000005</v>
      </c>
      <c r="D203" s="2">
        <f t="shared" si="7"/>
        <v>1685.1740000000009</v>
      </c>
      <c r="E203" s="2">
        <f>Inputs!C$6+(Inputs!C$2+Inputs!C$3-Inputs!C$4)*Timelines!$A203</f>
        <v>8942</v>
      </c>
      <c r="F203">
        <f>Inputs!C$5*Timelines!$A203</f>
        <v>9567.6</v>
      </c>
      <c r="G203" s="2">
        <f t="shared" si="6"/>
        <v>0</v>
      </c>
    </row>
    <row r="204" spans="1:7" x14ac:dyDescent="0.35">
      <c r="A204">
        <v>1414</v>
      </c>
      <c r="B204" s="2">
        <f>Inputs!B$6+(Inputs!B$2+Inputs!B$3-Inputs!B$4)*Timelines!$A204</f>
        <v>10008.524000000001</v>
      </c>
      <c r="C204" s="2">
        <f>Inputs!B$5*Timelines!$A204</f>
        <v>8319.9760000000006</v>
      </c>
      <c r="D204" s="2">
        <f t="shared" si="7"/>
        <v>1688.5480000000007</v>
      </c>
      <c r="E204" s="2">
        <f>Inputs!C$6+(Inputs!C$2+Inputs!C$3-Inputs!C$4)*Timelines!$A204</f>
        <v>8984</v>
      </c>
      <c r="F204">
        <f>Inputs!C$5*Timelines!$A204</f>
        <v>9615.1999999999989</v>
      </c>
      <c r="G204" s="2">
        <f t="shared" si="6"/>
        <v>0</v>
      </c>
    </row>
    <row r="205" spans="1:7" x14ac:dyDescent="0.35">
      <c r="A205">
        <v>1421</v>
      </c>
      <c r="B205" s="2">
        <f>Inputs!B$6+(Inputs!B$2+Inputs!B$3-Inputs!B$4)*Timelines!$A205</f>
        <v>10053.086000000001</v>
      </c>
      <c r="C205" s="2">
        <f>Inputs!B$5*Timelines!$A205</f>
        <v>8361.1640000000007</v>
      </c>
      <c r="D205" s="2">
        <f t="shared" si="7"/>
        <v>1691.9220000000005</v>
      </c>
      <c r="E205" s="2">
        <f>Inputs!C$6+(Inputs!C$2+Inputs!C$3-Inputs!C$4)*Timelines!$A205</f>
        <v>9026</v>
      </c>
      <c r="F205">
        <f>Inputs!C$5*Timelines!$A205</f>
        <v>9662.7999999999993</v>
      </c>
      <c r="G205" s="2">
        <f t="shared" si="6"/>
        <v>0</v>
      </c>
    </row>
    <row r="206" spans="1:7" x14ac:dyDescent="0.35">
      <c r="A206">
        <v>1428</v>
      </c>
      <c r="B206" s="2">
        <f>Inputs!B$6+(Inputs!B$2+Inputs!B$3-Inputs!B$4)*Timelines!$A206</f>
        <v>10097.648000000001</v>
      </c>
      <c r="C206" s="2">
        <f>Inputs!B$5*Timelines!$A206</f>
        <v>8402.3520000000008</v>
      </c>
      <c r="D206" s="2">
        <f t="shared" si="7"/>
        <v>1695.2960000000003</v>
      </c>
      <c r="E206" s="2">
        <f>Inputs!C$6+(Inputs!C$2+Inputs!C$3-Inputs!C$4)*Timelines!$A206</f>
        <v>9068</v>
      </c>
      <c r="F206">
        <f>Inputs!C$5*Timelines!$A206</f>
        <v>9710.4</v>
      </c>
      <c r="G206" s="2">
        <f t="shared" si="6"/>
        <v>0</v>
      </c>
    </row>
    <row r="207" spans="1:7" x14ac:dyDescent="0.35">
      <c r="A207">
        <v>1435</v>
      </c>
      <c r="B207" s="2">
        <f>Inputs!B$6+(Inputs!B$2+Inputs!B$3-Inputs!B$4)*Timelines!$A207</f>
        <v>10142.210000000001</v>
      </c>
      <c r="C207" s="2">
        <f>Inputs!B$5*Timelines!$A207</f>
        <v>8443.5400000000009</v>
      </c>
      <c r="D207" s="2">
        <f t="shared" si="7"/>
        <v>1698.67</v>
      </c>
      <c r="E207" s="2">
        <f>Inputs!C$6+(Inputs!C$2+Inputs!C$3-Inputs!C$4)*Timelines!$A207</f>
        <v>9110</v>
      </c>
      <c r="F207">
        <f>Inputs!C$5*Timelines!$A207</f>
        <v>9758</v>
      </c>
      <c r="G207" s="2">
        <f t="shared" si="6"/>
        <v>0</v>
      </c>
    </row>
    <row r="208" spans="1:7" x14ac:dyDescent="0.35">
      <c r="A208">
        <v>1442</v>
      </c>
      <c r="B208" s="2">
        <f>Inputs!B$6+(Inputs!B$2+Inputs!B$3-Inputs!B$4)*Timelines!$A208</f>
        <v>10186.772000000001</v>
      </c>
      <c r="C208" s="2">
        <f>Inputs!B$5*Timelines!$A208</f>
        <v>8484.728000000001</v>
      </c>
      <c r="D208" s="2">
        <f t="shared" si="7"/>
        <v>1702.0439999999999</v>
      </c>
      <c r="E208" s="2">
        <f>Inputs!C$6+(Inputs!C$2+Inputs!C$3-Inputs!C$4)*Timelines!$A208</f>
        <v>9152</v>
      </c>
      <c r="F208">
        <f>Inputs!C$5*Timelines!$A208</f>
        <v>9805.6</v>
      </c>
      <c r="G208" s="2">
        <f t="shared" si="6"/>
        <v>0</v>
      </c>
    </row>
    <row r="209" spans="1:7" x14ac:dyDescent="0.35">
      <c r="A209">
        <v>1449</v>
      </c>
      <c r="B209" s="2">
        <f>Inputs!B$6+(Inputs!B$2+Inputs!B$3-Inputs!B$4)*Timelines!$A209</f>
        <v>10231.334000000001</v>
      </c>
      <c r="C209" s="2">
        <f>Inputs!B$5*Timelines!$A209</f>
        <v>8525.9160000000011</v>
      </c>
      <c r="D209" s="2">
        <f t="shared" si="7"/>
        <v>1705.4179999999997</v>
      </c>
      <c r="E209" s="2">
        <f>Inputs!C$6+(Inputs!C$2+Inputs!C$3-Inputs!C$4)*Timelines!$A209</f>
        <v>9194</v>
      </c>
      <c r="F209">
        <f>Inputs!C$5*Timelines!$A209</f>
        <v>9853.1999999999989</v>
      </c>
      <c r="G209" s="2">
        <f t="shared" si="6"/>
        <v>0</v>
      </c>
    </row>
    <row r="210" spans="1:7" x14ac:dyDescent="0.35">
      <c r="A210">
        <v>1456</v>
      </c>
      <c r="B210" s="2">
        <f>Inputs!B$6+(Inputs!B$2+Inputs!B$3-Inputs!B$4)*Timelines!$A210</f>
        <v>10275.896000000001</v>
      </c>
      <c r="C210" s="2">
        <f>Inputs!B$5*Timelines!$A210</f>
        <v>8567.1040000000012</v>
      </c>
      <c r="D210" s="2">
        <f t="shared" si="7"/>
        <v>1708.7919999999995</v>
      </c>
      <c r="E210" s="2">
        <f>Inputs!C$6+(Inputs!C$2+Inputs!C$3-Inputs!C$4)*Timelines!$A210</f>
        <v>9236</v>
      </c>
      <c r="F210">
        <f>Inputs!C$5*Timelines!$A210</f>
        <v>9900.7999999999993</v>
      </c>
      <c r="G210" s="2">
        <f t="shared" si="6"/>
        <v>0</v>
      </c>
    </row>
    <row r="211" spans="1:7" x14ac:dyDescent="0.35">
      <c r="A211">
        <v>1463</v>
      </c>
      <c r="B211" s="2">
        <f>Inputs!B$6+(Inputs!B$2+Inputs!B$3-Inputs!B$4)*Timelines!$A211</f>
        <v>10320.458000000001</v>
      </c>
      <c r="C211" s="2">
        <f>Inputs!B$5*Timelines!$A211</f>
        <v>8608.2920000000013</v>
      </c>
      <c r="D211" s="2">
        <f t="shared" si="7"/>
        <v>1712.1659999999993</v>
      </c>
      <c r="E211" s="2">
        <f>Inputs!C$6+(Inputs!C$2+Inputs!C$3-Inputs!C$4)*Timelines!$A211</f>
        <v>9278</v>
      </c>
      <c r="F211">
        <f>Inputs!C$5*Timelines!$A211</f>
        <v>9948.4</v>
      </c>
      <c r="G211" s="2">
        <f t="shared" si="6"/>
        <v>0</v>
      </c>
    </row>
    <row r="212" spans="1:7" x14ac:dyDescent="0.35">
      <c r="A212">
        <v>1470</v>
      </c>
      <c r="B212" s="2">
        <f>Inputs!B$6+(Inputs!B$2+Inputs!B$3-Inputs!B$4)*Timelines!$A212</f>
        <v>10365.02</v>
      </c>
      <c r="C212" s="2">
        <f>Inputs!B$5*Timelines!$A212</f>
        <v>8649.4800000000014</v>
      </c>
      <c r="D212" s="2">
        <f t="shared" si="7"/>
        <v>1715.5399999999991</v>
      </c>
      <c r="E212" s="2">
        <f>Inputs!C$6+(Inputs!C$2+Inputs!C$3-Inputs!C$4)*Timelines!$A212</f>
        <v>9320</v>
      </c>
      <c r="F212">
        <f>Inputs!C$5*Timelines!$A212</f>
        <v>9996</v>
      </c>
      <c r="G212" s="2">
        <f t="shared" si="6"/>
        <v>0</v>
      </c>
    </row>
    <row r="213" spans="1:7" x14ac:dyDescent="0.35">
      <c r="A213">
        <v>1477</v>
      </c>
      <c r="B213" s="2">
        <f>Inputs!B$6+(Inputs!B$2+Inputs!B$3-Inputs!B$4)*Timelines!$A213</f>
        <v>10409.582</v>
      </c>
      <c r="C213" s="2">
        <f>Inputs!B$5*Timelines!$A213</f>
        <v>8690.6679999999997</v>
      </c>
      <c r="D213" s="2">
        <f t="shared" si="7"/>
        <v>1718.9140000000007</v>
      </c>
      <c r="E213" s="2">
        <f>Inputs!C$6+(Inputs!C$2+Inputs!C$3-Inputs!C$4)*Timelines!$A213</f>
        <v>9362</v>
      </c>
      <c r="F213">
        <f>Inputs!C$5*Timelines!$A213</f>
        <v>10043.6</v>
      </c>
      <c r="G213" s="2">
        <f t="shared" si="6"/>
        <v>0</v>
      </c>
    </row>
    <row r="214" spans="1:7" x14ac:dyDescent="0.35">
      <c r="A214">
        <v>1484</v>
      </c>
      <c r="B214" s="2">
        <f>Inputs!B$6+(Inputs!B$2+Inputs!B$3-Inputs!B$4)*Timelines!$A214</f>
        <v>10454.144</v>
      </c>
      <c r="C214" s="2">
        <f>Inputs!B$5*Timelines!$A214</f>
        <v>8731.8559999999998</v>
      </c>
      <c r="D214" s="2">
        <f t="shared" si="7"/>
        <v>1722.2880000000005</v>
      </c>
      <c r="E214" s="2">
        <f>Inputs!C$6+(Inputs!C$2+Inputs!C$3-Inputs!C$4)*Timelines!$A214</f>
        <v>9404</v>
      </c>
      <c r="F214">
        <f>Inputs!C$5*Timelines!$A214</f>
        <v>10091.199999999999</v>
      </c>
      <c r="G214" s="2">
        <f t="shared" si="6"/>
        <v>0</v>
      </c>
    </row>
    <row r="215" spans="1:7" x14ac:dyDescent="0.35">
      <c r="A215">
        <v>1491</v>
      </c>
      <c r="B215" s="2">
        <f>Inputs!B$6+(Inputs!B$2+Inputs!B$3-Inputs!B$4)*Timelines!$A215</f>
        <v>10498.706</v>
      </c>
      <c r="C215" s="2">
        <f>Inputs!B$5*Timelines!$A215</f>
        <v>8773.0439999999999</v>
      </c>
      <c r="D215" s="2">
        <f t="shared" si="7"/>
        <v>1725.6620000000003</v>
      </c>
      <c r="E215" s="2">
        <f>Inputs!C$6+(Inputs!C$2+Inputs!C$3-Inputs!C$4)*Timelines!$A215</f>
        <v>9446</v>
      </c>
      <c r="F215">
        <f>Inputs!C$5*Timelines!$A215</f>
        <v>10138.799999999999</v>
      </c>
      <c r="G215" s="2">
        <f t="shared" si="6"/>
        <v>0</v>
      </c>
    </row>
    <row r="216" spans="1:7" x14ac:dyDescent="0.35">
      <c r="A216">
        <v>1498</v>
      </c>
      <c r="B216" s="2">
        <f>Inputs!B$6+(Inputs!B$2+Inputs!B$3-Inputs!B$4)*Timelines!$A216</f>
        <v>10543.268</v>
      </c>
      <c r="C216" s="2">
        <f>Inputs!B$5*Timelines!$A216</f>
        <v>8814.232</v>
      </c>
      <c r="D216" s="2">
        <f t="shared" si="7"/>
        <v>1729.0360000000001</v>
      </c>
      <c r="E216" s="2">
        <f>Inputs!C$6+(Inputs!C$2+Inputs!C$3-Inputs!C$4)*Timelines!$A216</f>
        <v>9488</v>
      </c>
      <c r="F216">
        <f>Inputs!C$5*Timelines!$A216</f>
        <v>10186.4</v>
      </c>
      <c r="G216" s="2">
        <f t="shared" si="6"/>
        <v>0</v>
      </c>
    </row>
    <row r="217" spans="1:7" x14ac:dyDescent="0.35">
      <c r="A217">
        <v>1505</v>
      </c>
      <c r="B217" s="2">
        <f>Inputs!B$6+(Inputs!B$2+Inputs!B$3-Inputs!B$4)*Timelines!$A217</f>
        <v>10587.83</v>
      </c>
      <c r="C217" s="2">
        <f>Inputs!B$5*Timelines!$A217</f>
        <v>8855.42</v>
      </c>
      <c r="D217" s="2">
        <f t="shared" si="7"/>
        <v>1732.4099999999999</v>
      </c>
      <c r="E217" s="2">
        <f>Inputs!C$6+(Inputs!C$2+Inputs!C$3-Inputs!C$4)*Timelines!$A217</f>
        <v>9530</v>
      </c>
      <c r="F217">
        <f>Inputs!C$5*Timelines!$A217</f>
        <v>10234</v>
      </c>
      <c r="G217" s="2">
        <f t="shared" si="6"/>
        <v>0</v>
      </c>
    </row>
    <row r="218" spans="1:7" x14ac:dyDescent="0.35">
      <c r="A218">
        <v>1512</v>
      </c>
      <c r="B218" s="2">
        <f>Inputs!B$6+(Inputs!B$2+Inputs!B$3-Inputs!B$4)*Timelines!$A218</f>
        <v>10632.392000000002</v>
      </c>
      <c r="C218" s="2">
        <f>Inputs!B$5*Timelines!$A218</f>
        <v>8896.6080000000002</v>
      </c>
      <c r="D218" s="2">
        <f t="shared" si="7"/>
        <v>1735.7840000000015</v>
      </c>
      <c r="E218" s="2">
        <f>Inputs!C$6+(Inputs!C$2+Inputs!C$3-Inputs!C$4)*Timelines!$A218</f>
        <v>9572</v>
      </c>
      <c r="F218">
        <f>Inputs!C$5*Timelines!$A218</f>
        <v>10281.6</v>
      </c>
      <c r="G218" s="2">
        <f t="shared" si="6"/>
        <v>0</v>
      </c>
    </row>
    <row r="219" spans="1:7" x14ac:dyDescent="0.35">
      <c r="A219">
        <v>1519</v>
      </c>
      <c r="B219" s="2">
        <f>Inputs!B$6+(Inputs!B$2+Inputs!B$3-Inputs!B$4)*Timelines!$A219</f>
        <v>10676.954000000002</v>
      </c>
      <c r="C219" s="2">
        <f>Inputs!B$5*Timelines!$A219</f>
        <v>8937.7960000000003</v>
      </c>
      <c r="D219" s="2">
        <f t="shared" si="7"/>
        <v>1739.1580000000013</v>
      </c>
      <c r="E219" s="2">
        <f>Inputs!C$6+(Inputs!C$2+Inputs!C$3-Inputs!C$4)*Timelines!$A219</f>
        <v>9614</v>
      </c>
      <c r="F219">
        <f>Inputs!C$5*Timelines!$A219</f>
        <v>10329.199999999999</v>
      </c>
      <c r="G219" s="2">
        <f t="shared" si="6"/>
        <v>0</v>
      </c>
    </row>
    <row r="220" spans="1:7" x14ac:dyDescent="0.35">
      <c r="A220">
        <v>1526</v>
      </c>
      <c r="B220" s="2">
        <f>Inputs!B$6+(Inputs!B$2+Inputs!B$3-Inputs!B$4)*Timelines!$A220</f>
        <v>10721.516000000001</v>
      </c>
      <c r="C220" s="2">
        <f>Inputs!B$5*Timelines!$A220</f>
        <v>8978.9840000000004</v>
      </c>
      <c r="D220" s="2">
        <f t="shared" si="7"/>
        <v>1742.5320000000011</v>
      </c>
      <c r="E220" s="2">
        <f>Inputs!C$6+(Inputs!C$2+Inputs!C$3-Inputs!C$4)*Timelines!$A220</f>
        <v>9656</v>
      </c>
      <c r="F220">
        <f>Inputs!C$5*Timelines!$A220</f>
        <v>10376.799999999999</v>
      </c>
      <c r="G220" s="2">
        <f t="shared" si="6"/>
        <v>0</v>
      </c>
    </row>
    <row r="221" spans="1:7" x14ac:dyDescent="0.35">
      <c r="A221">
        <v>1533</v>
      </c>
      <c r="B221" s="2">
        <f>Inputs!B$6+(Inputs!B$2+Inputs!B$3-Inputs!B$4)*Timelines!$A221</f>
        <v>10766.078000000001</v>
      </c>
      <c r="C221" s="2">
        <f>Inputs!B$5*Timelines!$A221</f>
        <v>9020.1720000000005</v>
      </c>
      <c r="D221" s="2">
        <f t="shared" si="7"/>
        <v>1745.9060000000009</v>
      </c>
      <c r="E221" s="2">
        <f>Inputs!C$6+(Inputs!C$2+Inputs!C$3-Inputs!C$4)*Timelines!$A221</f>
        <v>9698</v>
      </c>
      <c r="F221">
        <f>Inputs!C$5*Timelines!$A221</f>
        <v>10424.4</v>
      </c>
      <c r="G221" s="2">
        <f t="shared" si="6"/>
        <v>0</v>
      </c>
    </row>
    <row r="222" spans="1:7" x14ac:dyDescent="0.35">
      <c r="A222">
        <v>1540</v>
      </c>
      <c r="B222" s="2">
        <f>Inputs!B$6+(Inputs!B$2+Inputs!B$3-Inputs!B$4)*Timelines!$A222</f>
        <v>10810.640000000001</v>
      </c>
      <c r="C222" s="2">
        <f>Inputs!B$5*Timelines!$A222</f>
        <v>9061.36</v>
      </c>
      <c r="D222" s="2">
        <f t="shared" si="7"/>
        <v>1749.2800000000007</v>
      </c>
      <c r="E222" s="2">
        <f>Inputs!C$6+(Inputs!C$2+Inputs!C$3-Inputs!C$4)*Timelines!$A222</f>
        <v>9740</v>
      </c>
      <c r="F222">
        <f>Inputs!C$5*Timelines!$A222</f>
        <v>10472</v>
      </c>
      <c r="G222" s="2">
        <f t="shared" si="6"/>
        <v>0</v>
      </c>
    </row>
    <row r="223" spans="1:7" x14ac:dyDescent="0.35">
      <c r="A223">
        <v>1547</v>
      </c>
      <c r="B223" s="2">
        <f>Inputs!B$6+(Inputs!B$2+Inputs!B$3-Inputs!B$4)*Timelines!$A223</f>
        <v>10855.202000000001</v>
      </c>
      <c r="C223" s="2">
        <f>Inputs!B$5*Timelines!$A223</f>
        <v>9102.5480000000007</v>
      </c>
      <c r="D223" s="2">
        <f t="shared" si="7"/>
        <v>1752.6540000000005</v>
      </c>
      <c r="E223" s="2">
        <f>Inputs!C$6+(Inputs!C$2+Inputs!C$3-Inputs!C$4)*Timelines!$A223</f>
        <v>9782</v>
      </c>
      <c r="F223">
        <f>Inputs!C$5*Timelines!$A223</f>
        <v>10519.6</v>
      </c>
      <c r="G223" s="2">
        <f t="shared" si="6"/>
        <v>0</v>
      </c>
    </row>
    <row r="224" spans="1:7" x14ac:dyDescent="0.35">
      <c r="A224">
        <v>1554</v>
      </c>
      <c r="B224" s="2">
        <f>Inputs!B$6+(Inputs!B$2+Inputs!B$3-Inputs!B$4)*Timelines!$A224</f>
        <v>10899.764000000001</v>
      </c>
      <c r="C224" s="2">
        <f>Inputs!B$5*Timelines!$A224</f>
        <v>9143.7360000000008</v>
      </c>
      <c r="D224" s="2">
        <f t="shared" si="7"/>
        <v>1756.0280000000002</v>
      </c>
      <c r="E224" s="2">
        <f>Inputs!C$6+(Inputs!C$2+Inputs!C$3-Inputs!C$4)*Timelines!$A224</f>
        <v>9824</v>
      </c>
      <c r="F224">
        <f>Inputs!C$5*Timelines!$A224</f>
        <v>10567.199999999999</v>
      </c>
      <c r="G224" s="2">
        <f t="shared" si="6"/>
        <v>0</v>
      </c>
    </row>
    <row r="225" spans="1:7" x14ac:dyDescent="0.35">
      <c r="A225">
        <v>1561</v>
      </c>
      <c r="B225" s="2">
        <f>Inputs!B$6+(Inputs!B$2+Inputs!B$3-Inputs!B$4)*Timelines!$A225</f>
        <v>10944.326000000001</v>
      </c>
      <c r="C225" s="2">
        <f>Inputs!B$5*Timelines!$A225</f>
        <v>9184.9240000000009</v>
      </c>
      <c r="D225" s="2">
        <f t="shared" si="7"/>
        <v>1759.402</v>
      </c>
      <c r="E225" s="2">
        <f>Inputs!C$6+(Inputs!C$2+Inputs!C$3-Inputs!C$4)*Timelines!$A225</f>
        <v>9866</v>
      </c>
      <c r="F225">
        <f>Inputs!C$5*Timelines!$A225</f>
        <v>10614.8</v>
      </c>
      <c r="G225" s="2">
        <f t="shared" si="6"/>
        <v>0</v>
      </c>
    </row>
    <row r="226" spans="1:7" x14ac:dyDescent="0.35">
      <c r="A226">
        <v>1568</v>
      </c>
      <c r="B226" s="2">
        <f>Inputs!B$6+(Inputs!B$2+Inputs!B$3-Inputs!B$4)*Timelines!$A226</f>
        <v>10988.888000000001</v>
      </c>
      <c r="C226" s="2">
        <f>Inputs!B$5*Timelines!$A226</f>
        <v>9226.112000000001</v>
      </c>
      <c r="D226" s="2">
        <f t="shared" si="7"/>
        <v>1762.7759999999998</v>
      </c>
      <c r="E226" s="2">
        <f>Inputs!C$6+(Inputs!C$2+Inputs!C$3-Inputs!C$4)*Timelines!$A226</f>
        <v>9908</v>
      </c>
      <c r="F226">
        <f>Inputs!C$5*Timelines!$A226</f>
        <v>10662.4</v>
      </c>
      <c r="G226" s="2">
        <f t="shared" si="6"/>
        <v>0</v>
      </c>
    </row>
    <row r="227" spans="1:7" x14ac:dyDescent="0.35">
      <c r="A227">
        <v>1575</v>
      </c>
      <c r="B227" s="2">
        <f>Inputs!B$6+(Inputs!B$2+Inputs!B$3-Inputs!B$4)*Timelines!$A227</f>
        <v>11033.45</v>
      </c>
      <c r="C227" s="2">
        <f>Inputs!B$5*Timelines!$A227</f>
        <v>9267.3000000000011</v>
      </c>
      <c r="D227" s="2">
        <f t="shared" si="7"/>
        <v>1766.1499999999996</v>
      </c>
      <c r="E227" s="2">
        <f>Inputs!C$6+(Inputs!C$2+Inputs!C$3-Inputs!C$4)*Timelines!$A227</f>
        <v>9950</v>
      </c>
      <c r="F227">
        <f>Inputs!C$5*Timelines!$A227</f>
        <v>10710</v>
      </c>
      <c r="G227" s="2">
        <f t="shared" si="6"/>
        <v>0</v>
      </c>
    </row>
    <row r="228" spans="1:7" x14ac:dyDescent="0.35">
      <c r="A228">
        <v>1582</v>
      </c>
      <c r="B228" s="2">
        <f>Inputs!B$6+(Inputs!B$2+Inputs!B$3-Inputs!B$4)*Timelines!$A228</f>
        <v>11078.012000000001</v>
      </c>
      <c r="C228" s="2">
        <f>Inputs!B$5*Timelines!$A228</f>
        <v>9308.4880000000012</v>
      </c>
      <c r="D228" s="2">
        <f t="shared" si="7"/>
        <v>1769.5239999999994</v>
      </c>
      <c r="E228" s="2">
        <f>Inputs!C$6+(Inputs!C$2+Inputs!C$3-Inputs!C$4)*Timelines!$A228</f>
        <v>9992</v>
      </c>
      <c r="F228">
        <f>Inputs!C$5*Timelines!$A228</f>
        <v>10757.6</v>
      </c>
      <c r="G228" s="2">
        <f t="shared" si="6"/>
        <v>0</v>
      </c>
    </row>
    <row r="229" spans="1:7" x14ac:dyDescent="0.35">
      <c r="A229">
        <v>1589</v>
      </c>
      <c r="B229" s="2">
        <f>Inputs!B$6+(Inputs!B$2+Inputs!B$3-Inputs!B$4)*Timelines!$A229</f>
        <v>11122.574000000001</v>
      </c>
      <c r="C229" s="2">
        <f>Inputs!B$5*Timelines!$A229</f>
        <v>9349.6760000000013</v>
      </c>
      <c r="D229" s="2">
        <f t="shared" si="7"/>
        <v>1772.8979999999992</v>
      </c>
      <c r="E229" s="2">
        <f>Inputs!C$6+(Inputs!C$2+Inputs!C$3-Inputs!C$4)*Timelines!$A229</f>
        <v>10034</v>
      </c>
      <c r="F229">
        <f>Inputs!C$5*Timelines!$A229</f>
        <v>10805.199999999999</v>
      </c>
      <c r="G229" s="2">
        <f t="shared" si="6"/>
        <v>0</v>
      </c>
    </row>
    <row r="230" spans="1:7" x14ac:dyDescent="0.35">
      <c r="A230">
        <v>1596</v>
      </c>
      <c r="B230" s="2">
        <f>Inputs!B$6+(Inputs!B$2+Inputs!B$3-Inputs!B$4)*Timelines!$A230</f>
        <v>11167.136</v>
      </c>
      <c r="C230" s="2">
        <f>Inputs!B$5*Timelines!$A230</f>
        <v>9390.8640000000014</v>
      </c>
      <c r="D230" s="2">
        <f t="shared" si="7"/>
        <v>1776.271999999999</v>
      </c>
      <c r="E230" s="2">
        <f>Inputs!C$6+(Inputs!C$2+Inputs!C$3-Inputs!C$4)*Timelines!$A230</f>
        <v>10076</v>
      </c>
      <c r="F230">
        <f>Inputs!C$5*Timelines!$A230</f>
        <v>10852.8</v>
      </c>
      <c r="G230" s="2">
        <f t="shared" si="6"/>
        <v>0</v>
      </c>
    </row>
    <row r="231" spans="1:7" x14ac:dyDescent="0.35">
      <c r="A231">
        <v>1603</v>
      </c>
      <c r="B231" s="2">
        <f>Inputs!B$6+(Inputs!B$2+Inputs!B$3-Inputs!B$4)*Timelines!$A231</f>
        <v>11211.698</v>
      </c>
      <c r="C231" s="2">
        <f>Inputs!B$5*Timelines!$A231</f>
        <v>9432.0519999999997</v>
      </c>
      <c r="D231" s="2">
        <f t="shared" si="7"/>
        <v>1779.6460000000006</v>
      </c>
      <c r="E231" s="2">
        <f>Inputs!C$6+(Inputs!C$2+Inputs!C$3-Inputs!C$4)*Timelines!$A231</f>
        <v>10118</v>
      </c>
      <c r="F231">
        <f>Inputs!C$5*Timelines!$A231</f>
        <v>10900.4</v>
      </c>
      <c r="G231" s="2">
        <f t="shared" si="6"/>
        <v>0</v>
      </c>
    </row>
    <row r="232" spans="1:7" x14ac:dyDescent="0.35">
      <c r="A232">
        <v>1610</v>
      </c>
      <c r="B232" s="2">
        <f>Inputs!B$6+(Inputs!B$2+Inputs!B$3-Inputs!B$4)*Timelines!$A232</f>
        <v>11256.26</v>
      </c>
      <c r="C232" s="2">
        <f>Inputs!B$5*Timelines!$A232</f>
        <v>9473.24</v>
      </c>
      <c r="D232" s="2">
        <f t="shared" si="7"/>
        <v>1783.0200000000004</v>
      </c>
      <c r="E232" s="2">
        <f>Inputs!C$6+(Inputs!C$2+Inputs!C$3-Inputs!C$4)*Timelines!$A232</f>
        <v>10160</v>
      </c>
      <c r="F232">
        <f>Inputs!C$5*Timelines!$A232</f>
        <v>10948</v>
      </c>
      <c r="G232" s="2">
        <f t="shared" si="6"/>
        <v>0</v>
      </c>
    </row>
    <row r="233" spans="1:7" x14ac:dyDescent="0.35">
      <c r="A233">
        <v>1617</v>
      </c>
      <c r="B233" s="2">
        <f>Inputs!B$6+(Inputs!B$2+Inputs!B$3-Inputs!B$4)*Timelines!$A233</f>
        <v>11300.822</v>
      </c>
      <c r="C233" s="2">
        <f>Inputs!B$5*Timelines!$A233</f>
        <v>9514.4279999999999</v>
      </c>
      <c r="D233" s="2">
        <f t="shared" si="7"/>
        <v>1786.3940000000002</v>
      </c>
      <c r="E233" s="2">
        <f>Inputs!C$6+(Inputs!C$2+Inputs!C$3-Inputs!C$4)*Timelines!$A233</f>
        <v>10202</v>
      </c>
      <c r="F233">
        <f>Inputs!C$5*Timelines!$A233</f>
        <v>10995.6</v>
      </c>
      <c r="G233" s="2">
        <f t="shared" si="6"/>
        <v>0</v>
      </c>
    </row>
    <row r="234" spans="1:7" x14ac:dyDescent="0.35">
      <c r="A234">
        <v>1624</v>
      </c>
      <c r="B234" s="2">
        <f>Inputs!B$6+(Inputs!B$2+Inputs!B$3-Inputs!B$4)*Timelines!$A234</f>
        <v>11345.384</v>
      </c>
      <c r="C234" s="2">
        <f>Inputs!B$5*Timelines!$A234</f>
        <v>9555.616</v>
      </c>
      <c r="D234" s="2">
        <f t="shared" si="7"/>
        <v>1789.768</v>
      </c>
      <c r="E234" s="2">
        <f>Inputs!C$6+(Inputs!C$2+Inputs!C$3-Inputs!C$4)*Timelines!$A234</f>
        <v>10244</v>
      </c>
      <c r="F234">
        <f>Inputs!C$5*Timelines!$A234</f>
        <v>11043.199999999999</v>
      </c>
      <c r="G234" s="2">
        <f t="shared" si="6"/>
        <v>0</v>
      </c>
    </row>
    <row r="235" spans="1:7" x14ac:dyDescent="0.35">
      <c r="A235">
        <v>1631</v>
      </c>
      <c r="B235" s="2">
        <f>Inputs!B$6+(Inputs!B$2+Inputs!B$3-Inputs!B$4)*Timelines!$A235</f>
        <v>11389.946000000002</v>
      </c>
      <c r="C235" s="2">
        <f>Inputs!B$5*Timelines!$A235</f>
        <v>9596.8040000000001</v>
      </c>
      <c r="D235" s="2">
        <f t="shared" si="7"/>
        <v>1793.1420000000016</v>
      </c>
      <c r="E235" s="2">
        <f>Inputs!C$6+(Inputs!C$2+Inputs!C$3-Inputs!C$4)*Timelines!$A235</f>
        <v>10286</v>
      </c>
      <c r="F235">
        <f>Inputs!C$5*Timelines!$A235</f>
        <v>11090.8</v>
      </c>
      <c r="G235" s="2">
        <f t="shared" si="6"/>
        <v>0</v>
      </c>
    </row>
    <row r="236" spans="1:7" x14ac:dyDescent="0.35">
      <c r="A236">
        <v>1638</v>
      </c>
      <c r="B236" s="2">
        <f>Inputs!B$6+(Inputs!B$2+Inputs!B$3-Inputs!B$4)*Timelines!$A236</f>
        <v>11434.508000000002</v>
      </c>
      <c r="C236" s="2">
        <f>Inputs!B$5*Timelines!$A236</f>
        <v>9637.9920000000002</v>
      </c>
      <c r="D236" s="2">
        <f t="shared" si="7"/>
        <v>1796.5160000000014</v>
      </c>
      <c r="E236" s="2">
        <f>Inputs!C$6+(Inputs!C$2+Inputs!C$3-Inputs!C$4)*Timelines!$A236</f>
        <v>10328</v>
      </c>
      <c r="F236">
        <f>Inputs!C$5*Timelines!$A236</f>
        <v>11138.4</v>
      </c>
      <c r="G236" s="2">
        <f t="shared" si="6"/>
        <v>0</v>
      </c>
    </row>
    <row r="237" spans="1:7" x14ac:dyDescent="0.35">
      <c r="A237">
        <v>1645</v>
      </c>
      <c r="B237" s="2">
        <f>Inputs!B$6+(Inputs!B$2+Inputs!B$3-Inputs!B$4)*Timelines!$A237</f>
        <v>11479.070000000002</v>
      </c>
      <c r="C237" s="2">
        <f>Inputs!B$5*Timelines!$A237</f>
        <v>9679.18</v>
      </c>
      <c r="D237" s="2">
        <f t="shared" si="7"/>
        <v>1799.8900000000012</v>
      </c>
      <c r="E237" s="2">
        <f>Inputs!C$6+(Inputs!C$2+Inputs!C$3-Inputs!C$4)*Timelines!$A237</f>
        <v>10370</v>
      </c>
      <c r="F237">
        <f>Inputs!C$5*Timelines!$A237</f>
        <v>11186</v>
      </c>
      <c r="G237" s="2">
        <f t="shared" si="6"/>
        <v>0</v>
      </c>
    </row>
    <row r="238" spans="1:7" x14ac:dyDescent="0.35">
      <c r="A238">
        <v>1652</v>
      </c>
      <c r="B238" s="2">
        <f>Inputs!B$6+(Inputs!B$2+Inputs!B$3-Inputs!B$4)*Timelines!$A238</f>
        <v>11523.632000000001</v>
      </c>
      <c r="C238" s="2">
        <f>Inputs!B$5*Timelines!$A238</f>
        <v>9720.3680000000004</v>
      </c>
      <c r="D238" s="2">
        <f t="shared" si="7"/>
        <v>1803.264000000001</v>
      </c>
      <c r="E238" s="2">
        <f>Inputs!C$6+(Inputs!C$2+Inputs!C$3-Inputs!C$4)*Timelines!$A238</f>
        <v>10412</v>
      </c>
      <c r="F238">
        <f>Inputs!C$5*Timelines!$A238</f>
        <v>11233.6</v>
      </c>
      <c r="G238" s="2">
        <f t="shared" si="6"/>
        <v>0</v>
      </c>
    </row>
    <row r="239" spans="1:7" x14ac:dyDescent="0.35">
      <c r="A239">
        <v>1659</v>
      </c>
      <c r="B239" s="2">
        <f>Inputs!B$6+(Inputs!B$2+Inputs!B$3-Inputs!B$4)*Timelines!$A239</f>
        <v>11568.194000000001</v>
      </c>
      <c r="C239" s="2">
        <f>Inputs!B$5*Timelines!$A239</f>
        <v>9761.5560000000005</v>
      </c>
      <c r="D239" s="2">
        <f t="shared" si="7"/>
        <v>1806.6380000000008</v>
      </c>
      <c r="E239" s="2">
        <f>Inputs!C$6+(Inputs!C$2+Inputs!C$3-Inputs!C$4)*Timelines!$A239</f>
        <v>10454</v>
      </c>
      <c r="F239">
        <f>Inputs!C$5*Timelines!$A239</f>
        <v>11281.199999999999</v>
      </c>
      <c r="G239" s="2">
        <f t="shared" si="6"/>
        <v>0</v>
      </c>
    </row>
    <row r="240" spans="1:7" x14ac:dyDescent="0.35">
      <c r="A240">
        <v>1666</v>
      </c>
      <c r="B240" s="2">
        <f>Inputs!B$6+(Inputs!B$2+Inputs!B$3-Inputs!B$4)*Timelines!$A240</f>
        <v>11612.756000000001</v>
      </c>
      <c r="C240" s="2">
        <f>Inputs!B$5*Timelines!$A240</f>
        <v>9802.7440000000006</v>
      </c>
      <c r="D240" s="2">
        <f t="shared" si="7"/>
        <v>1810.0120000000006</v>
      </c>
      <c r="E240" s="2">
        <f>Inputs!C$6+(Inputs!C$2+Inputs!C$3-Inputs!C$4)*Timelines!$A240</f>
        <v>10496</v>
      </c>
      <c r="F240">
        <f>Inputs!C$5*Timelines!$A240</f>
        <v>11328.8</v>
      </c>
      <c r="G240" s="2">
        <f t="shared" si="6"/>
        <v>0</v>
      </c>
    </row>
    <row r="241" spans="1:7" x14ac:dyDescent="0.35">
      <c r="A241">
        <v>1673</v>
      </c>
      <c r="B241" s="2">
        <f>Inputs!B$6+(Inputs!B$2+Inputs!B$3-Inputs!B$4)*Timelines!$A241</f>
        <v>11657.318000000001</v>
      </c>
      <c r="C241" s="2">
        <f>Inputs!B$5*Timelines!$A241</f>
        <v>9843.9320000000007</v>
      </c>
      <c r="D241" s="2">
        <f t="shared" si="7"/>
        <v>1813.3860000000004</v>
      </c>
      <c r="E241" s="2">
        <f>Inputs!C$6+(Inputs!C$2+Inputs!C$3-Inputs!C$4)*Timelines!$A241</f>
        <v>10538</v>
      </c>
      <c r="F241">
        <f>Inputs!C$5*Timelines!$A241</f>
        <v>11376.4</v>
      </c>
      <c r="G241" s="2">
        <f t="shared" si="6"/>
        <v>0</v>
      </c>
    </row>
    <row r="242" spans="1:7" x14ac:dyDescent="0.35">
      <c r="A242">
        <v>1680</v>
      </c>
      <c r="B242" s="2">
        <f>Inputs!B$6+(Inputs!B$2+Inputs!B$3-Inputs!B$4)*Timelines!$A242</f>
        <v>11701.880000000001</v>
      </c>
      <c r="C242" s="2">
        <f>Inputs!B$5*Timelines!$A242</f>
        <v>9885.1200000000008</v>
      </c>
      <c r="D242" s="2">
        <f t="shared" si="7"/>
        <v>1816.7600000000002</v>
      </c>
      <c r="E242" s="2">
        <f>Inputs!C$6+(Inputs!C$2+Inputs!C$3-Inputs!C$4)*Timelines!$A242</f>
        <v>10580</v>
      </c>
      <c r="F242">
        <f>Inputs!C$5*Timelines!$A242</f>
        <v>11424</v>
      </c>
      <c r="G242" s="2">
        <f t="shared" si="6"/>
        <v>0</v>
      </c>
    </row>
    <row r="243" spans="1:7" x14ac:dyDescent="0.35">
      <c r="A243">
        <v>1687</v>
      </c>
      <c r="B243" s="2">
        <f>Inputs!B$6+(Inputs!B$2+Inputs!B$3-Inputs!B$4)*Timelines!$A243</f>
        <v>11746.442000000001</v>
      </c>
      <c r="C243" s="2">
        <f>Inputs!B$5*Timelines!$A243</f>
        <v>9926.3080000000009</v>
      </c>
      <c r="D243" s="2">
        <f t="shared" si="7"/>
        <v>1820.134</v>
      </c>
      <c r="E243" s="2">
        <f>Inputs!C$6+(Inputs!C$2+Inputs!C$3-Inputs!C$4)*Timelines!$A243</f>
        <v>10622</v>
      </c>
      <c r="F243">
        <f>Inputs!C$5*Timelines!$A243</f>
        <v>11471.6</v>
      </c>
      <c r="G243" s="2">
        <f t="shared" si="6"/>
        <v>0</v>
      </c>
    </row>
    <row r="244" spans="1:7" x14ac:dyDescent="0.35">
      <c r="A244">
        <v>1694</v>
      </c>
      <c r="B244" s="2">
        <f>Inputs!B$6+(Inputs!B$2+Inputs!B$3-Inputs!B$4)*Timelines!$A244</f>
        <v>11791.004000000001</v>
      </c>
      <c r="C244" s="2">
        <f>Inputs!B$5*Timelines!$A244</f>
        <v>9967.496000000001</v>
      </c>
      <c r="D244" s="2">
        <f t="shared" si="7"/>
        <v>1823.5079999999998</v>
      </c>
      <c r="E244" s="2">
        <f>Inputs!C$6+(Inputs!C$2+Inputs!C$3-Inputs!C$4)*Timelines!$A244</f>
        <v>10664</v>
      </c>
      <c r="F244">
        <f>Inputs!C$5*Timelines!$A244</f>
        <v>11519.199999999999</v>
      </c>
      <c r="G244" s="2">
        <f t="shared" si="6"/>
        <v>0</v>
      </c>
    </row>
    <row r="245" spans="1:7" x14ac:dyDescent="0.35">
      <c r="A245">
        <v>1701</v>
      </c>
      <c r="B245" s="2">
        <f>Inputs!B$6+(Inputs!B$2+Inputs!B$3-Inputs!B$4)*Timelines!$A245</f>
        <v>11835.566000000001</v>
      </c>
      <c r="C245" s="2">
        <f>Inputs!B$5*Timelines!$A245</f>
        <v>10008.684000000001</v>
      </c>
      <c r="D245" s="2">
        <f t="shared" si="7"/>
        <v>1826.8819999999996</v>
      </c>
      <c r="E245" s="2">
        <f>Inputs!C$6+(Inputs!C$2+Inputs!C$3-Inputs!C$4)*Timelines!$A245</f>
        <v>10706</v>
      </c>
      <c r="F245">
        <f>Inputs!C$5*Timelines!$A245</f>
        <v>11566.8</v>
      </c>
      <c r="G245" s="2">
        <f t="shared" si="6"/>
        <v>0</v>
      </c>
    </row>
    <row r="246" spans="1:7" x14ac:dyDescent="0.35">
      <c r="A246">
        <v>1708</v>
      </c>
      <c r="B246" s="2">
        <f>Inputs!B$6+(Inputs!B$2+Inputs!B$3-Inputs!B$4)*Timelines!$A246</f>
        <v>11880.128000000001</v>
      </c>
      <c r="C246" s="2">
        <f>Inputs!B$5*Timelines!$A246</f>
        <v>10049.872000000001</v>
      </c>
      <c r="D246" s="2">
        <f t="shared" si="7"/>
        <v>1830.2559999999994</v>
      </c>
      <c r="E246" s="2">
        <f>Inputs!C$6+(Inputs!C$2+Inputs!C$3-Inputs!C$4)*Timelines!$A246</f>
        <v>10748</v>
      </c>
      <c r="F246">
        <f>Inputs!C$5*Timelines!$A246</f>
        <v>11614.4</v>
      </c>
      <c r="G246" s="2">
        <f t="shared" si="6"/>
        <v>0</v>
      </c>
    </row>
    <row r="247" spans="1:7" x14ac:dyDescent="0.35">
      <c r="A247">
        <v>1715</v>
      </c>
      <c r="B247" s="2">
        <f>Inputs!B$6+(Inputs!B$2+Inputs!B$3-Inputs!B$4)*Timelines!$A247</f>
        <v>11924.69</v>
      </c>
      <c r="C247" s="2">
        <f>Inputs!B$5*Timelines!$A247</f>
        <v>10091.060000000001</v>
      </c>
      <c r="D247" s="2">
        <f t="shared" si="7"/>
        <v>1833.6299999999992</v>
      </c>
      <c r="E247" s="2">
        <f>Inputs!C$6+(Inputs!C$2+Inputs!C$3-Inputs!C$4)*Timelines!$A247</f>
        <v>10790</v>
      </c>
      <c r="F247">
        <f>Inputs!C$5*Timelines!$A247</f>
        <v>11662</v>
      </c>
      <c r="G247" s="2">
        <f t="shared" si="6"/>
        <v>0</v>
      </c>
    </row>
    <row r="248" spans="1:7" x14ac:dyDescent="0.35">
      <c r="A248">
        <v>1722</v>
      </c>
      <c r="B248" s="2">
        <f>Inputs!B$6+(Inputs!B$2+Inputs!B$3-Inputs!B$4)*Timelines!$A248</f>
        <v>11969.252</v>
      </c>
      <c r="C248" s="2">
        <f>Inputs!B$5*Timelines!$A248</f>
        <v>10132.248000000001</v>
      </c>
      <c r="D248" s="2">
        <f t="shared" si="7"/>
        <v>1837.003999999999</v>
      </c>
      <c r="E248" s="2">
        <f>Inputs!C$6+(Inputs!C$2+Inputs!C$3-Inputs!C$4)*Timelines!$A248</f>
        <v>10832</v>
      </c>
      <c r="F248">
        <f>Inputs!C$5*Timelines!$A248</f>
        <v>11709.6</v>
      </c>
      <c r="G248" s="2">
        <f t="shared" si="6"/>
        <v>0</v>
      </c>
    </row>
    <row r="249" spans="1:7" x14ac:dyDescent="0.35">
      <c r="A249">
        <v>1729</v>
      </c>
      <c r="B249" s="2">
        <f>Inputs!B$6+(Inputs!B$2+Inputs!B$3-Inputs!B$4)*Timelines!$A249</f>
        <v>12013.814</v>
      </c>
      <c r="C249" s="2">
        <f>Inputs!B$5*Timelines!$A249</f>
        <v>10173.436</v>
      </c>
      <c r="D249" s="2">
        <f t="shared" si="7"/>
        <v>1840.3780000000006</v>
      </c>
      <c r="E249" s="2">
        <f>Inputs!C$6+(Inputs!C$2+Inputs!C$3-Inputs!C$4)*Timelines!$A249</f>
        <v>10874</v>
      </c>
      <c r="F249">
        <f>Inputs!C$5*Timelines!$A249</f>
        <v>11757.199999999999</v>
      </c>
      <c r="G249" s="2">
        <f t="shared" si="6"/>
        <v>0</v>
      </c>
    </row>
    <row r="250" spans="1:7" x14ac:dyDescent="0.35">
      <c r="A250">
        <v>1736</v>
      </c>
      <c r="B250" s="2">
        <f>Inputs!B$6+(Inputs!B$2+Inputs!B$3-Inputs!B$4)*Timelines!$A250</f>
        <v>12058.376</v>
      </c>
      <c r="C250" s="2">
        <f>Inputs!B$5*Timelines!$A250</f>
        <v>10214.624</v>
      </c>
      <c r="D250" s="2">
        <f t="shared" si="7"/>
        <v>1843.7520000000004</v>
      </c>
      <c r="E250" s="2">
        <f>Inputs!C$6+(Inputs!C$2+Inputs!C$3-Inputs!C$4)*Timelines!$A250</f>
        <v>10916</v>
      </c>
      <c r="F250">
        <f>Inputs!C$5*Timelines!$A250</f>
        <v>11804.8</v>
      </c>
      <c r="G250" s="2">
        <f t="shared" si="6"/>
        <v>0</v>
      </c>
    </row>
    <row r="251" spans="1:7" x14ac:dyDescent="0.35">
      <c r="A251">
        <v>1743</v>
      </c>
      <c r="B251" s="2">
        <f>Inputs!B$6+(Inputs!B$2+Inputs!B$3-Inputs!B$4)*Timelines!$A251</f>
        <v>12102.938</v>
      </c>
      <c r="C251" s="2">
        <f>Inputs!B$5*Timelines!$A251</f>
        <v>10255.812</v>
      </c>
      <c r="D251" s="2">
        <f t="shared" si="7"/>
        <v>1847.1260000000002</v>
      </c>
      <c r="E251" s="2">
        <f>Inputs!C$6+(Inputs!C$2+Inputs!C$3-Inputs!C$4)*Timelines!$A251</f>
        <v>10958</v>
      </c>
      <c r="F251">
        <f>Inputs!C$5*Timelines!$A251</f>
        <v>11852.4</v>
      </c>
      <c r="G251" s="2">
        <f t="shared" si="6"/>
        <v>0</v>
      </c>
    </row>
    <row r="252" spans="1:7" x14ac:dyDescent="0.35">
      <c r="A252">
        <v>1750</v>
      </c>
      <c r="B252" s="2">
        <f>Inputs!B$6+(Inputs!B$2+Inputs!B$3-Inputs!B$4)*Timelines!$A252</f>
        <v>12147.500000000002</v>
      </c>
      <c r="C252" s="2">
        <f>Inputs!B$5*Timelines!$A252</f>
        <v>10297</v>
      </c>
      <c r="D252" s="2">
        <f t="shared" si="7"/>
        <v>1850.5000000000018</v>
      </c>
      <c r="E252" s="2">
        <f>Inputs!C$6+(Inputs!C$2+Inputs!C$3-Inputs!C$4)*Timelines!$A252</f>
        <v>11000</v>
      </c>
      <c r="F252">
        <f>Inputs!C$5*Timelines!$A252</f>
        <v>11900</v>
      </c>
      <c r="G252" s="2">
        <f t="shared" si="6"/>
        <v>0</v>
      </c>
    </row>
    <row r="253" spans="1:7" x14ac:dyDescent="0.35">
      <c r="A253">
        <v>1757</v>
      </c>
      <c r="B253" s="2">
        <f>Inputs!B$6+(Inputs!B$2+Inputs!B$3-Inputs!B$4)*Timelines!$A253</f>
        <v>12192.062000000002</v>
      </c>
      <c r="C253" s="2">
        <f>Inputs!B$5*Timelines!$A253</f>
        <v>10338.188</v>
      </c>
      <c r="D253" s="2">
        <f t="shared" si="7"/>
        <v>1853.8740000000016</v>
      </c>
      <c r="E253" s="2">
        <f>Inputs!C$6+(Inputs!C$2+Inputs!C$3-Inputs!C$4)*Timelines!$A253</f>
        <v>11042</v>
      </c>
      <c r="F253">
        <f>Inputs!C$5*Timelines!$A253</f>
        <v>11947.6</v>
      </c>
      <c r="G253" s="2">
        <f t="shared" si="6"/>
        <v>0</v>
      </c>
    </row>
    <row r="254" spans="1:7" x14ac:dyDescent="0.35">
      <c r="A254">
        <v>1764</v>
      </c>
      <c r="B254" s="2">
        <f>Inputs!B$6+(Inputs!B$2+Inputs!B$3-Inputs!B$4)*Timelines!$A254</f>
        <v>12236.624000000002</v>
      </c>
      <c r="C254" s="2">
        <f>Inputs!B$5*Timelines!$A254</f>
        <v>10379.376</v>
      </c>
      <c r="D254" s="2">
        <f t="shared" si="7"/>
        <v>1857.2480000000014</v>
      </c>
      <c r="E254" s="2">
        <f>Inputs!C$6+(Inputs!C$2+Inputs!C$3-Inputs!C$4)*Timelines!$A254</f>
        <v>11084</v>
      </c>
      <c r="F254">
        <f>Inputs!C$5*Timelines!$A254</f>
        <v>11995.199999999999</v>
      </c>
      <c r="G254" s="2">
        <f t="shared" si="6"/>
        <v>0</v>
      </c>
    </row>
    <row r="255" spans="1:7" x14ac:dyDescent="0.35">
      <c r="A255">
        <v>1771</v>
      </c>
      <c r="B255" s="2">
        <f>Inputs!B$6+(Inputs!B$2+Inputs!B$3-Inputs!B$4)*Timelines!$A255</f>
        <v>12281.186000000002</v>
      </c>
      <c r="C255" s="2">
        <f>Inputs!B$5*Timelines!$A255</f>
        <v>10420.564</v>
      </c>
      <c r="D255" s="2">
        <f t="shared" si="7"/>
        <v>1860.6220000000012</v>
      </c>
      <c r="E255" s="2">
        <f>Inputs!C$6+(Inputs!C$2+Inputs!C$3-Inputs!C$4)*Timelines!$A255</f>
        <v>11126</v>
      </c>
      <c r="F255">
        <f>Inputs!C$5*Timelines!$A255</f>
        <v>12042.8</v>
      </c>
      <c r="G255" s="2">
        <f t="shared" si="6"/>
        <v>0</v>
      </c>
    </row>
    <row r="256" spans="1:7" x14ac:dyDescent="0.35">
      <c r="A256">
        <v>1778</v>
      </c>
      <c r="B256" s="2">
        <f>Inputs!B$6+(Inputs!B$2+Inputs!B$3-Inputs!B$4)*Timelines!$A256</f>
        <v>12325.748000000001</v>
      </c>
      <c r="C256" s="2">
        <f>Inputs!B$5*Timelines!$A256</f>
        <v>10461.752</v>
      </c>
      <c r="D256" s="2">
        <f t="shared" si="7"/>
        <v>1863.996000000001</v>
      </c>
      <c r="E256" s="2">
        <f>Inputs!C$6+(Inputs!C$2+Inputs!C$3-Inputs!C$4)*Timelines!$A256</f>
        <v>11168</v>
      </c>
      <c r="F256">
        <f>Inputs!C$5*Timelines!$A256</f>
        <v>12090.4</v>
      </c>
      <c r="G256" s="2">
        <f t="shared" si="6"/>
        <v>0</v>
      </c>
    </row>
    <row r="257" spans="1:7" x14ac:dyDescent="0.35">
      <c r="A257">
        <v>1785</v>
      </c>
      <c r="B257" s="2">
        <f>Inputs!B$6+(Inputs!B$2+Inputs!B$3-Inputs!B$4)*Timelines!$A257</f>
        <v>12370.310000000001</v>
      </c>
      <c r="C257" s="2">
        <f>Inputs!B$5*Timelines!$A257</f>
        <v>10502.94</v>
      </c>
      <c r="D257" s="2">
        <f t="shared" si="7"/>
        <v>1867.3700000000008</v>
      </c>
      <c r="E257" s="2">
        <f>Inputs!C$6+(Inputs!C$2+Inputs!C$3-Inputs!C$4)*Timelines!$A257</f>
        <v>11210</v>
      </c>
      <c r="F257">
        <f>Inputs!C$5*Timelines!$A257</f>
        <v>12138</v>
      </c>
      <c r="G257" s="2">
        <f t="shared" si="6"/>
        <v>0</v>
      </c>
    </row>
    <row r="258" spans="1:7" x14ac:dyDescent="0.35">
      <c r="A258">
        <v>1792</v>
      </c>
      <c r="B258" s="2">
        <f>Inputs!B$6+(Inputs!B$2+Inputs!B$3-Inputs!B$4)*Timelines!$A258</f>
        <v>12414.872000000001</v>
      </c>
      <c r="C258" s="2">
        <f>Inputs!B$5*Timelines!$A258</f>
        <v>10544.128000000001</v>
      </c>
      <c r="D258" s="2">
        <f t="shared" si="7"/>
        <v>1870.7440000000006</v>
      </c>
      <c r="E258" s="2">
        <f>Inputs!C$6+(Inputs!C$2+Inputs!C$3-Inputs!C$4)*Timelines!$A258</f>
        <v>11252</v>
      </c>
      <c r="F258">
        <f>Inputs!C$5*Timelines!$A258</f>
        <v>12185.6</v>
      </c>
      <c r="G258" s="2">
        <f t="shared" ref="G258:G262" si="8">IF(E258&lt;F258,0,E258-F258)</f>
        <v>0</v>
      </c>
    </row>
    <row r="259" spans="1:7" x14ac:dyDescent="0.35">
      <c r="A259">
        <v>1799</v>
      </c>
      <c r="B259" s="2">
        <f>Inputs!B$6+(Inputs!B$2+Inputs!B$3-Inputs!B$4)*Timelines!$A259</f>
        <v>12459.434000000001</v>
      </c>
      <c r="C259" s="2">
        <f>Inputs!B$5*Timelines!$A259</f>
        <v>10585.316000000001</v>
      </c>
      <c r="D259" s="2">
        <f t="shared" ref="D259:D263" si="9">IF(B259&lt;C259,0,B259-C259)</f>
        <v>1874.1180000000004</v>
      </c>
      <c r="E259" s="2">
        <f>Inputs!C$6+(Inputs!C$2+Inputs!C$3-Inputs!C$4)*Timelines!$A259</f>
        <v>11294</v>
      </c>
      <c r="F259">
        <f>Inputs!C$5*Timelines!$A259</f>
        <v>12233.199999999999</v>
      </c>
      <c r="G259" s="2">
        <f t="shared" si="8"/>
        <v>0</v>
      </c>
    </row>
    <row r="260" spans="1:7" x14ac:dyDescent="0.35">
      <c r="A260">
        <v>1806</v>
      </c>
      <c r="B260" s="2">
        <f>Inputs!B$6+(Inputs!B$2+Inputs!B$3-Inputs!B$4)*Timelines!$A260</f>
        <v>12503.996000000001</v>
      </c>
      <c r="C260" s="2">
        <f>Inputs!B$5*Timelines!$A260</f>
        <v>10626.504000000001</v>
      </c>
      <c r="D260" s="2">
        <f t="shared" si="9"/>
        <v>1877.4920000000002</v>
      </c>
      <c r="E260" s="2">
        <f>Inputs!C$6+(Inputs!C$2+Inputs!C$3-Inputs!C$4)*Timelines!$A260</f>
        <v>11336</v>
      </c>
      <c r="F260">
        <f>Inputs!C$5*Timelines!$A260</f>
        <v>12280.8</v>
      </c>
      <c r="G260" s="2">
        <f t="shared" si="8"/>
        <v>0</v>
      </c>
    </row>
    <row r="261" spans="1:7" x14ac:dyDescent="0.35">
      <c r="A261">
        <v>1813</v>
      </c>
      <c r="B261" s="2">
        <f>Inputs!B$6+(Inputs!B$2+Inputs!B$3-Inputs!B$4)*Timelines!$A261</f>
        <v>12548.558000000001</v>
      </c>
      <c r="C261" s="2">
        <f>Inputs!B$5*Timelines!$A261</f>
        <v>10667.692000000001</v>
      </c>
      <c r="D261" s="2">
        <f t="shared" si="9"/>
        <v>1880.866</v>
      </c>
      <c r="E261" s="2">
        <f>Inputs!C$6+(Inputs!C$2+Inputs!C$3-Inputs!C$4)*Timelines!$A261</f>
        <v>11378</v>
      </c>
      <c r="F261">
        <f>Inputs!C$5*Timelines!$A261</f>
        <v>12328.4</v>
      </c>
      <c r="G261" s="2">
        <f t="shared" si="8"/>
        <v>0</v>
      </c>
    </row>
    <row r="262" spans="1:7" x14ac:dyDescent="0.35">
      <c r="A262">
        <v>1820</v>
      </c>
      <c r="B262" s="2">
        <f>Inputs!B$6+(Inputs!B$2+Inputs!B$3-Inputs!B$4)*Timelines!$A262</f>
        <v>12593.12</v>
      </c>
      <c r="C262" s="2">
        <f>Inputs!B$5*Timelines!$A262</f>
        <v>10708.880000000001</v>
      </c>
      <c r="D262" s="2">
        <f t="shared" si="9"/>
        <v>1884.2399999999998</v>
      </c>
      <c r="E262" s="2">
        <f>Inputs!C$6+(Inputs!C$2+Inputs!C$3-Inputs!C$4)*Timelines!$A262</f>
        <v>11420</v>
      </c>
      <c r="F262">
        <f>Inputs!C$5*Timelines!$A262</f>
        <v>12376</v>
      </c>
      <c r="G262" s="2">
        <f t="shared" si="8"/>
        <v>0</v>
      </c>
    </row>
    <row r="263" spans="1:7" x14ac:dyDescent="0.35">
      <c r="A263">
        <v>1827</v>
      </c>
      <c r="B263" s="2">
        <f>Inputs!B$6+(Inputs!B$2+Inputs!B$3-Inputs!B$4)*Timelines!$A263</f>
        <v>12637.682000000001</v>
      </c>
      <c r="C263" s="2">
        <f>Inputs!B$5*Timelines!$A263</f>
        <v>10750.068000000001</v>
      </c>
      <c r="D263" s="2">
        <f t="shared" si="9"/>
        <v>1887.6139999999996</v>
      </c>
      <c r="E263" s="2">
        <f>Inputs!C$6+(Inputs!C$2+Inputs!C$3-Inputs!C$4)*Timelines!$A263</f>
        <v>11462</v>
      </c>
      <c r="F263">
        <f>Inputs!C$5*Timelines!$A263</f>
        <v>12423.6</v>
      </c>
      <c r="G263" s="2">
        <f t="shared" ref="G263" si="10">IF(E263&lt;F263,0,E263-F263)</f>
        <v>0</v>
      </c>
    </row>
    <row r="264" spans="1:7" x14ac:dyDescent="0.35">
      <c r="D264" s="2"/>
      <c r="E264" s="2"/>
      <c r="F264" s="2"/>
      <c r="G264"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D29FE-8AF6-4307-B31E-7F0F2B5449AE}">
  <dimension ref="A1:A674"/>
  <sheetViews>
    <sheetView topLeftCell="A419" workbookViewId="0">
      <selection activeCell="B447" sqref="B447"/>
    </sheetView>
  </sheetViews>
  <sheetFormatPr defaultRowHeight="14.5" x14ac:dyDescent="0.35"/>
  <cols>
    <col min="1" max="1" width="65.36328125" customWidth="1"/>
  </cols>
  <sheetData>
    <row r="1" spans="1:1" x14ac:dyDescent="0.35">
      <c r="A1" t="s">
        <v>316</v>
      </c>
    </row>
    <row r="2" spans="1:1" x14ac:dyDescent="0.35">
      <c r="A2" t="s">
        <v>317</v>
      </c>
    </row>
    <row r="4" spans="1:1" x14ac:dyDescent="0.35">
      <c r="A4" t="s">
        <v>318</v>
      </c>
    </row>
    <row r="5" spans="1:1" x14ac:dyDescent="0.35">
      <c r="A5" t="s">
        <v>319</v>
      </c>
    </row>
    <row r="6" spans="1:1" x14ac:dyDescent="0.35">
      <c r="A6" t="s">
        <v>320</v>
      </c>
    </row>
    <row r="8" spans="1:1" x14ac:dyDescent="0.35">
      <c r="A8" t="s">
        <v>321</v>
      </c>
    </row>
    <row r="10" spans="1:1" x14ac:dyDescent="0.35">
      <c r="A10" t="s">
        <v>322</v>
      </c>
    </row>
    <row r="11" spans="1:1" x14ac:dyDescent="0.35">
      <c r="A11" t="s">
        <v>323</v>
      </c>
    </row>
    <row r="13" spans="1:1" x14ac:dyDescent="0.35">
      <c r="A13" t="s">
        <v>324</v>
      </c>
    </row>
    <row r="14" spans="1:1" x14ac:dyDescent="0.35">
      <c r="A14" t="s">
        <v>325</v>
      </c>
    </row>
    <row r="15" spans="1:1" x14ac:dyDescent="0.35">
      <c r="A15" t="s">
        <v>326</v>
      </c>
    </row>
    <row r="16" spans="1:1" x14ac:dyDescent="0.35">
      <c r="A16" t="s">
        <v>327</v>
      </c>
    </row>
    <row r="17" spans="1:1" x14ac:dyDescent="0.35">
      <c r="A17" t="s">
        <v>328</v>
      </c>
    </row>
    <row r="18" spans="1:1" x14ac:dyDescent="0.35">
      <c r="A18" t="s">
        <v>329</v>
      </c>
    </row>
    <row r="19" spans="1:1" x14ac:dyDescent="0.35">
      <c r="A19" t="s">
        <v>330</v>
      </c>
    </row>
    <row r="20" spans="1:1" x14ac:dyDescent="0.35">
      <c r="A20" t="s">
        <v>331</v>
      </c>
    </row>
    <row r="22" spans="1:1" x14ac:dyDescent="0.35">
      <c r="A22" t="s">
        <v>332</v>
      </c>
    </row>
    <row r="23" spans="1:1" x14ac:dyDescent="0.35">
      <c r="A23" t="s">
        <v>333</v>
      </c>
    </row>
    <row r="24" spans="1:1" x14ac:dyDescent="0.35">
      <c r="A24" t="s">
        <v>334</v>
      </c>
    </row>
    <row r="25" spans="1:1" x14ac:dyDescent="0.35">
      <c r="A25" t="s">
        <v>335</v>
      </c>
    </row>
    <row r="26" spans="1:1" x14ac:dyDescent="0.35">
      <c r="A26" t="s">
        <v>336</v>
      </c>
    </row>
    <row r="27" spans="1:1" x14ac:dyDescent="0.35">
      <c r="A27" t="s">
        <v>337</v>
      </c>
    </row>
    <row r="29" spans="1:1" x14ac:dyDescent="0.35">
      <c r="A29" t="s">
        <v>338</v>
      </c>
    </row>
    <row r="30" spans="1:1" x14ac:dyDescent="0.35">
      <c r="A30" t="s">
        <v>339</v>
      </c>
    </row>
    <row r="31" spans="1:1" x14ac:dyDescent="0.35">
      <c r="A31" t="s">
        <v>340</v>
      </c>
    </row>
    <row r="32" spans="1:1" x14ac:dyDescent="0.35">
      <c r="A32" t="s">
        <v>341</v>
      </c>
    </row>
    <row r="34" spans="1:1" x14ac:dyDescent="0.35">
      <c r="A34" t="s">
        <v>342</v>
      </c>
    </row>
    <row r="35" spans="1:1" x14ac:dyDescent="0.35">
      <c r="A35" t="s">
        <v>343</v>
      </c>
    </row>
    <row r="36" spans="1:1" x14ac:dyDescent="0.35">
      <c r="A36" t="s">
        <v>344</v>
      </c>
    </row>
    <row r="37" spans="1:1" x14ac:dyDescent="0.35">
      <c r="A37" t="s">
        <v>345</v>
      </c>
    </row>
    <row r="38" spans="1:1" x14ac:dyDescent="0.35">
      <c r="A38" t="s">
        <v>346</v>
      </c>
    </row>
    <row r="40" spans="1:1" x14ac:dyDescent="0.35">
      <c r="A40" t="s">
        <v>347</v>
      </c>
    </row>
    <row r="41" spans="1:1" x14ac:dyDescent="0.35">
      <c r="A41" t="s">
        <v>348</v>
      </c>
    </row>
    <row r="42" spans="1:1" x14ac:dyDescent="0.35">
      <c r="A42" t="s">
        <v>349</v>
      </c>
    </row>
    <row r="44" spans="1:1" x14ac:dyDescent="0.35">
      <c r="A44" t="s">
        <v>350</v>
      </c>
    </row>
    <row r="45" spans="1:1" x14ac:dyDescent="0.35">
      <c r="A45" t="s">
        <v>351</v>
      </c>
    </row>
    <row r="46" spans="1:1" x14ac:dyDescent="0.35">
      <c r="A46" t="s">
        <v>352</v>
      </c>
    </row>
    <row r="47" spans="1:1" x14ac:dyDescent="0.35">
      <c r="A47" t="s">
        <v>353</v>
      </c>
    </row>
    <row r="48" spans="1:1" x14ac:dyDescent="0.35">
      <c r="A48" t="s">
        <v>354</v>
      </c>
    </row>
    <row r="50" spans="1:1" x14ac:dyDescent="0.35">
      <c r="A50" t="s">
        <v>355</v>
      </c>
    </row>
    <row r="51" spans="1:1" x14ac:dyDescent="0.35">
      <c r="A51" t="s">
        <v>356</v>
      </c>
    </row>
    <row r="52" spans="1:1" x14ac:dyDescent="0.35">
      <c r="A52" t="s">
        <v>357</v>
      </c>
    </row>
    <row r="53" spans="1:1" x14ac:dyDescent="0.35">
      <c r="A53" t="s">
        <v>358</v>
      </c>
    </row>
    <row r="54" spans="1:1" x14ac:dyDescent="0.35">
      <c r="A54" t="s">
        <v>359</v>
      </c>
    </row>
    <row r="55" spans="1:1" x14ac:dyDescent="0.35">
      <c r="A55" t="s">
        <v>360</v>
      </c>
    </row>
    <row r="56" spans="1:1" x14ac:dyDescent="0.35">
      <c r="A56" t="s">
        <v>361</v>
      </c>
    </row>
    <row r="57" spans="1:1" x14ac:dyDescent="0.35">
      <c r="A57" t="s">
        <v>362</v>
      </c>
    </row>
    <row r="58" spans="1:1" x14ac:dyDescent="0.35">
      <c r="A58" t="s">
        <v>363</v>
      </c>
    </row>
    <row r="59" spans="1:1" x14ac:dyDescent="0.35">
      <c r="A59" t="s">
        <v>364</v>
      </c>
    </row>
    <row r="61" spans="1:1" x14ac:dyDescent="0.35">
      <c r="A61" t="s">
        <v>365</v>
      </c>
    </row>
    <row r="62" spans="1:1" x14ac:dyDescent="0.35">
      <c r="A62" t="s">
        <v>366</v>
      </c>
    </row>
    <row r="63" spans="1:1" x14ac:dyDescent="0.35">
      <c r="A63" t="s">
        <v>367</v>
      </c>
    </row>
    <row r="64" spans="1:1" x14ac:dyDescent="0.35">
      <c r="A64" t="s">
        <v>368</v>
      </c>
    </row>
    <row r="65" spans="1:1" x14ac:dyDescent="0.35">
      <c r="A65" t="s">
        <v>369</v>
      </c>
    </row>
    <row r="66" spans="1:1" x14ac:dyDescent="0.35">
      <c r="A66" t="s">
        <v>370</v>
      </c>
    </row>
    <row r="68" spans="1:1" x14ac:dyDescent="0.35">
      <c r="A68" t="s">
        <v>371</v>
      </c>
    </row>
    <row r="69" spans="1:1" x14ac:dyDescent="0.35">
      <c r="A69" t="s">
        <v>372</v>
      </c>
    </row>
    <row r="71" spans="1:1" x14ac:dyDescent="0.35">
      <c r="A71" t="s">
        <v>373</v>
      </c>
    </row>
    <row r="73" spans="1:1" x14ac:dyDescent="0.35">
      <c r="A73" t="s">
        <v>374</v>
      </c>
    </row>
    <row r="75" spans="1:1" x14ac:dyDescent="0.35">
      <c r="A75" t="s">
        <v>375</v>
      </c>
    </row>
    <row r="77" spans="1:1" x14ac:dyDescent="0.35">
      <c r="A77" t="s">
        <v>376</v>
      </c>
    </row>
    <row r="78" spans="1:1" x14ac:dyDescent="0.35">
      <c r="A78" t="s">
        <v>377</v>
      </c>
    </row>
    <row r="80" spans="1:1" x14ac:dyDescent="0.35">
      <c r="A80" t="s">
        <v>378</v>
      </c>
    </row>
    <row r="81" spans="1:1" x14ac:dyDescent="0.35">
      <c r="A81" t="s">
        <v>379</v>
      </c>
    </row>
    <row r="82" spans="1:1" x14ac:dyDescent="0.35">
      <c r="A82" t="s">
        <v>380</v>
      </c>
    </row>
    <row r="84" spans="1:1" x14ac:dyDescent="0.35">
      <c r="A84" t="s">
        <v>381</v>
      </c>
    </row>
    <row r="85" spans="1:1" x14ac:dyDescent="0.35">
      <c r="A85" t="s">
        <v>382</v>
      </c>
    </row>
    <row r="86" spans="1:1" x14ac:dyDescent="0.35">
      <c r="A86" t="s">
        <v>383</v>
      </c>
    </row>
    <row r="87" spans="1:1" x14ac:dyDescent="0.35">
      <c r="A87" t="s">
        <v>384</v>
      </c>
    </row>
    <row r="89" spans="1:1" x14ac:dyDescent="0.35">
      <c r="A89" t="s">
        <v>385</v>
      </c>
    </row>
    <row r="90" spans="1:1" x14ac:dyDescent="0.35">
      <c r="A90" t="s">
        <v>386</v>
      </c>
    </row>
    <row r="92" spans="1:1" x14ac:dyDescent="0.35">
      <c r="A92" t="s">
        <v>387</v>
      </c>
    </row>
    <row r="93" spans="1:1" x14ac:dyDescent="0.35">
      <c r="A93" t="s">
        <v>388</v>
      </c>
    </row>
    <row r="94" spans="1:1" x14ac:dyDescent="0.35">
      <c r="A94" t="s">
        <v>389</v>
      </c>
    </row>
    <row r="95" spans="1:1" x14ac:dyDescent="0.35">
      <c r="A95" t="s">
        <v>390</v>
      </c>
    </row>
    <row r="96" spans="1:1" x14ac:dyDescent="0.35">
      <c r="A96" t="s">
        <v>391</v>
      </c>
    </row>
    <row r="97" spans="1:1" x14ac:dyDescent="0.35">
      <c r="A97" t="s">
        <v>392</v>
      </c>
    </row>
    <row r="99" spans="1:1" x14ac:dyDescent="0.35">
      <c r="A99" t="s">
        <v>393</v>
      </c>
    </row>
    <row r="100" spans="1:1" x14ac:dyDescent="0.35">
      <c r="A100" t="s">
        <v>394</v>
      </c>
    </row>
    <row r="101" spans="1:1" x14ac:dyDescent="0.35">
      <c r="A101" t="s">
        <v>395</v>
      </c>
    </row>
    <row r="103" spans="1:1" x14ac:dyDescent="0.35">
      <c r="A103" t="s">
        <v>396</v>
      </c>
    </row>
    <row r="104" spans="1:1" x14ac:dyDescent="0.35">
      <c r="A104" t="s">
        <v>397</v>
      </c>
    </row>
    <row r="105" spans="1:1" x14ac:dyDescent="0.35">
      <c r="A105" t="s">
        <v>398</v>
      </c>
    </row>
    <row r="106" spans="1:1" x14ac:dyDescent="0.35">
      <c r="A106" t="s">
        <v>399</v>
      </c>
    </row>
    <row r="107" spans="1:1" x14ac:dyDescent="0.35">
      <c r="A107" t="s">
        <v>400</v>
      </c>
    </row>
    <row r="108" spans="1:1" x14ac:dyDescent="0.35">
      <c r="A108" t="s">
        <v>401</v>
      </c>
    </row>
    <row r="109" spans="1:1" x14ac:dyDescent="0.35">
      <c r="A109" t="s">
        <v>402</v>
      </c>
    </row>
    <row r="110" spans="1:1" x14ac:dyDescent="0.35">
      <c r="A110" t="s">
        <v>403</v>
      </c>
    </row>
    <row r="112" spans="1:1" x14ac:dyDescent="0.35">
      <c r="A112" t="s">
        <v>404</v>
      </c>
    </row>
    <row r="114" spans="1:1" x14ac:dyDescent="0.35">
      <c r="A114" t="s">
        <v>405</v>
      </c>
    </row>
    <row r="115" spans="1:1" x14ac:dyDescent="0.35">
      <c r="A115" t="s">
        <v>406</v>
      </c>
    </row>
    <row r="116" spans="1:1" x14ac:dyDescent="0.35">
      <c r="A116" t="s">
        <v>407</v>
      </c>
    </row>
    <row r="118" spans="1:1" x14ac:dyDescent="0.35">
      <c r="A118" t="s">
        <v>408</v>
      </c>
    </row>
    <row r="119" spans="1:1" x14ac:dyDescent="0.35">
      <c r="A119" t="s">
        <v>409</v>
      </c>
    </row>
    <row r="120" spans="1:1" x14ac:dyDescent="0.35">
      <c r="A120" t="s">
        <v>410</v>
      </c>
    </row>
    <row r="121" spans="1:1" x14ac:dyDescent="0.35">
      <c r="A121" t="s">
        <v>411</v>
      </c>
    </row>
    <row r="123" spans="1:1" x14ac:dyDescent="0.35">
      <c r="A123" t="s">
        <v>412</v>
      </c>
    </row>
    <row r="124" spans="1:1" x14ac:dyDescent="0.35">
      <c r="A124" t="s">
        <v>413</v>
      </c>
    </row>
    <row r="125" spans="1:1" x14ac:dyDescent="0.35">
      <c r="A125" t="s">
        <v>414</v>
      </c>
    </row>
    <row r="126" spans="1:1" x14ac:dyDescent="0.35">
      <c r="A126" t="s">
        <v>415</v>
      </c>
    </row>
    <row r="127" spans="1:1" x14ac:dyDescent="0.35">
      <c r="A127" t="s">
        <v>416</v>
      </c>
    </row>
    <row r="128" spans="1:1" x14ac:dyDescent="0.35">
      <c r="A128" t="s">
        <v>417</v>
      </c>
    </row>
    <row r="129" spans="1:1" x14ac:dyDescent="0.35">
      <c r="A129" t="s">
        <v>418</v>
      </c>
    </row>
    <row r="130" spans="1:1" x14ac:dyDescent="0.35">
      <c r="A130" t="s">
        <v>419</v>
      </c>
    </row>
    <row r="131" spans="1:1" x14ac:dyDescent="0.35">
      <c r="A131" t="s">
        <v>420</v>
      </c>
    </row>
    <row r="132" spans="1:1" x14ac:dyDescent="0.35">
      <c r="A132" t="s">
        <v>421</v>
      </c>
    </row>
    <row r="134" spans="1:1" x14ac:dyDescent="0.35">
      <c r="A134" t="s">
        <v>422</v>
      </c>
    </row>
    <row r="135" spans="1:1" x14ac:dyDescent="0.35">
      <c r="A135" t="s">
        <v>423</v>
      </c>
    </row>
    <row r="136" spans="1:1" x14ac:dyDescent="0.35">
      <c r="A136" t="s">
        <v>424</v>
      </c>
    </row>
    <row r="137" spans="1:1" x14ac:dyDescent="0.35">
      <c r="A137" t="s">
        <v>425</v>
      </c>
    </row>
    <row r="138" spans="1:1" x14ac:dyDescent="0.35">
      <c r="A138" t="s">
        <v>426</v>
      </c>
    </row>
    <row r="139" spans="1:1" x14ac:dyDescent="0.35">
      <c r="A139" t="s">
        <v>427</v>
      </c>
    </row>
    <row r="140" spans="1:1" x14ac:dyDescent="0.35">
      <c r="A140" t="s">
        <v>428</v>
      </c>
    </row>
    <row r="141" spans="1:1" x14ac:dyDescent="0.35">
      <c r="A141" t="s">
        <v>429</v>
      </c>
    </row>
    <row r="142" spans="1:1" x14ac:dyDescent="0.35">
      <c r="A142" t="s">
        <v>430</v>
      </c>
    </row>
    <row r="143" spans="1:1" x14ac:dyDescent="0.35">
      <c r="A143" t="s">
        <v>431</v>
      </c>
    </row>
    <row r="144" spans="1:1" x14ac:dyDescent="0.35">
      <c r="A144" t="s">
        <v>432</v>
      </c>
    </row>
    <row r="145" spans="1:1" x14ac:dyDescent="0.35">
      <c r="A145" t="s">
        <v>433</v>
      </c>
    </row>
    <row r="147" spans="1:1" x14ac:dyDescent="0.35">
      <c r="A147" t="s">
        <v>434</v>
      </c>
    </row>
    <row r="148" spans="1:1" x14ac:dyDescent="0.35">
      <c r="A148" t="s">
        <v>435</v>
      </c>
    </row>
    <row r="149" spans="1:1" x14ac:dyDescent="0.35">
      <c r="A149" t="s">
        <v>436</v>
      </c>
    </row>
    <row r="151" spans="1:1" x14ac:dyDescent="0.35">
      <c r="A151" t="s">
        <v>437</v>
      </c>
    </row>
    <row r="152" spans="1:1" x14ac:dyDescent="0.35">
      <c r="A152" t="s">
        <v>438</v>
      </c>
    </row>
    <row r="154" spans="1:1" x14ac:dyDescent="0.35">
      <c r="A154" t="s">
        <v>439</v>
      </c>
    </row>
    <row r="156" spans="1:1" x14ac:dyDescent="0.35">
      <c r="A156" t="s">
        <v>440</v>
      </c>
    </row>
    <row r="157" spans="1:1" x14ac:dyDescent="0.35">
      <c r="A157" t="s">
        <v>441</v>
      </c>
    </row>
    <row r="158" spans="1:1" x14ac:dyDescent="0.35">
      <c r="A158" t="s">
        <v>442</v>
      </c>
    </row>
    <row r="159" spans="1:1" x14ac:dyDescent="0.35">
      <c r="A159" t="s">
        <v>443</v>
      </c>
    </row>
    <row r="160" spans="1:1" x14ac:dyDescent="0.35">
      <c r="A160" t="s">
        <v>444</v>
      </c>
    </row>
    <row r="161" spans="1:1" x14ac:dyDescent="0.35">
      <c r="A161" t="s">
        <v>445</v>
      </c>
    </row>
    <row r="162" spans="1:1" x14ac:dyDescent="0.35">
      <c r="A162" t="s">
        <v>446</v>
      </c>
    </row>
    <row r="164" spans="1:1" x14ac:dyDescent="0.35">
      <c r="A164" t="s">
        <v>447</v>
      </c>
    </row>
    <row r="165" spans="1:1" x14ac:dyDescent="0.35">
      <c r="A165" t="s">
        <v>448</v>
      </c>
    </row>
    <row r="166" spans="1:1" x14ac:dyDescent="0.35">
      <c r="A166" t="s">
        <v>449</v>
      </c>
    </row>
    <row r="167" spans="1:1" x14ac:dyDescent="0.35">
      <c r="A167" t="s">
        <v>450</v>
      </c>
    </row>
    <row r="168" spans="1:1" x14ac:dyDescent="0.35">
      <c r="A168" t="s">
        <v>451</v>
      </c>
    </row>
    <row r="169" spans="1:1" x14ac:dyDescent="0.35">
      <c r="A169" t="s">
        <v>452</v>
      </c>
    </row>
    <row r="170" spans="1:1" x14ac:dyDescent="0.35">
      <c r="A170" t="s">
        <v>453</v>
      </c>
    </row>
    <row r="171" spans="1:1" x14ac:dyDescent="0.35">
      <c r="A171" t="s">
        <v>454</v>
      </c>
    </row>
    <row r="172" spans="1:1" x14ac:dyDescent="0.35">
      <c r="A172" t="s">
        <v>455</v>
      </c>
    </row>
    <row r="173" spans="1:1" x14ac:dyDescent="0.35">
      <c r="A173" t="s">
        <v>456</v>
      </c>
    </row>
    <row r="175" spans="1:1" x14ac:dyDescent="0.35">
      <c r="A175" t="s">
        <v>457</v>
      </c>
    </row>
    <row r="176" spans="1:1" x14ac:dyDescent="0.35">
      <c r="A176" t="s">
        <v>458</v>
      </c>
    </row>
    <row r="177" spans="1:1" x14ac:dyDescent="0.35">
      <c r="A177" t="s">
        <v>459</v>
      </c>
    </row>
    <row r="179" spans="1:1" x14ac:dyDescent="0.35">
      <c r="A179" t="s">
        <v>460</v>
      </c>
    </row>
    <row r="181" spans="1:1" x14ac:dyDescent="0.35">
      <c r="A181" t="s">
        <v>461</v>
      </c>
    </row>
    <row r="182" spans="1:1" x14ac:dyDescent="0.35">
      <c r="A182" t="s">
        <v>462</v>
      </c>
    </row>
    <row r="183" spans="1:1" x14ac:dyDescent="0.35">
      <c r="A183" t="s">
        <v>463</v>
      </c>
    </row>
    <row r="184" spans="1:1" x14ac:dyDescent="0.35">
      <c r="A184" t="s">
        <v>464</v>
      </c>
    </row>
    <row r="185" spans="1:1" x14ac:dyDescent="0.35">
      <c r="A185" t="s">
        <v>465</v>
      </c>
    </row>
    <row r="187" spans="1:1" x14ac:dyDescent="0.35">
      <c r="A187" t="s">
        <v>466</v>
      </c>
    </row>
    <row r="188" spans="1:1" x14ac:dyDescent="0.35">
      <c r="A188" t="s">
        <v>467</v>
      </c>
    </row>
    <row r="189" spans="1:1" x14ac:dyDescent="0.35">
      <c r="A189" t="s">
        <v>468</v>
      </c>
    </row>
    <row r="190" spans="1:1" x14ac:dyDescent="0.35">
      <c r="A190" t="s">
        <v>469</v>
      </c>
    </row>
    <row r="191" spans="1:1" x14ac:dyDescent="0.35">
      <c r="A191" t="s">
        <v>470</v>
      </c>
    </row>
    <row r="192" spans="1:1" x14ac:dyDescent="0.35">
      <c r="A192" t="s">
        <v>471</v>
      </c>
    </row>
    <row r="193" spans="1:1" x14ac:dyDescent="0.35">
      <c r="A193" t="s">
        <v>472</v>
      </c>
    </row>
    <row r="195" spans="1:1" x14ac:dyDescent="0.35">
      <c r="A195" t="s">
        <v>473</v>
      </c>
    </row>
    <row r="197" spans="1:1" x14ac:dyDescent="0.35">
      <c r="A197" t="s">
        <v>474</v>
      </c>
    </row>
    <row r="198" spans="1:1" x14ac:dyDescent="0.35">
      <c r="A198" t="s">
        <v>475</v>
      </c>
    </row>
    <row r="199" spans="1:1" x14ac:dyDescent="0.35">
      <c r="A199" t="s">
        <v>476</v>
      </c>
    </row>
    <row r="200" spans="1:1" x14ac:dyDescent="0.35">
      <c r="A200" t="s">
        <v>477</v>
      </c>
    </row>
    <row r="201" spans="1:1" x14ac:dyDescent="0.35">
      <c r="A201" t="s">
        <v>478</v>
      </c>
    </row>
    <row r="202" spans="1:1" x14ac:dyDescent="0.35">
      <c r="A202" t="s">
        <v>479</v>
      </c>
    </row>
    <row r="203" spans="1:1" x14ac:dyDescent="0.35">
      <c r="A203" t="s">
        <v>480</v>
      </c>
    </row>
    <row r="205" spans="1:1" x14ac:dyDescent="0.35">
      <c r="A205" t="s">
        <v>481</v>
      </c>
    </row>
    <row r="206" spans="1:1" x14ac:dyDescent="0.35">
      <c r="A206" t="s">
        <v>482</v>
      </c>
    </row>
    <row r="208" spans="1:1" x14ac:dyDescent="0.35">
      <c r="A208" t="s">
        <v>483</v>
      </c>
    </row>
    <row r="210" spans="1:1" x14ac:dyDescent="0.35">
      <c r="A210" t="s">
        <v>484</v>
      </c>
    </row>
    <row r="211" spans="1:1" x14ac:dyDescent="0.35">
      <c r="A211" t="s">
        <v>485</v>
      </c>
    </row>
    <row r="212" spans="1:1" x14ac:dyDescent="0.35">
      <c r="A212" t="s">
        <v>486</v>
      </c>
    </row>
    <row r="214" spans="1:1" x14ac:dyDescent="0.35">
      <c r="A214" t="s">
        <v>487</v>
      </c>
    </row>
    <row r="215" spans="1:1" x14ac:dyDescent="0.35">
      <c r="A215" t="s">
        <v>488</v>
      </c>
    </row>
    <row r="217" spans="1:1" x14ac:dyDescent="0.35">
      <c r="A217" t="s">
        <v>489</v>
      </c>
    </row>
    <row r="218" spans="1:1" x14ac:dyDescent="0.35">
      <c r="A218" t="s">
        <v>490</v>
      </c>
    </row>
    <row r="219" spans="1:1" x14ac:dyDescent="0.35">
      <c r="A219" t="s">
        <v>491</v>
      </c>
    </row>
    <row r="220" spans="1:1" x14ac:dyDescent="0.35">
      <c r="A220" t="s">
        <v>492</v>
      </c>
    </row>
    <row r="222" spans="1:1" x14ac:dyDescent="0.35">
      <c r="A222" t="s">
        <v>493</v>
      </c>
    </row>
    <row r="223" spans="1:1" x14ac:dyDescent="0.35">
      <c r="A223" t="s">
        <v>494</v>
      </c>
    </row>
    <row r="224" spans="1:1" x14ac:dyDescent="0.35">
      <c r="A224" t="s">
        <v>495</v>
      </c>
    </row>
    <row r="225" spans="1:1" x14ac:dyDescent="0.35">
      <c r="A225" t="s">
        <v>496</v>
      </c>
    </row>
    <row r="226" spans="1:1" x14ac:dyDescent="0.35">
      <c r="A226" t="s">
        <v>497</v>
      </c>
    </row>
    <row r="227" spans="1:1" x14ac:dyDescent="0.35">
      <c r="A227" t="s">
        <v>498</v>
      </c>
    </row>
    <row r="228" spans="1:1" x14ac:dyDescent="0.35">
      <c r="A228" t="s">
        <v>499</v>
      </c>
    </row>
    <row r="230" spans="1:1" x14ac:dyDescent="0.35">
      <c r="A230" t="s">
        <v>500</v>
      </c>
    </row>
    <row r="231" spans="1:1" x14ac:dyDescent="0.35">
      <c r="A231" t="s">
        <v>501</v>
      </c>
    </row>
    <row r="232" spans="1:1" x14ac:dyDescent="0.35">
      <c r="A232" t="s">
        <v>502</v>
      </c>
    </row>
    <row r="233" spans="1:1" x14ac:dyDescent="0.35">
      <c r="A233" t="s">
        <v>503</v>
      </c>
    </row>
    <row r="235" spans="1:1" x14ac:dyDescent="0.35">
      <c r="A235" t="s">
        <v>504</v>
      </c>
    </row>
    <row r="236" spans="1:1" x14ac:dyDescent="0.35">
      <c r="A236" t="s">
        <v>505</v>
      </c>
    </row>
    <row r="237" spans="1:1" x14ac:dyDescent="0.35">
      <c r="A237" t="s">
        <v>506</v>
      </c>
    </row>
    <row r="238" spans="1:1" x14ac:dyDescent="0.35">
      <c r="A238" t="s">
        <v>507</v>
      </c>
    </row>
    <row r="239" spans="1:1" x14ac:dyDescent="0.35">
      <c r="A239" t="s">
        <v>508</v>
      </c>
    </row>
    <row r="240" spans="1:1" x14ac:dyDescent="0.35">
      <c r="A240" t="s">
        <v>509</v>
      </c>
    </row>
    <row r="241" spans="1:1" x14ac:dyDescent="0.35">
      <c r="A241" t="s">
        <v>510</v>
      </c>
    </row>
    <row r="242" spans="1:1" x14ac:dyDescent="0.35">
      <c r="A242" t="s">
        <v>511</v>
      </c>
    </row>
    <row r="243" spans="1:1" x14ac:dyDescent="0.35">
      <c r="A243" t="s">
        <v>512</v>
      </c>
    </row>
    <row r="245" spans="1:1" x14ac:dyDescent="0.35">
      <c r="A245" t="s">
        <v>513</v>
      </c>
    </row>
    <row r="247" spans="1:1" x14ac:dyDescent="0.35">
      <c r="A247" t="s">
        <v>514</v>
      </c>
    </row>
    <row r="248" spans="1:1" x14ac:dyDescent="0.35">
      <c r="A248" t="s">
        <v>515</v>
      </c>
    </row>
    <row r="249" spans="1:1" x14ac:dyDescent="0.35">
      <c r="A249" t="s">
        <v>516</v>
      </c>
    </row>
    <row r="250" spans="1:1" x14ac:dyDescent="0.35">
      <c r="A250" t="s">
        <v>517</v>
      </c>
    </row>
    <row r="252" spans="1:1" x14ac:dyDescent="0.35">
      <c r="A252" t="s">
        <v>518</v>
      </c>
    </row>
    <row r="253" spans="1:1" x14ac:dyDescent="0.35">
      <c r="A253" t="s">
        <v>519</v>
      </c>
    </row>
    <row r="254" spans="1:1" x14ac:dyDescent="0.35">
      <c r="A254" t="s">
        <v>520</v>
      </c>
    </row>
    <row r="255" spans="1:1" x14ac:dyDescent="0.35">
      <c r="A255" t="s">
        <v>521</v>
      </c>
    </row>
    <row r="257" spans="1:1" x14ac:dyDescent="0.35">
      <c r="A257" t="s">
        <v>522</v>
      </c>
    </row>
    <row r="258" spans="1:1" x14ac:dyDescent="0.35">
      <c r="A258" t="s">
        <v>523</v>
      </c>
    </row>
    <row r="259" spans="1:1" x14ac:dyDescent="0.35">
      <c r="A259" t="s">
        <v>524</v>
      </c>
    </row>
    <row r="260" spans="1:1" x14ac:dyDescent="0.35">
      <c r="A260" t="s">
        <v>525</v>
      </c>
    </row>
    <row r="261" spans="1:1" x14ac:dyDescent="0.35">
      <c r="A261" t="s">
        <v>526</v>
      </c>
    </row>
    <row r="262" spans="1:1" x14ac:dyDescent="0.35">
      <c r="A262" t="s">
        <v>527</v>
      </c>
    </row>
    <row r="263" spans="1:1" x14ac:dyDescent="0.35">
      <c r="A263" t="s">
        <v>528</v>
      </c>
    </row>
    <row r="264" spans="1:1" x14ac:dyDescent="0.35">
      <c r="A264" t="s">
        <v>529</v>
      </c>
    </row>
    <row r="265" spans="1:1" x14ac:dyDescent="0.35">
      <c r="A265" t="s">
        <v>530</v>
      </c>
    </row>
    <row r="266" spans="1:1" x14ac:dyDescent="0.35">
      <c r="A266" t="s">
        <v>531</v>
      </c>
    </row>
    <row r="267" spans="1:1" x14ac:dyDescent="0.35">
      <c r="A267" t="s">
        <v>532</v>
      </c>
    </row>
    <row r="269" spans="1:1" x14ac:dyDescent="0.35">
      <c r="A269" t="s">
        <v>533</v>
      </c>
    </row>
    <row r="270" spans="1:1" x14ac:dyDescent="0.35">
      <c r="A270" t="s">
        <v>534</v>
      </c>
    </row>
    <row r="271" spans="1:1" x14ac:dyDescent="0.35">
      <c r="A271" t="s">
        <v>535</v>
      </c>
    </row>
    <row r="272" spans="1:1" x14ac:dyDescent="0.35">
      <c r="A272" t="s">
        <v>536</v>
      </c>
    </row>
    <row r="273" spans="1:1" x14ac:dyDescent="0.35">
      <c r="A273" t="s">
        <v>537</v>
      </c>
    </row>
    <row r="275" spans="1:1" x14ac:dyDescent="0.35">
      <c r="A275" t="s">
        <v>538</v>
      </c>
    </row>
    <row r="276" spans="1:1" x14ac:dyDescent="0.35">
      <c r="A276" t="s">
        <v>539</v>
      </c>
    </row>
    <row r="277" spans="1:1" x14ac:dyDescent="0.35">
      <c r="A277" t="s">
        <v>540</v>
      </c>
    </row>
    <row r="278" spans="1:1" x14ac:dyDescent="0.35">
      <c r="A278" t="s">
        <v>541</v>
      </c>
    </row>
    <row r="279" spans="1:1" x14ac:dyDescent="0.35">
      <c r="A279" t="s">
        <v>542</v>
      </c>
    </row>
    <row r="280" spans="1:1" x14ac:dyDescent="0.35">
      <c r="A280" t="s">
        <v>543</v>
      </c>
    </row>
    <row r="281" spans="1:1" x14ac:dyDescent="0.35">
      <c r="A281" t="s">
        <v>544</v>
      </c>
    </row>
    <row r="282" spans="1:1" x14ac:dyDescent="0.35">
      <c r="A282" t="s">
        <v>545</v>
      </c>
    </row>
    <row r="283" spans="1:1" x14ac:dyDescent="0.35">
      <c r="A283" t="s">
        <v>546</v>
      </c>
    </row>
    <row r="284" spans="1:1" x14ac:dyDescent="0.35">
      <c r="A284" t="s">
        <v>547</v>
      </c>
    </row>
    <row r="285" spans="1:1" x14ac:dyDescent="0.35">
      <c r="A285" t="s">
        <v>548</v>
      </c>
    </row>
    <row r="286" spans="1:1" x14ac:dyDescent="0.35">
      <c r="A286" t="s">
        <v>549</v>
      </c>
    </row>
    <row r="288" spans="1:1" x14ac:dyDescent="0.35">
      <c r="A288" t="s">
        <v>550</v>
      </c>
    </row>
    <row r="289" spans="1:1" x14ac:dyDescent="0.35">
      <c r="A289" t="s">
        <v>551</v>
      </c>
    </row>
    <row r="290" spans="1:1" x14ac:dyDescent="0.35">
      <c r="A290" t="s">
        <v>552</v>
      </c>
    </row>
    <row r="291" spans="1:1" x14ac:dyDescent="0.35">
      <c r="A291" t="s">
        <v>553</v>
      </c>
    </row>
    <row r="293" spans="1:1" x14ac:dyDescent="0.35">
      <c r="A293" t="s">
        <v>554</v>
      </c>
    </row>
    <row r="294" spans="1:1" x14ac:dyDescent="0.35">
      <c r="A294" t="s">
        <v>555</v>
      </c>
    </row>
    <row r="295" spans="1:1" x14ac:dyDescent="0.35">
      <c r="A295" t="s">
        <v>556</v>
      </c>
    </row>
    <row r="297" spans="1:1" x14ac:dyDescent="0.35">
      <c r="A297" t="s">
        <v>557</v>
      </c>
    </row>
    <row r="298" spans="1:1" x14ac:dyDescent="0.35">
      <c r="A298" t="s">
        <v>558</v>
      </c>
    </row>
    <row r="299" spans="1:1" x14ac:dyDescent="0.35">
      <c r="A299" t="s">
        <v>559</v>
      </c>
    </row>
    <row r="300" spans="1:1" x14ac:dyDescent="0.35">
      <c r="A300" t="s">
        <v>560</v>
      </c>
    </row>
    <row r="301" spans="1:1" x14ac:dyDescent="0.35">
      <c r="A301" t="s">
        <v>561</v>
      </c>
    </row>
    <row r="302" spans="1:1" x14ac:dyDescent="0.35">
      <c r="A302" t="s">
        <v>562</v>
      </c>
    </row>
    <row r="303" spans="1:1" x14ac:dyDescent="0.35">
      <c r="A303" t="s">
        <v>563</v>
      </c>
    </row>
    <row r="304" spans="1:1" x14ac:dyDescent="0.35">
      <c r="A304" t="s">
        <v>564</v>
      </c>
    </row>
    <row r="305" spans="1:1" x14ac:dyDescent="0.35">
      <c r="A305" t="s">
        <v>565</v>
      </c>
    </row>
    <row r="306" spans="1:1" x14ac:dyDescent="0.35">
      <c r="A306" t="s">
        <v>566</v>
      </c>
    </row>
    <row r="307" spans="1:1" x14ac:dyDescent="0.35">
      <c r="A307" t="s">
        <v>567</v>
      </c>
    </row>
    <row r="308" spans="1:1" x14ac:dyDescent="0.35">
      <c r="A308" t="s">
        <v>568</v>
      </c>
    </row>
    <row r="310" spans="1:1" x14ac:dyDescent="0.35">
      <c r="A310" t="s">
        <v>569</v>
      </c>
    </row>
    <row r="311" spans="1:1" x14ac:dyDescent="0.35">
      <c r="A311" t="s">
        <v>570</v>
      </c>
    </row>
    <row r="312" spans="1:1" x14ac:dyDescent="0.35">
      <c r="A312" t="s">
        <v>571</v>
      </c>
    </row>
    <row r="313" spans="1:1" x14ac:dyDescent="0.35">
      <c r="A313" t="s">
        <v>572</v>
      </c>
    </row>
    <row r="314" spans="1:1" x14ac:dyDescent="0.35">
      <c r="A314" t="s">
        <v>573</v>
      </c>
    </row>
    <row r="315" spans="1:1" x14ac:dyDescent="0.35">
      <c r="A315" t="s">
        <v>574</v>
      </c>
    </row>
    <row r="316" spans="1:1" x14ac:dyDescent="0.35">
      <c r="A316" t="s">
        <v>575</v>
      </c>
    </row>
    <row r="318" spans="1:1" x14ac:dyDescent="0.35">
      <c r="A318" t="s">
        <v>576</v>
      </c>
    </row>
    <row r="319" spans="1:1" x14ac:dyDescent="0.35">
      <c r="A319" t="s">
        <v>577</v>
      </c>
    </row>
    <row r="320" spans="1:1" x14ac:dyDescent="0.35">
      <c r="A320" t="s">
        <v>578</v>
      </c>
    </row>
    <row r="321" spans="1:1" x14ac:dyDescent="0.35">
      <c r="A321" t="s">
        <v>579</v>
      </c>
    </row>
    <row r="322" spans="1:1" x14ac:dyDescent="0.35">
      <c r="A322" t="s">
        <v>580</v>
      </c>
    </row>
    <row r="323" spans="1:1" x14ac:dyDescent="0.35">
      <c r="A323" t="s">
        <v>581</v>
      </c>
    </row>
    <row r="324" spans="1:1" x14ac:dyDescent="0.35">
      <c r="A324" t="s">
        <v>582</v>
      </c>
    </row>
    <row r="325" spans="1:1" x14ac:dyDescent="0.35">
      <c r="A325" t="s">
        <v>583</v>
      </c>
    </row>
    <row r="326" spans="1:1" x14ac:dyDescent="0.35">
      <c r="A326" t="s">
        <v>584</v>
      </c>
    </row>
    <row r="327" spans="1:1" x14ac:dyDescent="0.35">
      <c r="A327" t="s">
        <v>585</v>
      </c>
    </row>
    <row r="329" spans="1:1" x14ac:dyDescent="0.35">
      <c r="A329" t="s">
        <v>586</v>
      </c>
    </row>
    <row r="330" spans="1:1" x14ac:dyDescent="0.35">
      <c r="A330" t="s">
        <v>587</v>
      </c>
    </row>
    <row r="331" spans="1:1" x14ac:dyDescent="0.35">
      <c r="A331" t="s">
        <v>588</v>
      </c>
    </row>
    <row r="332" spans="1:1" x14ac:dyDescent="0.35">
      <c r="A332" t="s">
        <v>589</v>
      </c>
    </row>
    <row r="333" spans="1:1" x14ac:dyDescent="0.35">
      <c r="A333" t="s">
        <v>590</v>
      </c>
    </row>
    <row r="334" spans="1:1" x14ac:dyDescent="0.35">
      <c r="A334" t="s">
        <v>591</v>
      </c>
    </row>
    <row r="335" spans="1:1" x14ac:dyDescent="0.35">
      <c r="A335" t="s">
        <v>592</v>
      </c>
    </row>
    <row r="337" spans="1:1" x14ac:dyDescent="0.35">
      <c r="A337" t="s">
        <v>593</v>
      </c>
    </row>
    <row r="338" spans="1:1" x14ac:dyDescent="0.35">
      <c r="A338" t="s">
        <v>594</v>
      </c>
    </row>
    <row r="339" spans="1:1" x14ac:dyDescent="0.35">
      <c r="A339" t="s">
        <v>595</v>
      </c>
    </row>
    <row r="340" spans="1:1" x14ac:dyDescent="0.35">
      <c r="A340" t="s">
        <v>596</v>
      </c>
    </row>
    <row r="341" spans="1:1" x14ac:dyDescent="0.35">
      <c r="A341" t="s">
        <v>597</v>
      </c>
    </row>
    <row r="343" spans="1:1" x14ac:dyDescent="0.35">
      <c r="A343" t="s">
        <v>598</v>
      </c>
    </row>
    <row r="345" spans="1:1" x14ac:dyDescent="0.35">
      <c r="A345" t="s">
        <v>599</v>
      </c>
    </row>
    <row r="346" spans="1:1" x14ac:dyDescent="0.35">
      <c r="A346" t="s">
        <v>600</v>
      </c>
    </row>
    <row r="347" spans="1:1" x14ac:dyDescent="0.35">
      <c r="A347" t="s">
        <v>601</v>
      </c>
    </row>
    <row r="348" spans="1:1" x14ac:dyDescent="0.35">
      <c r="A348" t="s">
        <v>602</v>
      </c>
    </row>
    <row r="349" spans="1:1" x14ac:dyDescent="0.35">
      <c r="A349" t="s">
        <v>603</v>
      </c>
    </row>
    <row r="350" spans="1:1" x14ac:dyDescent="0.35">
      <c r="A350" t="s">
        <v>604</v>
      </c>
    </row>
    <row r="351" spans="1:1" x14ac:dyDescent="0.35">
      <c r="A351" t="s">
        <v>605</v>
      </c>
    </row>
    <row r="352" spans="1:1" x14ac:dyDescent="0.35">
      <c r="A352" t="s">
        <v>606</v>
      </c>
    </row>
    <row r="354" spans="1:1" x14ac:dyDescent="0.35">
      <c r="A354" t="s">
        <v>607</v>
      </c>
    </row>
    <row r="355" spans="1:1" x14ac:dyDescent="0.35">
      <c r="A355" t="s">
        <v>608</v>
      </c>
    </row>
    <row r="356" spans="1:1" x14ac:dyDescent="0.35">
      <c r="A356" t="s">
        <v>609</v>
      </c>
    </row>
    <row r="357" spans="1:1" x14ac:dyDescent="0.35">
      <c r="A357" t="s">
        <v>610</v>
      </c>
    </row>
    <row r="358" spans="1:1" x14ac:dyDescent="0.35">
      <c r="A358" t="s">
        <v>611</v>
      </c>
    </row>
    <row r="359" spans="1:1" x14ac:dyDescent="0.35">
      <c r="A359" t="s">
        <v>612</v>
      </c>
    </row>
    <row r="361" spans="1:1" x14ac:dyDescent="0.35">
      <c r="A361" t="s">
        <v>613</v>
      </c>
    </row>
    <row r="362" spans="1:1" x14ac:dyDescent="0.35">
      <c r="A362" t="s">
        <v>614</v>
      </c>
    </row>
    <row r="363" spans="1:1" x14ac:dyDescent="0.35">
      <c r="A363" t="s">
        <v>615</v>
      </c>
    </row>
    <row r="365" spans="1:1" x14ac:dyDescent="0.35">
      <c r="A365" t="s">
        <v>616</v>
      </c>
    </row>
    <row r="366" spans="1:1" x14ac:dyDescent="0.35">
      <c r="A366" t="s">
        <v>617</v>
      </c>
    </row>
    <row r="368" spans="1:1" x14ac:dyDescent="0.35">
      <c r="A368" t="s">
        <v>618</v>
      </c>
    </row>
    <row r="369" spans="1:1" x14ac:dyDescent="0.35">
      <c r="A369" t="s">
        <v>619</v>
      </c>
    </row>
    <row r="370" spans="1:1" x14ac:dyDescent="0.35">
      <c r="A370" t="s">
        <v>620</v>
      </c>
    </row>
    <row r="372" spans="1:1" x14ac:dyDescent="0.35">
      <c r="A372" t="s">
        <v>621</v>
      </c>
    </row>
    <row r="373" spans="1:1" x14ac:dyDescent="0.35">
      <c r="A373" t="s">
        <v>622</v>
      </c>
    </row>
    <row r="374" spans="1:1" x14ac:dyDescent="0.35">
      <c r="A374" t="s">
        <v>623</v>
      </c>
    </row>
    <row r="376" spans="1:1" x14ac:dyDescent="0.35">
      <c r="A376" t="s">
        <v>624</v>
      </c>
    </row>
    <row r="377" spans="1:1" x14ac:dyDescent="0.35">
      <c r="A377" t="s">
        <v>625</v>
      </c>
    </row>
    <row r="379" spans="1:1" x14ac:dyDescent="0.35">
      <c r="A379" t="s">
        <v>626</v>
      </c>
    </row>
    <row r="380" spans="1:1" x14ac:dyDescent="0.35">
      <c r="A380" t="s">
        <v>627</v>
      </c>
    </row>
    <row r="382" spans="1:1" x14ac:dyDescent="0.35">
      <c r="A382" t="s">
        <v>628</v>
      </c>
    </row>
    <row r="383" spans="1:1" x14ac:dyDescent="0.35">
      <c r="A383" t="s">
        <v>629</v>
      </c>
    </row>
    <row r="384" spans="1:1" x14ac:dyDescent="0.35">
      <c r="A384" t="s">
        <v>630</v>
      </c>
    </row>
    <row r="385" spans="1:1" x14ac:dyDescent="0.35">
      <c r="A385" t="s">
        <v>631</v>
      </c>
    </row>
    <row r="386" spans="1:1" x14ac:dyDescent="0.35">
      <c r="A386" t="s">
        <v>632</v>
      </c>
    </row>
    <row r="388" spans="1:1" x14ac:dyDescent="0.35">
      <c r="A388" t="s">
        <v>633</v>
      </c>
    </row>
    <row r="389" spans="1:1" x14ac:dyDescent="0.35">
      <c r="A389" t="s">
        <v>634</v>
      </c>
    </row>
    <row r="390" spans="1:1" x14ac:dyDescent="0.35">
      <c r="A390" t="s">
        <v>635</v>
      </c>
    </row>
    <row r="391" spans="1:1" x14ac:dyDescent="0.35">
      <c r="A391" t="s">
        <v>636</v>
      </c>
    </row>
    <row r="392" spans="1:1" x14ac:dyDescent="0.35">
      <c r="A392" t="s">
        <v>637</v>
      </c>
    </row>
    <row r="393" spans="1:1" x14ac:dyDescent="0.35">
      <c r="A393" t="s">
        <v>638</v>
      </c>
    </row>
    <row r="394" spans="1:1" x14ac:dyDescent="0.35">
      <c r="A394" t="s">
        <v>639</v>
      </c>
    </row>
    <row r="395" spans="1:1" x14ac:dyDescent="0.35">
      <c r="A395" t="s">
        <v>640</v>
      </c>
    </row>
    <row r="396" spans="1:1" x14ac:dyDescent="0.35">
      <c r="A396" t="s">
        <v>641</v>
      </c>
    </row>
    <row r="398" spans="1:1" x14ac:dyDescent="0.35">
      <c r="A398" t="s">
        <v>642</v>
      </c>
    </row>
    <row r="399" spans="1:1" x14ac:dyDescent="0.35">
      <c r="A399" t="s">
        <v>643</v>
      </c>
    </row>
    <row r="400" spans="1:1" x14ac:dyDescent="0.35">
      <c r="A400" t="s">
        <v>644</v>
      </c>
    </row>
    <row r="401" spans="1:1" x14ac:dyDescent="0.35">
      <c r="A401" t="s">
        <v>645</v>
      </c>
    </row>
    <row r="403" spans="1:1" x14ac:dyDescent="0.35">
      <c r="A403" t="s">
        <v>646</v>
      </c>
    </row>
    <row r="404" spans="1:1" x14ac:dyDescent="0.35">
      <c r="A404" t="s">
        <v>647</v>
      </c>
    </row>
    <row r="405" spans="1:1" x14ac:dyDescent="0.35">
      <c r="A405" t="s">
        <v>648</v>
      </c>
    </row>
    <row r="407" spans="1:1" x14ac:dyDescent="0.35">
      <c r="A407" t="s">
        <v>649</v>
      </c>
    </row>
    <row r="409" spans="1:1" x14ac:dyDescent="0.35">
      <c r="A409" t="s">
        <v>650</v>
      </c>
    </row>
    <row r="410" spans="1:1" x14ac:dyDescent="0.35">
      <c r="A410" t="s">
        <v>651</v>
      </c>
    </row>
    <row r="411" spans="1:1" x14ac:dyDescent="0.35">
      <c r="A411" t="s">
        <v>652</v>
      </c>
    </row>
    <row r="412" spans="1:1" x14ac:dyDescent="0.35">
      <c r="A412" t="s">
        <v>653</v>
      </c>
    </row>
    <row r="413" spans="1:1" x14ac:dyDescent="0.35">
      <c r="A413" t="s">
        <v>654</v>
      </c>
    </row>
    <row r="415" spans="1:1" x14ac:dyDescent="0.35">
      <c r="A415" t="s">
        <v>655</v>
      </c>
    </row>
    <row r="416" spans="1:1" x14ac:dyDescent="0.35">
      <c r="A416" t="s">
        <v>656</v>
      </c>
    </row>
    <row r="417" spans="1:1" x14ac:dyDescent="0.35">
      <c r="A417" t="s">
        <v>657</v>
      </c>
    </row>
    <row r="418" spans="1:1" x14ac:dyDescent="0.35">
      <c r="A418" t="s">
        <v>658</v>
      </c>
    </row>
    <row r="419" spans="1:1" x14ac:dyDescent="0.35">
      <c r="A419" t="s">
        <v>659</v>
      </c>
    </row>
    <row r="420" spans="1:1" x14ac:dyDescent="0.35">
      <c r="A420" t="s">
        <v>660</v>
      </c>
    </row>
    <row r="422" spans="1:1" x14ac:dyDescent="0.35">
      <c r="A422" t="s">
        <v>661</v>
      </c>
    </row>
    <row r="423" spans="1:1" x14ac:dyDescent="0.35">
      <c r="A423" t="s">
        <v>662</v>
      </c>
    </row>
    <row r="424" spans="1:1" x14ac:dyDescent="0.35">
      <c r="A424" t="s">
        <v>663</v>
      </c>
    </row>
    <row r="425" spans="1:1" x14ac:dyDescent="0.35">
      <c r="A425" t="s">
        <v>664</v>
      </c>
    </row>
    <row r="426" spans="1:1" x14ac:dyDescent="0.35">
      <c r="A426" t="s">
        <v>665</v>
      </c>
    </row>
    <row r="427" spans="1:1" x14ac:dyDescent="0.35">
      <c r="A427" t="s">
        <v>666</v>
      </c>
    </row>
    <row r="429" spans="1:1" x14ac:dyDescent="0.35">
      <c r="A429" t="s">
        <v>667</v>
      </c>
    </row>
    <row r="430" spans="1:1" x14ac:dyDescent="0.35">
      <c r="A430" t="s">
        <v>668</v>
      </c>
    </row>
    <row r="431" spans="1:1" x14ac:dyDescent="0.35">
      <c r="A431" t="s">
        <v>669</v>
      </c>
    </row>
    <row r="432" spans="1:1" x14ac:dyDescent="0.35">
      <c r="A432" t="s">
        <v>670</v>
      </c>
    </row>
    <row r="433" spans="1:1" x14ac:dyDescent="0.35">
      <c r="A433" t="s">
        <v>671</v>
      </c>
    </row>
    <row r="435" spans="1:1" x14ac:dyDescent="0.35">
      <c r="A435" t="s">
        <v>672</v>
      </c>
    </row>
    <row r="437" spans="1:1" x14ac:dyDescent="0.35">
      <c r="A437" t="s">
        <v>673</v>
      </c>
    </row>
    <row r="438" spans="1:1" x14ac:dyDescent="0.35">
      <c r="A438" t="s">
        <v>674</v>
      </c>
    </row>
    <row r="439" spans="1:1" x14ac:dyDescent="0.35">
      <c r="A439" t="s">
        <v>675</v>
      </c>
    </row>
    <row r="440" spans="1:1" x14ac:dyDescent="0.35">
      <c r="A440" t="s">
        <v>676</v>
      </c>
    </row>
    <row r="441" spans="1:1" x14ac:dyDescent="0.35">
      <c r="A441" t="s">
        <v>677</v>
      </c>
    </row>
    <row r="442" spans="1:1" x14ac:dyDescent="0.35">
      <c r="A442" t="s">
        <v>678</v>
      </c>
    </row>
    <row r="443" spans="1:1" x14ac:dyDescent="0.35">
      <c r="A443" t="s">
        <v>679</v>
      </c>
    </row>
    <row r="444" spans="1:1" x14ac:dyDescent="0.35">
      <c r="A444" t="s">
        <v>680</v>
      </c>
    </row>
    <row r="446" spans="1:1" x14ac:dyDescent="0.35">
      <c r="A446" t="s">
        <v>681</v>
      </c>
    </row>
    <row r="448" spans="1:1" x14ac:dyDescent="0.35">
      <c r="A448" t="s">
        <v>682</v>
      </c>
    </row>
    <row r="449" spans="1:1" x14ac:dyDescent="0.35">
      <c r="A449" t="s">
        <v>683</v>
      </c>
    </row>
    <row r="450" spans="1:1" x14ac:dyDescent="0.35">
      <c r="A450" t="s">
        <v>684</v>
      </c>
    </row>
    <row r="451" spans="1:1" x14ac:dyDescent="0.35">
      <c r="A451" t="s">
        <v>685</v>
      </c>
    </row>
    <row r="453" spans="1:1" x14ac:dyDescent="0.35">
      <c r="A453" t="s">
        <v>686</v>
      </c>
    </row>
    <row r="454" spans="1:1" x14ac:dyDescent="0.35">
      <c r="A454" t="s">
        <v>687</v>
      </c>
    </row>
    <row r="455" spans="1:1" x14ac:dyDescent="0.35">
      <c r="A455" t="s">
        <v>688</v>
      </c>
    </row>
    <row r="456" spans="1:1" x14ac:dyDescent="0.35">
      <c r="A456" t="s">
        <v>689</v>
      </c>
    </row>
    <row r="457" spans="1:1" x14ac:dyDescent="0.35">
      <c r="A457" t="s">
        <v>690</v>
      </c>
    </row>
    <row r="458" spans="1:1" x14ac:dyDescent="0.35">
      <c r="A458" t="s">
        <v>691</v>
      </c>
    </row>
    <row r="459" spans="1:1" x14ac:dyDescent="0.35">
      <c r="A459" t="s">
        <v>692</v>
      </c>
    </row>
    <row r="460" spans="1:1" x14ac:dyDescent="0.35">
      <c r="A460" t="s">
        <v>693</v>
      </c>
    </row>
    <row r="461" spans="1:1" x14ac:dyDescent="0.35">
      <c r="A461" t="s">
        <v>694</v>
      </c>
    </row>
    <row r="463" spans="1:1" x14ac:dyDescent="0.35">
      <c r="A463" t="s">
        <v>695</v>
      </c>
    </row>
    <row r="464" spans="1:1" x14ac:dyDescent="0.35">
      <c r="A464" t="s">
        <v>696</v>
      </c>
    </row>
    <row r="465" spans="1:1" x14ac:dyDescent="0.35">
      <c r="A465" t="s">
        <v>697</v>
      </c>
    </row>
    <row r="466" spans="1:1" x14ac:dyDescent="0.35">
      <c r="A466" t="s">
        <v>698</v>
      </c>
    </row>
    <row r="467" spans="1:1" x14ac:dyDescent="0.35">
      <c r="A467" t="s">
        <v>699</v>
      </c>
    </row>
    <row r="468" spans="1:1" x14ac:dyDescent="0.35">
      <c r="A468" t="s">
        <v>700</v>
      </c>
    </row>
    <row r="469" spans="1:1" x14ac:dyDescent="0.35">
      <c r="A469" t="s">
        <v>701</v>
      </c>
    </row>
    <row r="471" spans="1:1" x14ac:dyDescent="0.35">
      <c r="A471" t="s">
        <v>702</v>
      </c>
    </row>
    <row r="473" spans="1:1" x14ac:dyDescent="0.35">
      <c r="A473" t="s">
        <v>703</v>
      </c>
    </row>
    <row r="474" spans="1:1" x14ac:dyDescent="0.35">
      <c r="A474" t="s">
        <v>704</v>
      </c>
    </row>
    <row r="475" spans="1:1" x14ac:dyDescent="0.35">
      <c r="A475" t="s">
        <v>705</v>
      </c>
    </row>
    <row r="477" spans="1:1" x14ac:dyDescent="0.35">
      <c r="A477" t="s">
        <v>706</v>
      </c>
    </row>
    <row r="478" spans="1:1" x14ac:dyDescent="0.35">
      <c r="A478" t="s">
        <v>707</v>
      </c>
    </row>
    <row r="479" spans="1:1" x14ac:dyDescent="0.35">
      <c r="A479" t="s">
        <v>708</v>
      </c>
    </row>
    <row r="480" spans="1:1" x14ac:dyDescent="0.35">
      <c r="A480" t="s">
        <v>709</v>
      </c>
    </row>
    <row r="481" spans="1:1" x14ac:dyDescent="0.35">
      <c r="A481" t="s">
        <v>710</v>
      </c>
    </row>
    <row r="482" spans="1:1" x14ac:dyDescent="0.35">
      <c r="A482" t="s">
        <v>711</v>
      </c>
    </row>
    <row r="483" spans="1:1" x14ac:dyDescent="0.35">
      <c r="A483" t="s">
        <v>712</v>
      </c>
    </row>
    <row r="484" spans="1:1" x14ac:dyDescent="0.35">
      <c r="A484" t="s">
        <v>713</v>
      </c>
    </row>
    <row r="485" spans="1:1" x14ac:dyDescent="0.35">
      <c r="A485" t="s">
        <v>714</v>
      </c>
    </row>
    <row r="487" spans="1:1" x14ac:dyDescent="0.35">
      <c r="A487" t="s">
        <v>715</v>
      </c>
    </row>
    <row r="488" spans="1:1" x14ac:dyDescent="0.35">
      <c r="A488" t="s">
        <v>716</v>
      </c>
    </row>
    <row r="489" spans="1:1" x14ac:dyDescent="0.35">
      <c r="A489" t="s">
        <v>717</v>
      </c>
    </row>
    <row r="490" spans="1:1" x14ac:dyDescent="0.35">
      <c r="A490" t="s">
        <v>718</v>
      </c>
    </row>
    <row r="492" spans="1:1" x14ac:dyDescent="0.35">
      <c r="A492" t="s">
        <v>719</v>
      </c>
    </row>
    <row r="493" spans="1:1" x14ac:dyDescent="0.35">
      <c r="A493" t="s">
        <v>720</v>
      </c>
    </row>
    <row r="494" spans="1:1" x14ac:dyDescent="0.35">
      <c r="A494" t="s">
        <v>721</v>
      </c>
    </row>
    <row r="495" spans="1:1" x14ac:dyDescent="0.35">
      <c r="A495" t="s">
        <v>722</v>
      </c>
    </row>
    <row r="496" spans="1:1" x14ac:dyDescent="0.35">
      <c r="A496" t="s">
        <v>723</v>
      </c>
    </row>
    <row r="497" spans="1:1" x14ac:dyDescent="0.35">
      <c r="A497" t="s">
        <v>724</v>
      </c>
    </row>
    <row r="499" spans="1:1" x14ac:dyDescent="0.35">
      <c r="A499" t="s">
        <v>725</v>
      </c>
    </row>
    <row r="500" spans="1:1" x14ac:dyDescent="0.35">
      <c r="A500" t="s">
        <v>726</v>
      </c>
    </row>
    <row r="501" spans="1:1" x14ac:dyDescent="0.35">
      <c r="A501" t="s">
        <v>727</v>
      </c>
    </row>
    <row r="502" spans="1:1" x14ac:dyDescent="0.35">
      <c r="A502" t="s">
        <v>728</v>
      </c>
    </row>
    <row r="503" spans="1:1" x14ac:dyDescent="0.35">
      <c r="A503" t="s">
        <v>729</v>
      </c>
    </row>
    <row r="504" spans="1:1" x14ac:dyDescent="0.35">
      <c r="A504" t="s">
        <v>730</v>
      </c>
    </row>
    <row r="505" spans="1:1" x14ac:dyDescent="0.35">
      <c r="A505" t="s">
        <v>731</v>
      </c>
    </row>
    <row r="506" spans="1:1" x14ac:dyDescent="0.35">
      <c r="A506" t="s">
        <v>732</v>
      </c>
    </row>
    <row r="507" spans="1:1" x14ac:dyDescent="0.35">
      <c r="A507" t="s">
        <v>733</v>
      </c>
    </row>
    <row r="508" spans="1:1" x14ac:dyDescent="0.35">
      <c r="A508" t="s">
        <v>734</v>
      </c>
    </row>
    <row r="509" spans="1:1" x14ac:dyDescent="0.35">
      <c r="A509" t="s">
        <v>735</v>
      </c>
    </row>
    <row r="510" spans="1:1" x14ac:dyDescent="0.35">
      <c r="A510" t="s">
        <v>736</v>
      </c>
    </row>
    <row r="511" spans="1:1" x14ac:dyDescent="0.35">
      <c r="A511" t="s">
        <v>737</v>
      </c>
    </row>
    <row r="513" spans="1:1" x14ac:dyDescent="0.35">
      <c r="A513" t="s">
        <v>738</v>
      </c>
    </row>
    <row r="514" spans="1:1" x14ac:dyDescent="0.35">
      <c r="A514" t="s">
        <v>739</v>
      </c>
    </row>
    <row r="515" spans="1:1" x14ac:dyDescent="0.35">
      <c r="A515" t="s">
        <v>740</v>
      </c>
    </row>
    <row r="516" spans="1:1" x14ac:dyDescent="0.35">
      <c r="A516" t="s">
        <v>741</v>
      </c>
    </row>
    <row r="517" spans="1:1" x14ac:dyDescent="0.35">
      <c r="A517" t="s">
        <v>742</v>
      </c>
    </row>
    <row r="518" spans="1:1" x14ac:dyDescent="0.35">
      <c r="A518" t="s">
        <v>743</v>
      </c>
    </row>
    <row r="519" spans="1:1" x14ac:dyDescent="0.35">
      <c r="A519" t="s">
        <v>744</v>
      </c>
    </row>
    <row r="521" spans="1:1" x14ac:dyDescent="0.35">
      <c r="A521" t="s">
        <v>745</v>
      </c>
    </row>
    <row r="522" spans="1:1" x14ac:dyDescent="0.35">
      <c r="A522" t="s">
        <v>746</v>
      </c>
    </row>
    <row r="523" spans="1:1" x14ac:dyDescent="0.35">
      <c r="A523" t="s">
        <v>747</v>
      </c>
    </row>
    <row r="524" spans="1:1" x14ac:dyDescent="0.35">
      <c r="A524" t="s">
        <v>748</v>
      </c>
    </row>
    <row r="525" spans="1:1" x14ac:dyDescent="0.35">
      <c r="A525" t="s">
        <v>749</v>
      </c>
    </row>
    <row r="526" spans="1:1" x14ac:dyDescent="0.35">
      <c r="A526" t="s">
        <v>750</v>
      </c>
    </row>
    <row r="527" spans="1:1" x14ac:dyDescent="0.35">
      <c r="A527" t="s">
        <v>751</v>
      </c>
    </row>
    <row r="528" spans="1:1" x14ac:dyDescent="0.35">
      <c r="A528" t="s">
        <v>752</v>
      </c>
    </row>
    <row r="529" spans="1:1" x14ac:dyDescent="0.35">
      <c r="A529" t="s">
        <v>753</v>
      </c>
    </row>
    <row r="530" spans="1:1" x14ac:dyDescent="0.35">
      <c r="A530" t="s">
        <v>754</v>
      </c>
    </row>
    <row r="531" spans="1:1" x14ac:dyDescent="0.35">
      <c r="A531" t="s">
        <v>755</v>
      </c>
    </row>
    <row r="532" spans="1:1" x14ac:dyDescent="0.35">
      <c r="A532" t="s">
        <v>756</v>
      </c>
    </row>
    <row r="533" spans="1:1" x14ac:dyDescent="0.35">
      <c r="A533" t="s">
        <v>757</v>
      </c>
    </row>
    <row r="534" spans="1:1" x14ac:dyDescent="0.35">
      <c r="A534" t="s">
        <v>758</v>
      </c>
    </row>
    <row r="536" spans="1:1" x14ac:dyDescent="0.35">
      <c r="A536" t="s">
        <v>759</v>
      </c>
    </row>
    <row r="537" spans="1:1" x14ac:dyDescent="0.35">
      <c r="A537" t="s">
        <v>760</v>
      </c>
    </row>
    <row r="538" spans="1:1" x14ac:dyDescent="0.35">
      <c r="A538" t="s">
        <v>761</v>
      </c>
    </row>
    <row r="540" spans="1:1" x14ac:dyDescent="0.35">
      <c r="A540" t="s">
        <v>762</v>
      </c>
    </row>
    <row r="542" spans="1:1" x14ac:dyDescent="0.35">
      <c r="A542" t="s">
        <v>763</v>
      </c>
    </row>
    <row r="543" spans="1:1" x14ac:dyDescent="0.35">
      <c r="A543" t="s">
        <v>764</v>
      </c>
    </row>
    <row r="544" spans="1:1" x14ac:dyDescent="0.35">
      <c r="A544" t="s">
        <v>765</v>
      </c>
    </row>
    <row r="545" spans="1:1" x14ac:dyDescent="0.35">
      <c r="A545" t="s">
        <v>766</v>
      </c>
    </row>
    <row r="546" spans="1:1" x14ac:dyDescent="0.35">
      <c r="A546" t="s">
        <v>767</v>
      </c>
    </row>
    <row r="547" spans="1:1" x14ac:dyDescent="0.35">
      <c r="A547" t="s">
        <v>768</v>
      </c>
    </row>
    <row r="548" spans="1:1" x14ac:dyDescent="0.35">
      <c r="A548" t="s">
        <v>769</v>
      </c>
    </row>
    <row r="549" spans="1:1" x14ac:dyDescent="0.35">
      <c r="A549" t="s">
        <v>770</v>
      </c>
    </row>
    <row r="550" spans="1:1" x14ac:dyDescent="0.35">
      <c r="A550" t="s">
        <v>771</v>
      </c>
    </row>
    <row r="552" spans="1:1" x14ac:dyDescent="0.35">
      <c r="A552" t="s">
        <v>772</v>
      </c>
    </row>
    <row r="554" spans="1:1" x14ac:dyDescent="0.35">
      <c r="A554" t="s">
        <v>773</v>
      </c>
    </row>
    <row r="555" spans="1:1" x14ac:dyDescent="0.35">
      <c r="A555" t="s">
        <v>774</v>
      </c>
    </row>
    <row r="556" spans="1:1" x14ac:dyDescent="0.35">
      <c r="A556" t="s">
        <v>775</v>
      </c>
    </row>
    <row r="557" spans="1:1" x14ac:dyDescent="0.35">
      <c r="A557" t="s">
        <v>776</v>
      </c>
    </row>
    <row r="558" spans="1:1" x14ac:dyDescent="0.35">
      <c r="A558" t="s">
        <v>777</v>
      </c>
    </row>
    <row r="559" spans="1:1" x14ac:dyDescent="0.35">
      <c r="A559" t="s">
        <v>778</v>
      </c>
    </row>
    <row r="560" spans="1:1" x14ac:dyDescent="0.35">
      <c r="A560" t="s">
        <v>779</v>
      </c>
    </row>
    <row r="561" spans="1:1" x14ac:dyDescent="0.35">
      <c r="A561" t="s">
        <v>780</v>
      </c>
    </row>
    <row r="563" spans="1:1" x14ac:dyDescent="0.35">
      <c r="A563" t="s">
        <v>781</v>
      </c>
    </row>
    <row r="565" spans="1:1" x14ac:dyDescent="0.35">
      <c r="A565" t="s">
        <v>782</v>
      </c>
    </row>
    <row r="566" spans="1:1" x14ac:dyDescent="0.35">
      <c r="A566" t="s">
        <v>783</v>
      </c>
    </row>
    <row r="567" spans="1:1" x14ac:dyDescent="0.35">
      <c r="A567" t="s">
        <v>784</v>
      </c>
    </row>
    <row r="568" spans="1:1" x14ac:dyDescent="0.35">
      <c r="A568" t="s">
        <v>785</v>
      </c>
    </row>
    <row r="570" spans="1:1" x14ac:dyDescent="0.35">
      <c r="A570" t="s">
        <v>786</v>
      </c>
    </row>
    <row r="571" spans="1:1" x14ac:dyDescent="0.35">
      <c r="A571" t="s">
        <v>787</v>
      </c>
    </row>
    <row r="572" spans="1:1" x14ac:dyDescent="0.35">
      <c r="A572" t="s">
        <v>788</v>
      </c>
    </row>
    <row r="573" spans="1:1" x14ac:dyDescent="0.35">
      <c r="A573" t="s">
        <v>789</v>
      </c>
    </row>
    <row r="574" spans="1:1" x14ac:dyDescent="0.35">
      <c r="A574" t="s">
        <v>790</v>
      </c>
    </row>
    <row r="575" spans="1:1" x14ac:dyDescent="0.35">
      <c r="A575" t="s">
        <v>791</v>
      </c>
    </row>
    <row r="576" spans="1:1" x14ac:dyDescent="0.35">
      <c r="A576" t="s">
        <v>792</v>
      </c>
    </row>
    <row r="577" spans="1:1" x14ac:dyDescent="0.35">
      <c r="A577" t="s">
        <v>793</v>
      </c>
    </row>
    <row r="579" spans="1:1" x14ac:dyDescent="0.35">
      <c r="A579" t="s">
        <v>794</v>
      </c>
    </row>
    <row r="580" spans="1:1" x14ac:dyDescent="0.35">
      <c r="A580" t="s">
        <v>795</v>
      </c>
    </row>
    <row r="581" spans="1:1" x14ac:dyDescent="0.35">
      <c r="A581" t="s">
        <v>796</v>
      </c>
    </row>
    <row r="582" spans="1:1" x14ac:dyDescent="0.35">
      <c r="A582" t="s">
        <v>797</v>
      </c>
    </row>
    <row r="584" spans="1:1" x14ac:dyDescent="0.35">
      <c r="A584" t="s">
        <v>798</v>
      </c>
    </row>
    <row r="585" spans="1:1" x14ac:dyDescent="0.35">
      <c r="A585" t="s">
        <v>799</v>
      </c>
    </row>
    <row r="586" spans="1:1" x14ac:dyDescent="0.35">
      <c r="A586" t="s">
        <v>800</v>
      </c>
    </row>
    <row r="587" spans="1:1" x14ac:dyDescent="0.35">
      <c r="A587" t="s">
        <v>801</v>
      </c>
    </row>
    <row r="589" spans="1:1" x14ac:dyDescent="0.35">
      <c r="A589" t="s">
        <v>802</v>
      </c>
    </row>
    <row r="591" spans="1:1" x14ac:dyDescent="0.35">
      <c r="A591" t="s">
        <v>803</v>
      </c>
    </row>
    <row r="592" spans="1:1" x14ac:dyDescent="0.35">
      <c r="A592" t="s">
        <v>804</v>
      </c>
    </row>
    <row r="593" spans="1:1" x14ac:dyDescent="0.35">
      <c r="A593" t="s">
        <v>805</v>
      </c>
    </row>
    <row r="594" spans="1:1" x14ac:dyDescent="0.35">
      <c r="A594" t="s">
        <v>806</v>
      </c>
    </row>
    <row r="595" spans="1:1" x14ac:dyDescent="0.35">
      <c r="A595" t="s">
        <v>807</v>
      </c>
    </row>
    <row r="596" spans="1:1" x14ac:dyDescent="0.35">
      <c r="A596" t="s">
        <v>808</v>
      </c>
    </row>
    <row r="597" spans="1:1" x14ac:dyDescent="0.35">
      <c r="A597" t="s">
        <v>809</v>
      </c>
    </row>
    <row r="598" spans="1:1" x14ac:dyDescent="0.35">
      <c r="A598" t="s">
        <v>810</v>
      </c>
    </row>
    <row r="600" spans="1:1" x14ac:dyDescent="0.35">
      <c r="A600" t="s">
        <v>811</v>
      </c>
    </row>
    <row r="602" spans="1:1" x14ac:dyDescent="0.35">
      <c r="A602" t="s">
        <v>812</v>
      </c>
    </row>
    <row r="603" spans="1:1" x14ac:dyDescent="0.35">
      <c r="A603" t="s">
        <v>813</v>
      </c>
    </row>
    <row r="604" spans="1:1" x14ac:dyDescent="0.35">
      <c r="A604" t="s">
        <v>814</v>
      </c>
    </row>
    <row r="605" spans="1:1" x14ac:dyDescent="0.35">
      <c r="A605" t="s">
        <v>815</v>
      </c>
    </row>
    <row r="606" spans="1:1" x14ac:dyDescent="0.35">
      <c r="A606" t="s">
        <v>816</v>
      </c>
    </row>
    <row r="607" spans="1:1" x14ac:dyDescent="0.35">
      <c r="A607" t="s">
        <v>817</v>
      </c>
    </row>
    <row r="608" spans="1:1" x14ac:dyDescent="0.35">
      <c r="A608" t="s">
        <v>818</v>
      </c>
    </row>
    <row r="609" spans="1:1" x14ac:dyDescent="0.35">
      <c r="A609" t="s">
        <v>819</v>
      </c>
    </row>
    <row r="610" spans="1:1" x14ac:dyDescent="0.35">
      <c r="A610" t="s">
        <v>820</v>
      </c>
    </row>
    <row r="612" spans="1:1" x14ac:dyDescent="0.35">
      <c r="A612" t="s">
        <v>821</v>
      </c>
    </row>
    <row r="614" spans="1:1" x14ac:dyDescent="0.35">
      <c r="A614" t="s">
        <v>822</v>
      </c>
    </row>
    <row r="615" spans="1:1" x14ac:dyDescent="0.35">
      <c r="A615" t="s">
        <v>823</v>
      </c>
    </row>
    <row r="616" spans="1:1" x14ac:dyDescent="0.35">
      <c r="A616" t="s">
        <v>824</v>
      </c>
    </row>
    <row r="617" spans="1:1" x14ac:dyDescent="0.35">
      <c r="A617" t="s">
        <v>825</v>
      </c>
    </row>
    <row r="618" spans="1:1" x14ac:dyDescent="0.35">
      <c r="A618" t="s">
        <v>826</v>
      </c>
    </row>
    <row r="619" spans="1:1" x14ac:dyDescent="0.35">
      <c r="A619" t="s">
        <v>827</v>
      </c>
    </row>
    <row r="621" spans="1:1" x14ac:dyDescent="0.35">
      <c r="A621" t="s">
        <v>828</v>
      </c>
    </row>
    <row r="623" spans="1:1" x14ac:dyDescent="0.35">
      <c r="A623" t="s">
        <v>829</v>
      </c>
    </row>
    <row r="625" spans="1:1" x14ac:dyDescent="0.35">
      <c r="A625" t="s">
        <v>830</v>
      </c>
    </row>
    <row r="626" spans="1:1" x14ac:dyDescent="0.35">
      <c r="A626" t="s">
        <v>831</v>
      </c>
    </row>
    <row r="627" spans="1:1" x14ac:dyDescent="0.35">
      <c r="A627" t="s">
        <v>832</v>
      </c>
    </row>
    <row r="629" spans="1:1" x14ac:dyDescent="0.35">
      <c r="A629" t="s">
        <v>833</v>
      </c>
    </row>
    <row r="630" spans="1:1" x14ac:dyDescent="0.35">
      <c r="A630" t="s">
        <v>834</v>
      </c>
    </row>
    <row r="631" spans="1:1" x14ac:dyDescent="0.35">
      <c r="A631" t="s">
        <v>835</v>
      </c>
    </row>
    <row r="632" spans="1:1" x14ac:dyDescent="0.35">
      <c r="A632" t="s">
        <v>836</v>
      </c>
    </row>
    <row r="634" spans="1:1" x14ac:dyDescent="0.35">
      <c r="A634" t="s">
        <v>837</v>
      </c>
    </row>
    <row r="635" spans="1:1" x14ac:dyDescent="0.35">
      <c r="A635" t="s">
        <v>838</v>
      </c>
    </row>
    <row r="637" spans="1:1" x14ac:dyDescent="0.35">
      <c r="A637" t="s">
        <v>839</v>
      </c>
    </row>
    <row r="638" spans="1:1" x14ac:dyDescent="0.35">
      <c r="A638" t="s">
        <v>840</v>
      </c>
    </row>
    <row r="639" spans="1:1" x14ac:dyDescent="0.35">
      <c r="A639" t="s">
        <v>841</v>
      </c>
    </row>
    <row r="640" spans="1:1" x14ac:dyDescent="0.35">
      <c r="A640" t="s">
        <v>842</v>
      </c>
    </row>
    <row r="642" spans="1:1" x14ac:dyDescent="0.35">
      <c r="A642" t="s">
        <v>843</v>
      </c>
    </row>
    <row r="643" spans="1:1" x14ac:dyDescent="0.35">
      <c r="A643" t="s">
        <v>844</v>
      </c>
    </row>
    <row r="644" spans="1:1" x14ac:dyDescent="0.35">
      <c r="A644" t="s">
        <v>845</v>
      </c>
    </row>
    <row r="645" spans="1:1" x14ac:dyDescent="0.35">
      <c r="A645" t="s">
        <v>846</v>
      </c>
    </row>
    <row r="647" spans="1:1" x14ac:dyDescent="0.35">
      <c r="A647" t="s">
        <v>847</v>
      </c>
    </row>
    <row r="648" spans="1:1" x14ac:dyDescent="0.35">
      <c r="A648" t="s">
        <v>848</v>
      </c>
    </row>
    <row r="650" spans="1:1" x14ac:dyDescent="0.35">
      <c r="A650" t="s">
        <v>849</v>
      </c>
    </row>
    <row r="652" spans="1:1" x14ac:dyDescent="0.35">
      <c r="A652" t="s">
        <v>850</v>
      </c>
    </row>
    <row r="653" spans="1:1" x14ac:dyDescent="0.35">
      <c r="A653" t="s">
        <v>851</v>
      </c>
    </row>
    <row r="655" spans="1:1" x14ac:dyDescent="0.35">
      <c r="A655" t="s">
        <v>852</v>
      </c>
    </row>
    <row r="656" spans="1:1" x14ac:dyDescent="0.35">
      <c r="A656" t="s">
        <v>853</v>
      </c>
    </row>
    <row r="657" spans="1:1" x14ac:dyDescent="0.35">
      <c r="A657" t="s">
        <v>854</v>
      </c>
    </row>
    <row r="658" spans="1:1" x14ac:dyDescent="0.35">
      <c r="A658" t="s">
        <v>855</v>
      </c>
    </row>
    <row r="660" spans="1:1" x14ac:dyDescent="0.35">
      <c r="A660" t="s">
        <v>856</v>
      </c>
    </row>
    <row r="661" spans="1:1" x14ac:dyDescent="0.35">
      <c r="A661" t="s">
        <v>857</v>
      </c>
    </row>
    <row r="662" spans="1:1" x14ac:dyDescent="0.35">
      <c r="A662" t="s">
        <v>858</v>
      </c>
    </row>
    <row r="664" spans="1:1" x14ac:dyDescent="0.35">
      <c r="A664" t="s">
        <v>859</v>
      </c>
    </row>
    <row r="665" spans="1:1" x14ac:dyDescent="0.35">
      <c r="A665" t="s">
        <v>860</v>
      </c>
    </row>
    <row r="666" spans="1:1" x14ac:dyDescent="0.35">
      <c r="A666" t="s">
        <v>861</v>
      </c>
    </row>
    <row r="667" spans="1:1" x14ac:dyDescent="0.35">
      <c r="A667" t="s">
        <v>862</v>
      </c>
    </row>
    <row r="669" spans="1:1" x14ac:dyDescent="0.35">
      <c r="A669" t="s">
        <v>863</v>
      </c>
    </row>
    <row r="670" spans="1:1" x14ac:dyDescent="0.35">
      <c r="A670" t="s">
        <v>864</v>
      </c>
    </row>
    <row r="671" spans="1:1" x14ac:dyDescent="0.35">
      <c r="A671" t="s">
        <v>865</v>
      </c>
    </row>
    <row r="672" spans="1:1" x14ac:dyDescent="0.35">
      <c r="A672" t="s">
        <v>866</v>
      </c>
    </row>
    <row r="673" spans="1:1" x14ac:dyDescent="0.35">
      <c r="A673" t="s">
        <v>867</v>
      </c>
    </row>
    <row r="674" spans="1:1" x14ac:dyDescent="0.35">
      <c r="A674"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Inputs</vt:lpstr>
      <vt:lpstr>Benchmark_Inputs</vt:lpstr>
      <vt:lpstr>Timelines</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Healy</dc:creator>
  <cp:lastModifiedBy>Rob Healy</cp:lastModifiedBy>
  <dcterms:created xsi:type="dcterms:W3CDTF">2025-01-29T21:32:16Z</dcterms:created>
  <dcterms:modified xsi:type="dcterms:W3CDTF">2025-02-25T23:10:40Z</dcterms:modified>
</cp:coreProperties>
</file>