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R\IIT B\Courses\ENT 603\Final pitch deck\"/>
    </mc:Choice>
  </mc:AlternateContent>
  <bookViews>
    <workbookView xWindow="0" yWindow="0" windowWidth="20490" windowHeight="7755"/>
  </bookViews>
  <sheets>
    <sheet name="PD - 5Yr PL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7" i="6" l="1"/>
  <c r="F57" i="6"/>
  <c r="G57" i="6"/>
  <c r="H57" i="6"/>
  <c r="I57" i="6"/>
  <c r="E57" i="6"/>
  <c r="K59" i="6"/>
  <c r="K56" i="6"/>
  <c r="F56" i="6"/>
  <c r="G56" i="6"/>
  <c r="H56" i="6"/>
  <c r="I56" i="6"/>
  <c r="E56" i="6"/>
  <c r="G59" i="6"/>
  <c r="H59" i="6"/>
  <c r="I59" i="6"/>
  <c r="F59" i="6"/>
  <c r="E59" i="6"/>
  <c r="F11" i="6"/>
  <c r="G11" i="6"/>
  <c r="H11" i="6"/>
  <c r="I11" i="6"/>
  <c r="I13" i="6" s="1"/>
  <c r="E11" i="6"/>
  <c r="E21" i="6" s="1"/>
  <c r="E65" i="6"/>
  <c r="G63" i="6"/>
  <c r="H63" i="6"/>
  <c r="I63" i="6"/>
  <c r="F63" i="6"/>
  <c r="I34" i="6"/>
  <c r="H34" i="6"/>
  <c r="G34" i="6"/>
  <c r="F34" i="6"/>
  <c r="F62" i="6"/>
  <c r="G62" i="6"/>
  <c r="H62" i="6"/>
  <c r="I62" i="6"/>
  <c r="E62" i="6"/>
  <c r="K32" i="6"/>
  <c r="I36" i="6"/>
  <c r="H36" i="6"/>
  <c r="H40" i="6" s="1"/>
  <c r="G36" i="6"/>
  <c r="F36" i="6"/>
  <c r="E40" i="6"/>
  <c r="E46" i="6" s="1"/>
  <c r="F32" i="6"/>
  <c r="G32" i="6"/>
  <c r="H32" i="6"/>
  <c r="H38" i="6" s="1"/>
  <c r="I32" i="6"/>
  <c r="I38" i="6" s="1"/>
  <c r="E32" i="6"/>
  <c r="E36" i="6" s="1"/>
  <c r="H21" i="6"/>
  <c r="G21" i="6"/>
  <c r="F13" i="6"/>
  <c r="I40" i="6" l="1"/>
  <c r="G38" i="6"/>
  <c r="H46" i="6"/>
  <c r="E13" i="6"/>
  <c r="E34" i="6"/>
  <c r="E38" i="6" s="1"/>
  <c r="I44" i="6"/>
  <c r="I46" i="6" s="1"/>
  <c r="E44" i="6"/>
  <c r="H13" i="6"/>
  <c r="F21" i="6"/>
  <c r="G44" i="6"/>
  <c r="G13" i="6"/>
  <c r="I21" i="6"/>
  <c r="K34" i="6"/>
  <c r="H44" i="6"/>
  <c r="G40" i="6" l="1"/>
  <c r="G46" i="6" s="1"/>
  <c r="K36" i="6"/>
  <c r="F38" i="6"/>
  <c r="F44" i="6"/>
  <c r="K44" i="6" s="1"/>
  <c r="K38" i="6"/>
  <c r="G42" i="6"/>
  <c r="H48" i="6"/>
  <c r="H42" i="6"/>
  <c r="I42" i="6"/>
  <c r="I48" i="6"/>
  <c r="K21" i="6"/>
  <c r="K13" i="6"/>
  <c r="K11" i="6"/>
  <c r="I15" i="6"/>
  <c r="H15" i="6"/>
  <c r="G15" i="6"/>
  <c r="F15" i="6"/>
  <c r="E15" i="6"/>
  <c r="G50" i="6" l="1"/>
  <c r="G48" i="6"/>
  <c r="F40" i="6"/>
  <c r="F46" i="6" s="1"/>
  <c r="F42" i="6"/>
  <c r="E17" i="6"/>
  <c r="E19" i="6"/>
  <c r="E23" i="6" s="1"/>
  <c r="E50" i="6" s="1"/>
  <c r="F17" i="6"/>
  <c r="F19" i="6"/>
  <c r="F23" i="6" s="1"/>
  <c r="I17" i="6"/>
  <c r="I19" i="6"/>
  <c r="G17" i="6"/>
  <c r="G19" i="6"/>
  <c r="G23" i="6" s="1"/>
  <c r="H17" i="6"/>
  <c r="H19" i="6"/>
  <c r="H23" i="6" s="1"/>
  <c r="H50" i="6" s="1"/>
  <c r="H53" i="6" s="1"/>
  <c r="H55" i="6" s="1"/>
  <c r="E42" i="6"/>
  <c r="K40" i="6"/>
  <c r="K42" i="6" s="1"/>
  <c r="K15" i="6"/>
  <c r="K17" i="6" s="1"/>
  <c r="I23" i="6"/>
  <c r="I50" i="6" s="1"/>
  <c r="I53" i="6" s="1"/>
  <c r="I55" i="6" s="1"/>
  <c r="E53" i="6" l="1"/>
  <c r="E55" i="6" s="1"/>
  <c r="G53" i="6"/>
  <c r="G55" i="6" s="1"/>
  <c r="F50" i="6"/>
  <c r="F48" i="6"/>
  <c r="H25" i="6"/>
  <c r="E25" i="6"/>
  <c r="K19" i="6"/>
  <c r="G25" i="6"/>
  <c r="I25" i="6"/>
  <c r="E48" i="6"/>
  <c r="K46" i="6"/>
  <c r="K48" i="6" s="1"/>
  <c r="K23" i="6"/>
  <c r="K25" i="6" s="1"/>
  <c r="F25" i="6"/>
  <c r="K50" i="6" l="1"/>
  <c r="F53" i="6"/>
  <c r="K53" i="6" s="1"/>
  <c r="F55" i="6" l="1"/>
  <c r="K55" i="6" s="1"/>
</calcChain>
</file>

<file path=xl/sharedStrings.xml><?xml version="1.0" encoding="utf-8"?>
<sst xmlns="http://schemas.openxmlformats.org/spreadsheetml/2006/main" count="45" uniqueCount="36">
  <si>
    <t>GROSS MARGIN</t>
  </si>
  <si>
    <t>Profit After Tax</t>
  </si>
  <si>
    <t>₹ in Millions</t>
  </si>
  <si>
    <t>Customer Payback period</t>
  </si>
  <si>
    <t>Net income per customer  / year</t>
  </si>
  <si>
    <t>REMARKS</t>
  </si>
  <si>
    <t>Very Conservative considered. Workings as per more aggressive and ambitious also provided later</t>
  </si>
  <si>
    <t>GM % age</t>
  </si>
  <si>
    <t>2022 - 26</t>
  </si>
  <si>
    <t>Net Profit / Loss % age</t>
  </si>
  <si>
    <t>Check It Out  - Private Limited Company</t>
  </si>
  <si>
    <t>REVENUE STREAM - 1 - STORES SUBSCRIPTION - SaaS MODEL</t>
  </si>
  <si>
    <t>No. of Stores</t>
  </si>
  <si>
    <t>Costs of Goods Sold (Direct COSTS) - includes UV Sensors, codes, back-end Data Management software etc. @ 40% of revenue</t>
  </si>
  <si>
    <t>OVERHEADS + SG&amp;A + Promoters' Time Spent @ 40% of Gross Margin</t>
  </si>
  <si>
    <t>DEPRECIATION [ No Borrowing - No Interest] @ 8% of Revenue</t>
  </si>
  <si>
    <t>Corporate Income Tax @ 36% of PBT</t>
  </si>
  <si>
    <t>UNIT ECONOMICS</t>
  </si>
  <si>
    <t>Net Profit / Loss - Stores Software revenue stream</t>
  </si>
  <si>
    <t>REVENUE STREAM - 2 - Subscribers (customers) of Platform - SaaS MODEL</t>
  </si>
  <si>
    <t>No. of Subscribers</t>
  </si>
  <si>
    <t>Costs of Social Marketing, goodies, promotions, Advertisements etc. @ ₹80/ customer/yr</t>
  </si>
  <si>
    <t>Development &amp; Maintenance of platform, apps etc. @ 30% of revenue (2)</t>
  </si>
  <si>
    <t>Net Profit / Loss - Customer platform subscription stream (2)</t>
  </si>
  <si>
    <t>Net Profit / Loss of the Enterprise</t>
  </si>
  <si>
    <t xml:space="preserve">Very Conservative considered. </t>
  </si>
  <si>
    <t>CAC / year with escalation of 5 % YoY</t>
  </si>
  <si>
    <t>REVENUE per customer @ ₹200 / year - from Ads, sponsorship, promotions etc. with 5% esc.</t>
  </si>
  <si>
    <t xml:space="preserve">2 1/2 months </t>
  </si>
  <si>
    <t>₹</t>
  </si>
  <si>
    <t>LTV per customer - over 15 year period (net) - Undiscounted</t>
  </si>
  <si>
    <t>REVENUE per STORE @ ₹ 1.50 lakhs per month (Subscription)</t>
  </si>
  <si>
    <t>Net (after TAX) Profit / Loss % age</t>
  </si>
  <si>
    <t>Financial SNAPSHOT - 5 YEARS</t>
  </si>
  <si>
    <t>2nd SLIDE</t>
  </si>
  <si>
    <t>TOTAL REVENUE From both streams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</si>
</sst>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/>
    </xf>
    <xf numFmtId="0" fontId="4" fillId="0" borderId="0" xfId="0" applyFont="1"/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0" fillId="0" borderId="1" xfId="0" applyBorder="1" applyAlignment="1">
      <alignment horizontal="justify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2" fontId="1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justify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1" fontId="1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topLeftCell="A49" zoomScale="85" zoomScaleNormal="85" workbookViewId="0">
      <selection activeCell="N55" sqref="N55"/>
    </sheetView>
  </sheetViews>
  <sheetFormatPr defaultRowHeight="15" x14ac:dyDescent="0.25"/>
  <cols>
    <col min="2" max="2" width="89.85546875" customWidth="1"/>
    <col min="3" max="3" width="18.5703125" customWidth="1"/>
    <col min="4" max="4" width="3.7109375" customWidth="1"/>
    <col min="5" max="5" width="15.140625" bestFit="1" customWidth="1"/>
    <col min="6" max="6" width="11.140625" customWidth="1"/>
    <col min="7" max="7" width="10.28515625" bestFit="1" customWidth="1"/>
    <col min="8" max="8" width="11.7109375" customWidth="1"/>
    <col min="9" max="9" width="10.140625" customWidth="1"/>
    <col min="10" max="10" width="4.85546875" customWidth="1"/>
    <col min="11" max="11" width="10.7109375" customWidth="1"/>
    <col min="12" max="12" width="5" customWidth="1"/>
    <col min="13" max="13" width="11.85546875" customWidth="1"/>
    <col min="14" max="14" width="3.85546875" customWidth="1"/>
    <col min="15" max="15" width="10.7109375" customWidth="1"/>
    <col min="16" max="16" width="4.5703125" customWidth="1"/>
    <col min="17" max="17" width="12" customWidth="1"/>
  </cols>
  <sheetData>
    <row r="1" spans="2:11" x14ac:dyDescent="0.25">
      <c r="C1" s="2"/>
    </row>
    <row r="2" spans="2:11" ht="21" x14ac:dyDescent="0.35">
      <c r="B2" s="5" t="s">
        <v>10</v>
      </c>
    </row>
    <row r="3" spans="2:11" ht="10.5" customHeight="1" x14ac:dyDescent="0.35">
      <c r="B3" s="5"/>
    </row>
    <row r="4" spans="2:11" ht="21" x14ac:dyDescent="0.35">
      <c r="B4" s="5" t="s">
        <v>33</v>
      </c>
    </row>
    <row r="5" spans="2:11" ht="9.75" customHeight="1" x14ac:dyDescent="0.35">
      <c r="B5" s="5"/>
    </row>
    <row r="6" spans="2:11" ht="18.75" x14ac:dyDescent="0.3">
      <c r="B6" s="23" t="s">
        <v>17</v>
      </c>
      <c r="C6" s="7" t="s">
        <v>5</v>
      </c>
      <c r="E6" s="7">
        <v>2022</v>
      </c>
      <c r="F6" s="7">
        <v>2023</v>
      </c>
      <c r="G6" s="7">
        <v>2024</v>
      </c>
      <c r="H6" s="7">
        <v>2025</v>
      </c>
      <c r="I6" s="4">
        <v>2026</v>
      </c>
      <c r="K6" s="4" t="s">
        <v>8</v>
      </c>
    </row>
    <row r="7" spans="2:11" ht="18.75" x14ac:dyDescent="0.3">
      <c r="B7" s="23" t="s">
        <v>11</v>
      </c>
      <c r="C7" s="22"/>
      <c r="E7" s="22"/>
      <c r="F7" s="22"/>
      <c r="G7" s="22"/>
      <c r="H7" s="22"/>
      <c r="I7" s="10"/>
      <c r="K7" s="4"/>
    </row>
    <row r="8" spans="2:11" x14ac:dyDescent="0.25">
      <c r="B8" s="1"/>
      <c r="K8" s="7" t="s">
        <v>2</v>
      </c>
    </row>
    <row r="9" spans="2:11" s="9" customFormat="1" ht="30" x14ac:dyDescent="0.25">
      <c r="B9" s="25" t="s">
        <v>12</v>
      </c>
      <c r="C9" s="19" t="s">
        <v>25</v>
      </c>
      <c r="E9" s="7">
        <v>7</v>
      </c>
      <c r="F9" s="7">
        <v>13</v>
      </c>
      <c r="G9" s="7">
        <v>22</v>
      </c>
      <c r="H9" s="7">
        <v>30</v>
      </c>
      <c r="I9" s="7">
        <v>50</v>
      </c>
      <c r="J9" s="20"/>
      <c r="K9" s="7"/>
    </row>
    <row r="10" spans="2:11" x14ac:dyDescent="0.25">
      <c r="B10" s="9"/>
      <c r="E10" s="16"/>
      <c r="F10" s="16"/>
      <c r="G10" s="16"/>
      <c r="H10" s="16"/>
      <c r="I10" s="16"/>
      <c r="J10" s="20"/>
      <c r="K10" s="16"/>
    </row>
    <row r="11" spans="2:11" ht="15.75" x14ac:dyDescent="0.25">
      <c r="B11" s="17" t="s">
        <v>31</v>
      </c>
      <c r="C11" s="19"/>
      <c r="E11" s="16">
        <f>+E9*150000*12</f>
        <v>12600000</v>
      </c>
      <c r="F11" s="16">
        <f t="shared" ref="F11:I11" si="0">+F9*150000*12</f>
        <v>23400000</v>
      </c>
      <c r="G11" s="16">
        <f t="shared" si="0"/>
        <v>39600000</v>
      </c>
      <c r="H11" s="16">
        <f t="shared" si="0"/>
        <v>54000000</v>
      </c>
      <c r="I11" s="16">
        <f t="shared" si="0"/>
        <v>90000000</v>
      </c>
      <c r="J11" s="20"/>
      <c r="K11" s="14">
        <f>SUM(E11:I11)/1000000</f>
        <v>219.6</v>
      </c>
    </row>
    <row r="12" spans="2:11" ht="15.75" x14ac:dyDescent="0.25">
      <c r="B12" s="17"/>
      <c r="E12" s="16"/>
      <c r="F12" s="16"/>
      <c r="G12" s="16"/>
      <c r="H12" s="16"/>
      <c r="I12" s="16"/>
      <c r="J12" s="20"/>
      <c r="K12" s="16"/>
    </row>
    <row r="13" spans="2:11" ht="31.5" x14ac:dyDescent="0.25">
      <c r="B13" s="24" t="s">
        <v>13</v>
      </c>
      <c r="C13" s="19"/>
      <c r="E13" s="16">
        <f>+E11*0.4</f>
        <v>5040000</v>
      </c>
      <c r="F13" s="16">
        <f t="shared" ref="F13:I13" si="1">+F11*0.4</f>
        <v>9360000</v>
      </c>
      <c r="G13" s="16">
        <f t="shared" si="1"/>
        <v>15840000</v>
      </c>
      <c r="H13" s="16">
        <f t="shared" si="1"/>
        <v>21600000</v>
      </c>
      <c r="I13" s="16">
        <f t="shared" si="1"/>
        <v>36000000</v>
      </c>
      <c r="J13" s="20"/>
      <c r="K13" s="14">
        <f>SUM(E13:I13)/1000000</f>
        <v>87.84</v>
      </c>
    </row>
    <row r="14" spans="2:11" ht="15.75" x14ac:dyDescent="0.25">
      <c r="B14" s="17"/>
      <c r="E14" s="16"/>
      <c r="F14" s="16"/>
      <c r="G14" s="16"/>
      <c r="H14" s="16"/>
      <c r="I14" s="16"/>
      <c r="J14" s="20"/>
      <c r="K14" s="16"/>
    </row>
    <row r="15" spans="2:11" ht="15.75" x14ac:dyDescent="0.25">
      <c r="B15" s="17" t="s">
        <v>0</v>
      </c>
      <c r="E15" s="16">
        <f>+E11-E13</f>
        <v>7560000</v>
      </c>
      <c r="F15" s="16">
        <f t="shared" ref="F15:I15" si="2">+F11-F13</f>
        <v>14040000</v>
      </c>
      <c r="G15" s="16">
        <f t="shared" si="2"/>
        <v>23760000</v>
      </c>
      <c r="H15" s="16">
        <f t="shared" si="2"/>
        <v>32400000</v>
      </c>
      <c r="I15" s="16">
        <f t="shared" si="2"/>
        <v>54000000</v>
      </c>
      <c r="J15" s="20"/>
      <c r="K15" s="14">
        <f>SUM(E15:I15)/1000000</f>
        <v>131.76</v>
      </c>
    </row>
    <row r="16" spans="2:11" ht="15.75" x14ac:dyDescent="0.25">
      <c r="B16" s="17"/>
      <c r="E16" s="16"/>
      <c r="F16" s="16"/>
      <c r="G16" s="16"/>
      <c r="H16" s="16"/>
      <c r="I16" s="16"/>
      <c r="J16" s="20"/>
      <c r="K16" s="16"/>
    </row>
    <row r="17" spans="1:11" ht="15.75" x14ac:dyDescent="0.25">
      <c r="B17" s="18" t="s">
        <v>7</v>
      </c>
      <c r="C17" s="19"/>
      <c r="E17" s="14">
        <f>+E15/E11%</f>
        <v>60</v>
      </c>
      <c r="F17" s="14">
        <f t="shared" ref="F17:K17" si="3">+F15/F11%</f>
        <v>60</v>
      </c>
      <c r="G17" s="14">
        <f t="shared" si="3"/>
        <v>60</v>
      </c>
      <c r="H17" s="14">
        <f t="shared" si="3"/>
        <v>60</v>
      </c>
      <c r="I17" s="14">
        <f t="shared" si="3"/>
        <v>60</v>
      </c>
      <c r="J17" s="20"/>
      <c r="K17" s="14">
        <f t="shared" si="3"/>
        <v>60</v>
      </c>
    </row>
    <row r="18" spans="1:11" x14ac:dyDescent="0.25">
      <c r="B18" s="1"/>
      <c r="E18" s="20"/>
      <c r="F18" s="20"/>
      <c r="G18" s="20"/>
      <c r="H18" s="20"/>
      <c r="I18" s="20"/>
      <c r="J18" s="20"/>
      <c r="K18" s="21"/>
    </row>
    <row r="19" spans="1:11" ht="15.75" x14ac:dyDescent="0.25">
      <c r="B19" s="17" t="s">
        <v>14</v>
      </c>
      <c r="E19" s="16">
        <f>+E15*0.4</f>
        <v>3024000</v>
      </c>
      <c r="F19" s="16">
        <f t="shared" ref="F19:I19" si="4">+F15*0.4</f>
        <v>5616000</v>
      </c>
      <c r="G19" s="16">
        <f t="shared" si="4"/>
        <v>9504000</v>
      </c>
      <c r="H19" s="16">
        <f t="shared" si="4"/>
        <v>12960000</v>
      </c>
      <c r="I19" s="16">
        <f t="shared" si="4"/>
        <v>21600000</v>
      </c>
      <c r="J19" s="20"/>
      <c r="K19" s="14">
        <f>SUM(E19:I19)/1000000</f>
        <v>52.704000000000001</v>
      </c>
    </row>
    <row r="20" spans="1:11" x14ac:dyDescent="0.25">
      <c r="E20" s="20"/>
      <c r="F20" s="20"/>
      <c r="G20" s="20"/>
      <c r="H20" s="20"/>
      <c r="I20" s="20"/>
      <c r="J20" s="20"/>
      <c r="K20" s="20"/>
    </row>
    <row r="21" spans="1:11" ht="15.75" x14ac:dyDescent="0.25">
      <c r="B21" s="17" t="s">
        <v>15</v>
      </c>
      <c r="E21" s="16">
        <f>+E11*0.08</f>
        <v>1008000</v>
      </c>
      <c r="F21" s="16">
        <f t="shared" ref="F21:I21" si="5">+F11*0.08</f>
        <v>1872000</v>
      </c>
      <c r="G21" s="16">
        <f t="shared" si="5"/>
        <v>3168000</v>
      </c>
      <c r="H21" s="16">
        <f t="shared" si="5"/>
        <v>4320000</v>
      </c>
      <c r="I21" s="16">
        <f t="shared" si="5"/>
        <v>7200000</v>
      </c>
      <c r="J21" s="20"/>
      <c r="K21" s="14">
        <f>SUM(E21:I21)/1000000</f>
        <v>17.568000000000001</v>
      </c>
    </row>
    <row r="22" spans="1:11" x14ac:dyDescent="0.25">
      <c r="E22" s="20"/>
      <c r="F22" s="20"/>
      <c r="G22" s="20"/>
      <c r="H22" s="20"/>
      <c r="I22" s="20"/>
      <c r="J22" s="20"/>
      <c r="K22" s="20"/>
    </row>
    <row r="23" spans="1:11" ht="15.75" x14ac:dyDescent="0.25">
      <c r="B23" s="17" t="s">
        <v>18</v>
      </c>
      <c r="E23" s="16">
        <f>+E15-E19-E21</f>
        <v>3528000</v>
      </c>
      <c r="F23" s="16">
        <f t="shared" ref="F23:I23" si="6">+F15-F19-F21</f>
        <v>6552000</v>
      </c>
      <c r="G23" s="16">
        <f t="shared" si="6"/>
        <v>11088000</v>
      </c>
      <c r="H23" s="16">
        <f t="shared" si="6"/>
        <v>15120000</v>
      </c>
      <c r="I23" s="16">
        <f t="shared" si="6"/>
        <v>25200000</v>
      </c>
      <c r="J23" s="20"/>
      <c r="K23" s="14">
        <f>SUM(E23:I23)/1000000</f>
        <v>61.488</v>
      </c>
    </row>
    <row r="24" spans="1:11" x14ac:dyDescent="0.25">
      <c r="E24" s="20"/>
      <c r="F24" s="20"/>
      <c r="G24" s="20"/>
      <c r="H24" s="20"/>
      <c r="I24" s="20"/>
      <c r="J24" s="20"/>
      <c r="K24" s="20"/>
    </row>
    <row r="25" spans="1:11" ht="15.75" x14ac:dyDescent="0.25">
      <c r="B25" s="18" t="s">
        <v>9</v>
      </c>
      <c r="E25" s="12">
        <f>+E23/E11%</f>
        <v>28</v>
      </c>
      <c r="F25" s="12">
        <f t="shared" ref="F25:I25" si="7">+F23/F11%</f>
        <v>28</v>
      </c>
      <c r="G25" s="12">
        <f t="shared" si="7"/>
        <v>28</v>
      </c>
      <c r="H25" s="12">
        <f t="shared" si="7"/>
        <v>28</v>
      </c>
      <c r="I25" s="12">
        <f t="shared" si="7"/>
        <v>28</v>
      </c>
      <c r="J25" s="16"/>
      <c r="K25" s="12">
        <f>+K23/K11%</f>
        <v>28.000000000000004</v>
      </c>
    </row>
    <row r="26" spans="1:11" ht="15.75" x14ac:dyDescent="0.25">
      <c r="B26" s="18"/>
      <c r="E26" s="26"/>
      <c r="F26" s="26"/>
      <c r="G26" s="26"/>
      <c r="H26" s="26"/>
      <c r="I26" s="26"/>
      <c r="J26" s="31"/>
      <c r="K26" s="26"/>
    </row>
    <row r="27" spans="1:11" ht="21" x14ac:dyDescent="0.25">
      <c r="B27" s="32" t="s">
        <v>34</v>
      </c>
      <c r="E27" s="26"/>
      <c r="F27" s="26"/>
      <c r="G27" s="26"/>
      <c r="H27" s="26"/>
      <c r="I27" s="26"/>
      <c r="J27" s="31"/>
      <c r="K27" s="26"/>
    </row>
    <row r="28" spans="1:11" ht="15.75" x14ac:dyDescent="0.25">
      <c r="B28" s="18"/>
      <c r="E28" s="26"/>
      <c r="F28" s="26"/>
      <c r="G28" s="26"/>
      <c r="H28" s="26"/>
      <c r="I28" s="26"/>
      <c r="J28" s="31"/>
      <c r="K28" s="26"/>
    </row>
    <row r="29" spans="1:11" ht="18.75" x14ac:dyDescent="0.3">
      <c r="B29" s="23" t="s">
        <v>17</v>
      </c>
      <c r="C29" s="7" t="s">
        <v>5</v>
      </c>
      <c r="E29" s="15">
        <v>2022</v>
      </c>
      <c r="F29" s="15">
        <v>2023</v>
      </c>
      <c r="G29" s="15">
        <v>2024</v>
      </c>
      <c r="H29" s="15">
        <v>2025</v>
      </c>
      <c r="I29" s="15">
        <v>2026</v>
      </c>
      <c r="J29" s="16"/>
      <c r="K29" s="12" t="s">
        <v>8</v>
      </c>
    </row>
    <row r="30" spans="1:11" ht="18.75" x14ac:dyDescent="0.3">
      <c r="B30" s="23" t="s">
        <v>19</v>
      </c>
      <c r="C30" s="22"/>
      <c r="E30" s="22"/>
      <c r="F30" s="22"/>
      <c r="G30" s="22"/>
      <c r="H30" s="22"/>
      <c r="I30" s="10"/>
      <c r="K30" s="4"/>
    </row>
    <row r="31" spans="1:11" x14ac:dyDescent="0.25">
      <c r="B31" s="1"/>
      <c r="K31" s="7" t="s">
        <v>2</v>
      </c>
    </row>
    <row r="32" spans="1:11" ht="45" x14ac:dyDescent="0.25">
      <c r="A32" s="9"/>
      <c r="B32" s="25" t="s">
        <v>20</v>
      </c>
      <c r="C32" s="19" t="s">
        <v>6</v>
      </c>
      <c r="D32" s="9"/>
      <c r="E32" s="7">
        <f>+E9*20000</f>
        <v>140000</v>
      </c>
      <c r="F32" s="7">
        <f t="shared" ref="F32:I32" si="8">+F9*20000</f>
        <v>260000</v>
      </c>
      <c r="G32" s="7">
        <f t="shared" si="8"/>
        <v>440000</v>
      </c>
      <c r="H32" s="7">
        <f t="shared" si="8"/>
        <v>600000</v>
      </c>
      <c r="I32" s="7">
        <f t="shared" si="8"/>
        <v>1000000</v>
      </c>
      <c r="J32" s="20"/>
      <c r="K32" s="7">
        <f>+I32</f>
        <v>1000000</v>
      </c>
    </row>
    <row r="33" spans="2:11" x14ac:dyDescent="0.25">
      <c r="B33" s="9"/>
      <c r="E33" s="16"/>
      <c r="F33" s="16"/>
      <c r="G33" s="16"/>
      <c r="H33" s="16"/>
      <c r="I33" s="16"/>
      <c r="J33" s="20"/>
      <c r="K33" s="16"/>
    </row>
    <row r="34" spans="2:11" ht="36" customHeight="1" x14ac:dyDescent="0.25">
      <c r="B34" s="24" t="s">
        <v>27</v>
      </c>
      <c r="C34" s="19"/>
      <c r="E34" s="16">
        <f>+E32*200</f>
        <v>28000000</v>
      </c>
      <c r="F34" s="16">
        <f>+F32*200*1.05</f>
        <v>54600000</v>
      </c>
      <c r="G34" s="16">
        <f>+G32*200*1.1</f>
        <v>96800000.000000015</v>
      </c>
      <c r="H34" s="16">
        <f>+H32*200*1.15</f>
        <v>138000000</v>
      </c>
      <c r="I34" s="16">
        <f>+I32*200*1.2</f>
        <v>240000000</v>
      </c>
      <c r="J34" s="20"/>
      <c r="K34" s="14">
        <f>SUM(E34:I34)/1000000</f>
        <v>557.4</v>
      </c>
    </row>
    <row r="35" spans="2:11" ht="15.75" x14ac:dyDescent="0.25">
      <c r="B35" s="17"/>
      <c r="E35" s="16"/>
      <c r="F35" s="16"/>
      <c r="G35" s="16"/>
      <c r="H35" s="16"/>
      <c r="I35" s="16"/>
      <c r="J35" s="20"/>
      <c r="K35" s="16"/>
    </row>
    <row r="36" spans="2:11" ht="31.5" x14ac:dyDescent="0.25">
      <c r="B36" s="24" t="s">
        <v>21</v>
      </c>
      <c r="C36" s="19"/>
      <c r="E36" s="16">
        <f>+E32*80</f>
        <v>11200000</v>
      </c>
      <c r="F36" s="16">
        <f>+F32*80*1.05</f>
        <v>21840000</v>
      </c>
      <c r="G36" s="16">
        <f>+G32*80*1.1</f>
        <v>38720000</v>
      </c>
      <c r="H36" s="16">
        <f>+H32*80*1.15</f>
        <v>55199999.999999993</v>
      </c>
      <c r="I36" s="16">
        <f>+I32*80*1.2</f>
        <v>96000000</v>
      </c>
      <c r="J36" s="20"/>
      <c r="K36" s="14">
        <f>SUM(E36:I36)/1000000</f>
        <v>222.96</v>
      </c>
    </row>
    <row r="37" spans="2:11" ht="15.75" x14ac:dyDescent="0.25">
      <c r="B37" s="24"/>
      <c r="C37" s="27"/>
      <c r="E37" s="16"/>
      <c r="F37" s="16"/>
      <c r="G37" s="16"/>
      <c r="H37" s="16"/>
      <c r="I37" s="16"/>
      <c r="J37" s="20"/>
      <c r="K37" s="14"/>
    </row>
    <row r="38" spans="2:11" ht="15.75" x14ac:dyDescent="0.25">
      <c r="B38" s="24" t="s">
        <v>22</v>
      </c>
      <c r="C38" s="27"/>
      <c r="E38" s="16">
        <f>+E34*0.3</f>
        <v>8400000</v>
      </c>
      <c r="F38" s="16">
        <f t="shared" ref="F38:I38" si="9">+F34*0.3</f>
        <v>16380000</v>
      </c>
      <c r="G38" s="16">
        <f t="shared" si="9"/>
        <v>29040000.000000004</v>
      </c>
      <c r="H38" s="16">
        <f t="shared" si="9"/>
        <v>41400000</v>
      </c>
      <c r="I38" s="16">
        <f t="shared" si="9"/>
        <v>72000000</v>
      </c>
      <c r="J38" s="20"/>
      <c r="K38" s="14">
        <f>SUM(E38:I38)/1000000</f>
        <v>167.22</v>
      </c>
    </row>
    <row r="39" spans="2:11" ht="15.75" x14ac:dyDescent="0.25">
      <c r="B39" s="17"/>
      <c r="E39" s="16"/>
      <c r="F39" s="16"/>
      <c r="G39" s="16"/>
      <c r="H39" s="16"/>
      <c r="I39" s="16"/>
      <c r="J39" s="20"/>
      <c r="K39" s="16"/>
    </row>
    <row r="40" spans="2:11" ht="15.75" x14ac:dyDescent="0.25">
      <c r="B40" s="17" t="s">
        <v>0</v>
      </c>
      <c r="E40" s="16">
        <f>+E34-E36-E38</f>
        <v>8400000</v>
      </c>
      <c r="F40" s="16">
        <f t="shared" ref="F40:I40" si="10">+F34-F36-F38</f>
        <v>16380000</v>
      </c>
      <c r="G40" s="16">
        <f t="shared" si="10"/>
        <v>29040000.000000011</v>
      </c>
      <c r="H40" s="16">
        <f t="shared" si="10"/>
        <v>41400000</v>
      </c>
      <c r="I40" s="16">
        <f t="shared" si="10"/>
        <v>72000000</v>
      </c>
      <c r="J40" s="20"/>
      <c r="K40" s="14">
        <f>SUM(E40:I40)/1000000</f>
        <v>167.22</v>
      </c>
    </row>
    <row r="41" spans="2:11" ht="15.75" x14ac:dyDescent="0.25">
      <c r="B41" s="17"/>
      <c r="E41" s="16"/>
      <c r="F41" s="16"/>
      <c r="G41" s="16"/>
      <c r="H41" s="16"/>
      <c r="I41" s="16"/>
      <c r="J41" s="20"/>
      <c r="K41" s="16"/>
    </row>
    <row r="42" spans="2:11" ht="15.75" x14ac:dyDescent="0.25">
      <c r="B42" s="18" t="s">
        <v>7</v>
      </c>
      <c r="C42" s="19"/>
      <c r="E42" s="14">
        <f>+E40/E34%</f>
        <v>30</v>
      </c>
      <c r="F42" s="14">
        <f t="shared" ref="F42:I42" si="11">+F40/F34%</f>
        <v>30</v>
      </c>
      <c r="G42" s="14">
        <f t="shared" si="11"/>
        <v>30.000000000000007</v>
      </c>
      <c r="H42" s="14">
        <f t="shared" si="11"/>
        <v>30</v>
      </c>
      <c r="I42" s="14">
        <f t="shared" si="11"/>
        <v>30</v>
      </c>
      <c r="J42" s="20"/>
      <c r="K42" s="14">
        <f t="shared" ref="K42" si="12">+K40/K34%</f>
        <v>30</v>
      </c>
    </row>
    <row r="43" spans="2:11" x14ac:dyDescent="0.25">
      <c r="B43" s="1"/>
      <c r="E43" s="20"/>
      <c r="F43" s="20"/>
      <c r="G43" s="20"/>
      <c r="H43" s="20"/>
      <c r="I43" s="20"/>
      <c r="J43" s="20"/>
      <c r="K43" s="21"/>
    </row>
    <row r="44" spans="2:11" ht="15.75" x14ac:dyDescent="0.25">
      <c r="B44" s="17" t="s">
        <v>15</v>
      </c>
      <c r="E44" s="16">
        <f>+E34*0.08</f>
        <v>2240000</v>
      </c>
      <c r="F44" s="16">
        <f>+F34*0.08</f>
        <v>4368000</v>
      </c>
      <c r="G44" s="16">
        <f>+G34*0.08</f>
        <v>7744000.0000000009</v>
      </c>
      <c r="H44" s="16">
        <f>+H34*0.08</f>
        <v>11040000</v>
      </c>
      <c r="I44" s="16">
        <f>+I34*0.08</f>
        <v>19200000</v>
      </c>
      <c r="J44" s="20"/>
      <c r="K44" s="14">
        <f>SUM(E44:I44)/1000000</f>
        <v>44.591999999999999</v>
      </c>
    </row>
    <row r="45" spans="2:11" x14ac:dyDescent="0.25">
      <c r="E45" s="20"/>
      <c r="F45" s="20"/>
      <c r="G45" s="20"/>
      <c r="H45" s="20"/>
      <c r="I45" s="20"/>
      <c r="J45" s="20"/>
      <c r="K45" s="20"/>
    </row>
    <row r="46" spans="2:11" ht="15.75" x14ac:dyDescent="0.25">
      <c r="B46" s="17" t="s">
        <v>23</v>
      </c>
      <c r="E46" s="16">
        <f>+E40-E44</f>
        <v>6160000</v>
      </c>
      <c r="F46" s="16">
        <f t="shared" ref="F46:I46" si="13">+F40-F44</f>
        <v>12012000</v>
      </c>
      <c r="G46" s="16">
        <f t="shared" si="13"/>
        <v>21296000.000000011</v>
      </c>
      <c r="H46" s="16">
        <f t="shared" si="13"/>
        <v>30360000</v>
      </c>
      <c r="I46" s="16">
        <f t="shared" si="13"/>
        <v>52800000</v>
      </c>
      <c r="J46" s="20"/>
      <c r="K46" s="14">
        <f>SUM(E46:I46)/1000000</f>
        <v>122.62800000000001</v>
      </c>
    </row>
    <row r="47" spans="2:11" x14ac:dyDescent="0.25">
      <c r="E47" s="20"/>
      <c r="F47" s="20"/>
      <c r="G47" s="20"/>
      <c r="H47" s="20"/>
      <c r="I47" s="20"/>
      <c r="J47" s="20"/>
      <c r="K47" s="20"/>
    </row>
    <row r="48" spans="2:11" ht="15.75" x14ac:dyDescent="0.25">
      <c r="B48" s="18" t="s">
        <v>9</v>
      </c>
      <c r="E48" s="12">
        <f>+E46/E34%</f>
        <v>22</v>
      </c>
      <c r="F48" s="12">
        <f>+F46/F34%</f>
        <v>22</v>
      </c>
      <c r="G48" s="12">
        <f>+G46/G34%</f>
        <v>22.000000000000011</v>
      </c>
      <c r="H48" s="12">
        <f>+H46/H34%</f>
        <v>22</v>
      </c>
      <c r="I48" s="12">
        <f>+I46/I34%</f>
        <v>22</v>
      </c>
      <c r="J48" s="20"/>
      <c r="K48" s="12">
        <f>+K46/K34%</f>
        <v>22.000000000000004</v>
      </c>
    </row>
    <row r="49" spans="2:11" ht="15.75" x14ac:dyDescent="0.25">
      <c r="B49" s="18"/>
      <c r="E49" s="26"/>
      <c r="F49" s="26"/>
      <c r="G49" s="26"/>
      <c r="H49" s="26"/>
      <c r="I49" s="26"/>
      <c r="J49" s="20"/>
      <c r="K49" s="26"/>
    </row>
    <row r="50" spans="2:11" ht="15.75" x14ac:dyDescent="0.25">
      <c r="B50" s="17" t="s">
        <v>24</v>
      </c>
      <c r="E50" s="16">
        <f>+E23+E46</f>
        <v>9688000</v>
      </c>
      <c r="F50" s="16">
        <f t="shared" ref="F50:I50" si="14">+F23+F46</f>
        <v>18564000</v>
      </c>
      <c r="G50" s="16">
        <f t="shared" si="14"/>
        <v>32384000.000000011</v>
      </c>
      <c r="H50" s="16">
        <f t="shared" si="14"/>
        <v>45480000</v>
      </c>
      <c r="I50" s="16">
        <f t="shared" si="14"/>
        <v>78000000</v>
      </c>
      <c r="J50" s="20"/>
      <c r="K50" s="14">
        <f>SUM(E50:I50)/1000000</f>
        <v>184.11600000000001</v>
      </c>
    </row>
    <row r="51" spans="2:11" ht="15.75" x14ac:dyDescent="0.25">
      <c r="B51" s="18"/>
      <c r="E51" s="26"/>
      <c r="F51" s="26"/>
      <c r="G51" s="26"/>
      <c r="H51" s="26"/>
      <c r="I51" s="26"/>
      <c r="J51" s="20"/>
      <c r="K51" s="26"/>
    </row>
    <row r="52" spans="2:11" x14ac:dyDescent="0.25">
      <c r="E52" s="20"/>
      <c r="F52" s="20"/>
      <c r="G52" s="20"/>
      <c r="H52" s="20"/>
      <c r="I52" s="20"/>
      <c r="J52" s="20"/>
      <c r="K52" s="20"/>
    </row>
    <row r="53" spans="2:11" ht="15.75" x14ac:dyDescent="0.25">
      <c r="B53" s="17" t="s">
        <v>16</v>
      </c>
      <c r="E53" s="15">
        <f>+E50*0.36</f>
        <v>3487680</v>
      </c>
      <c r="F53" s="15">
        <f t="shared" ref="F53:I53" si="15">+F50*0.36</f>
        <v>6683040</v>
      </c>
      <c r="G53" s="15">
        <f t="shared" si="15"/>
        <v>11658240.000000004</v>
      </c>
      <c r="H53" s="15">
        <f t="shared" si="15"/>
        <v>16372800</v>
      </c>
      <c r="I53" s="15">
        <f t="shared" si="15"/>
        <v>28080000</v>
      </c>
      <c r="J53" s="20"/>
      <c r="K53" s="14">
        <f>SUM(E53:I53)/1000000</f>
        <v>66.281760000000006</v>
      </c>
    </row>
    <row r="55" spans="2:11" ht="18.75" x14ac:dyDescent="0.3">
      <c r="B55" s="3" t="s">
        <v>1</v>
      </c>
      <c r="E55" s="15">
        <f>+E50-E53</f>
        <v>6200320</v>
      </c>
      <c r="F55" s="15">
        <f t="shared" ref="F55:I55" si="16">+F50-F53</f>
        <v>11880960</v>
      </c>
      <c r="G55" s="15">
        <f t="shared" si="16"/>
        <v>20725760.000000007</v>
      </c>
      <c r="H55" s="15">
        <f t="shared" si="16"/>
        <v>29107200</v>
      </c>
      <c r="I55" s="15">
        <f t="shared" si="16"/>
        <v>49920000</v>
      </c>
      <c r="K55" s="12">
        <f>SUM(E55:I55)/1000000</f>
        <v>117.83423999999999</v>
      </c>
    </row>
    <row r="56" spans="2:11" ht="18.75" x14ac:dyDescent="0.3">
      <c r="B56" s="3" t="s">
        <v>35</v>
      </c>
      <c r="E56" s="15">
        <f>+E11+E34</f>
        <v>40600000</v>
      </c>
      <c r="F56" s="15">
        <f t="shared" ref="F56:I56" si="17">+F11+F34</f>
        <v>78000000</v>
      </c>
      <c r="G56" s="15">
        <f t="shared" si="17"/>
        <v>136400000</v>
      </c>
      <c r="H56" s="15">
        <f t="shared" si="17"/>
        <v>192000000</v>
      </c>
      <c r="I56" s="15">
        <f t="shared" si="17"/>
        <v>330000000</v>
      </c>
      <c r="K56" s="12">
        <f>SUM(E56:I56)/1000000</f>
        <v>777</v>
      </c>
    </row>
    <row r="57" spans="2:11" ht="18.75" x14ac:dyDescent="0.3">
      <c r="B57" s="3"/>
      <c r="C57" s="8" t="s">
        <v>2</v>
      </c>
      <c r="E57" s="15">
        <f>+E56/1000000</f>
        <v>40.6</v>
      </c>
      <c r="F57" s="15">
        <f t="shared" ref="F57:K57" si="18">+F56/1000000</f>
        <v>78</v>
      </c>
      <c r="G57" s="15">
        <f t="shared" si="18"/>
        <v>136.4</v>
      </c>
      <c r="H57" s="15">
        <f t="shared" si="18"/>
        <v>192</v>
      </c>
      <c r="I57" s="15">
        <f t="shared" si="18"/>
        <v>330</v>
      </c>
      <c r="K57" s="15">
        <f>+K56</f>
        <v>777</v>
      </c>
    </row>
    <row r="58" spans="2:11" ht="18.75" x14ac:dyDescent="0.3">
      <c r="B58" s="3"/>
      <c r="E58" s="30"/>
      <c r="F58" s="30"/>
      <c r="G58" s="30"/>
      <c r="H58" s="30"/>
      <c r="I58" s="30"/>
      <c r="K58" s="26"/>
    </row>
    <row r="59" spans="2:11" ht="15.75" x14ac:dyDescent="0.25">
      <c r="B59" s="18" t="s">
        <v>32</v>
      </c>
      <c r="E59" s="15">
        <f>+E55/(E34+E11)%</f>
        <v>15.271724137931034</v>
      </c>
      <c r="F59" s="15">
        <f>F55/(F34+F11)%</f>
        <v>15.231999999999999</v>
      </c>
      <c r="G59" s="15">
        <f t="shared" ref="G59:I59" si="19">G55/(G34+G11)%</f>
        <v>15.194838709677425</v>
      </c>
      <c r="H59" s="15">
        <f t="shared" si="19"/>
        <v>15.16</v>
      </c>
      <c r="I59" s="15">
        <f t="shared" si="19"/>
        <v>15.127272727272727</v>
      </c>
      <c r="K59" s="12">
        <f>+K55/K56%</f>
        <v>15.165281853281853</v>
      </c>
    </row>
    <row r="60" spans="2:11" ht="18.75" x14ac:dyDescent="0.3">
      <c r="B60" s="3"/>
      <c r="E60" s="30"/>
      <c r="F60" s="30"/>
      <c r="G60" s="30"/>
      <c r="H60" s="30"/>
      <c r="I60" s="30"/>
      <c r="K60" s="26"/>
    </row>
    <row r="62" spans="2:11" ht="18.75" x14ac:dyDescent="0.3">
      <c r="B62" s="28" t="s">
        <v>26</v>
      </c>
      <c r="E62" s="4">
        <f>(+E36)/E32</f>
        <v>80</v>
      </c>
      <c r="F62" s="4">
        <f t="shared" ref="F62:I62" si="20">(+F36)/F32</f>
        <v>84</v>
      </c>
      <c r="G62" s="4">
        <f t="shared" si="20"/>
        <v>88</v>
      </c>
      <c r="H62" s="4">
        <f t="shared" si="20"/>
        <v>91.999999999999986</v>
      </c>
      <c r="I62" s="4">
        <f t="shared" si="20"/>
        <v>96</v>
      </c>
      <c r="J62" s="4"/>
      <c r="K62" s="6">
        <v>88</v>
      </c>
    </row>
    <row r="63" spans="2:11" ht="18.75" x14ac:dyDescent="0.3">
      <c r="B63" s="28" t="s">
        <v>4</v>
      </c>
      <c r="E63" s="4">
        <v>200</v>
      </c>
      <c r="F63" s="4">
        <f>+F34/F32</f>
        <v>210</v>
      </c>
      <c r="G63" s="4">
        <f t="shared" ref="G63:I63" si="21">+G34/G32</f>
        <v>220.00000000000003</v>
      </c>
      <c r="H63" s="4">
        <f t="shared" si="21"/>
        <v>230</v>
      </c>
      <c r="I63" s="4">
        <f t="shared" si="21"/>
        <v>240</v>
      </c>
      <c r="J63" s="4"/>
      <c r="K63" s="4">
        <v>220</v>
      </c>
    </row>
    <row r="64" spans="2:11" ht="18.75" x14ac:dyDescent="0.3">
      <c r="B64" s="28" t="s">
        <v>3</v>
      </c>
      <c r="E64" s="11" t="s">
        <v>28</v>
      </c>
    </row>
    <row r="65" spans="2:5" ht="18.75" x14ac:dyDescent="0.3">
      <c r="B65" s="28" t="s">
        <v>30</v>
      </c>
      <c r="D65" s="13" t="s">
        <v>29</v>
      </c>
      <c r="E65" s="29">
        <f>+K63*15</f>
        <v>3300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 - 5Yr PL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2021-10-12T21:35:44Z</cp:lastPrinted>
  <dcterms:created xsi:type="dcterms:W3CDTF">2021-10-12T13:49:33Z</dcterms:created>
  <dcterms:modified xsi:type="dcterms:W3CDTF">2021-11-01T03:09:27Z</dcterms:modified>
</cp:coreProperties>
</file>