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416"/>
  <workbookPr codeName="ThisWorkbook" autoCompressPictures="0"/>
  <bookViews>
    <workbookView xWindow="1740" yWindow="740" windowWidth="25060" windowHeight="15400" tabRatio="708" activeTab="7"/>
  </bookViews>
  <sheets>
    <sheet name="Output" sheetId="1" r:id="rId1"/>
    <sheet name="Subject data" sheetId="2" r:id="rId2"/>
    <sheet name="RDRC" sheetId="15" r:id="rId3"/>
    <sheet name="Dose data" sheetId="7" r:id="rId4"/>
    <sheet name="Blood collection data" sheetId="9" r:id="rId5"/>
    <sheet name="Balance data" sheetId="4" r:id="rId6"/>
    <sheet name="Gamma data" sheetId="6" r:id="rId7"/>
    <sheet name="HPLC Data" sheetId="8" r:id="rId8"/>
    <sheet name="Pellet - Gamma Data" sheetId="13" r:id="rId9"/>
    <sheet name="Free F" sheetId="14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4" l="1"/>
  <c r="A70" i="4"/>
  <c r="A60" i="4"/>
  <c r="A36" i="4"/>
  <c r="E107" i="4"/>
  <c r="E106" i="4"/>
  <c r="E97" i="4"/>
  <c r="E88" i="4"/>
  <c r="E87" i="4"/>
  <c r="E86" i="4"/>
  <c r="E79" i="4"/>
  <c r="E70" i="4"/>
  <c r="E62" i="4"/>
  <c r="E61" i="4"/>
  <c r="E60" i="4"/>
  <c r="E51" i="4"/>
  <c r="E49" i="4"/>
  <c r="E50" i="4"/>
  <c r="E48" i="4"/>
  <c r="E46" i="4"/>
  <c r="E36" i="4"/>
  <c r="E37" i="4"/>
  <c r="E27" i="4"/>
  <c r="E25" i="4"/>
  <c r="E26" i="4"/>
  <c r="E28" i="4"/>
  <c r="M70" i="4"/>
  <c r="M60" i="4"/>
  <c r="F35" i="14"/>
  <c r="G20" i="14"/>
  <c r="G19" i="14"/>
  <c r="G18" i="14"/>
  <c r="A48" i="1"/>
  <c r="C6" i="9"/>
  <c r="B10" i="9"/>
  <c r="B11" i="9"/>
  <c r="B12" i="9"/>
  <c r="B13" i="9"/>
  <c r="B14" i="9"/>
  <c r="B15" i="9"/>
  <c r="M135" i="4"/>
  <c r="B16" i="9"/>
  <c r="B5" i="13"/>
  <c r="K1" i="8"/>
  <c r="B5" i="6"/>
  <c r="F2" i="4"/>
  <c r="B2" i="9"/>
  <c r="H18" i="14"/>
  <c r="I18" i="14"/>
  <c r="H19" i="14"/>
  <c r="B17" i="9"/>
  <c r="M24" i="4"/>
  <c r="F20" i="2"/>
  <c r="A202" i="6"/>
  <c r="K202" i="6"/>
  <c r="M202" i="6"/>
  <c r="I186" i="4"/>
  <c r="M186" i="4"/>
  <c r="A186" i="4"/>
  <c r="E186" i="4"/>
  <c r="F184" i="4"/>
  <c r="E184" i="4"/>
  <c r="A59" i="1"/>
  <c r="J14" i="8"/>
  <c r="G14" i="8"/>
  <c r="G15" i="8"/>
  <c r="G16" i="8"/>
  <c r="G17" i="8"/>
  <c r="G18" i="8"/>
  <c r="G19" i="8"/>
  <c r="G20" i="8"/>
  <c r="F24" i="8"/>
  <c r="F25" i="8"/>
  <c r="F26" i="8"/>
  <c r="F27" i="8"/>
  <c r="F30" i="8"/>
  <c r="F31" i="8"/>
  <c r="F32" i="8"/>
  <c r="F33" i="8"/>
  <c r="M15" i="8"/>
  <c r="E18" i="4"/>
  <c r="E19" i="4"/>
  <c r="E20" i="4"/>
  <c r="E21" i="4"/>
  <c r="E22" i="4"/>
  <c r="E23" i="4"/>
  <c r="E24" i="4"/>
  <c r="E47" i="4"/>
  <c r="E117" i="4"/>
  <c r="E126" i="4"/>
  <c r="E135" i="4"/>
  <c r="E146" i="4"/>
  <c r="E155" i="4"/>
  <c r="E166" i="4"/>
  <c r="E175" i="4"/>
  <c r="F18" i="2"/>
  <c r="F11" i="6"/>
  <c r="G19" i="6"/>
  <c r="G190" i="6"/>
  <c r="G18" i="6"/>
  <c r="H20" i="13"/>
  <c r="K88" i="6"/>
  <c r="M88" i="6"/>
  <c r="A108" i="4"/>
  <c r="K7" i="1"/>
  <c r="O15" i="8"/>
  <c r="R15" i="8"/>
  <c r="O14" i="8"/>
  <c r="R14" i="8"/>
  <c r="M18" i="4"/>
  <c r="M19" i="4"/>
  <c r="M20" i="4"/>
  <c r="M21" i="4"/>
  <c r="M22" i="4"/>
  <c r="M23" i="4"/>
  <c r="A58" i="1"/>
  <c r="A57" i="1"/>
  <c r="A56" i="1"/>
  <c r="A55" i="1"/>
  <c r="A54" i="1"/>
  <c r="A53" i="1"/>
  <c r="A52" i="1"/>
  <c r="A51" i="1"/>
  <c r="A50" i="1"/>
  <c r="A49" i="1"/>
  <c r="A47" i="1"/>
  <c r="A46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9" i="1"/>
  <c r="A28" i="1"/>
  <c r="F17" i="6"/>
  <c r="F8" i="7"/>
  <c r="D37" i="6"/>
  <c r="D150" i="6"/>
  <c r="B9" i="6"/>
  <c r="M20" i="8"/>
  <c r="J20" i="8"/>
  <c r="D20" i="8"/>
  <c r="F17" i="2"/>
  <c r="E12" i="7"/>
  <c r="A192" i="6"/>
  <c r="A191" i="6"/>
  <c r="A181" i="6"/>
  <c r="A171" i="6"/>
  <c r="A170" i="6"/>
  <c r="A160" i="6"/>
  <c r="A150" i="6"/>
  <c r="A149" i="6"/>
  <c r="A139" i="6"/>
  <c r="A129" i="6"/>
  <c r="A119" i="6"/>
  <c r="A118" i="6"/>
  <c r="A108" i="6"/>
  <c r="A98" i="6"/>
  <c r="A97" i="6"/>
  <c r="A87" i="6"/>
  <c r="A77" i="6"/>
  <c r="A67" i="6"/>
  <c r="A66" i="6"/>
  <c r="A40" i="6"/>
  <c r="A177" i="4"/>
  <c r="K10" i="1"/>
  <c r="A176" i="4"/>
  <c r="A175" i="4"/>
  <c r="A166" i="4"/>
  <c r="A157" i="4"/>
  <c r="K9" i="1"/>
  <c r="A156" i="4"/>
  <c r="A155" i="4"/>
  <c r="A146" i="4"/>
  <c r="A137" i="4"/>
  <c r="A136" i="4"/>
  <c r="A126" i="4"/>
  <c r="A117" i="4"/>
  <c r="A107" i="4"/>
  <c r="A106" i="4"/>
  <c r="A97" i="4"/>
  <c r="A86" i="4"/>
  <c r="A87" i="4"/>
  <c r="A88" i="4"/>
  <c r="K6" i="1"/>
  <c r="A79" i="4"/>
  <c r="A62" i="4"/>
  <c r="K5" i="1"/>
  <c r="A61" i="4"/>
  <c r="A38" i="4"/>
  <c r="K4" i="1"/>
  <c r="A37" i="4"/>
  <c r="E38" i="6"/>
  <c r="E179" i="6"/>
  <c r="E39" i="6"/>
  <c r="F21" i="13"/>
  <c r="G19" i="13"/>
  <c r="D17" i="4"/>
  <c r="E17" i="4"/>
  <c r="F17" i="4"/>
  <c r="E10" i="4"/>
  <c r="F10" i="4"/>
  <c r="L28" i="13"/>
  <c r="O20" i="8"/>
  <c r="P20" i="8"/>
  <c r="F9" i="4"/>
  <c r="E9" i="4"/>
  <c r="J19" i="8"/>
  <c r="M175" i="4"/>
  <c r="M166" i="4"/>
  <c r="M155" i="4"/>
  <c r="M146" i="4"/>
  <c r="M126" i="4"/>
  <c r="M117" i="4"/>
  <c r="M106" i="4"/>
  <c r="M97" i="4"/>
  <c r="M86" i="4"/>
  <c r="M79" i="4"/>
  <c r="A174" i="4"/>
  <c r="A165" i="4"/>
  <c r="A125" i="4"/>
  <c r="A134" i="4"/>
  <c r="A145" i="4"/>
  <c r="A154" i="4"/>
  <c r="A116" i="4"/>
  <c r="A105" i="4"/>
  <c r="A96" i="4"/>
  <c r="A85" i="4"/>
  <c r="A78" i="4"/>
  <c r="A69" i="4"/>
  <c r="A59" i="4"/>
  <c r="A45" i="4"/>
  <c r="A35" i="4"/>
  <c r="E50" i="6"/>
  <c r="E49" i="6"/>
  <c r="E48" i="6"/>
  <c r="C50" i="6"/>
  <c r="C49" i="6"/>
  <c r="C48" i="6"/>
  <c r="E37" i="6"/>
  <c r="J46" i="4"/>
  <c r="C39" i="6"/>
  <c r="C180" i="6"/>
  <c r="C38" i="6"/>
  <c r="C95" i="6"/>
  <c r="C37" i="6"/>
  <c r="C157" i="6"/>
  <c r="K181" i="6"/>
  <c r="M181" i="6"/>
  <c r="I166" i="4"/>
  <c r="K160" i="6"/>
  <c r="M160" i="6"/>
  <c r="I146" i="4"/>
  <c r="K108" i="6"/>
  <c r="M108" i="6"/>
  <c r="I97" i="4"/>
  <c r="K77" i="6"/>
  <c r="M77" i="6"/>
  <c r="I70" i="4"/>
  <c r="D48" i="6"/>
  <c r="K56" i="6"/>
  <c r="M56" i="6"/>
  <c r="I51" i="4"/>
  <c r="K55" i="6"/>
  <c r="M55" i="6"/>
  <c r="I50" i="4"/>
  <c r="D55" i="6"/>
  <c r="K54" i="6"/>
  <c r="M54" i="6"/>
  <c r="I49" i="4"/>
  <c r="D54" i="6"/>
  <c r="K53" i="6"/>
  <c r="M53" i="6"/>
  <c r="I48" i="4"/>
  <c r="K52" i="6"/>
  <c r="M52" i="6"/>
  <c r="I47" i="4"/>
  <c r="K51" i="6"/>
  <c r="M51" i="6"/>
  <c r="I46" i="4"/>
  <c r="D50" i="6"/>
  <c r="D53" i="6"/>
  <c r="D56" i="6"/>
  <c r="D49" i="6"/>
  <c r="D52" i="6"/>
  <c r="D30" i="6"/>
  <c r="D27" i="6"/>
  <c r="D28" i="6"/>
  <c r="D24" i="6"/>
  <c r="D23" i="6"/>
  <c r="D26" i="6"/>
  <c r="D29" i="6"/>
  <c r="D19" i="6"/>
  <c r="D22" i="6"/>
  <c r="D25" i="6"/>
  <c r="D18" i="6"/>
  <c r="D20" i="6"/>
  <c r="K27" i="6"/>
  <c r="M27" i="6"/>
  <c r="I25" i="4"/>
  <c r="K28" i="6"/>
  <c r="M28" i="6"/>
  <c r="I26" i="4"/>
  <c r="K29" i="6"/>
  <c r="M29" i="6"/>
  <c r="I27" i="4"/>
  <c r="K30" i="6"/>
  <c r="M30" i="6"/>
  <c r="I28" i="4"/>
  <c r="K26" i="6"/>
  <c r="M26" i="6"/>
  <c r="I24" i="4"/>
  <c r="K25" i="6"/>
  <c r="M25" i="6"/>
  <c r="I23" i="4"/>
  <c r="K24" i="6"/>
  <c r="M24" i="6"/>
  <c r="I22" i="4"/>
  <c r="K23" i="6"/>
  <c r="M23" i="6"/>
  <c r="I21" i="4"/>
  <c r="B25" i="6"/>
  <c r="K22" i="6"/>
  <c r="M22" i="6"/>
  <c r="I20" i="4"/>
  <c r="K21" i="6"/>
  <c r="M21" i="6"/>
  <c r="I19" i="4"/>
  <c r="K20" i="6"/>
  <c r="M20" i="6"/>
  <c r="I18" i="4"/>
  <c r="E177" i="4"/>
  <c r="E176" i="4"/>
  <c r="F173" i="4"/>
  <c r="E173" i="4"/>
  <c r="F68" i="4"/>
  <c r="E68" i="4"/>
  <c r="F44" i="4"/>
  <c r="E44" i="4"/>
  <c r="E58" i="4"/>
  <c r="F58" i="4"/>
  <c r="F16" i="4"/>
  <c r="E16" i="4"/>
  <c r="V33" i="8"/>
  <c r="V32" i="8"/>
  <c r="V31" i="8"/>
  <c r="V30" i="8"/>
  <c r="R33" i="8"/>
  <c r="R32" i="8"/>
  <c r="R31" i="8"/>
  <c r="R30" i="8"/>
  <c r="N33" i="8"/>
  <c r="N32" i="8"/>
  <c r="N31" i="8"/>
  <c r="N30" i="8"/>
  <c r="V27" i="8"/>
  <c r="V26" i="8"/>
  <c r="V25" i="8"/>
  <c r="V24" i="8"/>
  <c r="N27" i="8"/>
  <c r="N26" i="8"/>
  <c r="N25" i="8"/>
  <c r="N24" i="8"/>
  <c r="B24" i="8"/>
  <c r="B25" i="8"/>
  <c r="B26" i="8"/>
  <c r="B27" i="8"/>
  <c r="D171" i="6"/>
  <c r="D170" i="6"/>
  <c r="B15" i="15"/>
  <c r="B14" i="15"/>
  <c r="B13" i="15"/>
  <c r="B5" i="15"/>
  <c r="B3" i="15"/>
  <c r="B11" i="15"/>
  <c r="B2" i="15"/>
  <c r="A15" i="15"/>
  <c r="A14" i="15"/>
  <c r="A13" i="15"/>
  <c r="A5" i="15"/>
  <c r="A3" i="15"/>
  <c r="A2" i="15"/>
  <c r="A40" i="8"/>
  <c r="L22" i="13"/>
  <c r="L26" i="13"/>
  <c r="D14" i="8"/>
  <c r="K192" i="6"/>
  <c r="K191" i="6"/>
  <c r="M191" i="6"/>
  <c r="I175" i="4"/>
  <c r="F164" i="4"/>
  <c r="E164" i="4"/>
  <c r="E157" i="4"/>
  <c r="E156" i="4"/>
  <c r="F153" i="4"/>
  <c r="E153" i="4"/>
  <c r="E136" i="4"/>
  <c r="D19" i="8"/>
  <c r="M18" i="8"/>
  <c r="M16" i="8"/>
  <c r="J18" i="8"/>
  <c r="J16" i="8"/>
  <c r="J15" i="8"/>
  <c r="D18" i="8"/>
  <c r="D16" i="8"/>
  <c r="D15" i="8"/>
  <c r="M19" i="8"/>
  <c r="M17" i="8"/>
  <c r="M14" i="8"/>
  <c r="J17" i="8"/>
  <c r="D17" i="8"/>
  <c r="G26" i="14"/>
  <c r="G25" i="14"/>
  <c r="G24" i="14"/>
  <c r="G23" i="14"/>
  <c r="G22" i="14"/>
  <c r="G21" i="14"/>
  <c r="G10" i="14"/>
  <c r="G11" i="14"/>
  <c r="G12" i="14"/>
  <c r="G13" i="14"/>
  <c r="G14" i="14"/>
  <c r="H14" i="14"/>
  <c r="I14" i="14"/>
  <c r="G15" i="14"/>
  <c r="G16" i="14"/>
  <c r="H16" i="14"/>
  <c r="I16" i="14"/>
  <c r="G17" i="14"/>
  <c r="G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B28" i="14"/>
  <c r="B29" i="14"/>
  <c r="B30" i="14"/>
  <c r="B21" i="7"/>
  <c r="E108" i="4"/>
  <c r="E38" i="4"/>
  <c r="E137" i="4"/>
  <c r="K8" i="1"/>
  <c r="K171" i="6"/>
  <c r="K150" i="6"/>
  <c r="K119" i="6"/>
  <c r="K98" i="6"/>
  <c r="K66" i="6"/>
  <c r="M66" i="6"/>
  <c r="I60" i="4"/>
  <c r="O17" i="8"/>
  <c r="P17" i="8"/>
  <c r="K87" i="6"/>
  <c r="M87" i="6"/>
  <c r="I79" i="4"/>
  <c r="O19" i="8"/>
  <c r="P19" i="8"/>
  <c r="K97" i="6"/>
  <c r="M97" i="6"/>
  <c r="I86" i="4"/>
  <c r="K118" i="6"/>
  <c r="M118" i="6"/>
  <c r="I106" i="4"/>
  <c r="K129" i="6"/>
  <c r="M129" i="6"/>
  <c r="I117" i="4"/>
  <c r="K139" i="6"/>
  <c r="M139" i="6"/>
  <c r="I126" i="4"/>
  <c r="K149" i="6"/>
  <c r="M149" i="6"/>
  <c r="I135" i="4"/>
  <c r="K170" i="6"/>
  <c r="M170" i="6"/>
  <c r="I155" i="4"/>
  <c r="F144" i="4"/>
  <c r="E144" i="4"/>
  <c r="F133" i="4"/>
  <c r="E133" i="4"/>
  <c r="F124" i="4"/>
  <c r="E124" i="4"/>
  <c r="F115" i="4"/>
  <c r="E115" i="4"/>
  <c r="L27" i="13"/>
  <c r="K67" i="6"/>
  <c r="K41" i="6"/>
  <c r="B7" i="1"/>
  <c r="B6" i="1"/>
  <c r="B5" i="1"/>
  <c r="B4" i="1"/>
  <c r="B3" i="1"/>
  <c r="B2" i="1"/>
  <c r="K40" i="6"/>
  <c r="M40" i="6"/>
  <c r="I36" i="4"/>
  <c r="O18" i="8"/>
  <c r="R18" i="8"/>
  <c r="O16" i="8"/>
  <c r="P16" i="8"/>
  <c r="L23" i="13"/>
  <c r="L24" i="13"/>
  <c r="L25" i="13"/>
  <c r="B9" i="13"/>
  <c r="F104" i="4"/>
  <c r="E104" i="4"/>
  <c r="F95" i="4"/>
  <c r="E95" i="4"/>
  <c r="F84" i="4"/>
  <c r="E84" i="4"/>
  <c r="F77" i="4"/>
  <c r="E77" i="4"/>
  <c r="F34" i="4"/>
  <c r="E34" i="4"/>
  <c r="F19" i="2"/>
  <c r="D9" i="7"/>
  <c r="D10" i="7"/>
  <c r="D11" i="7"/>
  <c r="D12" i="7"/>
  <c r="C16" i="7"/>
  <c r="F16" i="7"/>
  <c r="D39" i="6"/>
  <c r="D180" i="6"/>
  <c r="D157" i="6"/>
  <c r="C85" i="6"/>
  <c r="E25" i="13"/>
  <c r="D105" i="6"/>
  <c r="D97" i="6"/>
  <c r="D146" i="6"/>
  <c r="C148" i="6"/>
  <c r="C137" i="6"/>
  <c r="C117" i="6"/>
  <c r="D129" i="6"/>
  <c r="D84" i="6"/>
  <c r="D98" i="6"/>
  <c r="E19" i="13"/>
  <c r="B4" i="13"/>
  <c r="B4" i="6"/>
  <c r="D115" i="6"/>
  <c r="B58" i="1"/>
  <c r="B48" i="1"/>
  <c r="B18" i="9"/>
  <c r="M25" i="4"/>
  <c r="F5" i="6"/>
  <c r="F6" i="6"/>
  <c r="F7" i="6"/>
  <c r="F8" i="6"/>
  <c r="F9" i="6"/>
  <c r="G17" i="6"/>
  <c r="G199" i="6"/>
  <c r="D192" i="6"/>
  <c r="D191" i="6"/>
  <c r="D202" i="6"/>
  <c r="E84" i="6"/>
  <c r="J79" i="4"/>
  <c r="K79" i="4"/>
  <c r="C168" i="6"/>
  <c r="B34" i="1"/>
  <c r="C146" i="6"/>
  <c r="C63" i="6"/>
  <c r="C94" i="6"/>
  <c r="C189" i="6"/>
  <c r="D20" i="13"/>
  <c r="E94" i="6"/>
  <c r="J86" i="4"/>
  <c r="K86" i="4"/>
  <c r="E146" i="6"/>
  <c r="J135" i="4"/>
  <c r="K135" i="4"/>
  <c r="F19" i="13"/>
  <c r="E63" i="6"/>
  <c r="J60" i="4"/>
  <c r="K60" i="4"/>
  <c r="E126" i="6"/>
  <c r="J106" i="4"/>
  <c r="K106" i="4"/>
  <c r="E188" i="6"/>
  <c r="J166" i="4"/>
  <c r="K166" i="4"/>
  <c r="E136" i="6"/>
  <c r="J126" i="4"/>
  <c r="K126" i="4"/>
  <c r="C179" i="6"/>
  <c r="B52" i="1"/>
  <c r="B56" i="1"/>
  <c r="E169" i="6"/>
  <c r="E180" i="6"/>
  <c r="E105" i="6"/>
  <c r="E74" i="6"/>
  <c r="C178" i="6"/>
  <c r="C136" i="6"/>
  <c r="C126" i="6"/>
  <c r="S19" i="8"/>
  <c r="P15" i="8"/>
  <c r="P14" i="8"/>
  <c r="S15" i="8"/>
  <c r="Q14" i="8"/>
  <c r="D160" i="6"/>
  <c r="C190" i="6"/>
  <c r="C75" i="6"/>
  <c r="E178" i="6"/>
  <c r="G179" i="6"/>
  <c r="G96" i="6"/>
  <c r="G200" i="6"/>
  <c r="C107" i="6"/>
  <c r="E199" i="6"/>
  <c r="C106" i="6"/>
  <c r="S18" i="8"/>
  <c r="S16" i="8"/>
  <c r="R16" i="8"/>
  <c r="F11" i="13"/>
  <c r="J28" i="13"/>
  <c r="B47" i="1"/>
  <c r="B49" i="1"/>
  <c r="H15" i="14"/>
  <c r="I15" i="14"/>
  <c r="I19" i="14"/>
  <c r="H25" i="14"/>
  <c r="I25" i="14"/>
  <c r="H9" i="14"/>
  <c r="I9" i="14"/>
  <c r="H10" i="14"/>
  <c r="I10" i="14"/>
  <c r="H22" i="14"/>
  <c r="I22" i="14"/>
  <c r="H26" i="14"/>
  <c r="I26" i="14"/>
  <c r="H13" i="14"/>
  <c r="I13" i="14"/>
  <c r="G50" i="6"/>
  <c r="E148" i="6"/>
  <c r="E117" i="6"/>
  <c r="E190" i="6"/>
  <c r="E76" i="6"/>
  <c r="G180" i="6"/>
  <c r="G201" i="6"/>
  <c r="E107" i="6"/>
  <c r="G138" i="6"/>
  <c r="E201" i="6"/>
  <c r="E85" i="6"/>
  <c r="G49" i="6"/>
  <c r="G147" i="6"/>
  <c r="E200" i="6"/>
  <c r="E137" i="6"/>
  <c r="G137" i="6"/>
  <c r="E116" i="6"/>
  <c r="G106" i="6"/>
  <c r="E168" i="6"/>
  <c r="E64" i="6"/>
  <c r="E95" i="6"/>
  <c r="E158" i="6"/>
  <c r="G95" i="6"/>
  <c r="G189" i="6"/>
  <c r="E127" i="6"/>
  <c r="E147" i="6"/>
  <c r="G64" i="6"/>
  <c r="E157" i="6"/>
  <c r="J36" i="4"/>
  <c r="K36" i="4"/>
  <c r="C201" i="6"/>
  <c r="C96" i="6"/>
  <c r="C128" i="6"/>
  <c r="C159" i="6"/>
  <c r="C65" i="6"/>
  <c r="C138" i="6"/>
  <c r="C169" i="6"/>
  <c r="C86" i="6"/>
  <c r="D21" i="13"/>
  <c r="C76" i="6"/>
  <c r="C200" i="6"/>
  <c r="C158" i="6"/>
  <c r="C199" i="6"/>
  <c r="D199" i="6"/>
  <c r="E10" i="7"/>
  <c r="F10" i="7"/>
  <c r="E11" i="7"/>
  <c r="F11" i="7"/>
  <c r="I202" i="6"/>
  <c r="J202" i="6"/>
  <c r="G186" i="4"/>
  <c r="B59" i="1"/>
  <c r="Q19" i="8"/>
  <c r="Q15" i="8"/>
  <c r="R19" i="8"/>
  <c r="S14" i="8"/>
  <c r="D67" i="6"/>
  <c r="D126" i="6"/>
  <c r="D167" i="6"/>
  <c r="D149" i="6"/>
  <c r="D108" i="6"/>
  <c r="D66" i="6"/>
  <c r="D94" i="6"/>
  <c r="D139" i="6"/>
  <c r="D38" i="6"/>
  <c r="D137" i="6"/>
  <c r="D74" i="6"/>
  <c r="D51" i="6"/>
  <c r="D136" i="6"/>
  <c r="D188" i="6"/>
  <c r="D119" i="6"/>
  <c r="D41" i="6"/>
  <c r="E23" i="13"/>
  <c r="D21" i="6"/>
  <c r="D181" i="6"/>
  <c r="D63" i="6"/>
  <c r="D118" i="6"/>
  <c r="D40" i="6"/>
  <c r="E22" i="13"/>
  <c r="B46" i="1"/>
  <c r="B51" i="1"/>
  <c r="B53" i="1"/>
  <c r="B55" i="1"/>
  <c r="B50" i="1"/>
  <c r="B57" i="1"/>
  <c r="B54" i="1"/>
  <c r="B35" i="1"/>
  <c r="D77" i="6"/>
  <c r="D65" i="6"/>
  <c r="D178" i="6"/>
  <c r="D138" i="6"/>
  <c r="E28" i="13"/>
  <c r="D87" i="6"/>
  <c r="D88" i="6"/>
  <c r="D169" i="6"/>
  <c r="H21" i="14"/>
  <c r="I21" i="14"/>
  <c r="H23" i="14"/>
  <c r="I23" i="14"/>
  <c r="H17" i="14"/>
  <c r="I17" i="14"/>
  <c r="H24" i="14"/>
  <c r="I24" i="14"/>
  <c r="H12" i="14"/>
  <c r="I12" i="14"/>
  <c r="H20" i="14"/>
  <c r="I20" i="14"/>
  <c r="H11" i="14"/>
  <c r="I11" i="14"/>
  <c r="S17" i="8"/>
  <c r="Q20" i="8"/>
  <c r="S20" i="8"/>
  <c r="R17" i="8"/>
  <c r="K48" i="4"/>
  <c r="K46" i="4"/>
  <c r="K47" i="4"/>
  <c r="K51" i="4"/>
  <c r="K50" i="4"/>
  <c r="K49" i="4"/>
  <c r="E128" i="6"/>
  <c r="G39" i="6"/>
  <c r="G86" i="6"/>
  <c r="G128" i="6"/>
  <c r="G169" i="6"/>
  <c r="E65" i="6"/>
  <c r="E86" i="6"/>
  <c r="E115" i="6"/>
  <c r="J97" i="4"/>
  <c r="K97" i="4"/>
  <c r="E138" i="6"/>
  <c r="E167" i="6"/>
  <c r="J146" i="4"/>
  <c r="K146" i="4"/>
  <c r="E189" i="6"/>
  <c r="F20" i="13"/>
  <c r="J18" i="4"/>
  <c r="G38" i="6"/>
  <c r="G85" i="6"/>
  <c r="G127" i="6"/>
  <c r="G168" i="6"/>
  <c r="G76" i="6"/>
  <c r="G117" i="6"/>
  <c r="G159" i="6"/>
  <c r="H21" i="13"/>
  <c r="E96" i="6"/>
  <c r="E159" i="6"/>
  <c r="G75" i="6"/>
  <c r="G116" i="6"/>
  <c r="G158" i="6"/>
  <c r="E75" i="6"/>
  <c r="E106" i="6"/>
  <c r="G65" i="6"/>
  <c r="G107" i="6"/>
  <c r="G148" i="6"/>
  <c r="C116" i="6"/>
  <c r="C188" i="6"/>
  <c r="C74" i="6"/>
  <c r="C64" i="6"/>
  <c r="C84" i="6"/>
  <c r="C127" i="6"/>
  <c r="C115" i="6"/>
  <c r="C147" i="6"/>
  <c r="D19" i="13"/>
  <c r="C167" i="6"/>
  <c r="C105" i="6"/>
  <c r="D128" i="6"/>
  <c r="D107" i="6"/>
  <c r="D159" i="6"/>
  <c r="D96" i="6"/>
  <c r="D148" i="6"/>
  <c r="D35" i="4"/>
  <c r="D45" i="4"/>
  <c r="B28" i="1"/>
  <c r="B29" i="1"/>
  <c r="C19" i="1"/>
  <c r="B30" i="1"/>
  <c r="B31" i="1"/>
  <c r="B32" i="1"/>
  <c r="F12" i="7"/>
  <c r="B33" i="1"/>
  <c r="I20" i="6"/>
  <c r="J20" i="6"/>
  <c r="I53" i="6"/>
  <c r="J53" i="6"/>
  <c r="I118" i="6"/>
  <c r="J118" i="6"/>
  <c r="I25" i="6"/>
  <c r="J25" i="6"/>
  <c r="I56" i="6"/>
  <c r="J56" i="6"/>
  <c r="I181" i="6"/>
  <c r="J181" i="6"/>
  <c r="I119" i="6"/>
  <c r="J119" i="6"/>
  <c r="G108" i="4"/>
  <c r="M7" i="1"/>
  <c r="I21" i="6"/>
  <c r="J21" i="6"/>
  <c r="I191" i="6"/>
  <c r="J191" i="6"/>
  <c r="G175" i="4"/>
  <c r="I129" i="6"/>
  <c r="J129" i="6"/>
  <c r="I41" i="6"/>
  <c r="J41" i="6"/>
  <c r="G38" i="4"/>
  <c r="M4" i="1"/>
  <c r="I66" i="6"/>
  <c r="J66" i="6"/>
  <c r="I54" i="6"/>
  <c r="J54" i="6"/>
  <c r="I192" i="6"/>
  <c r="J192" i="6"/>
  <c r="G177" i="4"/>
  <c r="M10" i="1"/>
  <c r="I139" i="6"/>
  <c r="J139" i="6"/>
  <c r="I67" i="6"/>
  <c r="J67" i="6"/>
  <c r="G62" i="4"/>
  <c r="M5" i="1"/>
  <c r="I22" i="6"/>
  <c r="J22" i="6"/>
  <c r="I88" i="6"/>
  <c r="J88" i="6"/>
  <c r="I87" i="6"/>
  <c r="J87" i="6"/>
  <c r="I51" i="6"/>
  <c r="J51" i="6"/>
  <c r="I149" i="6"/>
  <c r="J149" i="6"/>
  <c r="I77" i="6"/>
  <c r="J77" i="6"/>
  <c r="I26" i="6"/>
  <c r="J26" i="6"/>
  <c r="I27" i="6"/>
  <c r="J27" i="6"/>
  <c r="I52" i="6"/>
  <c r="J52" i="6"/>
  <c r="I150" i="6"/>
  <c r="J150" i="6"/>
  <c r="G137" i="4"/>
  <c r="M8" i="1"/>
  <c r="I97" i="6"/>
  <c r="J97" i="6"/>
  <c r="I40" i="6"/>
  <c r="J40" i="6"/>
  <c r="I28" i="6"/>
  <c r="J28" i="6"/>
  <c r="I55" i="6"/>
  <c r="J55" i="6"/>
  <c r="I160" i="6"/>
  <c r="J160" i="6"/>
  <c r="I98" i="6"/>
  <c r="J98" i="6"/>
  <c r="G88" i="4"/>
  <c r="M6" i="1"/>
  <c r="I29" i="6"/>
  <c r="J29" i="6"/>
  <c r="I23" i="6"/>
  <c r="J23" i="6"/>
  <c r="I170" i="6"/>
  <c r="J170" i="6"/>
  <c r="I108" i="6"/>
  <c r="J108" i="6"/>
  <c r="I30" i="6"/>
  <c r="J30" i="6"/>
  <c r="I24" i="6"/>
  <c r="J24" i="6"/>
  <c r="I171" i="6"/>
  <c r="J171" i="6"/>
  <c r="G157" i="4"/>
  <c r="M9" i="1"/>
  <c r="E9" i="7"/>
  <c r="F9" i="7"/>
  <c r="R20" i="8"/>
  <c r="P18" i="8"/>
  <c r="Q18" i="8"/>
  <c r="Q17" i="8"/>
  <c r="Q16" i="8"/>
  <c r="D190" i="6"/>
  <c r="D76" i="6"/>
  <c r="D117" i="6"/>
  <c r="D201" i="6"/>
  <c r="E21" i="13"/>
  <c r="E27" i="13"/>
  <c r="E24" i="13"/>
  <c r="D86" i="6"/>
  <c r="F5" i="13"/>
  <c r="F6" i="13"/>
  <c r="F7" i="13"/>
  <c r="F8" i="13"/>
  <c r="F9" i="13"/>
  <c r="H186" i="4"/>
  <c r="E59" i="1"/>
  <c r="J186" i="4"/>
  <c r="K186" i="4"/>
  <c r="J117" i="4"/>
  <c r="K117" i="4"/>
  <c r="B19" i="9"/>
  <c r="M26" i="4"/>
  <c r="B36" i="1"/>
  <c r="D64" i="6"/>
  <c r="D75" i="6"/>
  <c r="D168" i="6"/>
  <c r="D127" i="6"/>
  <c r="J70" i="4"/>
  <c r="K70" i="4"/>
  <c r="J175" i="4"/>
  <c r="K175" i="4"/>
  <c r="J155" i="4"/>
  <c r="K155" i="4"/>
  <c r="G136" i="6"/>
  <c r="G84" i="6"/>
  <c r="G63" i="6"/>
  <c r="G178" i="6"/>
  <c r="G37" i="6"/>
  <c r="G48" i="6"/>
  <c r="G146" i="6"/>
  <c r="G126" i="6"/>
  <c r="G115" i="6"/>
  <c r="G74" i="6"/>
  <c r="G94" i="6"/>
  <c r="G188" i="6"/>
  <c r="E26" i="13"/>
  <c r="G167" i="6"/>
  <c r="G157" i="6"/>
  <c r="E20" i="13"/>
  <c r="H19" i="13"/>
  <c r="G105" i="6"/>
  <c r="J25" i="13"/>
  <c r="K25" i="13"/>
  <c r="G107" i="4"/>
  <c r="J27" i="13"/>
  <c r="K27" i="13"/>
  <c r="G156" i="4"/>
  <c r="J26" i="13"/>
  <c r="K26" i="13"/>
  <c r="G136" i="4"/>
  <c r="J23" i="13"/>
  <c r="K23" i="13"/>
  <c r="G61" i="4"/>
  <c r="J22" i="13"/>
  <c r="K22" i="13"/>
  <c r="G37" i="4"/>
  <c r="J24" i="13"/>
  <c r="K24" i="13"/>
  <c r="G87" i="4"/>
  <c r="K11" i="14"/>
  <c r="J17" i="14"/>
  <c r="M24" i="14"/>
  <c r="K17" i="14"/>
  <c r="J11" i="14"/>
  <c r="M19" i="14"/>
  <c r="D116" i="6"/>
  <c r="D200" i="6"/>
  <c r="D106" i="6"/>
  <c r="D189" i="6"/>
  <c r="D85" i="6"/>
  <c r="D179" i="6"/>
  <c r="D158" i="6"/>
  <c r="L202" i="6"/>
  <c r="K28" i="13"/>
  <c r="G176" i="4"/>
  <c r="D95" i="6"/>
  <c r="D147" i="6"/>
  <c r="H10" i="7"/>
  <c r="J14" i="14"/>
  <c r="M22" i="14"/>
  <c r="K14" i="14"/>
  <c r="K26" i="4"/>
  <c r="K20" i="4"/>
  <c r="K18" i="4"/>
  <c r="K25" i="4"/>
  <c r="K19" i="4"/>
  <c r="K23" i="4"/>
  <c r="K24" i="4"/>
  <c r="K28" i="4"/>
  <c r="K22" i="4"/>
  <c r="K27" i="4"/>
  <c r="K21" i="4"/>
  <c r="E35" i="4"/>
  <c r="F35" i="4"/>
  <c r="D59" i="4"/>
  <c r="D69" i="4"/>
  <c r="E69" i="4"/>
  <c r="F69" i="4"/>
  <c r="E45" i="4"/>
  <c r="F45" i="4"/>
  <c r="L170" i="6"/>
  <c r="G155" i="4"/>
  <c r="H155" i="4"/>
  <c r="E56" i="1"/>
  <c r="G36" i="4"/>
  <c r="H36" i="4"/>
  <c r="L40" i="6"/>
  <c r="G60" i="4"/>
  <c r="H60" i="4"/>
  <c r="L66" i="6"/>
  <c r="L25" i="6"/>
  <c r="G23" i="4"/>
  <c r="E33" i="1"/>
  <c r="L30" i="6"/>
  <c r="G28" i="4"/>
  <c r="E38" i="1"/>
  <c r="G26" i="4"/>
  <c r="E36" i="1"/>
  <c r="L28" i="6"/>
  <c r="L149" i="6"/>
  <c r="G135" i="4"/>
  <c r="H135" i="4"/>
  <c r="E54" i="1"/>
  <c r="L54" i="6"/>
  <c r="G49" i="4"/>
  <c r="E43" i="1"/>
  <c r="L56" i="6"/>
  <c r="G51" i="4"/>
  <c r="E45" i="1"/>
  <c r="L24" i="6"/>
  <c r="G22" i="4"/>
  <c r="E32" i="1"/>
  <c r="G50" i="4"/>
  <c r="E44" i="1"/>
  <c r="L55" i="6"/>
  <c r="G70" i="4"/>
  <c r="H70" i="4"/>
  <c r="E47" i="1"/>
  <c r="L77" i="6"/>
  <c r="G166" i="4"/>
  <c r="H166" i="4"/>
  <c r="E57" i="1"/>
  <c r="L181" i="6"/>
  <c r="L160" i="6"/>
  <c r="G146" i="4"/>
  <c r="H146" i="4"/>
  <c r="E55" i="1"/>
  <c r="G24" i="4"/>
  <c r="E34" i="1"/>
  <c r="L26" i="6"/>
  <c r="L139" i="6"/>
  <c r="G126" i="4"/>
  <c r="H126" i="4"/>
  <c r="E53" i="1"/>
  <c r="L97" i="6"/>
  <c r="G86" i="4"/>
  <c r="H86" i="4"/>
  <c r="E49" i="1"/>
  <c r="N6" i="1"/>
  <c r="G79" i="4"/>
  <c r="H79" i="4"/>
  <c r="E48" i="1"/>
  <c r="F48" i="1"/>
  <c r="L87" i="6"/>
  <c r="G106" i="4"/>
  <c r="H106" i="4"/>
  <c r="E51" i="1"/>
  <c r="L118" i="6"/>
  <c r="G97" i="4"/>
  <c r="H97" i="4"/>
  <c r="E50" i="1"/>
  <c r="F50" i="1"/>
  <c r="L108" i="6"/>
  <c r="G46" i="4"/>
  <c r="E40" i="1"/>
  <c r="L51" i="6"/>
  <c r="G25" i="4"/>
  <c r="E35" i="1"/>
  <c r="L27" i="6"/>
  <c r="L21" i="6"/>
  <c r="G19" i="4"/>
  <c r="E29" i="1"/>
  <c r="L29" i="6"/>
  <c r="G27" i="4"/>
  <c r="E37" i="1"/>
  <c r="G47" i="4"/>
  <c r="E41" i="1"/>
  <c r="L52" i="6"/>
  <c r="G20" i="4"/>
  <c r="E30" i="1"/>
  <c r="L22" i="6"/>
  <c r="H175" i="4"/>
  <c r="E58" i="1"/>
  <c r="N10" i="1"/>
  <c r="L191" i="6"/>
  <c r="G18" i="4"/>
  <c r="E28" i="1"/>
  <c r="L20" i="6"/>
  <c r="G21" i="4"/>
  <c r="E31" i="1"/>
  <c r="L23" i="6"/>
  <c r="L88" i="6"/>
  <c r="G117" i="4"/>
  <c r="H117" i="4"/>
  <c r="E52" i="1"/>
  <c r="L129" i="6"/>
  <c r="G48" i="4"/>
  <c r="E42" i="1"/>
  <c r="L53" i="6"/>
  <c r="C14" i="7"/>
  <c r="C18" i="7"/>
  <c r="B21" i="1"/>
  <c r="C52" i="1"/>
  <c r="F53" i="1"/>
  <c r="C53" i="1"/>
  <c r="F57" i="1"/>
  <c r="C57" i="1"/>
  <c r="N9" i="1"/>
  <c r="C56" i="1"/>
  <c r="N7" i="1"/>
  <c r="C51" i="1"/>
  <c r="F55" i="1"/>
  <c r="C55" i="1"/>
  <c r="N8" i="1"/>
  <c r="C54" i="1"/>
  <c r="F51" i="1"/>
  <c r="D51" i="1"/>
  <c r="F47" i="1"/>
  <c r="F52" i="1"/>
  <c r="D52" i="1"/>
  <c r="F54" i="1"/>
  <c r="D54" i="1"/>
  <c r="F59" i="1"/>
  <c r="D59" i="1"/>
  <c r="F58" i="1"/>
  <c r="D58" i="1"/>
  <c r="F49" i="1"/>
  <c r="D49" i="1"/>
  <c r="F56" i="1"/>
  <c r="D56" i="1"/>
  <c r="C58" i="1"/>
  <c r="D48" i="1"/>
  <c r="C48" i="1"/>
  <c r="B20" i="9"/>
  <c r="M27" i="4"/>
  <c r="B37" i="1"/>
  <c r="C59" i="1"/>
  <c r="M25" i="14"/>
  <c r="L17" i="14"/>
  <c r="M26" i="14"/>
  <c r="M20" i="14"/>
  <c r="L11" i="14"/>
  <c r="M18" i="14"/>
  <c r="B20" i="1"/>
  <c r="B16" i="15"/>
  <c r="M21" i="14"/>
  <c r="M23" i="14"/>
  <c r="L14" i="14"/>
  <c r="D78" i="4"/>
  <c r="E59" i="4"/>
  <c r="F59" i="4"/>
  <c r="M23" i="13"/>
  <c r="N23" i="13"/>
  <c r="E46" i="1"/>
  <c r="N5" i="1"/>
  <c r="F31" i="1"/>
  <c r="D31" i="1"/>
  <c r="C31" i="1"/>
  <c r="M24" i="13"/>
  <c r="N24" i="13"/>
  <c r="C32" i="1"/>
  <c r="F32" i="1"/>
  <c r="D32" i="1"/>
  <c r="M28" i="13"/>
  <c r="N28" i="13"/>
  <c r="F34" i="1"/>
  <c r="D34" i="1"/>
  <c r="C34" i="1"/>
  <c r="F44" i="1"/>
  <c r="D44" i="1"/>
  <c r="C44" i="1"/>
  <c r="C33" i="1"/>
  <c r="F33" i="1"/>
  <c r="D33" i="1"/>
  <c r="M26" i="13"/>
  <c r="N26" i="13"/>
  <c r="C29" i="1"/>
  <c r="F29" i="1"/>
  <c r="D29" i="1"/>
  <c r="F45" i="1"/>
  <c r="D45" i="1"/>
  <c r="C45" i="1"/>
  <c r="F38" i="1"/>
  <c r="D38" i="1"/>
  <c r="C38" i="1"/>
  <c r="C30" i="1"/>
  <c r="F30" i="1"/>
  <c r="D30" i="1"/>
  <c r="C40" i="1"/>
  <c r="F40" i="1"/>
  <c r="D40" i="1"/>
  <c r="F36" i="1"/>
  <c r="D36" i="1"/>
  <c r="C36" i="1"/>
  <c r="C28" i="1"/>
  <c r="F28" i="1"/>
  <c r="D28" i="1"/>
  <c r="C35" i="1"/>
  <c r="F35" i="1"/>
  <c r="D35" i="1"/>
  <c r="M25" i="13"/>
  <c r="N25" i="13"/>
  <c r="M27" i="13"/>
  <c r="N27" i="13"/>
  <c r="F37" i="1"/>
  <c r="D37" i="1"/>
  <c r="C37" i="1"/>
  <c r="F43" i="1"/>
  <c r="D43" i="1"/>
  <c r="C43" i="1"/>
  <c r="M22" i="13"/>
  <c r="N22" i="13"/>
  <c r="E39" i="1"/>
  <c r="N4" i="1"/>
  <c r="F42" i="1"/>
  <c r="D42" i="1"/>
  <c r="C42" i="1"/>
  <c r="F41" i="1"/>
  <c r="D41" i="1"/>
  <c r="C41" i="1"/>
  <c r="C49" i="1"/>
  <c r="N23" i="14"/>
  <c r="G56" i="1"/>
  <c r="H56" i="1"/>
  <c r="G49" i="1"/>
  <c r="H49" i="1"/>
  <c r="G54" i="1"/>
  <c r="H54" i="1"/>
  <c r="G58" i="1"/>
  <c r="I58" i="1"/>
  <c r="J58" i="1"/>
  <c r="G51" i="1"/>
  <c r="H51" i="1"/>
  <c r="M28" i="4"/>
  <c r="B21" i="9"/>
  <c r="B22" i="9"/>
  <c r="M46" i="4"/>
  <c r="B38" i="1"/>
  <c r="O26" i="14"/>
  <c r="N26" i="14"/>
  <c r="C17" i="1"/>
  <c r="N20" i="14"/>
  <c r="C15" i="1"/>
  <c r="O20" i="14"/>
  <c r="B22" i="1"/>
  <c r="C16" i="1"/>
  <c r="O23" i="14"/>
  <c r="P23" i="14"/>
  <c r="D85" i="4"/>
  <c r="E78" i="4"/>
  <c r="F78" i="4"/>
  <c r="C47" i="1"/>
  <c r="D47" i="1"/>
  <c r="C39" i="1"/>
  <c r="F39" i="1"/>
  <c r="D39" i="1"/>
  <c r="D55" i="1"/>
  <c r="D53" i="1"/>
  <c r="C46" i="1"/>
  <c r="F46" i="1"/>
  <c r="D46" i="1"/>
  <c r="C50" i="1"/>
  <c r="D50" i="1"/>
  <c r="D57" i="1"/>
  <c r="I54" i="1"/>
  <c r="J54" i="1"/>
  <c r="I51" i="1"/>
  <c r="J51" i="1"/>
  <c r="I56" i="1"/>
  <c r="J56" i="1"/>
  <c r="I49" i="1"/>
  <c r="J49" i="1"/>
  <c r="H58" i="1"/>
  <c r="B23" i="9"/>
  <c r="B40" i="1"/>
  <c r="M36" i="4"/>
  <c r="B39" i="1"/>
  <c r="P26" i="14"/>
  <c r="P20" i="14"/>
  <c r="D96" i="4"/>
  <c r="E85" i="4"/>
  <c r="F85" i="4"/>
  <c r="G46" i="1"/>
  <c r="H46" i="1"/>
  <c r="G39" i="1"/>
  <c r="H39" i="1"/>
  <c r="I46" i="1"/>
  <c r="J46" i="1"/>
  <c r="I39" i="1"/>
  <c r="J39" i="1"/>
  <c r="B24" i="9"/>
  <c r="M47" i="4"/>
  <c r="B41" i="1"/>
  <c r="D105" i="4"/>
  <c r="E96" i="4"/>
  <c r="F96" i="4"/>
  <c r="B25" i="9"/>
  <c r="M48" i="4"/>
  <c r="B42" i="1"/>
  <c r="D116" i="4"/>
  <c r="E105" i="4"/>
  <c r="F105" i="4"/>
  <c r="B26" i="9"/>
  <c r="M49" i="4"/>
  <c r="B43" i="1"/>
  <c r="E116" i="4"/>
  <c r="F116" i="4"/>
  <c r="D125" i="4"/>
  <c r="B27" i="9"/>
  <c r="M50" i="4"/>
  <c r="B44" i="1"/>
  <c r="E125" i="4"/>
  <c r="F125" i="4"/>
  <c r="D134" i="4"/>
  <c r="M51" i="4"/>
  <c r="B45" i="1"/>
  <c r="E134" i="4"/>
  <c r="F134" i="4"/>
  <c r="D145" i="4"/>
  <c r="E145" i="4"/>
  <c r="F145" i="4"/>
  <c r="D154" i="4"/>
  <c r="D165" i="4"/>
  <c r="E154" i="4"/>
  <c r="F154" i="4"/>
  <c r="D174" i="4"/>
  <c r="E165" i="4"/>
  <c r="F165" i="4"/>
  <c r="E174" i="4"/>
  <c r="F174" i="4"/>
  <c r="D185" i="4"/>
  <c r="E185" i="4"/>
  <c r="F185" i="4"/>
</calcChain>
</file>

<file path=xl/sharedStrings.xml><?xml version="1.0" encoding="utf-8"?>
<sst xmlns="http://schemas.openxmlformats.org/spreadsheetml/2006/main" count="1401" uniqueCount="338">
  <si>
    <t>Injection time:</t>
  </si>
  <si>
    <t>Study date:</t>
  </si>
  <si>
    <t>Subject Identifier:</t>
  </si>
  <si>
    <t>Activity</t>
  </si>
  <si>
    <t>Time</t>
  </si>
  <si>
    <t>Date</t>
  </si>
  <si>
    <t>Background</t>
  </si>
  <si>
    <t>Full Dose</t>
  </si>
  <si>
    <t>Residual dose</t>
  </si>
  <si>
    <t>Unit</t>
  </si>
  <si>
    <t>(mCi)</t>
  </si>
  <si>
    <t>(hh:mm)</t>
  </si>
  <si>
    <t>(mm:dd:yy)</t>
  </si>
  <si>
    <t>Position #</t>
  </si>
  <si>
    <t>Counts</t>
  </si>
  <si>
    <t>(cpm)</t>
  </si>
  <si>
    <t>(hh:mm:ss)</t>
  </si>
  <si>
    <t>Description</t>
  </si>
  <si>
    <t>Na-22 source</t>
  </si>
  <si>
    <t>HPLC Data</t>
  </si>
  <si>
    <t>(area)</t>
  </si>
  <si>
    <t>pk1 Rt</t>
  </si>
  <si>
    <t>(min)</t>
  </si>
  <si>
    <t>pk1</t>
  </si>
  <si>
    <t>pk2</t>
  </si>
  <si>
    <t>pk2 Rt</t>
  </si>
  <si>
    <t>pk3</t>
  </si>
  <si>
    <t>pk4 Rt</t>
  </si>
  <si>
    <t xml:space="preserve">Total </t>
  </si>
  <si>
    <t>pk4</t>
  </si>
  <si>
    <t>(%)</t>
  </si>
  <si>
    <t>(fraction)</t>
  </si>
  <si>
    <t>Mass:</t>
  </si>
  <si>
    <t>Height:</t>
  </si>
  <si>
    <t>Tare:</t>
  </si>
  <si>
    <t>Empty</t>
  </si>
  <si>
    <t>Mass (g)</t>
  </si>
  <si>
    <t>Full</t>
  </si>
  <si>
    <t>Sample</t>
  </si>
  <si>
    <t>Notes: All data to be supported by machine printout</t>
  </si>
  <si>
    <t xml:space="preserve">Notes: All data to be directly imported from balance </t>
  </si>
  <si>
    <t>Notes: All data to be supported by signed data collection sheet</t>
  </si>
  <si>
    <t>Measurement</t>
  </si>
  <si>
    <t>s/n:</t>
  </si>
  <si>
    <t>Dose calibrator:</t>
  </si>
  <si>
    <t>s/n</t>
  </si>
  <si>
    <t>Expiration date</t>
  </si>
  <si>
    <t>Sample #</t>
  </si>
  <si>
    <t>time p.i.</t>
  </si>
  <si>
    <t>Pass/Fail</t>
  </si>
  <si>
    <t>Model</t>
  </si>
  <si>
    <t>Instrument:</t>
  </si>
  <si>
    <t>Dose calibrator system time</t>
  </si>
  <si>
    <t>Gamma counter system time</t>
  </si>
  <si>
    <t>NIST</t>
  </si>
  <si>
    <t>Y/N</t>
  </si>
  <si>
    <t>System</t>
  </si>
  <si>
    <t>Control</t>
  </si>
  <si>
    <t>Other Data</t>
  </si>
  <si>
    <t>Notes:</t>
  </si>
  <si>
    <t>error</t>
  </si>
  <si>
    <t>Decription</t>
  </si>
  <si>
    <t>Balance:</t>
  </si>
  <si>
    <t>Volume</t>
  </si>
  <si>
    <t>(mL)</t>
  </si>
  <si>
    <t>Gamma Counter:</t>
  </si>
  <si>
    <t>Syringe Measurements</t>
  </si>
  <si>
    <t>Study Radiopharmaceutical:</t>
  </si>
  <si>
    <t>Dose calibrator calibration records help by SBU radiology</t>
  </si>
  <si>
    <t>Radiopharmaceutical:</t>
  </si>
  <si>
    <t>Manual Blood Radioanalysis</t>
  </si>
  <si>
    <t>HPLC Radioanalytical Data</t>
  </si>
  <si>
    <t>Subject Data</t>
  </si>
  <si>
    <t>Test source:</t>
  </si>
  <si>
    <t>Ref Date:</t>
  </si>
  <si>
    <t>Na-22</t>
  </si>
  <si>
    <t>Activity Today:</t>
  </si>
  <si>
    <t>µCi</t>
  </si>
  <si>
    <t>Bq</t>
  </si>
  <si>
    <t>Operator:</t>
  </si>
  <si>
    <t>Injection start time</t>
  </si>
  <si>
    <t>Flush start time:</t>
  </si>
  <si>
    <t>Flush volume:</t>
  </si>
  <si>
    <t>System times:</t>
  </si>
  <si>
    <t>NA</t>
  </si>
  <si>
    <t>HPLC 2 Pump</t>
  </si>
  <si>
    <t>HPLC 2 UV</t>
  </si>
  <si>
    <t>HPLC 2 Gamma</t>
  </si>
  <si>
    <t>Model:</t>
  </si>
  <si>
    <t>dpm</t>
  </si>
  <si>
    <t>cpm</t>
  </si>
  <si>
    <t>Efficiency</t>
  </si>
  <si>
    <t>decay time</t>
  </si>
  <si>
    <t>(mins)</t>
  </si>
  <si>
    <t>act</t>
  </si>
  <si>
    <t>(Bq)</t>
  </si>
  <si>
    <t>511 yield</t>
  </si>
  <si>
    <r>
      <t>F-18 t</t>
    </r>
    <r>
      <rPr>
        <sz val="11"/>
        <color theme="1"/>
        <rFont val="Calibri"/>
        <family val="2"/>
      </rPr>
      <t>½</t>
    </r>
  </si>
  <si>
    <t>Na-22 t½</t>
  </si>
  <si>
    <t>mins</t>
  </si>
  <si>
    <t>years</t>
  </si>
  <si>
    <t>Inj Time</t>
  </si>
  <si>
    <t>Subject</t>
  </si>
  <si>
    <t>Injection Time</t>
  </si>
  <si>
    <t>activity</t>
  </si>
  <si>
    <t>Injected</t>
  </si>
  <si>
    <t>Single</t>
  </si>
  <si>
    <t>Mean</t>
  </si>
  <si>
    <t>standard</t>
  </si>
  <si>
    <t>counts</t>
  </si>
  <si>
    <t xml:space="preserve">sample </t>
  </si>
  <si>
    <t>Initials:</t>
  </si>
  <si>
    <t>Use</t>
  </si>
  <si>
    <t>deviation</t>
  </si>
  <si>
    <t>Data recordered by:</t>
  </si>
  <si>
    <t>Total</t>
  </si>
  <si>
    <t>Count/Study date:</t>
  </si>
  <si>
    <t xml:space="preserve">Y </t>
  </si>
  <si>
    <t>Y</t>
  </si>
  <si>
    <t>USED FOR</t>
  </si>
  <si>
    <t>Inj, blood sampling, PET &amp; mri scans</t>
  </si>
  <si>
    <t>pk3 Rt</t>
  </si>
  <si>
    <t>Time difference gamma to PET:</t>
  </si>
  <si>
    <t>Activity (ID/kg) in:</t>
  </si>
  <si>
    <t>Intact (ID/kg plasma)</t>
  </si>
  <si>
    <t>(Bq/g)</t>
  </si>
  <si>
    <t>18F relative efficiency</t>
  </si>
  <si>
    <t>22Na absolute effic.</t>
  </si>
  <si>
    <t>Time p.i.</t>
  </si>
  <si>
    <t>min</t>
  </si>
  <si>
    <t>Arterial 90</t>
  </si>
  <si>
    <t>(m:ss)</t>
  </si>
  <si>
    <t>Pellet Analysis</t>
  </si>
  <si>
    <t xml:space="preserve">Volume </t>
  </si>
  <si>
    <t>of</t>
  </si>
  <si>
    <t>plasma</t>
  </si>
  <si>
    <t>Original</t>
  </si>
  <si>
    <t>Fraction</t>
  </si>
  <si>
    <t xml:space="preserve">in </t>
  </si>
  <si>
    <t>Pellet</t>
  </si>
  <si>
    <t>in sample</t>
  </si>
  <si>
    <t>Arterial Plasma</t>
  </si>
  <si>
    <t>Activity (Bq/mL)</t>
  </si>
  <si>
    <t>Metabolites (ID/kg plasma)</t>
  </si>
  <si>
    <t>Free Fraction</t>
  </si>
  <si>
    <t>Free Fraction Data</t>
  </si>
  <si>
    <t xml:space="preserve"> </t>
  </si>
  <si>
    <t>Ref:</t>
  </si>
  <si>
    <t>Lot:</t>
  </si>
  <si>
    <t>#</t>
  </si>
  <si>
    <t>test plasma</t>
  </si>
  <si>
    <t>pooled plasma</t>
  </si>
  <si>
    <t>mean BKG</t>
  </si>
  <si>
    <t>Whole Blood Data</t>
  </si>
  <si>
    <t>Bq/g</t>
  </si>
  <si>
    <t>Ratio serum/WB</t>
  </si>
  <si>
    <t>Arterial 30</t>
  </si>
  <si>
    <t>Arterial 60</t>
  </si>
  <si>
    <t>True time</t>
  </si>
  <si>
    <t>µg</t>
  </si>
  <si>
    <t>mCi</t>
  </si>
  <si>
    <r>
      <t>mCi/</t>
    </r>
    <r>
      <rPr>
        <sz val="11"/>
        <color theme="1"/>
        <rFont val="Calibri"/>
        <family val="2"/>
      </rPr>
      <t>µg</t>
    </r>
  </si>
  <si>
    <t>deccor</t>
  </si>
  <si>
    <t>cpm/mL</t>
  </si>
  <si>
    <t>UnFiltered</t>
  </si>
  <si>
    <t>saline</t>
  </si>
  <si>
    <t>Filtered</t>
  </si>
  <si>
    <t>BKG</t>
  </si>
  <si>
    <t>22Na source</t>
  </si>
  <si>
    <t>raw cpm</t>
  </si>
  <si>
    <t>Decay</t>
  </si>
  <si>
    <t>Time (min)</t>
  </si>
  <si>
    <t>Filter</t>
  </si>
  <si>
    <t>Plasma</t>
  </si>
  <si>
    <t>Source:</t>
  </si>
  <si>
    <t>Innovated reasearch</t>
  </si>
  <si>
    <t>Type:</t>
  </si>
  <si>
    <t>K2EDTA Plasma</t>
  </si>
  <si>
    <t>Lot No:</t>
  </si>
  <si>
    <t>IPLA-K2EDTA-21102</t>
  </si>
  <si>
    <t>Exp:</t>
  </si>
  <si>
    <t>Std</t>
  </si>
  <si>
    <t>Bound</t>
  </si>
  <si>
    <t>Error</t>
  </si>
  <si>
    <t>% error</t>
  </si>
  <si>
    <t>Pooled EDTA Plasma</t>
  </si>
  <si>
    <t>Saline</t>
  </si>
  <si>
    <t>dc area</t>
  </si>
  <si>
    <t>DC area</t>
  </si>
  <si>
    <t>Arterial 2</t>
  </si>
  <si>
    <t>Arterial 50</t>
  </si>
  <si>
    <t>HPLC</t>
  </si>
  <si>
    <t>Study PI</t>
  </si>
  <si>
    <t>Subject MRN #</t>
  </si>
  <si>
    <t>IRB #</t>
  </si>
  <si>
    <t>Subject Sex</t>
  </si>
  <si>
    <t>Subject DOB</t>
  </si>
  <si>
    <t>Subject age:</t>
  </si>
  <si>
    <t>Injected Activity:</t>
  </si>
  <si>
    <t>Arterial 16</t>
  </si>
  <si>
    <t>Arterial 20</t>
  </si>
  <si>
    <t>Arterial 70</t>
  </si>
  <si>
    <t>10 - 110</t>
  </si>
  <si>
    <t>sec</t>
  </si>
  <si>
    <t>10 sec</t>
  </si>
  <si>
    <t>30 sec</t>
  </si>
  <si>
    <t>40 sec</t>
  </si>
  <si>
    <t>50 sec</t>
  </si>
  <si>
    <t>60 sec</t>
  </si>
  <si>
    <t>70 sec</t>
  </si>
  <si>
    <t>80 sec</t>
  </si>
  <si>
    <t>90 sec</t>
  </si>
  <si>
    <t>100 sec</t>
  </si>
  <si>
    <t>110 sec</t>
  </si>
  <si>
    <t>140 sec</t>
  </si>
  <si>
    <t>160 sec</t>
  </si>
  <si>
    <t>180 sec</t>
  </si>
  <si>
    <t>200 sec</t>
  </si>
  <si>
    <t>220 sec</t>
  </si>
  <si>
    <t>140 sec - 4 min</t>
  </si>
  <si>
    <t>10-110</t>
  </si>
  <si>
    <t>140 sec - 4min</t>
  </si>
  <si>
    <t>gamma counting</t>
  </si>
  <si>
    <t>gamma &amp; HPLC</t>
  </si>
  <si>
    <t>Mass (g) -&gt;0.1g</t>
  </si>
  <si>
    <t>STD</t>
  </si>
  <si>
    <t>Rack005</t>
  </si>
  <si>
    <t>1 g standard</t>
  </si>
  <si>
    <t>B086423527</t>
  </si>
  <si>
    <t>DELL OptiPlex 7050</t>
  </si>
  <si>
    <t>JASCO UV-4075</t>
  </si>
  <si>
    <t>C057561659</t>
  </si>
  <si>
    <t>JASCO PU-4180</t>
  </si>
  <si>
    <t>C129661695</t>
  </si>
  <si>
    <t>C057361659</t>
  </si>
  <si>
    <t>C129861695</t>
  </si>
  <si>
    <t>HIDEX 425-601</t>
  </si>
  <si>
    <t>CRC-55tR</t>
  </si>
  <si>
    <t>551945H</t>
  </si>
  <si>
    <t>R9CA86457</t>
  </si>
  <si>
    <t>Mettler MS105DU</t>
  </si>
  <si>
    <t xml:space="preserve">Arterial 6 </t>
  </si>
  <si>
    <t>5g Standard</t>
  </si>
  <si>
    <t>1) All data corrected to system time of PET</t>
  </si>
  <si>
    <t>PET system time</t>
  </si>
  <si>
    <t>Drug Quality at real injection time</t>
  </si>
  <si>
    <t>Specific Activity (SA):</t>
  </si>
  <si>
    <t xml:space="preserve">Injected Volume: </t>
  </si>
  <si>
    <t>mL</t>
  </si>
  <si>
    <t>Concentration of dose:</t>
  </si>
  <si>
    <t>mCi/mL</t>
  </si>
  <si>
    <t xml:space="preserve">at </t>
  </si>
  <si>
    <t>Conc. of cold mass:</t>
  </si>
  <si>
    <t>ug/mL</t>
  </si>
  <si>
    <t>Total injected cold mass:</t>
  </si>
  <si>
    <t>ug</t>
  </si>
  <si>
    <t>Whole Blood Arterial 12</t>
  </si>
  <si>
    <t>Arterial 10 Sec</t>
  </si>
  <si>
    <t>Arterial 20 Sec</t>
  </si>
  <si>
    <t>Arterial 30 Sec</t>
  </si>
  <si>
    <t>Arterial 40 Sec</t>
  </si>
  <si>
    <t>Arterial 50 Sec</t>
  </si>
  <si>
    <t>Arterial 60 Sec</t>
  </si>
  <si>
    <t>Arterial 70 Sec</t>
  </si>
  <si>
    <t>Arterial 80 Sec</t>
  </si>
  <si>
    <t>Arterial 90 Sec</t>
  </si>
  <si>
    <t>Arterial 100 Sec</t>
  </si>
  <si>
    <t>Arterial 110 Sec</t>
  </si>
  <si>
    <t>Arterial 140 Sec</t>
  </si>
  <si>
    <t>Arterial 160 Sec</t>
  </si>
  <si>
    <t>Arterial 180 Sec</t>
  </si>
  <si>
    <t>Arterial 200 Sec</t>
  </si>
  <si>
    <t>Arterial 220 Sec</t>
  </si>
  <si>
    <t>Arterial 6</t>
  </si>
  <si>
    <t>* Collected up to 15 min</t>
  </si>
  <si>
    <t xml:space="preserve">Start time of auto sampling was </t>
  </si>
  <si>
    <t>Arterial</t>
  </si>
  <si>
    <t>S/N</t>
  </si>
  <si>
    <t>(counts)</t>
  </si>
  <si>
    <t>Dose calibrator in FERM</t>
  </si>
  <si>
    <t>18F-VAT injected:</t>
  </si>
  <si>
    <t>Cold VAT :</t>
  </si>
  <si>
    <t>Intact VAT</t>
  </si>
  <si>
    <t>VAT</t>
  </si>
  <si>
    <t>Arterial 110</t>
  </si>
  <si>
    <t>Arterial 150</t>
  </si>
  <si>
    <t>HPLC2</t>
  </si>
  <si>
    <t>HPLC3</t>
  </si>
  <si>
    <t>STD Rt:</t>
  </si>
  <si>
    <r>
      <t>[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F]VAT</t>
    </r>
  </si>
  <si>
    <t>EOS(Dose Calibrator in FERM)</t>
  </si>
  <si>
    <t>20 sec</t>
  </si>
  <si>
    <t>DN/VM</t>
  </si>
  <si>
    <t>Arterial 8</t>
  </si>
  <si>
    <t>Arterial 40</t>
  </si>
  <si>
    <t>Arterial 12</t>
  </si>
  <si>
    <t>Arterial 130</t>
  </si>
  <si>
    <t>2200-49</t>
  </si>
  <si>
    <t>Rack</t>
  </si>
  <si>
    <t>Decay Parameters:</t>
  </si>
  <si>
    <t>Rack # for gamma counting:</t>
  </si>
  <si>
    <t>Radiomatic 610TR</t>
  </si>
  <si>
    <t>HPLC 2&amp;3 Computer</t>
  </si>
  <si>
    <t>HPLC 3 Pump</t>
  </si>
  <si>
    <t>HPLC 3 UV</t>
  </si>
  <si>
    <t>HPLC 3 Gamma</t>
  </si>
  <si>
    <t>Rack# for gamma counting:</t>
  </si>
  <si>
    <t>HPLC 2&amp;3 system time:</t>
  </si>
  <si>
    <t>Chuan Huang</t>
  </si>
  <si>
    <t>RACK#12</t>
  </si>
  <si>
    <t>189 lbs</t>
  </si>
  <si>
    <t>68 inches</t>
  </si>
  <si>
    <t>10 mL</t>
  </si>
  <si>
    <t>MA</t>
  </si>
  <si>
    <t>00036/VAT00015</t>
  </si>
  <si>
    <t>M</t>
  </si>
  <si>
    <t>IND#</t>
  </si>
  <si>
    <t>2020-00669</t>
  </si>
  <si>
    <t>N/A</t>
  </si>
  <si>
    <t>Arterial 10 sec</t>
  </si>
  <si>
    <t>Arterial 20 sec</t>
  </si>
  <si>
    <t>Arterial 30 sec</t>
  </si>
  <si>
    <t>Arterial 40 sec</t>
  </si>
  <si>
    <t>Arterial 50 sec</t>
  </si>
  <si>
    <t>Arterial 60 sec</t>
  </si>
  <si>
    <t>Arterial 70 sec</t>
  </si>
  <si>
    <t>Arterial 80 sec</t>
  </si>
  <si>
    <t>Arterial 90 sec</t>
  </si>
  <si>
    <t>Arterial 100 sec</t>
  </si>
  <si>
    <t>Arterial 110 sec</t>
  </si>
  <si>
    <t>Arterial 140 sec</t>
  </si>
  <si>
    <t>Arterial 160 sec</t>
  </si>
  <si>
    <t>Arterial 180 sec</t>
  </si>
  <si>
    <t>Arterial 200 sec</t>
  </si>
  <si>
    <t>Arterial 220 sec</t>
  </si>
  <si>
    <t>Arterial 240 sec</t>
  </si>
  <si>
    <t>240 sec</t>
  </si>
  <si>
    <t>Whole Blood Arterial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</si>
</sst>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0"/>
    <numFmt numFmtId="166" formatCode="[$-F400]h:mm:ss\ AM/PM"/>
    <numFmt numFmtId="167" formatCode="0.0%"/>
    <numFmt numFmtId="168" formatCode="0.00000"/>
    <numFmt numFmtId="169" formatCode="0.000000"/>
    <numFmt numFmtId="170" formatCode="0.000"/>
    <numFmt numFmtId="171" formatCode="00000"/>
    <numFmt numFmtId="172" formatCode="h:mm:ss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7" xfId="0" applyFill="1" applyBorder="1"/>
    <xf numFmtId="0" fontId="1" fillId="0" borderId="0" xfId="0" applyFont="1"/>
    <xf numFmtId="14" fontId="0" fillId="0" borderId="6" xfId="0" applyNumberFormat="1" applyBorder="1"/>
    <xf numFmtId="14" fontId="0" fillId="0" borderId="9" xfId="0" applyNumberFormat="1" applyBorder="1"/>
    <xf numFmtId="14" fontId="0" fillId="0" borderId="0" xfId="0" applyNumberForma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Protection="1"/>
    <xf numFmtId="165" fontId="0" fillId="0" borderId="0" xfId="0" applyNumberFormat="1" applyProtection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1" fontId="0" fillId="0" borderId="0" xfId="0" applyNumberFormat="1" applyFill="1" applyBorder="1" applyProtection="1">
      <protection locked="0"/>
    </xf>
    <xf numFmtId="2" fontId="0" fillId="0" borderId="0" xfId="0" applyNumberFormat="1"/>
    <xf numFmtId="1" fontId="0" fillId="0" borderId="0" xfId="0" applyNumberFormat="1" applyFill="1" applyBorder="1" applyProtection="1">
      <protection locked="0"/>
    </xf>
    <xf numFmtId="21" fontId="0" fillId="0" borderId="12" xfId="0" applyNumberFormat="1" applyBorder="1"/>
    <xf numFmtId="10" fontId="0" fillId="0" borderId="0" xfId="1" applyNumberFormat="1" applyFont="1" applyFill="1" applyBorder="1"/>
    <xf numFmtId="0" fontId="2" fillId="0" borderId="6" xfId="0" applyFont="1" applyBorder="1"/>
    <xf numFmtId="0" fontId="1" fillId="0" borderId="0" xfId="0" applyFont="1" applyFill="1" applyBorder="1" applyAlignment="1"/>
    <xf numFmtId="1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1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4" xfId="0" applyNumberFormat="1" applyBorder="1"/>
    <xf numFmtId="0" fontId="0" fillId="0" borderId="0" xfId="0" applyFill="1" applyProtection="1"/>
    <xf numFmtId="10" fontId="0" fillId="0" borderId="0" xfId="1" applyNumberFormat="1" applyFont="1" applyBorder="1" applyAlignment="1">
      <alignment horizontal="right"/>
    </xf>
    <xf numFmtId="2" fontId="0" fillId="0" borderId="0" xfId="0" applyNumberFormat="1" applyBorder="1"/>
    <xf numFmtId="165" fontId="0" fillId="0" borderId="0" xfId="0" applyNumberFormat="1" applyBorder="1" applyProtection="1"/>
    <xf numFmtId="1" fontId="0" fillId="0" borderId="0" xfId="0" applyNumberFormat="1" applyBorder="1"/>
    <xf numFmtId="165" fontId="0" fillId="0" borderId="0" xfId="0" applyNumberFormat="1" applyFill="1" applyProtection="1"/>
    <xf numFmtId="9" fontId="0" fillId="0" borderId="0" xfId="1" applyFont="1" applyBorder="1"/>
    <xf numFmtId="0" fontId="1" fillId="0" borderId="2" xfId="0" applyFont="1" applyBorder="1"/>
    <xf numFmtId="2" fontId="0" fillId="0" borderId="14" xfId="0" applyNumberFormat="1" applyFill="1" applyBorder="1" applyProtection="1"/>
    <xf numFmtId="0" fontId="0" fillId="0" borderId="17" xfId="0" applyBorder="1"/>
    <xf numFmtId="0" fontId="0" fillId="0" borderId="18" xfId="0" applyBorder="1"/>
    <xf numFmtId="165" fontId="0" fillId="0" borderId="8" xfId="0" applyNumberFormat="1" applyBorder="1" applyProtection="1"/>
    <xf numFmtId="0" fontId="0" fillId="0" borderId="21" xfId="0" applyBorder="1"/>
    <xf numFmtId="165" fontId="0" fillId="0" borderId="17" xfId="0" applyNumberFormat="1" applyBorder="1" applyProtection="1"/>
    <xf numFmtId="21" fontId="0" fillId="0" borderId="17" xfId="0" applyNumberFormat="1" applyFill="1" applyBorder="1" applyProtection="1">
      <protection locked="0"/>
    </xf>
    <xf numFmtId="0" fontId="0" fillId="0" borderId="3" xfId="0" applyFill="1" applyBorder="1"/>
    <xf numFmtId="0" fontId="0" fillId="0" borderId="4" xfId="0" applyFill="1" applyBorder="1"/>
    <xf numFmtId="14" fontId="0" fillId="0" borderId="6" xfId="0" applyNumberFormat="1" applyFill="1" applyBorder="1" applyProtection="1">
      <protection locked="0"/>
    </xf>
    <xf numFmtId="2" fontId="0" fillId="0" borderId="5" xfId="0" applyNumberFormat="1" applyBorder="1"/>
    <xf numFmtId="10" fontId="0" fillId="0" borderId="6" xfId="1" applyNumberFormat="1" applyFont="1" applyFill="1" applyBorder="1" applyProtection="1">
      <protection locked="0"/>
    </xf>
    <xf numFmtId="14" fontId="0" fillId="0" borderId="18" xfId="0" applyNumberFormat="1" applyFill="1" applyBorder="1" applyProtection="1">
      <protection locked="0"/>
    </xf>
    <xf numFmtId="2" fontId="0" fillId="0" borderId="7" xfId="0" applyNumberFormat="1" applyBorder="1"/>
    <xf numFmtId="1" fontId="0" fillId="0" borderId="8" xfId="0" applyNumberFormat="1" applyBorder="1"/>
    <xf numFmtId="10" fontId="0" fillId="0" borderId="8" xfId="1" applyNumberFormat="1" applyFont="1" applyFill="1" applyBorder="1"/>
    <xf numFmtId="0" fontId="1" fillId="0" borderId="3" xfId="0" applyFont="1" applyBorder="1"/>
    <xf numFmtId="0" fontId="0" fillId="0" borderId="0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5" xfId="0" applyFill="1" applyBorder="1"/>
    <xf numFmtId="0" fontId="0" fillId="0" borderId="0" xfId="0" applyFill="1" applyBorder="1" applyProtection="1">
      <protection locked="0"/>
    </xf>
    <xf numFmtId="166" fontId="0" fillId="0" borderId="0" xfId="0" applyNumberFormat="1" applyBorder="1"/>
    <xf numFmtId="0" fontId="0" fillId="0" borderId="0" xfId="0" applyAlignment="1">
      <alignment horizontal="center"/>
    </xf>
    <xf numFmtId="2" fontId="0" fillId="0" borderId="8" xfId="0" applyNumberFormat="1" applyBorder="1"/>
    <xf numFmtId="170" fontId="0" fillId="0" borderId="5" xfId="0" applyNumberFormat="1" applyBorder="1"/>
    <xf numFmtId="170" fontId="0" fillId="0" borderId="0" xfId="0" applyNumberFormat="1" applyBorder="1"/>
    <xf numFmtId="170" fontId="0" fillId="0" borderId="0" xfId="0" applyNumberFormat="1"/>
    <xf numFmtId="169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10" xfId="0" applyFill="1" applyBorder="1"/>
    <xf numFmtId="0" fontId="0" fillId="0" borderId="11" xfId="0" applyFill="1" applyBorder="1"/>
    <xf numFmtId="1" fontId="0" fillId="0" borderId="0" xfId="0" applyNumberFormat="1" applyBorder="1" applyProtection="1"/>
    <xf numFmtId="0" fontId="0" fillId="0" borderId="0" xfId="0" applyFill="1" applyBorder="1" applyProtection="1"/>
    <xf numFmtId="0" fontId="0" fillId="0" borderId="15" xfId="0" applyBorder="1" applyProtection="1"/>
    <xf numFmtId="0" fontId="0" fillId="0" borderId="17" xfId="0" applyBorder="1" applyProtection="1"/>
    <xf numFmtId="0" fontId="0" fillId="0" borderId="8" xfId="0" applyBorder="1" applyProtection="1"/>
    <xf numFmtId="167" fontId="0" fillId="0" borderId="0" xfId="1" applyNumberFormat="1" applyFont="1" applyBorder="1" applyProtection="1"/>
    <xf numFmtId="10" fontId="0" fillId="0" borderId="0" xfId="0" applyNumberFormat="1" applyBorder="1" applyProtection="1"/>
    <xf numFmtId="167" fontId="0" fillId="0" borderId="0" xfId="0" applyNumberFormat="1" applyBorder="1" applyProtection="1"/>
    <xf numFmtId="167" fontId="0" fillId="0" borderId="6" xfId="1" applyNumberFormat="1" applyFont="1" applyBorder="1" applyProtection="1"/>
    <xf numFmtId="0" fontId="0" fillId="0" borderId="18" xfId="0" applyBorder="1" applyProtection="1"/>
    <xf numFmtId="165" fontId="0" fillId="0" borderId="0" xfId="0" applyNumberFormat="1" applyBorder="1"/>
    <xf numFmtId="14" fontId="0" fillId="0" borderId="0" xfId="0" applyNumberFormat="1" applyFill="1" applyBorder="1" applyProtection="1">
      <protection locked="0"/>
    </xf>
    <xf numFmtId="165" fontId="0" fillId="0" borderId="0" xfId="0" applyNumberFormat="1" applyFill="1" applyBorder="1"/>
    <xf numFmtId="1" fontId="0" fillId="0" borderId="0" xfId="0" applyNumberFormat="1" applyFill="1" applyBorder="1" applyProtection="1"/>
    <xf numFmtId="165" fontId="0" fillId="0" borderId="0" xfId="0" applyNumberFormat="1" applyFill="1" applyBorder="1" applyProtection="1">
      <protection locked="0"/>
    </xf>
    <xf numFmtId="165" fontId="0" fillId="0" borderId="0" xfId="0" applyNumberFormat="1" applyFill="1" applyBorder="1" applyProtection="1"/>
    <xf numFmtId="0" fontId="0" fillId="0" borderId="0" xfId="0" applyAlignment="1">
      <alignment horizontal="left"/>
    </xf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3" xfId="0" applyNumberFormat="1" applyBorder="1"/>
    <xf numFmtId="0" fontId="0" fillId="0" borderId="14" xfId="0" applyFill="1" applyBorder="1" applyAlignment="1" applyProtection="1"/>
    <xf numFmtId="0" fontId="4" fillId="0" borderId="0" xfId="0" applyFont="1" applyBorder="1" applyProtection="1"/>
    <xf numFmtId="165" fontId="0" fillId="0" borderId="8" xfId="0" applyNumberFormat="1" applyBorder="1"/>
    <xf numFmtId="1" fontId="0" fillId="0" borderId="8" xfId="0" applyNumberFormat="1" applyBorder="1" applyProtection="1"/>
    <xf numFmtId="0" fontId="0" fillId="0" borderId="21" xfId="0" applyBorder="1" applyProtection="1"/>
    <xf numFmtId="0" fontId="1" fillId="0" borderId="22" xfId="0" applyFont="1" applyBorder="1" applyProtection="1"/>
    <xf numFmtId="0" fontId="0" fillId="0" borderId="23" xfId="0" applyBorder="1" applyProtection="1"/>
    <xf numFmtId="0" fontId="0" fillId="0" borderId="23" xfId="0" applyFill="1" applyBorder="1" applyAlignment="1" applyProtection="1"/>
    <xf numFmtId="2" fontId="0" fillId="0" borderId="23" xfId="0" applyNumberFormat="1" applyFill="1" applyBorder="1" applyProtection="1"/>
    <xf numFmtId="0" fontId="0" fillId="0" borderId="24" xfId="0" applyBorder="1" applyProtection="1"/>
    <xf numFmtId="0" fontId="0" fillId="0" borderId="25" xfId="0" applyBorder="1" applyProtection="1"/>
    <xf numFmtId="165" fontId="0" fillId="0" borderId="26" xfId="0" applyNumberFormat="1" applyBorder="1"/>
    <xf numFmtId="0" fontId="0" fillId="0" borderId="26" xfId="0" applyBorder="1" applyProtection="1"/>
    <xf numFmtId="1" fontId="0" fillId="0" borderId="26" xfId="0" applyNumberFormat="1" applyBorder="1" applyProtection="1"/>
    <xf numFmtId="0" fontId="0" fillId="0" borderId="27" xfId="0" applyBorder="1" applyProtection="1"/>
    <xf numFmtId="167" fontId="0" fillId="0" borderId="8" xfId="1" applyNumberFormat="1" applyFont="1" applyBorder="1" applyProtection="1"/>
    <xf numFmtId="10" fontId="0" fillId="0" borderId="8" xfId="0" applyNumberFormat="1" applyBorder="1" applyProtection="1"/>
    <xf numFmtId="166" fontId="0" fillId="0" borderId="6" xfId="0" applyNumberFormat="1" applyBorder="1"/>
    <xf numFmtId="20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2" fontId="0" fillId="0" borderId="3" xfId="0" applyNumberFormat="1" applyBorder="1"/>
    <xf numFmtId="167" fontId="0" fillId="0" borderId="0" xfId="1" applyNumberFormat="1" applyFont="1" applyBorder="1"/>
    <xf numFmtId="167" fontId="0" fillId="0" borderId="6" xfId="1" applyNumberFormat="1" applyFont="1" applyBorder="1"/>
    <xf numFmtId="167" fontId="0" fillId="0" borderId="9" xfId="1" applyNumberFormat="1" applyFont="1" applyBorder="1"/>
    <xf numFmtId="167" fontId="0" fillId="0" borderId="4" xfId="1" applyNumberFormat="1" applyFont="1" applyBorder="1"/>
    <xf numFmtId="9" fontId="0" fillId="0" borderId="3" xfId="1" applyFont="1" applyBorder="1"/>
    <xf numFmtId="9" fontId="0" fillId="0" borderId="8" xfId="1" applyFont="1" applyBorder="1"/>
    <xf numFmtId="10" fontId="0" fillId="0" borderId="3" xfId="1" applyNumberFormat="1" applyFont="1" applyBorder="1"/>
    <xf numFmtId="10" fontId="0" fillId="0" borderId="0" xfId="1" applyNumberFormat="1" applyFont="1" applyBorder="1"/>
    <xf numFmtId="10" fontId="0" fillId="0" borderId="8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0" fontId="0" fillId="0" borderId="5" xfId="0" applyFill="1" applyBorder="1" applyProtection="1"/>
    <xf numFmtId="0" fontId="0" fillId="0" borderId="7" xfId="0" applyFill="1" applyBorder="1" applyProtection="1"/>
    <xf numFmtId="2" fontId="0" fillId="0" borderId="0" xfId="0" applyNumberFormat="1" applyFill="1" applyBorder="1" applyProtection="1">
      <protection locked="0"/>
    </xf>
    <xf numFmtId="166" fontId="0" fillId="0" borderId="0" xfId="0" applyNumberFormat="1"/>
    <xf numFmtId="167" fontId="0" fillId="0" borderId="0" xfId="1" applyNumberFormat="1" applyFont="1" applyFill="1" applyBorder="1"/>
    <xf numFmtId="20" fontId="0" fillId="0" borderId="0" xfId="0" applyNumberFormat="1" applyFill="1" applyBorder="1" applyProtection="1">
      <protection locked="0"/>
    </xf>
    <xf numFmtId="1" fontId="0" fillId="0" borderId="0" xfId="0" applyNumberFormat="1" applyFill="1" applyBorder="1"/>
    <xf numFmtId="1" fontId="0" fillId="0" borderId="8" xfId="0" applyNumberFormat="1" applyFill="1" applyBorder="1" applyProtection="1">
      <protection locked="0"/>
    </xf>
    <xf numFmtId="0" fontId="1" fillId="0" borderId="10" xfId="0" applyFont="1" applyBorder="1"/>
    <xf numFmtId="0" fontId="0" fillId="0" borderId="6" xfId="0" applyFill="1" applyBorder="1" applyProtection="1">
      <protection locked="0"/>
    </xf>
    <xf numFmtId="14" fontId="0" fillId="0" borderId="17" xfId="0" applyNumberForma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1" fontId="0" fillId="0" borderId="5" xfId="0" applyNumberFormat="1" applyFill="1" applyBorder="1" applyProtection="1">
      <protection locked="0"/>
    </xf>
    <xf numFmtId="0" fontId="0" fillId="0" borderId="17" xfId="0" applyFill="1" applyBorder="1"/>
    <xf numFmtId="1" fontId="0" fillId="0" borderId="7" xfId="0" applyNumberFormat="1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19" xfId="0" applyBorder="1"/>
    <xf numFmtId="0" fontId="0" fillId="0" borderId="1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Protection="1"/>
    <xf numFmtId="0" fontId="0" fillId="0" borderId="3" xfId="0" applyFill="1" applyBorder="1" applyAlignment="1" applyProtection="1"/>
    <xf numFmtId="2" fontId="0" fillId="0" borderId="3" xfId="0" applyNumberFormat="1" applyFill="1" applyBorder="1" applyProtection="1"/>
    <xf numFmtId="0" fontId="0" fillId="0" borderId="0" xfId="0" applyFill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right"/>
    </xf>
    <xf numFmtId="0" fontId="0" fillId="0" borderId="8" xfId="0" applyFill="1" applyBorder="1"/>
    <xf numFmtId="0" fontId="0" fillId="0" borderId="0" xfId="0" applyFill="1"/>
    <xf numFmtId="1" fontId="0" fillId="0" borderId="16" xfId="0" applyNumberFormat="1" applyFill="1" applyBorder="1" applyProtection="1">
      <protection locked="0"/>
    </xf>
    <xf numFmtId="10" fontId="0" fillId="0" borderId="20" xfId="1" applyNumberFormat="1" applyFont="1" applyFill="1" applyBorder="1" applyProtection="1">
      <protection locked="0"/>
    </xf>
    <xf numFmtId="2" fontId="0" fillId="0" borderId="0" xfId="0" applyNumberFormat="1" applyFill="1" applyBorder="1"/>
    <xf numFmtId="0" fontId="1" fillId="0" borderId="2" xfId="0" applyFont="1" applyBorder="1" applyAlignment="1">
      <alignment horizontal="right"/>
    </xf>
    <xf numFmtId="1" fontId="0" fillId="0" borderId="26" xfId="0" applyNumberFormat="1" applyFill="1" applyBorder="1" applyProtection="1">
      <protection locked="0"/>
    </xf>
    <xf numFmtId="10" fontId="0" fillId="0" borderId="27" xfId="1" applyNumberFormat="1" applyFont="1" applyFill="1" applyBorder="1" applyProtection="1">
      <protection locked="0"/>
    </xf>
    <xf numFmtId="10" fontId="0" fillId="0" borderId="0" xfId="1" applyNumberFormat="1" applyFont="1" applyFill="1" applyBorder="1" applyAlignment="1">
      <alignment horizontal="right"/>
    </xf>
    <xf numFmtId="167" fontId="0" fillId="0" borderId="8" xfId="1" applyNumberFormat="1" applyFont="1" applyBorder="1"/>
    <xf numFmtId="10" fontId="0" fillId="0" borderId="9" xfId="1" applyNumberFormat="1" applyFont="1" applyFill="1" applyBorder="1" applyProtection="1">
      <protection locked="0"/>
    </xf>
    <xf numFmtId="1" fontId="0" fillId="0" borderId="3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/>
    <xf numFmtId="167" fontId="0" fillId="0" borderId="9" xfId="1" applyNumberFormat="1" applyFont="1" applyBorder="1" applyProtection="1"/>
    <xf numFmtId="21" fontId="0" fillId="0" borderId="16" xfId="0" applyNumberFormat="1" applyFill="1" applyBorder="1" applyProtection="1">
      <protection locked="0"/>
    </xf>
    <xf numFmtId="14" fontId="0" fillId="0" borderId="16" xfId="0" applyNumberFormat="1" applyFill="1" applyBorder="1" applyProtection="1">
      <protection locked="0"/>
    </xf>
    <xf numFmtId="0" fontId="0" fillId="0" borderId="20" xfId="0" applyFill="1" applyBorder="1" applyProtection="1">
      <protection locked="0"/>
    </xf>
    <xf numFmtId="166" fontId="0" fillId="0" borderId="0" xfId="0" applyNumberFormat="1" applyFill="1" applyBorder="1"/>
    <xf numFmtId="0" fontId="4" fillId="0" borderId="17" xfId="0" applyFont="1" applyBorder="1" applyProtection="1"/>
    <xf numFmtId="0" fontId="0" fillId="0" borderId="17" xfId="0" applyFill="1" applyBorder="1" applyProtection="1"/>
    <xf numFmtId="165" fontId="0" fillId="0" borderId="17" xfId="0" applyNumberFormat="1" applyFill="1" applyBorder="1" applyProtection="1">
      <protection locked="0"/>
    </xf>
    <xf numFmtId="0" fontId="0" fillId="0" borderId="0" xfId="0" applyFill="1" applyBorder="1" applyAlignment="1" applyProtection="1"/>
    <xf numFmtId="2" fontId="0" fillId="0" borderId="0" xfId="0" applyNumberFormat="1" applyFill="1" applyBorder="1" applyProtection="1"/>
    <xf numFmtId="0" fontId="0" fillId="0" borderId="5" xfId="0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" fontId="0" fillId="2" borderId="0" xfId="0" applyNumberFormat="1" applyFill="1"/>
    <xf numFmtId="14" fontId="0" fillId="2" borderId="0" xfId="0" applyNumberFormat="1" applyFill="1"/>
    <xf numFmtId="170" fontId="0" fillId="2" borderId="0" xfId="0" applyNumberFormat="1" applyFill="1" applyBorder="1" applyProtection="1">
      <protection locked="0"/>
    </xf>
    <xf numFmtId="20" fontId="0" fillId="2" borderId="0" xfId="0" applyNumberFormat="1" applyFill="1" applyBorder="1" applyProtection="1">
      <protection locked="0"/>
    </xf>
    <xf numFmtId="170" fontId="0" fillId="2" borderId="8" xfId="0" applyNumberFormat="1" applyFill="1" applyBorder="1" applyProtection="1">
      <protection locked="0"/>
    </xf>
    <xf numFmtId="20" fontId="0" fillId="2" borderId="8" xfId="0" applyNumberFormat="1" applyFill="1" applyBorder="1" applyProtection="1">
      <protection locked="0"/>
    </xf>
    <xf numFmtId="21" fontId="0" fillId="2" borderId="0" xfId="0" applyNumberFormat="1" applyFill="1" applyBorder="1" applyProtection="1">
      <protection locked="0"/>
    </xf>
    <xf numFmtId="21" fontId="0" fillId="2" borderId="8" xfId="0" applyNumberFormat="1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5" fontId="0" fillId="2" borderId="17" xfId="0" applyNumberForma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0" xfId="0" applyFill="1" applyBorder="1"/>
    <xf numFmtId="165" fontId="0" fillId="2" borderId="8" xfId="0" applyNumberFormat="1" applyFill="1" applyBorder="1"/>
    <xf numFmtId="0" fontId="0" fillId="2" borderId="8" xfId="0" applyFill="1" applyBorder="1"/>
    <xf numFmtId="21" fontId="0" fillId="2" borderId="8" xfId="0" applyNumberFormat="1" applyFill="1" applyBorder="1"/>
    <xf numFmtId="14" fontId="0" fillId="2" borderId="8" xfId="0" applyNumberFormat="1" applyFill="1" applyBorder="1" applyProtection="1">
      <protection locked="0"/>
    </xf>
    <xf numFmtId="0" fontId="0" fillId="2" borderId="9" xfId="0" applyFill="1" applyBorder="1" applyProtection="1">
      <protection locked="0"/>
    </xf>
    <xf numFmtId="21" fontId="0" fillId="2" borderId="0" xfId="0" applyNumberFormat="1" applyFill="1" applyBorder="1"/>
    <xf numFmtId="14" fontId="0" fillId="2" borderId="0" xfId="0" applyNumberForma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9" xfId="0" applyFill="1" applyBorder="1"/>
    <xf numFmtId="0" fontId="0" fillId="2" borderId="6" xfId="0" applyFill="1" applyBorder="1"/>
    <xf numFmtId="21" fontId="0" fillId="2" borderId="16" xfId="0" applyNumberFormat="1" applyFill="1" applyBorder="1" applyProtection="1">
      <protection locked="0"/>
    </xf>
    <xf numFmtId="14" fontId="0" fillId="2" borderId="16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21" fontId="0" fillId="2" borderId="17" xfId="0" applyNumberFormat="1" applyFill="1" applyBorder="1" applyProtection="1">
      <protection locked="0"/>
    </xf>
    <xf numFmtId="0" fontId="0" fillId="2" borderId="18" xfId="0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2" fontId="0" fillId="2" borderId="6" xfId="0" applyNumberFormat="1" applyFill="1" applyBorder="1" applyProtection="1">
      <protection locked="0"/>
    </xf>
    <xf numFmtId="2" fontId="0" fillId="2" borderId="9" xfId="0" applyNumberFormat="1" applyFill="1" applyBorder="1" applyProtection="1">
      <protection locked="0"/>
    </xf>
    <xf numFmtId="0" fontId="0" fillId="0" borderId="12" xfId="0" applyFill="1" applyBorder="1"/>
    <xf numFmtId="0" fontId="0" fillId="2" borderId="28" xfId="0" applyFill="1" applyBorder="1"/>
    <xf numFmtId="0" fontId="0" fillId="2" borderId="29" xfId="0" applyFill="1" applyBorder="1"/>
    <xf numFmtId="10" fontId="0" fillId="0" borderId="0" xfId="0" applyNumberFormat="1" applyFill="1" applyBorder="1" applyProtection="1"/>
    <xf numFmtId="1" fontId="0" fillId="0" borderId="8" xfId="0" applyNumberFormat="1" applyFill="1" applyBorder="1" applyProtection="1"/>
    <xf numFmtId="10" fontId="0" fillId="0" borderId="8" xfId="0" applyNumberFormat="1" applyFill="1" applyBorder="1" applyProtection="1"/>
    <xf numFmtId="167" fontId="0" fillId="0" borderId="0" xfId="1" applyNumberFormat="1" applyFont="1" applyFill="1" applyBorder="1" applyProtection="1"/>
    <xf numFmtId="0" fontId="0" fillId="0" borderId="13" xfId="0" applyFill="1" applyBorder="1" applyAlignment="1" applyProtection="1"/>
    <xf numFmtId="165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21" fontId="0" fillId="2" borderId="1" xfId="0" applyNumberFormat="1" applyFill="1" applyBorder="1" applyProtection="1">
      <protection locked="0"/>
    </xf>
    <xf numFmtId="21" fontId="0" fillId="2" borderId="12" xfId="0" applyNumberFormat="1" applyFill="1" applyBorder="1" applyProtection="1">
      <protection locked="0"/>
    </xf>
    <xf numFmtId="21" fontId="0" fillId="2" borderId="9" xfId="0" applyNumberFormat="1" applyFill="1" applyBorder="1" applyProtection="1">
      <protection locked="0"/>
    </xf>
    <xf numFmtId="21" fontId="0" fillId="2" borderId="15" xfId="0" applyNumberFormat="1" applyFill="1" applyBorder="1" applyProtection="1"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right"/>
    </xf>
    <xf numFmtId="0" fontId="0" fillId="0" borderId="14" xfId="0" applyBorder="1" applyProtection="1"/>
    <xf numFmtId="171" fontId="0" fillId="2" borderId="1" xfId="0" applyNumberFormat="1" applyFill="1" applyBorder="1" applyAlignment="1" applyProtection="1">
      <alignment horizontal="center"/>
      <protection locked="0"/>
    </xf>
    <xf numFmtId="0" fontId="6" fillId="0" borderId="0" xfId="0" applyFont="1" applyProtection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10" xfId="0" applyFont="1" applyBorder="1"/>
    <xf numFmtId="0" fontId="5" fillId="0" borderId="1" xfId="0" applyFont="1" applyBorder="1"/>
    <xf numFmtId="170" fontId="0" fillId="0" borderId="9" xfId="0" applyNumberFormat="1" applyBorder="1" applyAlignment="1">
      <alignment horizontal="center"/>
    </xf>
    <xf numFmtId="10" fontId="5" fillId="0" borderId="0" xfId="1" applyNumberFormat="1" applyFont="1" applyFill="1" applyBorder="1" applyAlignment="1">
      <alignment horizontal="right"/>
    </xf>
    <xf numFmtId="0" fontId="5" fillId="0" borderId="0" xfId="0" applyFont="1" applyBorder="1"/>
    <xf numFmtId="14" fontId="4" fillId="3" borderId="0" xfId="0" applyNumberFormat="1" applyFont="1" applyFill="1"/>
    <xf numFmtId="21" fontId="0" fillId="2" borderId="3" xfId="0" applyNumberFormat="1" applyFill="1" applyBorder="1" applyProtection="1">
      <protection locked="0"/>
    </xf>
    <xf numFmtId="14" fontId="0" fillId="2" borderId="3" xfId="0" applyNumberFormat="1" applyFill="1" applyBorder="1" applyProtection="1">
      <protection locked="0"/>
    </xf>
    <xf numFmtId="0" fontId="0" fillId="2" borderId="4" xfId="0" applyFill="1" applyBorder="1"/>
    <xf numFmtId="0" fontId="0" fillId="0" borderId="6" xfId="0" applyFill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8" xfId="0" applyFill="1" applyBorder="1" applyProtection="1">
      <protection locked="0"/>
    </xf>
    <xf numFmtId="0" fontId="0" fillId="0" borderId="26" xfId="0" applyFill="1" applyBorder="1" applyProtection="1"/>
    <xf numFmtId="167" fontId="0" fillId="0" borderId="6" xfId="0" applyNumberFormat="1" applyBorder="1" applyProtection="1"/>
    <xf numFmtId="172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Border="1" applyAlignment="1">
      <alignment horizontal="center"/>
    </xf>
    <xf numFmtId="0" fontId="4" fillId="0" borderId="0" xfId="0" applyFont="1"/>
    <xf numFmtId="1" fontId="0" fillId="0" borderId="5" xfId="1" applyNumberFormat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7" xfId="1" applyNumberFormat="1" applyFon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9" fontId="0" fillId="0" borderId="7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6" fontId="0" fillId="2" borderId="10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170" fontId="0" fillId="0" borderId="3" xfId="0" applyNumberFormat="1" applyBorder="1"/>
    <xf numFmtId="170" fontId="0" fillId="2" borderId="0" xfId="0" applyNumberFormat="1" applyFill="1" applyBorder="1"/>
    <xf numFmtId="170" fontId="0" fillId="0" borderId="8" xfId="0" applyNumberFormat="1" applyBorder="1"/>
    <xf numFmtId="165" fontId="0" fillId="2" borderId="8" xfId="0" applyNumberFormat="1" applyFill="1" applyBorder="1" applyProtection="1">
      <protection locked="0"/>
    </xf>
    <xf numFmtId="165" fontId="0" fillId="2" borderId="26" xfId="0" applyNumberFormat="1" applyFill="1" applyBorder="1"/>
    <xf numFmtId="165" fontId="5" fillId="0" borderId="8" xfId="0" applyNumberFormat="1" applyFont="1" applyBorder="1" applyProtection="1"/>
    <xf numFmtId="0" fontId="0" fillId="2" borderId="20" xfId="0" applyFill="1" applyBorder="1"/>
    <xf numFmtId="21" fontId="0" fillId="2" borderId="26" xfId="0" applyNumberFormat="1" applyFill="1" applyBorder="1" applyProtection="1">
      <protection locked="0"/>
    </xf>
    <xf numFmtId="0" fontId="0" fillId="0" borderId="0" xfId="0" quotePrefix="1" applyProtection="1"/>
    <xf numFmtId="1" fontId="0" fillId="0" borderId="0" xfId="0" applyNumberFormat="1" applyFill="1"/>
    <xf numFmtId="3" fontId="0" fillId="2" borderId="4" xfId="0" applyNumberFormat="1" applyFill="1" applyBorder="1"/>
    <xf numFmtId="3" fontId="0" fillId="2" borderId="6" xfId="0" applyNumberFormat="1" applyFill="1" applyBorder="1"/>
    <xf numFmtId="21" fontId="0" fillId="0" borderId="0" xfId="0" applyNumberFormat="1" applyProtection="1"/>
    <xf numFmtId="166" fontId="0" fillId="0" borderId="0" xfId="0" applyNumberFormat="1" applyProtection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167" fontId="0" fillId="0" borderId="9" xfId="0" applyNumberFormat="1" applyBorder="1" applyProtection="1"/>
    <xf numFmtId="167" fontId="0" fillId="0" borderId="8" xfId="0" applyNumberFormat="1" applyBorder="1" applyProtection="1"/>
    <xf numFmtId="0" fontId="0" fillId="0" borderId="2" xfId="0" applyFill="1" applyBorder="1" applyAlignment="1" applyProtection="1"/>
    <xf numFmtId="0" fontId="0" fillId="0" borderId="5" xfId="0" applyFill="1" applyBorder="1" applyAlignment="1" applyProtection="1"/>
    <xf numFmtId="0" fontId="0" fillId="0" borderId="7" xfId="0" applyFill="1" applyBorder="1" applyAlignment="1" applyProtection="1"/>
    <xf numFmtId="2" fontId="0" fillId="0" borderId="8" xfId="0" applyNumberFormat="1" applyFill="1" applyBorder="1" applyProtection="1"/>
    <xf numFmtId="2" fontId="0" fillId="0" borderId="0" xfId="0" applyNumberFormat="1" applyFont="1" applyFill="1" applyBorder="1" applyProtection="1"/>
    <xf numFmtId="168" fontId="0" fillId="0" borderId="6" xfId="0" applyNumberFormat="1" applyFill="1" applyBorder="1" applyAlignment="1">
      <alignment horizontal="center"/>
    </xf>
    <xf numFmtId="168" fontId="0" fillId="0" borderId="5" xfId="0" applyNumberFormat="1" applyFill="1" applyBorder="1" applyAlignment="1">
      <alignment horizontal="center"/>
    </xf>
    <xf numFmtId="168" fontId="0" fillId="0" borderId="7" xfId="0" applyNumberFormat="1" applyFill="1" applyBorder="1" applyAlignment="1">
      <alignment horizontal="center"/>
    </xf>
    <xf numFmtId="168" fontId="0" fillId="0" borderId="9" xfId="0" applyNumberFormat="1" applyFill="1" applyBorder="1" applyAlignment="1">
      <alignment horizontal="center"/>
    </xf>
    <xf numFmtId="0" fontId="0" fillId="0" borderId="20" xfId="0" applyBorder="1"/>
    <xf numFmtId="10" fontId="5" fillId="0" borderId="8" xfId="1" applyNumberFormat="1" applyFont="1" applyFill="1" applyBorder="1" applyAlignment="1">
      <alignment horizontal="right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21" fontId="5" fillId="2" borderId="1" xfId="0" applyNumberFormat="1" applyFont="1" applyFill="1" applyBorder="1" applyProtection="1">
      <protection locked="0"/>
    </xf>
    <xf numFmtId="21" fontId="5" fillId="2" borderId="15" xfId="0" applyNumberFormat="1" applyFont="1" applyFill="1" applyBorder="1" applyProtection="1">
      <protection locked="0"/>
    </xf>
    <xf numFmtId="1" fontId="0" fillId="2" borderId="7" xfId="0" applyNumberFormat="1" applyFill="1" applyBorder="1" applyProtection="1">
      <protection locked="0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169" fontId="0" fillId="0" borderId="8" xfId="0" applyNumberFormat="1" applyFill="1" applyBorder="1" applyAlignment="1">
      <alignment horizontal="center"/>
    </xf>
    <xf numFmtId="0" fontId="0" fillId="2" borderId="0" xfId="0" applyFill="1"/>
    <xf numFmtId="22" fontId="0" fillId="2" borderId="3" xfId="0" applyNumberFormat="1" applyFill="1" applyBorder="1"/>
    <xf numFmtId="22" fontId="0" fillId="2" borderId="0" xfId="0" applyNumberFormat="1" applyFill="1" applyBorder="1"/>
    <xf numFmtId="0" fontId="0" fillId="2" borderId="7" xfId="0" applyFill="1" applyBorder="1"/>
    <xf numFmtId="22" fontId="0" fillId="2" borderId="8" xfId="0" applyNumberFormat="1" applyFill="1" applyBorder="1"/>
    <xf numFmtId="3" fontId="0" fillId="2" borderId="9" xfId="0" applyNumberFormat="1" applyFill="1" applyBorder="1"/>
    <xf numFmtId="21" fontId="0" fillId="0" borderId="8" xfId="0" applyNumberFormat="1" applyFill="1" applyBorder="1"/>
    <xf numFmtId="14" fontId="0" fillId="0" borderId="8" xfId="0" applyNumberFormat="1" applyFill="1" applyBorder="1"/>
    <xf numFmtId="0" fontId="0" fillId="0" borderId="9" xfId="0" applyFill="1" applyBorder="1"/>
    <xf numFmtId="2" fontId="0" fillId="0" borderId="25" xfId="0" applyNumberFormat="1" applyFill="1" applyBorder="1"/>
    <xf numFmtId="1" fontId="0" fillId="0" borderId="26" xfId="0" applyNumberFormat="1" applyFill="1" applyBorder="1"/>
    <xf numFmtId="10" fontId="0" fillId="0" borderId="26" xfId="1" applyNumberFormat="1" applyFont="1" applyFill="1" applyBorder="1"/>
    <xf numFmtId="2" fontId="0" fillId="0" borderId="5" xfId="0" applyNumberFormat="1" applyFill="1" applyBorder="1"/>
    <xf numFmtId="0" fontId="0" fillId="0" borderId="5" xfId="0" applyFont="1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7" xfId="0" applyFill="1" applyBorder="1" applyProtection="1">
      <protection locked="0"/>
    </xf>
    <xf numFmtId="2" fontId="0" fillId="0" borderId="8" xfId="0" applyNumberFormat="1" applyFill="1" applyBorder="1" applyProtection="1">
      <protection locked="0"/>
    </xf>
    <xf numFmtId="2" fontId="0" fillId="0" borderId="6" xfId="0" applyNumberFormat="1" applyFill="1" applyBorder="1" applyProtection="1">
      <protection locked="0"/>
    </xf>
    <xf numFmtId="2" fontId="0" fillId="0" borderId="9" xfId="0" applyNumberFormat="1" applyFill="1" applyBorder="1" applyProtection="1">
      <protection locked="0"/>
    </xf>
    <xf numFmtId="170" fontId="5" fillId="2" borderId="0" xfId="0" applyNumberFormat="1" applyFont="1" applyFill="1" applyBorder="1"/>
    <xf numFmtId="166" fontId="5" fillId="2" borderId="6" xfId="0" applyNumberFormat="1" applyFont="1" applyFill="1" applyBorder="1"/>
    <xf numFmtId="170" fontId="0" fillId="0" borderId="8" xfId="0" applyNumberFormat="1" applyFill="1" applyBorder="1"/>
    <xf numFmtId="0" fontId="0" fillId="2" borderId="0" xfId="0" applyFill="1" applyAlignment="1" applyProtection="1">
      <alignment horizontal="center"/>
      <protection locked="0"/>
    </xf>
    <xf numFmtId="21" fontId="0" fillId="0" borderId="0" xfId="0" applyNumberFormat="1" applyFill="1" applyProtection="1"/>
    <xf numFmtId="21" fontId="0" fillId="2" borderId="0" xfId="0" applyNumberFormat="1" applyFill="1" applyProtection="1"/>
    <xf numFmtId="0" fontId="5" fillId="0" borderId="3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166" fontId="0" fillId="0" borderId="0" xfId="0" applyNumberFormat="1" applyFill="1"/>
    <xf numFmtId="0" fontId="1" fillId="0" borderId="0" xfId="0" applyFont="1" applyBorder="1"/>
    <xf numFmtId="0" fontId="0" fillId="0" borderId="2" xfId="0" applyFill="1" applyBorder="1"/>
    <xf numFmtId="9" fontId="0" fillId="0" borderId="0" xfId="1" applyFont="1" applyFill="1" applyBorder="1"/>
    <xf numFmtId="0" fontId="0" fillId="0" borderId="21" xfId="0" applyFill="1" applyBorder="1"/>
    <xf numFmtId="2" fontId="0" fillId="0" borderId="7" xfId="0" applyNumberFormat="1" applyFill="1" applyBorder="1"/>
    <xf numFmtId="1" fontId="0" fillId="0" borderId="8" xfId="0" applyNumberFormat="1" applyFill="1" applyBorder="1"/>
    <xf numFmtId="2" fontId="0" fillId="0" borderId="19" xfId="0" applyNumberFormat="1" applyFill="1" applyBorder="1"/>
    <xf numFmtId="1" fontId="0" fillId="0" borderId="16" xfId="0" applyNumberFormat="1" applyFill="1" applyBorder="1"/>
    <xf numFmtId="10" fontId="0" fillId="0" borderId="16" xfId="1" applyNumberFormat="1" applyFont="1" applyFill="1" applyBorder="1"/>
    <xf numFmtId="0" fontId="0" fillId="2" borderId="15" xfId="0" applyFill="1" applyBorder="1" applyProtection="1">
      <protection locked="0"/>
    </xf>
    <xf numFmtId="14" fontId="0" fillId="0" borderId="8" xfId="0" applyNumberFormat="1" applyFill="1" applyBorder="1" applyProtection="1">
      <protection locked="0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0" fillId="0" borderId="2" xfId="0" applyFill="1" applyBorder="1" applyProtection="1">
      <protection locked="0"/>
    </xf>
    <xf numFmtId="0" fontId="0" fillId="0" borderId="13" xfId="0" applyBorder="1" applyAlignment="1" applyProtection="1"/>
    <xf numFmtId="0" fontId="0" fillId="0" borderId="14" xfId="0" applyBorder="1" applyAlignment="1" applyProtection="1"/>
    <xf numFmtId="0" fontId="0" fillId="2" borderId="15" xfId="0" applyFill="1" applyBorder="1" applyAlignment="1" applyProtection="1">
      <protection locked="0"/>
    </xf>
    <xf numFmtId="2" fontId="0" fillId="0" borderId="34" xfId="0" applyNumberFormat="1" applyFill="1" applyBorder="1"/>
    <xf numFmtId="1" fontId="0" fillId="0" borderId="33" xfId="0" applyNumberFormat="1" applyFill="1" applyBorder="1"/>
    <xf numFmtId="10" fontId="0" fillId="0" borderId="33" xfId="1" applyNumberFormat="1" applyFont="1" applyFill="1" applyBorder="1"/>
    <xf numFmtId="1" fontId="0" fillId="0" borderId="33" xfId="0" applyNumberFormat="1" applyFill="1" applyBorder="1" applyProtection="1">
      <protection locked="0"/>
    </xf>
    <xf numFmtId="10" fontId="0" fillId="0" borderId="35" xfId="1" applyNumberFormat="1" applyFont="1" applyFill="1" applyBorder="1" applyProtection="1">
      <protection locked="0"/>
    </xf>
    <xf numFmtId="0" fontId="0" fillId="0" borderId="0" xfId="0" applyFill="1" applyAlignment="1" applyProtection="1">
      <protection locked="0"/>
    </xf>
    <xf numFmtId="0" fontId="5" fillId="0" borderId="0" xfId="0" applyFont="1" applyFill="1" applyAlignment="1" applyProtection="1">
      <alignment horizontal="right"/>
    </xf>
    <xf numFmtId="14" fontId="4" fillId="0" borderId="0" xfId="0" applyNumberFormat="1" applyFont="1" applyFill="1" applyAlignment="1" applyProtection="1">
      <alignment horizontal="right"/>
    </xf>
    <xf numFmtId="0" fontId="1" fillId="0" borderId="23" xfId="0" applyFont="1" applyFill="1" applyBorder="1" applyProtection="1"/>
    <xf numFmtId="0" fontId="1" fillId="0" borderId="14" xfId="0" applyFont="1" applyFill="1" applyBorder="1" applyProtection="1"/>
    <xf numFmtId="0" fontId="0" fillId="0" borderId="3" xfId="0" applyFill="1" applyBorder="1" applyProtection="1"/>
    <xf numFmtId="0" fontId="1" fillId="0" borderId="3" xfId="0" applyFont="1" applyFill="1" applyBorder="1" applyProtection="1"/>
    <xf numFmtId="0" fontId="0" fillId="0" borderId="8" xfId="0" applyFill="1" applyBorder="1" applyProtection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2" borderId="0" xfId="0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3" xfId="0" applyBorder="1" applyAlignment="1" applyProtection="1">
      <alignment horizontal="left"/>
    </xf>
    <xf numFmtId="0" fontId="0" fillId="0" borderId="14" xfId="0" applyBorder="1" applyAlignment="1" applyProtection="1">
      <alignment horizontal="left"/>
    </xf>
    <xf numFmtId="14" fontId="0" fillId="0" borderId="0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 applyProtection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L%20report%20file_TB_30925961_FDG_0215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Subject data"/>
      <sheetName val="iStat data"/>
      <sheetName val="Dose data"/>
      <sheetName val="Blood collection data"/>
      <sheetName val="Balance data"/>
      <sheetName val="Gamma data"/>
      <sheetName val="PQ data"/>
      <sheetName val="RDRC"/>
    </sheetNames>
    <sheetDataSet>
      <sheetData sheetId="0"/>
      <sheetData sheetId="1">
        <row r="3">
          <cell r="A3" t="str">
            <v>Initials:</v>
          </cell>
          <cell r="B3">
            <v>0</v>
          </cell>
        </row>
        <row r="4">
          <cell r="A4" t="str">
            <v>Study date:</v>
          </cell>
          <cell r="B4">
            <v>0</v>
          </cell>
        </row>
        <row r="6">
          <cell r="A6" t="str">
            <v>Study Radiopharmaceutical:</v>
          </cell>
          <cell r="B6">
            <v>0</v>
          </cell>
        </row>
        <row r="7">
          <cell r="A7" t="str">
            <v>Mass:</v>
          </cell>
          <cell r="B7">
            <v>0</v>
          </cell>
        </row>
        <row r="8">
          <cell r="A8" t="str">
            <v>Height:</v>
          </cell>
          <cell r="B8">
            <v>0</v>
          </cell>
        </row>
        <row r="9">
          <cell r="A9" t="str">
            <v>Injection start time</v>
          </cell>
          <cell r="B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1503"/>
  <sheetViews>
    <sheetView topLeftCell="A3" workbookViewId="0">
      <selection activeCell="K21" sqref="K21"/>
    </sheetView>
  </sheetViews>
  <sheetFormatPr baseColWidth="10" defaultColWidth="8.6640625" defaultRowHeight="14" x14ac:dyDescent="0"/>
  <cols>
    <col min="1" max="1" width="20.5" customWidth="1"/>
    <col min="2" max="4" width="13.5" customWidth="1"/>
    <col min="5" max="8" width="11.6640625" customWidth="1"/>
    <col min="9" max="9" width="12.5" customWidth="1"/>
    <col min="10" max="13" width="11.6640625" customWidth="1"/>
    <col min="14" max="14" width="16.6640625" customWidth="1"/>
    <col min="15" max="15" width="11.5" customWidth="1"/>
    <col min="27" max="27" width="18.33203125" customWidth="1"/>
  </cols>
  <sheetData>
    <row r="1" spans="1:19" ht="15" thickBot="1">
      <c r="A1" s="20" t="s">
        <v>72</v>
      </c>
    </row>
    <row r="2" spans="1:19" ht="15" thickBot="1">
      <c r="A2" s="1" t="s">
        <v>2</v>
      </c>
      <c r="B2" s="38">
        <f>'Subject data'!C2</f>
        <v>36</v>
      </c>
      <c r="E2" t="s">
        <v>59</v>
      </c>
      <c r="K2" s="20" t="s">
        <v>153</v>
      </c>
    </row>
    <row r="3" spans="1:19" ht="15" thickBot="1">
      <c r="A3" s="4" t="s">
        <v>1</v>
      </c>
      <c r="B3" s="39">
        <f>'Subject data'!C4</f>
        <v>44516</v>
      </c>
      <c r="E3" t="s">
        <v>243</v>
      </c>
      <c r="K3" s="405" t="s">
        <v>38</v>
      </c>
      <c r="L3" s="414"/>
      <c r="M3" s="163" t="s">
        <v>154</v>
      </c>
      <c r="N3" s="164" t="s">
        <v>155</v>
      </c>
      <c r="O3" s="5"/>
    </row>
    <row r="4" spans="1:19">
      <c r="A4" s="4" t="s">
        <v>69</v>
      </c>
      <c r="B4" s="40" t="str">
        <f>'Subject data'!C5</f>
        <v>[18F]VAT</v>
      </c>
      <c r="K4" s="405" t="str">
        <f>'Balance data'!A38</f>
        <v>Whole Blood Arterial 2</v>
      </c>
      <c r="L4" s="414"/>
      <c r="M4" s="182">
        <f>'Balance data'!G38</f>
        <v>2708.2957154674041</v>
      </c>
      <c r="N4" s="183">
        <f>E39/M4</f>
        <v>1.476035762317393</v>
      </c>
      <c r="O4" s="5"/>
    </row>
    <row r="5" spans="1:19">
      <c r="A5" s="4" t="s">
        <v>0</v>
      </c>
      <c r="B5" s="41">
        <f>'Subject data'!C8</f>
        <v>0.41053240740740743</v>
      </c>
      <c r="K5" s="413" t="str">
        <f>'Balance data'!A62</f>
        <v>Whole Blood Arterial 6</v>
      </c>
      <c r="L5" s="396"/>
      <c r="M5" s="129">
        <f>'Balance data'!G62</f>
        <v>1117.5346775686189</v>
      </c>
      <c r="N5" s="184">
        <f>E46/M5</f>
        <v>1.3455619385298681</v>
      </c>
      <c r="O5" s="5"/>
    </row>
    <row r="6" spans="1:19">
      <c r="A6" s="4" t="s">
        <v>32</v>
      </c>
      <c r="B6" s="40" t="str">
        <f>'Subject data'!C6</f>
        <v>189 lbs</v>
      </c>
      <c r="K6" s="413" t="str">
        <f>'Balance data'!A88</f>
        <v>Whole Blood Arterial 16</v>
      </c>
      <c r="L6" s="396"/>
      <c r="M6" s="129">
        <f>'Balance data'!G88</f>
        <v>522.77817643499668</v>
      </c>
      <c r="N6" s="184">
        <f>E49/M6</f>
        <v>1.3611321240087326</v>
      </c>
      <c r="O6" s="5"/>
    </row>
    <row r="7" spans="1:19" ht="15" thickBot="1">
      <c r="A7" s="7" t="s">
        <v>33</v>
      </c>
      <c r="B7" s="26" t="str">
        <f>'Subject data'!C7</f>
        <v>68 inches</v>
      </c>
      <c r="K7" s="413" t="str">
        <f>'Balance data'!A108</f>
        <v>Whole Blood Arterial 30</v>
      </c>
      <c r="L7" s="396"/>
      <c r="M7" s="129">
        <f>'Balance data'!G108</f>
        <v>382.85332180615012</v>
      </c>
      <c r="N7" s="184">
        <f>E51/M7</f>
        <v>1.439651325840315</v>
      </c>
      <c r="O7" s="5"/>
    </row>
    <row r="8" spans="1:19">
      <c r="K8" s="413" t="str">
        <f>'Balance data'!A137</f>
        <v>Whole Blood Arterial 60</v>
      </c>
      <c r="L8" s="396"/>
      <c r="M8" s="129">
        <f>'Balance data'!G137</f>
        <v>353.06321486554083</v>
      </c>
      <c r="N8" s="184">
        <f>E54/M8</f>
        <v>1.7162906618898022</v>
      </c>
      <c r="O8" s="5"/>
    </row>
    <row r="9" spans="1:19">
      <c r="A9" s="407"/>
      <c r="B9" s="407"/>
      <c r="C9" s="5"/>
      <c r="K9" s="413" t="str">
        <f>'Balance data'!A157</f>
        <v>Whole Blood Arterial 90</v>
      </c>
      <c r="L9" s="396"/>
      <c r="M9" s="129">
        <f>'Balance data'!G157</f>
        <v>381.78329046161241</v>
      </c>
      <c r="N9" s="184">
        <f>E56/M9</f>
        <v>1.3766276541899358</v>
      </c>
      <c r="O9" s="5"/>
    </row>
    <row r="10" spans="1:19" ht="15" thickBot="1">
      <c r="A10" s="18"/>
      <c r="B10" s="274"/>
      <c r="C10" s="274"/>
      <c r="J10" s="5"/>
      <c r="K10" s="411" t="str">
        <f>'Balance data'!A177</f>
        <v>Whole Blood Arterial 130</v>
      </c>
      <c r="L10" s="412"/>
      <c r="M10" s="185">
        <f>'Balance data'!G177</f>
        <v>372.23099083530082</v>
      </c>
      <c r="N10" s="258">
        <f>E58/M10</f>
        <v>1.3628421773015114</v>
      </c>
      <c r="O10" s="5"/>
      <c r="P10" s="5"/>
      <c r="Q10" s="5"/>
      <c r="R10" s="5"/>
      <c r="S10" s="5"/>
    </row>
    <row r="11" spans="1:19">
      <c r="A11" s="5"/>
      <c r="B11" s="274"/>
      <c r="C11" s="274"/>
      <c r="J11" s="5"/>
      <c r="O11" s="5"/>
      <c r="P11" s="5"/>
      <c r="Q11" s="5"/>
      <c r="R11" s="5"/>
      <c r="S11" s="5"/>
    </row>
    <row r="12" spans="1:19">
      <c r="A12" s="5"/>
      <c r="B12" s="5"/>
      <c r="C12" s="5"/>
      <c r="J12" s="5"/>
      <c r="K12" s="5"/>
      <c r="L12" s="5"/>
      <c r="M12" s="48"/>
      <c r="N12" s="83"/>
      <c r="O12" s="5"/>
      <c r="P12" s="5"/>
      <c r="Q12" s="5"/>
      <c r="R12" s="5"/>
      <c r="S12" s="5"/>
    </row>
    <row r="13" spans="1:19" ht="15" thickBot="1">
      <c r="A13" s="37" t="s">
        <v>145</v>
      </c>
      <c r="D13" s="5"/>
      <c r="E13" s="5"/>
      <c r="K13" s="5"/>
      <c r="L13" s="5"/>
      <c r="M13" s="48"/>
      <c r="N13" s="83"/>
    </row>
    <row r="14" spans="1:19" ht="15" thickBot="1">
      <c r="A14" s="1" t="s">
        <v>38</v>
      </c>
      <c r="B14" s="2"/>
      <c r="C14" s="3" t="s">
        <v>144</v>
      </c>
      <c r="D14" s="187"/>
      <c r="E14" s="37"/>
      <c r="K14" s="5"/>
      <c r="L14" s="5"/>
      <c r="M14" s="48"/>
      <c r="N14" s="83"/>
    </row>
    <row r="15" spans="1:19">
      <c r="A15" s="1" t="s">
        <v>186</v>
      </c>
      <c r="B15" s="2"/>
      <c r="C15" s="141">
        <f>'Free F'!N20</f>
        <v>0.91830973161703788</v>
      </c>
      <c r="D15" s="5"/>
      <c r="E15" s="5"/>
      <c r="K15" s="5"/>
      <c r="L15" s="5"/>
      <c r="M15" s="48"/>
      <c r="N15" s="83"/>
    </row>
    <row r="16" spans="1:19">
      <c r="A16" s="4" t="s">
        <v>185</v>
      </c>
      <c r="B16" s="5"/>
      <c r="C16" s="142">
        <f>'Free F'!N23</f>
        <v>2.999230937995119E-2</v>
      </c>
      <c r="D16" s="5"/>
      <c r="E16" s="5"/>
      <c r="K16" s="5"/>
      <c r="L16" s="5"/>
      <c r="M16" s="48"/>
      <c r="N16" s="83"/>
    </row>
    <row r="17" spans="1:24" ht="15" thickBot="1">
      <c r="A17" s="7" t="s">
        <v>102</v>
      </c>
      <c r="B17" s="8"/>
      <c r="C17" s="143">
        <f>'Free F'!N26</f>
        <v>1.5774158414256185E-2</v>
      </c>
      <c r="D17" s="5"/>
      <c r="E17" s="5"/>
      <c r="K17" s="5"/>
      <c r="L17" s="5"/>
      <c r="M17" s="48"/>
      <c r="N17" s="83"/>
    </row>
    <row r="18" spans="1:24">
      <c r="D18" s="5"/>
      <c r="E18" s="5"/>
      <c r="K18" s="5"/>
      <c r="L18" s="5"/>
      <c r="M18" s="48"/>
      <c r="N18" s="83"/>
    </row>
    <row r="19" spans="1:24" ht="15" thickBot="1">
      <c r="A19" s="20" t="s">
        <v>245</v>
      </c>
      <c r="C19" s="147">
        <f>'Dose data'!F8</f>
        <v>0.41053240740740743</v>
      </c>
      <c r="D19" s="5"/>
      <c r="E19" s="5"/>
      <c r="K19" s="5"/>
      <c r="L19" s="5"/>
      <c r="M19" s="48"/>
      <c r="N19" s="83"/>
    </row>
    <row r="20" spans="1:24">
      <c r="A20" s="1" t="s">
        <v>280</v>
      </c>
      <c r="B20" s="286">
        <f>'Dose data'!H10</f>
        <v>3.4454271613451546</v>
      </c>
      <c r="C20" s="3" t="s">
        <v>160</v>
      </c>
      <c r="D20" s="5"/>
      <c r="E20" s="5"/>
      <c r="K20" s="5"/>
      <c r="L20" s="5"/>
      <c r="M20" s="5"/>
      <c r="N20" s="5"/>
    </row>
    <row r="21" spans="1:24">
      <c r="A21" s="4" t="s">
        <v>281</v>
      </c>
      <c r="B21" s="83">
        <f>'Dose data'!C18</f>
        <v>1.113528662705402</v>
      </c>
      <c r="C21" s="36" t="s">
        <v>159</v>
      </c>
      <c r="D21" s="5"/>
      <c r="E21" s="5"/>
      <c r="K21" s="5"/>
      <c r="L21" s="5"/>
      <c r="M21" s="48"/>
      <c r="N21" s="83"/>
      <c r="O21" s="5"/>
      <c r="P21" s="5"/>
      <c r="Q21" s="5"/>
      <c r="R21" s="5"/>
      <c r="S21" s="5"/>
      <c r="T21" s="5"/>
      <c r="U21" s="5"/>
      <c r="V21" s="5"/>
      <c r="W21" s="5"/>
    </row>
    <row r="22" spans="1:24" ht="15" thickBot="1">
      <c r="A22" s="7" t="s">
        <v>246</v>
      </c>
      <c r="B22" s="288">
        <f>B20/B21</f>
        <v>3.0941521998852091</v>
      </c>
      <c r="C22" s="9" t="s">
        <v>161</v>
      </c>
      <c r="D22" s="5"/>
      <c r="E22" s="5"/>
      <c r="K22" s="5"/>
      <c r="L22" s="5"/>
      <c r="M22" s="48"/>
      <c r="N22" s="83"/>
      <c r="O22" s="5"/>
      <c r="P22" s="5"/>
      <c r="Q22" s="5"/>
      <c r="R22" s="5"/>
      <c r="S22" s="5"/>
      <c r="T22" s="5"/>
      <c r="U22" s="5"/>
      <c r="V22" s="5"/>
      <c r="W22" s="5"/>
    </row>
    <row r="23" spans="1:24" ht="15" thickBot="1">
      <c r="A23" s="5"/>
      <c r="B23" s="5"/>
      <c r="C23" s="5"/>
      <c r="D23" s="5"/>
      <c r="E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4" ht="15" thickBot="1">
      <c r="A24" s="20" t="s">
        <v>70</v>
      </c>
      <c r="C24" s="5"/>
      <c r="D24" s="5"/>
      <c r="G24" s="408" t="s">
        <v>71</v>
      </c>
      <c r="H24" s="409"/>
      <c r="I24" s="409"/>
      <c r="J24" s="409"/>
      <c r="K24" s="409"/>
      <c r="L24" s="409"/>
      <c r="M24" s="410"/>
      <c r="N24" s="86"/>
      <c r="O24" s="5"/>
      <c r="P24" s="5"/>
      <c r="Q24" s="5"/>
      <c r="R24" s="5"/>
      <c r="S24" s="86"/>
      <c r="T24" s="86"/>
      <c r="U24" s="86"/>
      <c r="V24" s="86"/>
      <c r="W24" s="86"/>
      <c r="X24" s="86"/>
    </row>
    <row r="25" spans="1:24">
      <c r="B25" s="5"/>
      <c r="C25" s="405" t="s">
        <v>123</v>
      </c>
      <c r="D25" s="406"/>
      <c r="E25" s="405" t="s">
        <v>142</v>
      </c>
      <c r="F25" s="406"/>
      <c r="G25" s="405" t="s">
        <v>124</v>
      </c>
      <c r="H25" s="406"/>
      <c r="I25" s="405" t="s">
        <v>143</v>
      </c>
      <c r="J25" s="406"/>
      <c r="K25" s="399" t="s">
        <v>58</v>
      </c>
      <c r="L25" s="400"/>
      <c r="M25" s="401"/>
      <c r="N25" s="86"/>
      <c r="O25" s="5"/>
      <c r="P25" s="5"/>
      <c r="Q25" s="86"/>
      <c r="R25" s="86"/>
      <c r="S25" s="5"/>
      <c r="T25" s="5"/>
      <c r="U25" s="5"/>
      <c r="V25" s="5"/>
      <c r="W25" s="5"/>
    </row>
    <row r="26" spans="1:24">
      <c r="A26" s="303"/>
      <c r="B26" s="161" t="s">
        <v>48</v>
      </c>
      <c r="C26" s="397" t="s">
        <v>141</v>
      </c>
      <c r="D26" s="398"/>
      <c r="E26" s="397" t="s">
        <v>141</v>
      </c>
      <c r="F26" s="398"/>
      <c r="G26" s="397" t="s">
        <v>141</v>
      </c>
      <c r="H26" s="398"/>
      <c r="I26" s="397" t="s">
        <v>141</v>
      </c>
      <c r="J26" s="398"/>
      <c r="K26" s="402" t="s">
        <v>38</v>
      </c>
      <c r="L26" s="403"/>
      <c r="M26" s="404"/>
      <c r="N26" s="5"/>
      <c r="O26" s="396"/>
      <c r="P26" s="396"/>
      <c r="Q26" s="5"/>
      <c r="R26" s="5"/>
      <c r="S26" s="5"/>
      <c r="T26" s="5"/>
      <c r="U26" s="5"/>
      <c r="V26" s="5"/>
      <c r="W26" s="5"/>
    </row>
    <row r="27" spans="1:24" s="80" customFormat="1">
      <c r="A27" s="304" t="s">
        <v>47</v>
      </c>
      <c r="B27" s="329" t="s">
        <v>22</v>
      </c>
      <c r="C27" s="329" t="s">
        <v>107</v>
      </c>
      <c r="D27" s="305" t="s">
        <v>60</v>
      </c>
      <c r="E27" s="329" t="s">
        <v>107</v>
      </c>
      <c r="F27" s="330" t="s">
        <v>183</v>
      </c>
      <c r="G27" s="329" t="s">
        <v>107</v>
      </c>
      <c r="H27" s="330" t="s">
        <v>183</v>
      </c>
      <c r="I27" s="329" t="s">
        <v>107</v>
      </c>
      <c r="J27" s="330" t="s">
        <v>183</v>
      </c>
      <c r="K27" s="306" t="s">
        <v>61</v>
      </c>
      <c r="L27" s="307" t="s">
        <v>9</v>
      </c>
      <c r="M27" s="321" t="s">
        <v>60</v>
      </c>
      <c r="N27" s="165"/>
      <c r="O27" s="165"/>
      <c r="P27" s="165"/>
      <c r="Q27" s="165"/>
      <c r="R27" s="165"/>
      <c r="S27" s="165"/>
      <c r="T27" s="165"/>
      <c r="U27" s="165"/>
      <c r="V27" s="165"/>
      <c r="W27" s="165"/>
    </row>
    <row r="28" spans="1:24" s="301" customFormat="1">
      <c r="A28" s="308" t="str">
        <f>'Blood collection data'!A10</f>
        <v>Arterial 10 sec</v>
      </c>
      <c r="B28" s="332">
        <f>('Blood collection data'!B10-'Dose data'!$F$8)*24*60</f>
        <v>0.16666666666663943</v>
      </c>
      <c r="C28" s="280">
        <f>E28/('Dose data'!$H$10*37000)</f>
        <v>-1.2863889443507826E-4</v>
      </c>
      <c r="D28" s="199">
        <f>F28/('Dose data'!$H$10*37000)</f>
        <v>-8.883825309556425E-6</v>
      </c>
      <c r="E28" s="302">
        <f>'Balance data'!G18</f>
        <v>-16.398989813005134</v>
      </c>
      <c r="F28" s="277">
        <f>'Balance data'!K18*Output!E28</f>
        <v>-1.1325172016730756</v>
      </c>
      <c r="G28" s="331"/>
      <c r="H28" s="42"/>
      <c r="I28" s="280"/>
      <c r="J28" s="281"/>
      <c r="K28" s="198"/>
      <c r="L28" s="186"/>
      <c r="M28" s="6"/>
      <c r="N28" s="300"/>
      <c r="O28" s="300"/>
      <c r="P28" s="300"/>
      <c r="Q28" s="300"/>
      <c r="R28" s="300"/>
      <c r="S28" s="300"/>
      <c r="T28" s="300"/>
      <c r="U28" s="300"/>
      <c r="V28" s="300"/>
      <c r="W28" s="300"/>
    </row>
    <row r="29" spans="1:24" s="301" customFormat="1">
      <c r="A29" s="308" t="str">
        <f>'Blood collection data'!A11</f>
        <v>Arterial 20 sec</v>
      </c>
      <c r="B29" s="332">
        <f>('Blood collection data'!B11-'Dose data'!$F$8)*24*60</f>
        <v>0.33333333333327886</v>
      </c>
      <c r="C29" s="280">
        <f>E29/('Dose data'!$H$10*37000)</f>
        <v>1.5797400768165131E-4</v>
      </c>
      <c r="D29" s="199">
        <f>F29/('Dose data'!$H$10*37000)</f>
        <v>8.0640769867819577E-6</v>
      </c>
      <c r="E29" s="302">
        <f>'Balance data'!G19</f>
        <v>20.138653663557651</v>
      </c>
      <c r="F29" s="277">
        <f>'Balance data'!K19*Output!E29</f>
        <v>1.028015025613167</v>
      </c>
      <c r="G29" s="331"/>
      <c r="H29" s="42"/>
      <c r="I29" s="280"/>
      <c r="J29" s="281"/>
      <c r="K29" s="198"/>
      <c r="L29" s="186"/>
      <c r="M29" s="6"/>
      <c r="N29" s="300"/>
      <c r="O29" s="300"/>
      <c r="P29" s="300"/>
      <c r="Q29" s="300"/>
      <c r="R29" s="300"/>
      <c r="S29" s="300"/>
      <c r="T29" s="300"/>
      <c r="U29" s="300"/>
      <c r="V29" s="300"/>
      <c r="W29" s="300"/>
    </row>
    <row r="30" spans="1:24" s="301" customFormat="1">
      <c r="A30" s="308" t="str">
        <f>'Blood collection data'!A12</f>
        <v>Arterial 30 sec</v>
      </c>
      <c r="B30" s="332">
        <f>('Blood collection data'!B12-'Dose data'!$F$8)*24*60</f>
        <v>0.49999999999991829</v>
      </c>
      <c r="C30" s="280">
        <f>E30/('Dose data'!$H$10*37000)</f>
        <v>0.10708029096348919</v>
      </c>
      <c r="D30" s="199">
        <f>F30/('Dose data'!$H$10*37000)</f>
        <v>7.3436142340250869E-4</v>
      </c>
      <c r="E30" s="302">
        <f>'Balance data'!G20</f>
        <v>13650.681688422867</v>
      </c>
      <c r="F30" s="277">
        <f>'Balance data'!K20*Output!E30</f>
        <v>93.616985394098421</v>
      </c>
      <c r="G30" s="331"/>
      <c r="H30" s="42"/>
      <c r="I30" s="280"/>
      <c r="J30" s="281"/>
      <c r="K30" s="198"/>
      <c r="L30" s="186"/>
      <c r="M30" s="6"/>
      <c r="N30" s="300"/>
      <c r="O30" s="300"/>
      <c r="P30" s="300"/>
      <c r="Q30" s="300"/>
      <c r="R30" s="300"/>
      <c r="S30" s="300"/>
      <c r="T30" s="300"/>
      <c r="U30" s="300"/>
      <c r="V30" s="300"/>
      <c r="W30" s="300"/>
    </row>
    <row r="31" spans="1:24" s="301" customFormat="1">
      <c r="A31" s="308" t="str">
        <f>'Blood collection data'!A13</f>
        <v>Arterial 40 sec</v>
      </c>
      <c r="B31" s="332">
        <f>('Blood collection data'!B13-'Dose data'!$F$8)*24*60</f>
        <v>0.66666666666655772</v>
      </c>
      <c r="C31" s="280">
        <f>E31/('Dose data'!$H$10*37000)</f>
        <v>0.14152406836933265</v>
      </c>
      <c r="D31" s="199">
        <f>F31/('Dose data'!$H$10*37000)</f>
        <v>9.0951765898302916E-4</v>
      </c>
      <c r="E31" s="302">
        <f>'Balance data'!G21</f>
        <v>18041.602158319394</v>
      </c>
      <c r="F31" s="277">
        <f>'Balance data'!K21*Output!E31</f>
        <v>115.94604330137797</v>
      </c>
      <c r="G31" s="331"/>
      <c r="H31" s="42"/>
      <c r="I31" s="280"/>
      <c r="J31" s="281"/>
      <c r="K31" s="198"/>
      <c r="L31" s="186"/>
      <c r="M31" s="6"/>
      <c r="N31" s="300"/>
      <c r="O31" s="300"/>
      <c r="P31" s="300"/>
      <c r="Q31" s="300"/>
      <c r="R31" s="300"/>
      <c r="S31" s="300"/>
      <c r="T31" s="300"/>
      <c r="U31" s="300"/>
      <c r="V31" s="300"/>
      <c r="W31" s="300"/>
    </row>
    <row r="32" spans="1:24" s="301" customFormat="1">
      <c r="A32" s="308" t="str">
        <f>'Blood collection data'!A14</f>
        <v>Arterial 50 sec</v>
      </c>
      <c r="B32" s="332">
        <f>('Blood collection data'!B14-'Dose data'!$F$8)*24*60</f>
        <v>0.83333333333319715</v>
      </c>
      <c r="C32" s="280">
        <f>E32/('Dose data'!$H$10*37000)</f>
        <v>0.16380399730816689</v>
      </c>
      <c r="D32" s="199">
        <f>F32/('Dose data'!$H$10*37000)</f>
        <v>1.024675944719588E-3</v>
      </c>
      <c r="E32" s="302">
        <f>'Balance data'!G22</f>
        <v>20881.865434111271</v>
      </c>
      <c r="F32" s="277">
        <f>'Balance data'!K22*Output!E32</f>
        <v>130.62651426601334</v>
      </c>
      <c r="G32" s="331"/>
      <c r="H32" s="42"/>
      <c r="I32" s="280"/>
      <c r="J32" s="281"/>
      <c r="K32" s="198"/>
      <c r="L32" s="186"/>
      <c r="M32" s="6"/>
      <c r="N32" s="300"/>
      <c r="O32" s="300"/>
      <c r="P32" s="300"/>
      <c r="Q32" s="300"/>
      <c r="R32" s="300"/>
      <c r="S32" s="300"/>
      <c r="T32" s="300"/>
      <c r="U32" s="300"/>
      <c r="V32" s="300"/>
      <c r="W32" s="300"/>
    </row>
    <row r="33" spans="1:23" s="301" customFormat="1">
      <c r="A33" s="308" t="str">
        <f>'Blood collection data'!A15</f>
        <v>Arterial 60 sec</v>
      </c>
      <c r="B33" s="332">
        <f>('Blood collection data'!B15-'Dose data'!$F$8)*24*60</f>
        <v>0.99999999999983658</v>
      </c>
      <c r="C33" s="280">
        <f>E33/('Dose data'!$H$10*37000)</f>
        <v>0.13402654074251685</v>
      </c>
      <c r="D33" s="199">
        <f>F33/('Dose data'!$H$10*37000)</f>
        <v>8.7407872638293907E-4</v>
      </c>
      <c r="E33" s="302">
        <f>'Balance data'!G23</f>
        <v>17085.811301169819</v>
      </c>
      <c r="F33" s="277">
        <f>'Balance data'!K23*Output!E33</f>
        <v>111.42825964624903</v>
      </c>
      <c r="G33" s="331"/>
      <c r="H33" s="42"/>
      <c r="I33" s="280"/>
      <c r="J33" s="281"/>
      <c r="K33" s="198"/>
      <c r="L33" s="186"/>
      <c r="M33" s="6"/>
      <c r="N33" s="300"/>
      <c r="O33" s="300"/>
      <c r="P33" s="300"/>
      <c r="Q33" s="300"/>
      <c r="R33" s="300"/>
      <c r="S33" s="300"/>
      <c r="T33" s="300"/>
      <c r="U33" s="300"/>
      <c r="V33" s="300"/>
      <c r="W33" s="300"/>
    </row>
    <row r="34" spans="1:23" s="301" customFormat="1">
      <c r="A34" s="308" t="str">
        <f>'Blood collection data'!A16</f>
        <v>Arterial 70 sec</v>
      </c>
      <c r="B34" s="332">
        <f>('Blood collection data'!B16-'Dose data'!$F$8)*24*60</f>
        <v>1.166666666666476</v>
      </c>
      <c r="C34" s="280">
        <f>E34/('Dose data'!$H$10*37000)</f>
        <v>0.1412245674915614</v>
      </c>
      <c r="D34" s="199">
        <f>F34/('Dose data'!$H$10*37000)</f>
        <v>9.1256156256055304E-4</v>
      </c>
      <c r="E34" s="302">
        <f>'Balance data'!G24</f>
        <v>18003.421545331959</v>
      </c>
      <c r="F34" s="277">
        <f>'Balance data'!K24*Output!E34</f>
        <v>116.33408257969108</v>
      </c>
      <c r="G34" s="331"/>
      <c r="H34" s="42"/>
      <c r="I34" s="280"/>
      <c r="J34" s="281"/>
      <c r="K34" s="198"/>
      <c r="L34" s="186"/>
      <c r="M34" s="6"/>
      <c r="N34" s="300"/>
      <c r="O34" s="300"/>
      <c r="P34" s="300"/>
      <c r="Q34" s="300"/>
      <c r="R34" s="300"/>
      <c r="S34" s="300"/>
      <c r="T34" s="300"/>
      <c r="U34" s="300"/>
      <c r="V34" s="300"/>
      <c r="W34" s="300"/>
    </row>
    <row r="35" spans="1:23" s="301" customFormat="1">
      <c r="A35" s="308" t="str">
        <f>'Blood collection data'!A17</f>
        <v>Arterial 80 sec</v>
      </c>
      <c r="B35" s="332">
        <f>('Blood collection data'!B17-'Dose data'!$F$8)*24*60</f>
        <v>1.3333333333331154</v>
      </c>
      <c r="C35" s="280">
        <f>E35/('Dose data'!$H$10*37000)</f>
        <v>7.3319977232544964E-2</v>
      </c>
      <c r="D35" s="199">
        <f>F35/('Dose data'!$H$10*37000)</f>
        <v>5.664024572995019E-4</v>
      </c>
      <c r="E35" s="302">
        <f>'Balance data'!G25</f>
        <v>9346.8897179700944</v>
      </c>
      <c r="F35" s="277">
        <f>'Balance data'!K25*Output!E35</f>
        <v>72.205441193396695</v>
      </c>
      <c r="G35" s="331"/>
      <c r="H35" s="42"/>
      <c r="I35" s="280"/>
      <c r="J35" s="281"/>
      <c r="K35" s="198"/>
      <c r="L35" s="186"/>
      <c r="M35" s="6"/>
      <c r="N35" s="300"/>
      <c r="O35" s="300"/>
      <c r="P35" s="300"/>
      <c r="Q35" s="300"/>
      <c r="R35" s="300"/>
      <c r="S35" s="300"/>
      <c r="T35" s="300"/>
      <c r="U35" s="300"/>
      <c r="V35" s="300"/>
      <c r="W35" s="300"/>
    </row>
    <row r="36" spans="1:23" s="301" customFormat="1">
      <c r="A36" s="308" t="str">
        <f>'Blood collection data'!A18</f>
        <v>Arterial 90 sec</v>
      </c>
      <c r="B36" s="332">
        <f>('Blood collection data'!B18-'Dose data'!$F$8)*24*60</f>
        <v>1.4999999999997549</v>
      </c>
      <c r="C36" s="280">
        <f>E36/('Dose data'!$H$10*37000)</f>
        <v>5.3472752089911334E-2</v>
      </c>
      <c r="D36" s="199">
        <f>F36/('Dose data'!$H$10*37000)</f>
        <v>4.5328590811127655E-4</v>
      </c>
      <c r="E36" s="302">
        <f>'Balance data'!G26</f>
        <v>6816.749480370886</v>
      </c>
      <c r="F36" s="277">
        <f>'Balance data'!K26*Output!E36</f>
        <v>57.785252447479053</v>
      </c>
      <c r="G36" s="331"/>
      <c r="H36" s="42"/>
      <c r="I36" s="280"/>
      <c r="J36" s="281"/>
      <c r="K36" s="198"/>
      <c r="L36" s="186"/>
      <c r="M36" s="6"/>
      <c r="N36" s="300"/>
      <c r="O36" s="300"/>
      <c r="P36" s="300"/>
      <c r="Q36" s="300"/>
      <c r="R36" s="300"/>
      <c r="S36" s="300"/>
      <c r="T36" s="300"/>
      <c r="U36" s="300"/>
      <c r="V36" s="300"/>
      <c r="W36" s="300"/>
    </row>
    <row r="37" spans="1:23" s="301" customFormat="1">
      <c r="A37" s="308" t="str">
        <f>'Blood collection data'!A19</f>
        <v>Arterial 100 sec</v>
      </c>
      <c r="B37" s="332">
        <f>('Blood collection data'!B19-'Dose data'!$F$8)*24*60</f>
        <v>1.6666666666663943</v>
      </c>
      <c r="C37" s="280">
        <f>E37/('Dose data'!$H$10*37000)</f>
        <v>4.1056379880040197E-2</v>
      </c>
      <c r="D37" s="199">
        <f>F37/('Dose data'!$H$10*37000)</f>
        <v>3.8000639504426125E-4</v>
      </c>
      <c r="E37" s="302">
        <f>'Balance data'!G27</f>
        <v>5233.900356252223</v>
      </c>
      <c r="F37" s="277">
        <f>'Balance data'!K27*Output!E37</f>
        <v>48.443521133903111</v>
      </c>
      <c r="G37" s="331"/>
      <c r="H37" s="42"/>
      <c r="I37" s="280"/>
      <c r="J37" s="281"/>
      <c r="K37" s="198"/>
      <c r="L37" s="186"/>
      <c r="M37" s="6"/>
      <c r="N37" s="300"/>
      <c r="O37" s="300"/>
      <c r="P37" s="300"/>
      <c r="Q37" s="300"/>
      <c r="R37" s="300"/>
      <c r="S37" s="300"/>
      <c r="T37" s="300"/>
      <c r="U37" s="300"/>
      <c r="V37" s="300"/>
      <c r="W37" s="300"/>
    </row>
    <row r="38" spans="1:23" s="301" customFormat="1">
      <c r="A38" s="308" t="str">
        <f>'Blood collection data'!A20</f>
        <v>Arterial 110 sec</v>
      </c>
      <c r="B38" s="332">
        <f>('Blood collection data'!B20-'Dose data'!$F$8)*24*60</f>
        <v>1.8333333333330337</v>
      </c>
      <c r="C38" s="280">
        <f>E38/('Dose data'!$H$10*37000)</f>
        <v>3.5754090609350316E-2</v>
      </c>
      <c r="D38" s="199">
        <f>F38/('Dose data'!$H$10*37000)</f>
        <v>3.4641222475566421E-4</v>
      </c>
      <c r="E38" s="302">
        <f>'Balance data'!G28</f>
        <v>4557.9602518420979</v>
      </c>
      <c r="F38" s="277">
        <f>'Balance data'!K28*Output!E38</f>
        <v>44.160909263221207</v>
      </c>
      <c r="G38" s="331"/>
      <c r="H38" s="42"/>
      <c r="I38" s="280"/>
      <c r="J38" s="281"/>
      <c r="K38" s="198"/>
      <c r="L38" s="186"/>
      <c r="M38" s="6"/>
      <c r="N38" s="300"/>
      <c r="O38" s="300"/>
      <c r="P38" s="300"/>
      <c r="Q38" s="300"/>
      <c r="R38" s="300"/>
      <c r="S38" s="300"/>
      <c r="T38" s="300"/>
      <c r="U38" s="300"/>
      <c r="V38" s="300"/>
      <c r="W38" s="300"/>
    </row>
    <row r="39" spans="1:23" s="301" customFormat="1">
      <c r="A39" s="308" t="str">
        <f>'Blood collection data'!A21</f>
        <v>Arterial 2</v>
      </c>
      <c r="B39" s="332">
        <f>('Blood collection data'!B21-'Dose data'!$F$8)*24*60</f>
        <v>1.9999999999996732</v>
      </c>
      <c r="C39" s="280">
        <f>E39/('Dose data'!$H$10*37000)</f>
        <v>3.1357986262392903E-2</v>
      </c>
      <c r="D39" s="199">
        <f>F39/('Dose data'!$H$10*37000)</f>
        <v>2.8136532111668988E-4</v>
      </c>
      <c r="E39" s="302">
        <f>'Balance data'!H36</f>
        <v>3997.5413309608589</v>
      </c>
      <c r="F39" s="277">
        <f>'Balance data'!K36*Output!E39</f>
        <v>35.868677626533653</v>
      </c>
      <c r="G39" s="198">
        <f>C39*'HPLC Data'!R14</f>
        <v>3.1191775395776361E-2</v>
      </c>
      <c r="H39" s="281">
        <f>G39*F39/E39</f>
        <v>2.7987396342977322E-4</v>
      </c>
      <c r="I39" s="280">
        <f>C39-G39</f>
        <v>1.6621086661654239E-4</v>
      </c>
      <c r="J39" s="281">
        <f t="shared" ref="J39" si="0">I39/E39*F39</f>
        <v>1.4913576869166627E-6</v>
      </c>
      <c r="K39" s="198"/>
      <c r="L39" s="186"/>
      <c r="M39" s="6"/>
      <c r="N39" s="300"/>
      <c r="O39" s="300"/>
      <c r="P39" s="300"/>
      <c r="Q39" s="300"/>
      <c r="R39" s="300"/>
      <c r="S39" s="300"/>
      <c r="T39" s="300"/>
      <c r="U39" s="300"/>
      <c r="V39" s="300"/>
      <c r="W39" s="300"/>
    </row>
    <row r="40" spans="1:23" s="301" customFormat="1">
      <c r="A40" s="308" t="str">
        <f>'Blood collection data'!A22</f>
        <v>Arterial 140 sec</v>
      </c>
      <c r="B40" s="332">
        <f>('Blood collection data'!B22-'Dose data'!$F$8)*24*60</f>
        <v>2.3333333333330319</v>
      </c>
      <c r="C40" s="280">
        <f>E40/('Dose data'!$H$10*37000)</f>
        <v>2.3254555189770747E-2</v>
      </c>
      <c r="D40" s="199">
        <f>F40/('Dose data'!$H$10*37000)</f>
        <v>2.6238095449832109E-4</v>
      </c>
      <c r="E40" s="302">
        <f>'Balance data'!G46</f>
        <v>2964.5094148059343</v>
      </c>
      <c r="F40" s="277">
        <f>'Balance data'!K46*Output!E40</f>
        <v>33.448535288182754</v>
      </c>
      <c r="G40" s="331"/>
      <c r="H40" s="42"/>
      <c r="I40" s="280"/>
      <c r="J40" s="281"/>
      <c r="K40" s="198"/>
      <c r="L40" s="186"/>
      <c r="M40" s="6"/>
      <c r="N40" s="300"/>
      <c r="O40" s="300"/>
      <c r="P40" s="300"/>
      <c r="Q40" s="300"/>
      <c r="R40" s="300"/>
      <c r="S40" s="300"/>
      <c r="T40" s="300"/>
      <c r="U40" s="300"/>
      <c r="V40" s="300"/>
      <c r="W40" s="300"/>
    </row>
    <row r="41" spans="1:23" s="301" customFormat="1">
      <c r="A41" s="308" t="str">
        <f>'Blood collection data'!A23</f>
        <v>Arterial 160 sec</v>
      </c>
      <c r="B41" s="332">
        <f>('Blood collection data'!B23-'Dose data'!$F$8)*24*60</f>
        <v>2.6666666666663907</v>
      </c>
      <c r="C41" s="280">
        <f>E41/('Dose data'!$H$10*37000)</f>
        <v>2.1034873285084781E-2</v>
      </c>
      <c r="D41" s="199">
        <f>F41/('Dose data'!$H$10*37000)</f>
        <v>2.4820878273000454E-4</v>
      </c>
      <c r="E41" s="302">
        <f>'Balance data'!G47</f>
        <v>2681.5425788197331</v>
      </c>
      <c r="F41" s="277">
        <f>'Balance data'!K47*Output!E41</f>
        <v>31.641855422987902</v>
      </c>
      <c r="G41" s="331"/>
      <c r="H41" s="42"/>
      <c r="I41" s="280"/>
      <c r="J41" s="281"/>
      <c r="K41" s="198"/>
      <c r="L41" s="186"/>
      <c r="M41" s="6"/>
      <c r="N41" s="300"/>
      <c r="O41" s="300"/>
      <c r="P41" s="300"/>
      <c r="Q41" s="300"/>
      <c r="R41" s="300"/>
      <c r="S41" s="300"/>
      <c r="T41" s="300"/>
      <c r="U41" s="300"/>
      <c r="V41" s="300"/>
      <c r="W41" s="300"/>
    </row>
    <row r="42" spans="1:23" s="301" customFormat="1">
      <c r="A42" s="308" t="str">
        <f>'Blood collection data'!A24</f>
        <v>Arterial 180 sec</v>
      </c>
      <c r="B42" s="332">
        <f>('Blood collection data'!B24-'Dose data'!$F$8)*24*60</f>
        <v>2.9999999999997495</v>
      </c>
      <c r="C42" s="280">
        <f>E42/('Dose data'!$H$10*37000)</f>
        <v>2.0312909480955384E-2</v>
      </c>
      <c r="D42" s="199">
        <f>F42/('Dose data'!$H$10*37000)</f>
        <v>2.423446827402021E-4</v>
      </c>
      <c r="E42" s="302">
        <f>'Balance data'!G48</f>
        <v>2589.5060519102799</v>
      </c>
      <c r="F42" s="277">
        <f>'Balance data'!K48*Output!E42</f>
        <v>30.894295235864664</v>
      </c>
      <c r="G42" s="331"/>
      <c r="H42" s="42"/>
      <c r="I42" s="280"/>
      <c r="J42" s="281"/>
      <c r="K42" s="198"/>
      <c r="L42" s="186"/>
      <c r="M42" s="6"/>
      <c r="N42" s="300"/>
      <c r="O42" s="300"/>
      <c r="P42" s="300"/>
      <c r="Q42" s="300"/>
      <c r="R42" s="300"/>
      <c r="S42" s="300"/>
      <c r="T42" s="300"/>
      <c r="U42" s="300"/>
      <c r="V42" s="300"/>
      <c r="W42" s="300"/>
    </row>
    <row r="43" spans="1:23" s="301" customFormat="1">
      <c r="A43" s="308" t="str">
        <f>'Blood collection data'!A25</f>
        <v>Arterial 200 sec</v>
      </c>
      <c r="B43" s="332">
        <f>('Blood collection data'!B25-'Dose data'!$F$8)*24*60</f>
        <v>3.3333333333331083</v>
      </c>
      <c r="C43" s="280">
        <f>E43/('Dose data'!$H$10*37000)</f>
        <v>1.8052885640369679E-2</v>
      </c>
      <c r="D43" s="199">
        <f>F43/('Dose data'!$H$10*37000)</f>
        <v>2.2440560077146153E-4</v>
      </c>
      <c r="E43" s="302">
        <f>'Balance data'!G49</f>
        <v>2301.3963934615413</v>
      </c>
      <c r="F43" s="277">
        <f>'Balance data'!K49*Output!E43</f>
        <v>28.607406626070915</v>
      </c>
      <c r="G43" s="331"/>
      <c r="H43" s="42"/>
      <c r="I43" s="280"/>
      <c r="J43" s="281"/>
      <c r="K43" s="198"/>
      <c r="L43" s="186"/>
      <c r="M43" s="6"/>
      <c r="N43" s="300"/>
      <c r="O43" s="300"/>
      <c r="P43" s="300"/>
      <c r="Q43" s="300"/>
      <c r="R43" s="300"/>
      <c r="S43" s="300"/>
      <c r="T43" s="300"/>
      <c r="U43" s="300"/>
      <c r="V43" s="300"/>
      <c r="W43" s="300"/>
    </row>
    <row r="44" spans="1:23" s="301" customFormat="1">
      <c r="A44" s="308" t="str">
        <f>'Blood collection data'!A26</f>
        <v>Arterial 220 sec</v>
      </c>
      <c r="B44" s="332">
        <f>('Blood collection data'!B26-'Dose data'!$F$8)*24*60</f>
        <v>3.6666666666664671</v>
      </c>
      <c r="C44" s="280">
        <f>E44/('Dose data'!$H$10*37000)</f>
        <v>1.7045901116012101E-2</v>
      </c>
      <c r="D44" s="199">
        <f>F44/('Dose data'!$H$10*37000)</f>
        <v>2.1902263162622398E-4</v>
      </c>
      <c r="E44" s="302">
        <f>'Balance data'!G50</f>
        <v>2173.0251957043356</v>
      </c>
      <c r="F44" s="277">
        <f>'Balance data'!K50*Output!E44</f>
        <v>27.921181386308596</v>
      </c>
      <c r="G44" s="331"/>
      <c r="H44" s="42"/>
      <c r="I44" s="280"/>
      <c r="J44" s="281"/>
      <c r="K44" s="198"/>
      <c r="L44" s="186"/>
      <c r="M44" s="6"/>
      <c r="N44" s="300"/>
      <c r="O44" s="300"/>
      <c r="P44" s="300"/>
      <c r="Q44" s="300"/>
      <c r="R44" s="300"/>
      <c r="S44" s="300"/>
      <c r="T44" s="300"/>
      <c r="U44" s="300"/>
      <c r="V44" s="300"/>
      <c r="W44" s="300"/>
    </row>
    <row r="45" spans="1:23" s="301" customFormat="1">
      <c r="A45" s="308" t="str">
        <f>'Blood collection data'!A27</f>
        <v>Arterial 240 sec</v>
      </c>
      <c r="B45" s="332">
        <f>('Blood collection data'!B27-'Dose data'!$F$8)*24*60</f>
        <v>3.9999999999998259</v>
      </c>
      <c r="C45" s="280">
        <f>E45/('Dose data'!$H$10*37000)</f>
        <v>1.595823887942853E-2</v>
      </c>
      <c r="D45" s="199">
        <f>F45/('Dose data'!$H$10*37000)</f>
        <v>2.0914694570416229E-4</v>
      </c>
      <c r="E45" s="302">
        <f>'Balance data'!G51</f>
        <v>2034.369138249441</v>
      </c>
      <c r="F45" s="277">
        <f>'Balance data'!K51*Output!E45</f>
        <v>26.662220995335538</v>
      </c>
      <c r="G45" s="331"/>
      <c r="H45" s="42"/>
      <c r="I45" s="280"/>
      <c r="J45" s="281"/>
      <c r="K45" s="198"/>
      <c r="L45" s="186"/>
      <c r="M45" s="6"/>
      <c r="N45" s="300"/>
      <c r="O45" s="300"/>
      <c r="P45" s="300"/>
      <c r="Q45" s="300"/>
      <c r="R45" s="300"/>
      <c r="S45" s="300"/>
      <c r="T45" s="300"/>
      <c r="U45" s="300"/>
      <c r="V45" s="300"/>
      <c r="W45" s="300"/>
    </row>
    <row r="46" spans="1:23" s="80" customFormat="1">
      <c r="A46" s="308" t="str">
        <f>'Blood collection data'!A28</f>
        <v>Arterial 6</v>
      </c>
      <c r="B46" s="332">
        <f>('Blood collection data'!B28-'Dose data'!$F$8)*24*60</f>
        <v>6.1666666666666181</v>
      </c>
      <c r="C46" s="280">
        <f>E46/('Dose data'!$H$10*37000)</f>
        <v>1.1795596423164682E-2</v>
      </c>
      <c r="D46" s="199">
        <f>F46/('Dose data'!$H$10*37000)</f>
        <v>1.5633330425918342E-4</v>
      </c>
      <c r="E46" s="276">
        <f>'Balance data'!H60</f>
        <v>1503.7121271235819</v>
      </c>
      <c r="F46" s="277">
        <f>'Balance data'!K60*Output!E46</f>
        <v>19.929495470544786</v>
      </c>
      <c r="G46" s="318">
        <f>C46*'HPLC Data'!R15</f>
        <v>1.1401541751155483E-2</v>
      </c>
      <c r="H46" s="317">
        <f>G46*F46/E46</f>
        <v>1.5111068840120215E-4</v>
      </c>
      <c r="I46" s="280">
        <f>C46-G46</f>
        <v>3.9405467200919961E-4</v>
      </c>
      <c r="J46" s="281">
        <f>I46/E46*F46</f>
        <v>5.2226158579812623E-6</v>
      </c>
      <c r="K46" s="331"/>
      <c r="L46" s="328"/>
      <c r="M46" s="42"/>
      <c r="N46" s="165"/>
      <c r="O46" s="165"/>
      <c r="P46" s="165"/>
      <c r="Q46" s="165"/>
      <c r="R46" s="165"/>
      <c r="S46" s="165"/>
      <c r="T46" s="165"/>
      <c r="U46" s="165"/>
      <c r="V46" s="165"/>
      <c r="W46" s="165"/>
    </row>
    <row r="47" spans="1:23" s="80" customFormat="1">
      <c r="A47" s="308" t="str">
        <f>'Blood collection data'!A29</f>
        <v>Arterial 8</v>
      </c>
      <c r="B47" s="332">
        <f>('Blood collection data'!B29-'Dose data'!$F$8)*24*60</f>
        <v>7.9999999999999716</v>
      </c>
      <c r="C47" s="280">
        <f>E47/('Dose data'!$H$10*37000)</f>
        <v>9.7524976196550917E-3</v>
      </c>
      <c r="D47" s="199">
        <f>F47/('Dose data'!$H$10*37000)</f>
        <v>1.0809859128464045E-4</v>
      </c>
      <c r="E47" s="276">
        <f>'Balance data'!H70</f>
        <v>1243.2562470194039</v>
      </c>
      <c r="F47" s="277">
        <f>'Balance data'!K70*Output!E47</f>
        <v>13.780495433064207</v>
      </c>
      <c r="G47" s="318"/>
      <c r="H47" s="317"/>
      <c r="I47" s="280"/>
      <c r="J47" s="281"/>
      <c r="K47" s="331"/>
      <c r="L47" s="328"/>
      <c r="M47" s="42"/>
      <c r="N47" s="165"/>
      <c r="O47" s="85"/>
      <c r="P47" s="165"/>
      <c r="Q47" s="165"/>
      <c r="R47" s="165"/>
      <c r="S47" s="165"/>
      <c r="T47" s="165"/>
      <c r="U47" s="165"/>
      <c r="V47" s="165"/>
      <c r="W47" s="165"/>
    </row>
    <row r="48" spans="1:23" s="80" customFormat="1">
      <c r="A48" s="80" t="str">
        <f>'Blood collection data'!A30</f>
        <v>Arterial 12</v>
      </c>
      <c r="B48" s="332">
        <f>('Blood collection data'!B30-'Dose data'!$F$8)*24*60</f>
        <v>11.999999999999957</v>
      </c>
      <c r="C48" s="280">
        <f>E48/('Dose data'!$H$10*37000)</f>
        <v>6.7999264571141473E-3</v>
      </c>
      <c r="D48" s="199">
        <f>F48/('Dose data'!$H$10*37000)</f>
        <v>8.6082600027474559E-5</v>
      </c>
      <c r="E48" s="276">
        <f>'Balance data'!H79</f>
        <v>866.86009848815263</v>
      </c>
      <c r="F48" s="277">
        <f>'Balance data'!K79*Output!E48</f>
        <v>10.973879145393264</v>
      </c>
      <c r="G48" s="318"/>
      <c r="H48" s="317"/>
      <c r="I48" s="280"/>
      <c r="J48" s="281"/>
      <c r="K48" s="331"/>
      <c r="L48" s="328"/>
      <c r="M48" s="42"/>
      <c r="N48" s="165"/>
      <c r="O48" s="85"/>
      <c r="P48" s="165"/>
      <c r="Q48" s="165"/>
      <c r="R48" s="165"/>
      <c r="S48" s="165"/>
      <c r="T48" s="165"/>
      <c r="U48" s="165"/>
      <c r="V48" s="165"/>
      <c r="W48" s="165"/>
    </row>
    <row r="49" spans="1:23" s="80" customFormat="1">
      <c r="A49" s="308" t="str">
        <f>'Blood collection data'!A31</f>
        <v>Arterial 16</v>
      </c>
      <c r="B49" s="332">
        <f>('Blood collection data'!B31-'Dose data'!$F$8)*24*60</f>
        <v>15.999999999999943</v>
      </c>
      <c r="C49" s="280">
        <f>E49/('Dose data'!$H$10*37000)</f>
        <v>5.5817828405234204E-3</v>
      </c>
      <c r="D49" s="199">
        <f>F49/('Dose data'!$H$10*37000)</f>
        <v>7.5965448855495126E-5</v>
      </c>
      <c r="E49" s="276">
        <f>'Balance data'!H86</f>
        <v>711.57016967637901</v>
      </c>
      <c r="F49" s="277">
        <f>'Balance data'!K86*Output!E49</f>
        <v>9.6841365699884658</v>
      </c>
      <c r="G49" s="318">
        <f>C49*'HPLC Data'!R16</f>
        <v>4.642036304725687E-3</v>
      </c>
      <c r="H49" s="317">
        <f>G49*F49/E49</f>
        <v>6.3175938865246714E-5</v>
      </c>
      <c r="I49" s="280">
        <f>C49-G49</f>
        <v>9.3974653579773342E-4</v>
      </c>
      <c r="J49" s="281">
        <f>I49/E49*F49</f>
        <v>1.278950999024841E-5</v>
      </c>
      <c r="K49" s="331"/>
      <c r="L49" s="328"/>
      <c r="M49" s="42"/>
      <c r="N49" s="165"/>
      <c r="O49" s="85"/>
      <c r="P49" s="165"/>
      <c r="Q49" s="165"/>
      <c r="R49" s="165"/>
      <c r="S49" s="165"/>
      <c r="T49" s="165"/>
      <c r="U49" s="165"/>
      <c r="V49" s="165"/>
      <c r="W49" s="165"/>
    </row>
    <row r="50" spans="1:23" s="80" customFormat="1">
      <c r="A50" s="308" t="str">
        <f>'Blood collection data'!A32</f>
        <v>Arterial 20</v>
      </c>
      <c r="B50" s="332">
        <f>('Blood collection data'!B32-'Dose data'!$F$8)*24*60</f>
        <v>20.000000000000007</v>
      </c>
      <c r="C50" s="280">
        <f>E50/('Dose data'!$H$10*37000)</f>
        <v>4.8640997741811872E-3</v>
      </c>
      <c r="D50" s="199">
        <f>F50/('Dose data'!$H$10*37000)</f>
        <v>7.0301055966600566E-5</v>
      </c>
      <c r="E50" s="276">
        <f>'Balance data'!H97</f>
        <v>620.07935466589777</v>
      </c>
      <c r="F50" s="277">
        <f>'Balance data'!K97*Output!E50</f>
        <v>8.9620352048471421</v>
      </c>
      <c r="I50" s="363"/>
      <c r="K50" s="331"/>
      <c r="L50" s="328"/>
      <c r="M50" s="42"/>
      <c r="N50" s="165"/>
      <c r="O50" s="85"/>
      <c r="P50" s="165"/>
      <c r="Q50" s="165"/>
      <c r="R50" s="165"/>
      <c r="S50" s="165"/>
      <c r="T50" s="165"/>
      <c r="U50" s="165"/>
      <c r="V50" s="165"/>
      <c r="W50" s="165"/>
    </row>
    <row r="51" spans="1:23">
      <c r="A51" s="308" t="str">
        <f>'Blood collection data'!A33</f>
        <v>Arterial 30</v>
      </c>
      <c r="B51" s="332">
        <f>('Blood collection data'!B33-'Dose data'!$F$8)*24*60</f>
        <v>29.999999999999972</v>
      </c>
      <c r="C51" s="280">
        <f>E51/('Dose data'!$H$10*37000)</f>
        <v>4.3235943832586558E-3</v>
      </c>
      <c r="D51" s="199">
        <f>F51/('Dose data'!$H$10*37000)</f>
        <v>6.3842644208700182E-5</v>
      </c>
      <c r="E51" s="276">
        <f>'Balance data'!H106</f>
        <v>551.17529234059282</v>
      </c>
      <c r="F51" s="277">
        <f>'Balance data'!K106*Output!E51</f>
        <v>8.1387116751237691</v>
      </c>
      <c r="G51" s="318">
        <f>C51*'HPLC Data'!R17</f>
        <v>2.6894645164915955E-3</v>
      </c>
      <c r="H51" s="317">
        <f>G51*F51/E51</f>
        <v>3.9712912687449199E-5</v>
      </c>
      <c r="I51" s="280">
        <f>C51-G51</f>
        <v>1.6341298667670603E-3</v>
      </c>
      <c r="J51" s="281">
        <f>I51/E51*F51</f>
        <v>2.4129731521250976E-5</v>
      </c>
      <c r="K51" s="331"/>
      <c r="L51" s="328"/>
      <c r="M51" s="42"/>
      <c r="N51" s="5"/>
      <c r="O51" s="85"/>
      <c r="P51" s="165"/>
      <c r="Q51" s="5"/>
      <c r="R51" s="5"/>
      <c r="S51" s="5"/>
      <c r="T51" s="5"/>
      <c r="U51" s="5"/>
      <c r="V51" s="5"/>
      <c r="W51" s="5"/>
    </row>
    <row r="52" spans="1:23">
      <c r="A52" s="308" t="str">
        <f>'Blood collection data'!A34</f>
        <v>Arterial 40</v>
      </c>
      <c r="B52" s="332">
        <f>('Blood collection data'!B34-'Dose data'!$F$8)*24*60</f>
        <v>39.999999999999936</v>
      </c>
      <c r="C52" s="280">
        <f>E52/('Dose data'!$H$10*37000)</f>
        <v>4.2100280929222239E-3</v>
      </c>
      <c r="D52" s="199">
        <f>F52/('Dose data'!$H$10*37000)</f>
        <v>6.4784869837261391E-5</v>
      </c>
      <c r="E52" s="276">
        <f>'Balance data'!H117</f>
        <v>536.69777023107383</v>
      </c>
      <c r="F52" s="277">
        <f>'Balance data'!K117*Output!E52</f>
        <v>8.2588273567159014</v>
      </c>
      <c r="G52" s="318"/>
      <c r="H52" s="317"/>
      <c r="I52" s="280"/>
      <c r="J52" s="281"/>
      <c r="K52" s="4"/>
      <c r="L52" s="5"/>
      <c r="M52" s="6"/>
      <c r="N52" s="5"/>
      <c r="O52" s="85"/>
      <c r="P52" s="165"/>
      <c r="Q52" s="5"/>
      <c r="R52" s="5"/>
      <c r="S52" s="5"/>
      <c r="T52" s="5"/>
      <c r="U52" s="5"/>
      <c r="V52" s="5"/>
      <c r="W52" s="5"/>
    </row>
    <row r="53" spans="1:23">
      <c r="A53" s="308" t="str">
        <f>'Blood collection data'!A35</f>
        <v>Arterial 50</v>
      </c>
      <c r="B53" s="332">
        <f>('Blood collection data'!B35-'Dose data'!$F$8)*24*60</f>
        <v>49.999999999999986</v>
      </c>
      <c r="C53" s="280">
        <f>E53/('Dose data'!$H$10*37000)</f>
        <v>3.9974754922044399E-3</v>
      </c>
      <c r="D53" s="199">
        <f>F53/('Dose data'!$H$10*37000)</f>
        <v>6.2989045353634534E-5</v>
      </c>
      <c r="E53" s="276">
        <f>'Balance data'!H126</f>
        <v>509.60139359315235</v>
      </c>
      <c r="F53" s="277">
        <f>'Balance data'!K126*Output!E53</f>
        <v>8.0298942059587262</v>
      </c>
      <c r="H53" s="6"/>
      <c r="K53" s="4"/>
      <c r="L53" s="5"/>
      <c r="M53" s="6"/>
      <c r="N53" s="5"/>
      <c r="O53" s="85"/>
      <c r="P53" s="165"/>
      <c r="Q53" s="5"/>
      <c r="R53" s="5"/>
      <c r="S53" s="5"/>
      <c r="T53" s="5"/>
      <c r="U53" s="5"/>
      <c r="V53" s="5"/>
      <c r="W53" s="5"/>
    </row>
    <row r="54" spans="1:23">
      <c r="A54" s="308" t="str">
        <f>'Blood collection data'!A36</f>
        <v>Arterial 60</v>
      </c>
      <c r="B54" s="332">
        <f>('Blood collection data'!B36-'Dose data'!$F$8)*24*60</f>
        <v>59.999999999999943</v>
      </c>
      <c r="C54" s="280">
        <f>E54/('Dose data'!$H$10*37000)</f>
        <v>4.7533359934008139E-3</v>
      </c>
      <c r="D54" s="199">
        <f>F54/('Dose data'!$H$10*37000)</f>
        <v>7.053869656733587E-5</v>
      </c>
      <c r="E54" s="276">
        <f>'Balance data'!H135</f>
        <v>605.95909873052051</v>
      </c>
      <c r="F54" s="277">
        <f>'Balance data'!K135*Output!E54</f>
        <v>8.9923298199223787</v>
      </c>
      <c r="G54" s="318">
        <f>C54*'HPLC Data'!R18</f>
        <v>1.874548843430329E-3</v>
      </c>
      <c r="H54" s="317">
        <f>G54*F54/E54</f>
        <v>2.7817985568652926E-5</v>
      </c>
      <c r="I54" s="280">
        <f>C54-G54</f>
        <v>2.8787871499704847E-3</v>
      </c>
      <c r="J54" s="281">
        <f>I54/E54*F54</f>
        <v>4.2720710998682934E-5</v>
      </c>
      <c r="K54" s="4"/>
      <c r="L54" s="5"/>
      <c r="M54" s="6"/>
      <c r="N54" s="5"/>
      <c r="O54" s="85"/>
      <c r="P54" s="165"/>
      <c r="Q54" s="5"/>
      <c r="R54" s="5"/>
      <c r="S54" s="5"/>
      <c r="T54" s="5"/>
      <c r="U54" s="5"/>
      <c r="V54" s="5"/>
      <c r="W54" s="5"/>
    </row>
    <row r="55" spans="1:23">
      <c r="A55" s="308" t="str">
        <f>'Blood collection data'!A37</f>
        <v>Arterial 70</v>
      </c>
      <c r="B55" s="332">
        <f>('Blood collection data'!B37-'Dose data'!$F$8)*24*60</f>
        <v>70.01666666666668</v>
      </c>
      <c r="C55" s="280">
        <f>E55/('Dose data'!$H$10*37000)</f>
        <v>4.2923277265351665E-3</v>
      </c>
      <c r="D55" s="199">
        <f>F55/('Dose data'!$H$10*37000)</f>
        <v>6.6587191007433209E-5</v>
      </c>
      <c r="E55" s="276">
        <f>'Balance data'!H146</f>
        <v>547.18939377276888</v>
      </c>
      <c r="F55" s="277">
        <f>'Balance data'!K146*Output!E55</f>
        <v>8.4885887103034641</v>
      </c>
      <c r="H55" s="6"/>
      <c r="K55" s="4"/>
      <c r="L55" s="5"/>
      <c r="M55" s="6"/>
      <c r="N55" s="5"/>
      <c r="O55" s="85"/>
      <c r="P55" s="165"/>
      <c r="Q55" s="5"/>
      <c r="R55" s="5"/>
      <c r="S55" s="5"/>
      <c r="T55" s="5"/>
      <c r="U55" s="5"/>
      <c r="V55" s="5"/>
      <c r="W55" s="5"/>
    </row>
    <row r="56" spans="1:23">
      <c r="A56" s="308" t="str">
        <f>'Blood collection data'!A38</f>
        <v>Arterial 90</v>
      </c>
      <c r="B56" s="332">
        <f>('Blood collection data'!B38-'Dose data'!$F$8)*24*60</f>
        <v>90.083333333333243</v>
      </c>
      <c r="C56" s="280">
        <f>E56/('Dose data'!$H$10*37000)</f>
        <v>4.1227652718518106E-3</v>
      </c>
      <c r="D56" s="199">
        <f>F56/('Dose data'!$H$10*37000)</f>
        <v>6.4975322275171712E-5</v>
      </c>
      <c r="E56" s="276">
        <f>'Balance data'!H155</f>
        <v>525.57343555708439</v>
      </c>
      <c r="F56" s="277">
        <f>'Balance data'!K155*Output!E56</f>
        <v>8.2831063868091643</v>
      </c>
      <c r="G56" s="318">
        <f>C56*'HPLC Data'!R19</f>
        <v>1.284720355725648E-3</v>
      </c>
      <c r="H56" s="317">
        <f>G56*F56/E56</f>
        <v>2.0247361574687211E-5</v>
      </c>
      <c r="I56" s="280">
        <f>C56-G56</f>
        <v>2.8380449161261624E-3</v>
      </c>
      <c r="J56" s="281">
        <f>I56/E56*F56</f>
        <v>4.4727960700484504E-5</v>
      </c>
      <c r="K56" s="4"/>
      <c r="L56" s="5"/>
      <c r="M56" s="6"/>
      <c r="N56" s="5"/>
      <c r="O56" s="85"/>
      <c r="P56" s="165"/>
      <c r="Q56" s="5"/>
      <c r="R56" s="5"/>
      <c r="S56" s="5"/>
      <c r="T56" s="5"/>
      <c r="U56" s="5"/>
      <c r="V56" s="5"/>
      <c r="W56" s="5"/>
    </row>
    <row r="57" spans="1:23">
      <c r="A57" s="308" t="str">
        <f>'Blood collection data'!A39</f>
        <v>Arterial 110</v>
      </c>
      <c r="B57" s="332">
        <f>('Blood collection data'!B39-'Dose data'!$F$8)*24*60</f>
        <v>110.00000000000001</v>
      </c>
      <c r="C57" s="280">
        <f>E57/('Dose data'!$H$10*37000)</f>
        <v>3.8808490429856047E-3</v>
      </c>
      <c r="D57" s="199">
        <f>F57/('Dose data'!$H$10*37000)</f>
        <v>6.3075903862113615E-5</v>
      </c>
      <c r="E57" s="276">
        <f>'Balance data'!H166</f>
        <v>494.73375996596923</v>
      </c>
      <c r="F57" s="277">
        <f>'Balance data'!K166*Output!E57</f>
        <v>8.0409669985381136</v>
      </c>
      <c r="I57" s="4"/>
      <c r="K57" s="4"/>
      <c r="L57" s="5"/>
      <c r="M57" s="6"/>
      <c r="N57" s="5"/>
      <c r="O57" s="85"/>
      <c r="P57" s="165"/>
      <c r="Q57" s="5"/>
      <c r="R57" s="5"/>
      <c r="S57" s="5"/>
      <c r="T57" s="5"/>
      <c r="U57" s="5"/>
      <c r="V57" s="5"/>
      <c r="W57" s="5"/>
    </row>
    <row r="58" spans="1:23">
      <c r="A58" s="308" t="str">
        <f>'Blood collection data'!A40</f>
        <v>Arterial 130</v>
      </c>
      <c r="B58" s="332">
        <f>('Blood collection data'!B40-'Dose data'!$F$8)*24*60</f>
        <v>130.33333333333337</v>
      </c>
      <c r="C58" s="280">
        <f>E58/('Dose data'!$H$10*37000)</f>
        <v>3.9793606114220366E-3</v>
      </c>
      <c r="D58" s="199">
        <f>F58/('Dose data'!$H$10*37000)</f>
        <v>6.4404555422216482E-5</v>
      </c>
      <c r="E58" s="276">
        <f>'Balance data'!H175</f>
        <v>507.29209400908024</v>
      </c>
      <c r="F58" s="277">
        <f>'Balance data'!K175*Output!E58</f>
        <v>8.2103445689443681</v>
      </c>
      <c r="G58" s="318">
        <f>C58*'HPLC Data'!R20</f>
        <v>1.0570444104258069E-3</v>
      </c>
      <c r="H58" s="317">
        <f>G58*F58/E58</f>
        <v>1.7107892941294647E-5</v>
      </c>
      <c r="I58" s="280">
        <f>C58-G58</f>
        <v>2.9223162009962295E-3</v>
      </c>
      <c r="J58" s="281">
        <f>I58/E58*F58</f>
        <v>4.7296662480921821E-5</v>
      </c>
      <c r="K58" s="5"/>
      <c r="L58" s="5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" thickBot="1">
      <c r="A59" s="309" t="str">
        <f>'Blood collection data'!A41</f>
        <v>Arterial 150</v>
      </c>
      <c r="B59" s="333">
        <f>('Blood collection data'!B41-'Dose data'!$F$8)*24*60</f>
        <v>150.24999999999991</v>
      </c>
      <c r="C59" s="282">
        <f>E59/('Dose data'!$H$10*37000)</f>
        <v>4.0220533228353767E-3</v>
      </c>
      <c r="D59" s="334">
        <f>F59/('Dose data'!$H$10*37000)</f>
        <v>6.5423867671812722E-5</v>
      </c>
      <c r="E59" s="278">
        <f>'Balance data'!H186</f>
        <v>512.73459522639496</v>
      </c>
      <c r="F59" s="279">
        <f>'Balance data'!K186*Output!E59</f>
        <v>8.3402873150384451</v>
      </c>
      <c r="G59" s="319"/>
      <c r="H59" s="320"/>
      <c r="I59" s="282"/>
      <c r="J59" s="283"/>
      <c r="K59" s="7"/>
      <c r="L59" s="8"/>
      <c r="M59" s="9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5"/>
      <c r="B60" s="5"/>
      <c r="C60" s="5"/>
      <c r="D60" s="5"/>
      <c r="E60" s="5"/>
      <c r="F60" s="5"/>
      <c r="G60" s="5"/>
      <c r="H60" s="5"/>
      <c r="I60" s="130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83"/>
      <c r="B61" s="83"/>
      <c r="C61" s="46"/>
      <c r="D61" s="83"/>
      <c r="I61" s="130"/>
      <c r="J61" s="129"/>
    </row>
    <row r="62" spans="1:23">
      <c r="A62" s="82"/>
      <c r="B62" s="83"/>
      <c r="C62" s="32"/>
      <c r="D62" s="84"/>
      <c r="I62" s="130"/>
      <c r="J62" s="129"/>
    </row>
    <row r="63" spans="1:23">
      <c r="A63" s="82"/>
      <c r="B63" s="83"/>
      <c r="C63" s="32"/>
      <c r="D63" s="84"/>
      <c r="I63" s="130"/>
      <c r="J63" s="129"/>
    </row>
    <row r="64" spans="1:23">
      <c r="A64" s="82"/>
      <c r="B64" s="83"/>
      <c r="C64" s="32"/>
      <c r="D64" s="84"/>
      <c r="I64" s="130"/>
      <c r="J64" s="129"/>
    </row>
    <row r="65" spans="1:10">
      <c r="A65" s="82"/>
      <c r="B65" s="83"/>
      <c r="C65" s="32"/>
      <c r="D65" s="84"/>
      <c r="I65" s="130"/>
      <c r="J65" s="129"/>
    </row>
    <row r="66" spans="1:10">
      <c r="A66" s="82"/>
      <c r="B66" s="83"/>
      <c r="C66" s="32"/>
      <c r="D66" s="84"/>
      <c r="I66" s="130"/>
      <c r="J66" s="129"/>
    </row>
    <row r="67" spans="1:10">
      <c r="A67" s="82"/>
      <c r="B67" s="83"/>
      <c r="C67" s="32"/>
      <c r="D67" s="84"/>
      <c r="I67" s="130"/>
      <c r="J67" s="129"/>
    </row>
    <row r="68" spans="1:10">
      <c r="A68" s="82"/>
      <c r="B68" s="83"/>
      <c r="C68" s="32"/>
      <c r="D68" s="84"/>
      <c r="I68" s="130"/>
      <c r="J68" s="129"/>
    </row>
    <row r="69" spans="1:10">
      <c r="A69" s="82"/>
      <c r="B69" s="83"/>
      <c r="C69" s="32"/>
      <c r="D69" s="84"/>
      <c r="I69" s="130"/>
      <c r="J69" s="129"/>
    </row>
    <row r="70" spans="1:10">
      <c r="A70" s="82"/>
      <c r="B70" s="83"/>
      <c r="C70" s="32"/>
      <c r="D70" s="84"/>
      <c r="I70" s="130"/>
      <c r="J70" s="129"/>
    </row>
    <row r="71" spans="1:10">
      <c r="A71" s="82"/>
      <c r="B71" s="83"/>
      <c r="C71" s="32"/>
      <c r="D71" s="84"/>
      <c r="I71" s="130"/>
      <c r="J71" s="129"/>
    </row>
    <row r="72" spans="1:10">
      <c r="A72" s="82"/>
      <c r="B72" s="83"/>
      <c r="C72" s="32"/>
      <c r="D72" s="84"/>
      <c r="I72" s="130"/>
      <c r="J72" s="129"/>
    </row>
    <row r="73" spans="1:10">
      <c r="A73" s="82"/>
      <c r="B73" s="83"/>
      <c r="C73" s="32"/>
      <c r="D73" s="84"/>
      <c r="I73" s="130"/>
      <c r="J73" s="129"/>
    </row>
    <row r="74" spans="1:10">
      <c r="A74" s="82"/>
      <c r="B74" s="83"/>
      <c r="C74" s="32"/>
      <c r="D74" s="84"/>
      <c r="I74" s="130"/>
      <c r="J74" s="129"/>
    </row>
    <row r="75" spans="1:10">
      <c r="A75" s="82"/>
      <c r="B75" s="83"/>
      <c r="C75" s="32"/>
      <c r="D75" s="84"/>
      <c r="I75" s="130"/>
      <c r="J75" s="129"/>
    </row>
    <row r="76" spans="1:10">
      <c r="A76" s="82"/>
      <c r="B76" s="83"/>
      <c r="C76" s="32"/>
      <c r="D76" s="84"/>
      <c r="I76" s="130"/>
      <c r="J76" s="129"/>
    </row>
    <row r="77" spans="1:10">
      <c r="A77" s="82"/>
      <c r="B77" s="83"/>
      <c r="C77" s="32"/>
      <c r="D77" s="84"/>
      <c r="I77" s="130"/>
      <c r="J77" s="129"/>
    </row>
    <row r="78" spans="1:10">
      <c r="A78" s="82"/>
      <c r="B78" s="83"/>
      <c r="C78" s="32"/>
      <c r="D78" s="84"/>
      <c r="I78" s="130"/>
      <c r="J78" s="129"/>
    </row>
    <row r="79" spans="1:10">
      <c r="A79" s="82"/>
      <c r="B79" s="83"/>
      <c r="C79" s="32"/>
      <c r="D79" s="84"/>
      <c r="I79" s="130"/>
      <c r="J79" s="129"/>
    </row>
    <row r="80" spans="1:10">
      <c r="A80" s="82"/>
      <c r="B80" s="83"/>
      <c r="C80" s="32"/>
      <c r="D80" s="84"/>
      <c r="I80" s="130"/>
      <c r="J80" s="129"/>
    </row>
    <row r="81" spans="1:10">
      <c r="A81" s="82"/>
      <c r="B81" s="83"/>
      <c r="C81" s="32"/>
      <c r="D81" s="84"/>
      <c r="I81" s="130"/>
      <c r="J81" s="129"/>
    </row>
    <row r="82" spans="1:10">
      <c r="A82" s="82"/>
      <c r="B82" s="83"/>
      <c r="C82" s="32"/>
      <c r="D82" s="84"/>
      <c r="I82" s="130"/>
      <c r="J82" s="129"/>
    </row>
    <row r="83" spans="1:10">
      <c r="A83" s="82"/>
      <c r="B83" s="83"/>
      <c r="C83" s="32"/>
      <c r="D83" s="84"/>
      <c r="I83" s="130"/>
      <c r="J83" s="129"/>
    </row>
    <row r="84" spans="1:10">
      <c r="A84" s="82"/>
      <c r="B84" s="83"/>
      <c r="C84" s="32"/>
      <c r="D84" s="84"/>
    </row>
    <row r="85" spans="1:10">
      <c r="A85" s="82"/>
      <c r="B85" s="83"/>
      <c r="C85" s="32"/>
      <c r="D85" s="84"/>
    </row>
    <row r="86" spans="1:10">
      <c r="A86" s="82"/>
      <c r="B86" s="83"/>
      <c r="C86" s="32"/>
      <c r="D86" s="84"/>
    </row>
    <row r="87" spans="1:10">
      <c r="A87" s="82"/>
      <c r="B87" s="83"/>
      <c r="C87" s="32"/>
      <c r="D87" s="84"/>
    </row>
    <row r="88" spans="1:10">
      <c r="A88" s="82"/>
      <c r="B88" s="83"/>
      <c r="C88" s="32"/>
      <c r="D88" s="84"/>
    </row>
    <row r="89" spans="1:10">
      <c r="A89" s="82"/>
      <c r="B89" s="83"/>
      <c r="C89" s="32"/>
      <c r="D89" s="84"/>
    </row>
    <row r="90" spans="1:10">
      <c r="A90" s="82"/>
      <c r="B90" s="83"/>
      <c r="C90" s="32"/>
      <c r="D90" s="84"/>
    </row>
    <row r="91" spans="1:10">
      <c r="A91" s="82"/>
      <c r="B91" s="83"/>
      <c r="C91" s="32"/>
      <c r="D91" s="84"/>
    </row>
    <row r="92" spans="1:10">
      <c r="A92" s="82"/>
      <c r="B92" s="83"/>
      <c r="C92" s="32"/>
      <c r="D92" s="84"/>
    </row>
    <row r="93" spans="1:10">
      <c r="A93" s="82"/>
      <c r="B93" s="83"/>
      <c r="C93" s="32"/>
      <c r="D93" s="84"/>
    </row>
    <row r="94" spans="1:10">
      <c r="A94" s="82"/>
      <c r="B94" s="83"/>
      <c r="C94" s="32"/>
      <c r="D94" s="84"/>
    </row>
    <row r="95" spans="1:10">
      <c r="A95" s="82"/>
      <c r="B95" s="83"/>
      <c r="C95" s="32"/>
      <c r="D95" s="84"/>
    </row>
    <row r="96" spans="1:10">
      <c r="A96" s="82"/>
      <c r="B96" s="83"/>
      <c r="C96" s="32"/>
      <c r="D96" s="84"/>
    </row>
    <row r="97" spans="1:4">
      <c r="A97" s="82"/>
      <c r="B97" s="83"/>
      <c r="C97" s="32"/>
      <c r="D97" s="84"/>
    </row>
    <row r="98" spans="1:4">
      <c r="A98" s="82"/>
      <c r="B98" s="83"/>
      <c r="C98" s="32"/>
      <c r="D98" s="84"/>
    </row>
    <row r="99" spans="1:4">
      <c r="A99" s="82"/>
      <c r="B99" s="83"/>
      <c r="C99" s="32"/>
      <c r="D99" s="84"/>
    </row>
    <row r="100" spans="1:4">
      <c r="A100" s="82"/>
      <c r="B100" s="83"/>
      <c r="C100" s="32"/>
      <c r="D100" s="84"/>
    </row>
    <row r="101" spans="1:4">
      <c r="A101" s="82"/>
      <c r="B101" s="83"/>
      <c r="C101" s="32"/>
      <c r="D101" s="84"/>
    </row>
    <row r="102" spans="1:4">
      <c r="A102" s="82"/>
      <c r="B102" s="83"/>
      <c r="C102" s="32"/>
      <c r="D102" s="84"/>
    </row>
    <row r="103" spans="1:4">
      <c r="A103" s="82"/>
      <c r="B103" s="83"/>
      <c r="C103" s="32"/>
      <c r="D103" s="84"/>
    </row>
    <row r="104" spans="1:4">
      <c r="A104" s="82"/>
      <c r="B104" s="83"/>
      <c r="C104" s="32"/>
      <c r="D104" s="84"/>
    </row>
    <row r="105" spans="1:4">
      <c r="A105" s="82"/>
      <c r="B105" s="83"/>
      <c r="C105" s="32"/>
      <c r="D105" s="84"/>
    </row>
    <row r="106" spans="1:4">
      <c r="A106" s="82"/>
      <c r="B106" s="83"/>
      <c r="C106" s="32"/>
      <c r="D106" s="84"/>
    </row>
    <row r="107" spans="1:4">
      <c r="A107" s="82"/>
      <c r="B107" s="83"/>
      <c r="C107" s="32"/>
      <c r="D107" s="84"/>
    </row>
    <row r="108" spans="1:4">
      <c r="A108" s="82"/>
      <c r="B108" s="83"/>
      <c r="C108" s="32"/>
      <c r="D108" s="84"/>
    </row>
    <row r="109" spans="1:4">
      <c r="A109" s="82"/>
      <c r="B109" s="83"/>
      <c r="C109" s="32"/>
      <c r="D109" s="84"/>
    </row>
    <row r="110" spans="1:4">
      <c r="A110" s="82"/>
      <c r="B110" s="83"/>
      <c r="C110" s="32"/>
      <c r="D110" s="84"/>
    </row>
    <row r="111" spans="1:4">
      <c r="A111" s="82"/>
      <c r="B111" s="83"/>
      <c r="C111" s="32"/>
      <c r="D111" s="84"/>
    </row>
    <row r="112" spans="1:4">
      <c r="A112" s="82"/>
      <c r="B112" s="83"/>
      <c r="C112" s="32"/>
      <c r="D112" s="84"/>
    </row>
    <row r="113" spans="1:4">
      <c r="A113" s="82"/>
      <c r="B113" s="83"/>
      <c r="C113" s="32"/>
      <c r="D113" s="84"/>
    </row>
    <row r="114" spans="1:4">
      <c r="A114" s="82"/>
      <c r="B114" s="83"/>
      <c r="C114" s="32"/>
      <c r="D114" s="84"/>
    </row>
    <row r="115" spans="1:4">
      <c r="A115" s="82"/>
      <c r="B115" s="83"/>
      <c r="C115" s="32"/>
      <c r="D115" s="84"/>
    </row>
    <row r="116" spans="1:4">
      <c r="A116" s="82"/>
      <c r="B116" s="83"/>
      <c r="C116" s="32"/>
      <c r="D116" s="84"/>
    </row>
    <row r="117" spans="1:4">
      <c r="A117" s="82"/>
      <c r="B117" s="83"/>
      <c r="C117" s="32"/>
      <c r="D117" s="84"/>
    </row>
    <row r="118" spans="1:4">
      <c r="A118" s="82"/>
      <c r="B118" s="83"/>
      <c r="C118" s="32"/>
      <c r="D118" s="84"/>
    </row>
    <row r="119" spans="1:4">
      <c r="A119" s="82"/>
      <c r="B119" s="83"/>
      <c r="C119" s="32"/>
      <c r="D119" s="84"/>
    </row>
    <row r="120" spans="1:4">
      <c r="A120" s="82"/>
      <c r="B120" s="83"/>
      <c r="C120" s="32"/>
      <c r="D120" s="84"/>
    </row>
    <row r="121" spans="1:4">
      <c r="A121" s="82"/>
      <c r="B121" s="83"/>
      <c r="C121" s="32"/>
      <c r="D121" s="84"/>
    </row>
    <row r="122" spans="1:4">
      <c r="A122" s="82"/>
      <c r="B122" s="83"/>
      <c r="C122" s="32"/>
      <c r="D122" s="84"/>
    </row>
    <row r="123" spans="1:4">
      <c r="A123" s="82"/>
      <c r="B123" s="83"/>
      <c r="C123" s="32"/>
      <c r="D123" s="84"/>
    </row>
    <row r="124" spans="1:4">
      <c r="A124" s="82"/>
      <c r="B124" s="83"/>
      <c r="C124" s="32"/>
      <c r="D124" s="84"/>
    </row>
    <row r="125" spans="1:4">
      <c r="A125" s="82"/>
      <c r="B125" s="83"/>
      <c r="C125" s="32"/>
      <c r="D125" s="84"/>
    </row>
    <row r="126" spans="1:4">
      <c r="A126" s="82"/>
      <c r="B126" s="83"/>
      <c r="C126" s="32"/>
      <c r="D126" s="84"/>
    </row>
    <row r="127" spans="1:4">
      <c r="A127" s="82"/>
      <c r="B127" s="83"/>
      <c r="C127" s="32"/>
      <c r="D127" s="84"/>
    </row>
    <row r="128" spans="1:4">
      <c r="A128" s="82"/>
      <c r="B128" s="83"/>
      <c r="C128" s="32"/>
      <c r="D128" s="84"/>
    </row>
    <row r="129" spans="1:4">
      <c r="A129" s="82"/>
      <c r="B129" s="83"/>
      <c r="C129" s="32"/>
      <c r="D129" s="84"/>
    </row>
    <row r="130" spans="1:4">
      <c r="A130" s="82"/>
      <c r="B130" s="83"/>
      <c r="C130" s="32"/>
      <c r="D130" s="84"/>
    </row>
    <row r="131" spans="1:4">
      <c r="A131" s="82"/>
      <c r="B131" s="83"/>
      <c r="C131" s="32"/>
      <c r="D131" s="84"/>
    </row>
    <row r="132" spans="1:4">
      <c r="A132" s="82"/>
      <c r="B132" s="83"/>
      <c r="C132" s="32"/>
      <c r="D132" s="84"/>
    </row>
    <row r="133" spans="1:4">
      <c r="A133" s="82"/>
      <c r="B133" s="83"/>
      <c r="C133" s="32"/>
      <c r="D133" s="84"/>
    </row>
    <row r="134" spans="1:4">
      <c r="A134" s="82"/>
      <c r="B134" s="83"/>
      <c r="C134" s="32"/>
      <c r="D134" s="84"/>
    </row>
    <row r="135" spans="1:4">
      <c r="A135" s="82"/>
      <c r="B135" s="83"/>
      <c r="C135" s="32"/>
      <c r="D135" s="84"/>
    </row>
    <row r="136" spans="1:4">
      <c r="A136" s="82"/>
      <c r="B136" s="83"/>
      <c r="C136" s="32"/>
      <c r="D136" s="84"/>
    </row>
    <row r="137" spans="1:4">
      <c r="A137" s="82"/>
      <c r="B137" s="83"/>
      <c r="C137" s="32"/>
      <c r="D137" s="84"/>
    </row>
    <row r="138" spans="1:4">
      <c r="A138" s="82"/>
      <c r="B138" s="83"/>
      <c r="C138" s="32"/>
      <c r="D138" s="84"/>
    </row>
    <row r="139" spans="1:4">
      <c r="A139" s="82"/>
      <c r="B139" s="83"/>
      <c r="C139" s="32"/>
      <c r="D139" s="84"/>
    </row>
    <row r="140" spans="1:4">
      <c r="A140" s="82"/>
      <c r="B140" s="83"/>
      <c r="C140" s="32"/>
      <c r="D140" s="84"/>
    </row>
    <row r="141" spans="1:4">
      <c r="A141" s="82"/>
      <c r="B141" s="83"/>
      <c r="C141" s="32"/>
      <c r="D141" s="84"/>
    </row>
    <row r="142" spans="1:4">
      <c r="A142" s="82"/>
      <c r="B142" s="83"/>
      <c r="C142" s="32"/>
      <c r="D142" s="84"/>
    </row>
    <row r="143" spans="1:4">
      <c r="A143" s="82"/>
      <c r="B143" s="83"/>
      <c r="C143" s="32"/>
      <c r="D143" s="84"/>
    </row>
    <row r="144" spans="1:4">
      <c r="A144" s="82"/>
      <c r="B144" s="83"/>
      <c r="C144" s="32"/>
      <c r="D144" s="84"/>
    </row>
    <row r="145" spans="1:4">
      <c r="A145" s="82"/>
      <c r="B145" s="83"/>
      <c r="C145" s="32"/>
      <c r="D145" s="84"/>
    </row>
    <row r="146" spans="1:4">
      <c r="A146" s="82"/>
      <c r="B146" s="83"/>
      <c r="C146" s="32"/>
      <c r="D146" s="84"/>
    </row>
    <row r="147" spans="1:4">
      <c r="A147" s="82"/>
      <c r="B147" s="83"/>
      <c r="C147" s="32"/>
      <c r="D147" s="84"/>
    </row>
    <row r="148" spans="1:4">
      <c r="A148" s="82"/>
      <c r="B148" s="83"/>
      <c r="C148" s="32"/>
      <c r="D148" s="84"/>
    </row>
    <row r="149" spans="1:4">
      <c r="A149" s="82"/>
      <c r="B149" s="83"/>
      <c r="C149" s="32"/>
      <c r="D149" s="84"/>
    </row>
    <row r="150" spans="1:4">
      <c r="A150" s="82"/>
      <c r="B150" s="83"/>
      <c r="C150" s="32"/>
      <c r="D150" s="84"/>
    </row>
    <row r="151" spans="1:4">
      <c r="A151" s="82"/>
      <c r="B151" s="83"/>
      <c r="C151" s="32"/>
      <c r="D151" s="84"/>
    </row>
    <row r="152" spans="1:4">
      <c r="A152" s="82"/>
      <c r="B152" s="83"/>
      <c r="C152" s="32"/>
      <c r="D152" s="84"/>
    </row>
    <row r="153" spans="1:4">
      <c r="A153" s="82"/>
      <c r="B153" s="83"/>
      <c r="C153" s="32"/>
      <c r="D153" s="84"/>
    </row>
    <row r="154" spans="1:4">
      <c r="A154" s="82"/>
      <c r="B154" s="83"/>
      <c r="C154" s="32"/>
      <c r="D154" s="84"/>
    </row>
    <row r="155" spans="1:4">
      <c r="A155" s="82"/>
      <c r="B155" s="83"/>
      <c r="C155" s="32"/>
      <c r="D155" s="84"/>
    </row>
    <row r="156" spans="1:4">
      <c r="A156" s="82"/>
      <c r="B156" s="83"/>
      <c r="C156" s="32"/>
      <c r="D156" s="84"/>
    </row>
    <row r="157" spans="1:4">
      <c r="A157" s="82"/>
      <c r="B157" s="83"/>
      <c r="C157" s="32"/>
      <c r="D157" s="84"/>
    </row>
    <row r="158" spans="1:4">
      <c r="A158" s="82"/>
      <c r="B158" s="83"/>
      <c r="C158" s="32"/>
      <c r="D158" s="84"/>
    </row>
    <row r="159" spans="1:4">
      <c r="A159" s="82"/>
      <c r="B159" s="83"/>
      <c r="C159" s="32"/>
      <c r="D159" s="84"/>
    </row>
    <row r="160" spans="1:4">
      <c r="A160" s="82"/>
      <c r="B160" s="83"/>
      <c r="C160" s="32"/>
      <c r="D160" s="84"/>
    </row>
    <row r="161" spans="1:4">
      <c r="A161" s="82"/>
      <c r="B161" s="83"/>
      <c r="C161" s="32"/>
      <c r="D161" s="84"/>
    </row>
    <row r="162" spans="1:4">
      <c r="A162" s="82"/>
      <c r="B162" s="83"/>
      <c r="C162" s="32"/>
      <c r="D162" s="84"/>
    </row>
    <row r="163" spans="1:4">
      <c r="A163" s="82"/>
      <c r="B163" s="83"/>
      <c r="C163" s="32"/>
      <c r="D163" s="84"/>
    </row>
    <row r="164" spans="1:4">
      <c r="A164" s="82"/>
      <c r="B164" s="83"/>
      <c r="C164" s="32"/>
      <c r="D164" s="84"/>
    </row>
    <row r="165" spans="1:4">
      <c r="A165" s="82"/>
      <c r="B165" s="83"/>
      <c r="C165" s="32"/>
      <c r="D165" s="84"/>
    </row>
    <row r="166" spans="1:4">
      <c r="A166" s="82"/>
      <c r="B166" s="83"/>
      <c r="C166" s="32"/>
      <c r="D166" s="84"/>
    </row>
    <row r="167" spans="1:4">
      <c r="A167" s="82"/>
      <c r="B167" s="83"/>
      <c r="C167" s="32"/>
      <c r="D167" s="84"/>
    </row>
    <row r="168" spans="1:4">
      <c r="A168" s="82"/>
      <c r="B168" s="83"/>
      <c r="C168" s="32"/>
      <c r="D168" s="84"/>
    </row>
    <row r="169" spans="1:4">
      <c r="A169" s="82"/>
      <c r="B169" s="83"/>
      <c r="C169" s="32"/>
      <c r="D169" s="84"/>
    </row>
    <row r="170" spans="1:4">
      <c r="A170" s="82"/>
      <c r="B170" s="83"/>
      <c r="C170" s="32"/>
      <c r="D170" s="84"/>
    </row>
    <row r="171" spans="1:4">
      <c r="A171" s="82"/>
      <c r="B171" s="83"/>
      <c r="C171" s="32"/>
      <c r="D171" s="84"/>
    </row>
    <row r="172" spans="1:4">
      <c r="A172" s="82"/>
      <c r="B172" s="83"/>
      <c r="C172" s="32"/>
      <c r="D172" s="84"/>
    </row>
    <row r="173" spans="1:4">
      <c r="A173" s="82"/>
      <c r="B173" s="83"/>
      <c r="C173" s="32"/>
      <c r="D173" s="84"/>
    </row>
    <row r="174" spans="1:4">
      <c r="A174" s="82"/>
      <c r="B174" s="83"/>
      <c r="C174" s="32"/>
      <c r="D174" s="84"/>
    </row>
    <row r="175" spans="1:4">
      <c r="A175" s="82"/>
      <c r="B175" s="83"/>
      <c r="C175" s="32"/>
      <c r="D175" s="84"/>
    </row>
    <row r="176" spans="1:4">
      <c r="A176" s="82"/>
      <c r="B176" s="83"/>
      <c r="C176" s="32"/>
      <c r="D176" s="84"/>
    </row>
    <row r="177" spans="1:4">
      <c r="A177" s="82"/>
      <c r="B177" s="83"/>
      <c r="C177" s="32"/>
      <c r="D177" s="84"/>
    </row>
    <row r="178" spans="1:4">
      <c r="A178" s="82"/>
      <c r="B178" s="83"/>
      <c r="C178" s="32"/>
      <c r="D178" s="84"/>
    </row>
    <row r="179" spans="1:4">
      <c r="A179" s="82"/>
      <c r="B179" s="83"/>
      <c r="C179" s="32"/>
      <c r="D179" s="84"/>
    </row>
    <row r="180" spans="1:4">
      <c r="A180" s="82"/>
      <c r="B180" s="83"/>
      <c r="C180" s="32"/>
      <c r="D180" s="84"/>
    </row>
    <row r="181" spans="1:4">
      <c r="A181" s="82"/>
      <c r="B181" s="83"/>
      <c r="C181" s="32"/>
      <c r="D181" s="84"/>
    </row>
    <row r="182" spans="1:4">
      <c r="A182" s="82"/>
      <c r="B182" s="83"/>
      <c r="C182" s="32"/>
      <c r="D182" s="84"/>
    </row>
    <row r="183" spans="1:4">
      <c r="A183" s="82"/>
      <c r="B183" s="83"/>
      <c r="C183" s="32"/>
      <c r="D183" s="84"/>
    </row>
    <row r="184" spans="1:4">
      <c r="A184" s="82"/>
      <c r="B184" s="83"/>
      <c r="C184" s="32"/>
      <c r="D184" s="84"/>
    </row>
    <row r="185" spans="1:4">
      <c r="A185" s="82"/>
      <c r="B185" s="83"/>
      <c r="C185" s="32"/>
      <c r="D185" s="84"/>
    </row>
    <row r="186" spans="1:4">
      <c r="A186" s="82"/>
      <c r="B186" s="83"/>
      <c r="C186" s="32"/>
      <c r="D186" s="84"/>
    </row>
    <row r="187" spans="1:4">
      <c r="A187" s="82"/>
      <c r="B187" s="83"/>
      <c r="C187" s="32"/>
      <c r="D187" s="84"/>
    </row>
    <row r="188" spans="1:4">
      <c r="A188" s="82"/>
      <c r="B188" s="83"/>
      <c r="C188" s="32"/>
      <c r="D188" s="84"/>
    </row>
    <row r="189" spans="1:4">
      <c r="A189" s="82"/>
      <c r="B189" s="83"/>
      <c r="C189" s="32"/>
      <c r="D189" s="84"/>
    </row>
    <row r="190" spans="1:4">
      <c r="A190" s="82"/>
      <c r="B190" s="83"/>
      <c r="C190" s="32"/>
      <c r="D190" s="84"/>
    </row>
    <row r="191" spans="1:4">
      <c r="A191" s="82"/>
      <c r="B191" s="83"/>
      <c r="C191" s="32"/>
      <c r="D191" s="84"/>
    </row>
    <row r="192" spans="1:4">
      <c r="A192" s="82"/>
      <c r="B192" s="83"/>
      <c r="C192" s="32"/>
      <c r="D192" s="84"/>
    </row>
    <row r="193" spans="1:4">
      <c r="A193" s="82"/>
      <c r="B193" s="83"/>
      <c r="C193" s="32"/>
      <c r="D193" s="84"/>
    </row>
    <row r="194" spans="1:4">
      <c r="A194" s="82"/>
      <c r="B194" s="83"/>
      <c r="C194" s="32"/>
      <c r="D194" s="84"/>
    </row>
    <row r="195" spans="1:4">
      <c r="A195" s="82"/>
      <c r="B195" s="83"/>
      <c r="C195" s="32"/>
      <c r="D195" s="84"/>
    </row>
    <row r="196" spans="1:4">
      <c r="A196" s="82"/>
      <c r="B196" s="83"/>
      <c r="C196" s="32"/>
      <c r="D196" s="84"/>
    </row>
    <row r="197" spans="1:4">
      <c r="A197" s="82"/>
      <c r="B197" s="83"/>
      <c r="C197" s="32"/>
      <c r="D197" s="84"/>
    </row>
    <row r="198" spans="1:4">
      <c r="A198" s="82"/>
      <c r="B198" s="83"/>
      <c r="C198" s="32"/>
      <c r="D198" s="84"/>
    </row>
    <row r="199" spans="1:4">
      <c r="A199" s="82"/>
      <c r="B199" s="83"/>
      <c r="C199" s="32"/>
      <c r="D199" s="84"/>
    </row>
    <row r="200" spans="1:4">
      <c r="A200" s="82"/>
      <c r="B200" s="83"/>
      <c r="C200" s="32"/>
      <c r="D200" s="84"/>
    </row>
    <row r="201" spans="1:4">
      <c r="A201" s="82"/>
      <c r="B201" s="83"/>
      <c r="C201" s="32"/>
      <c r="D201" s="84"/>
    </row>
    <row r="202" spans="1:4">
      <c r="A202" s="82"/>
      <c r="B202" s="83"/>
      <c r="C202" s="32"/>
      <c r="D202" s="84"/>
    </row>
    <row r="203" spans="1:4">
      <c r="A203" s="82"/>
      <c r="B203" s="83"/>
      <c r="C203" s="32"/>
      <c r="D203" s="84"/>
    </row>
    <row r="204" spans="1:4">
      <c r="A204" s="82"/>
      <c r="B204" s="83"/>
      <c r="C204" s="32"/>
      <c r="D204" s="84"/>
    </row>
    <row r="205" spans="1:4">
      <c r="A205" s="82"/>
      <c r="B205" s="83"/>
      <c r="C205" s="32"/>
      <c r="D205" s="84"/>
    </row>
    <row r="206" spans="1:4">
      <c r="A206" s="82"/>
      <c r="B206" s="83"/>
      <c r="C206" s="32"/>
      <c r="D206" s="84"/>
    </row>
    <row r="207" spans="1:4">
      <c r="A207" s="82"/>
      <c r="B207" s="83"/>
      <c r="C207" s="32"/>
      <c r="D207" s="84"/>
    </row>
    <row r="208" spans="1:4">
      <c r="A208" s="82"/>
      <c r="B208" s="83"/>
      <c r="C208" s="32"/>
      <c r="D208" s="84"/>
    </row>
    <row r="209" spans="1:4">
      <c r="A209" s="82"/>
      <c r="B209" s="83"/>
      <c r="C209" s="32"/>
      <c r="D209" s="84"/>
    </row>
    <row r="210" spans="1:4">
      <c r="A210" s="82"/>
      <c r="B210" s="83"/>
      <c r="C210" s="32"/>
      <c r="D210" s="84"/>
    </row>
    <row r="211" spans="1:4">
      <c r="A211" s="82"/>
      <c r="B211" s="83"/>
      <c r="C211" s="32"/>
      <c r="D211" s="84"/>
    </row>
    <row r="212" spans="1:4">
      <c r="A212" s="82"/>
      <c r="B212" s="83"/>
      <c r="C212" s="32"/>
      <c r="D212" s="84"/>
    </row>
    <row r="213" spans="1:4">
      <c r="A213" s="82"/>
      <c r="B213" s="83"/>
      <c r="C213" s="32"/>
      <c r="D213" s="84"/>
    </row>
    <row r="214" spans="1:4">
      <c r="A214" s="82"/>
      <c r="B214" s="83"/>
      <c r="C214" s="32"/>
      <c r="D214" s="84"/>
    </row>
    <row r="215" spans="1:4">
      <c r="A215" s="82"/>
      <c r="B215" s="83"/>
      <c r="C215" s="32"/>
      <c r="D215" s="84"/>
    </row>
    <row r="216" spans="1:4">
      <c r="A216" s="82"/>
      <c r="B216" s="83"/>
      <c r="C216" s="32"/>
      <c r="D216" s="84"/>
    </row>
    <row r="217" spans="1:4">
      <c r="A217" s="82"/>
      <c r="B217" s="83"/>
      <c r="C217" s="32"/>
      <c r="D217" s="84"/>
    </row>
    <row r="218" spans="1:4">
      <c r="A218" s="82"/>
      <c r="B218" s="83"/>
      <c r="C218" s="32"/>
      <c r="D218" s="84"/>
    </row>
    <row r="219" spans="1:4">
      <c r="A219" s="82"/>
      <c r="B219" s="83"/>
      <c r="C219" s="32"/>
      <c r="D219" s="84"/>
    </row>
    <row r="220" spans="1:4">
      <c r="A220" s="82"/>
      <c r="B220" s="83"/>
      <c r="C220" s="32"/>
      <c r="D220" s="84"/>
    </row>
    <row r="221" spans="1:4">
      <c r="A221" s="82"/>
      <c r="B221" s="83"/>
      <c r="C221" s="32"/>
      <c r="D221" s="84"/>
    </row>
    <row r="222" spans="1:4">
      <c r="A222" s="82"/>
      <c r="B222" s="83"/>
      <c r="C222" s="32"/>
      <c r="D222" s="84"/>
    </row>
    <row r="223" spans="1:4">
      <c r="A223" s="82"/>
      <c r="B223" s="83"/>
      <c r="C223" s="32"/>
      <c r="D223" s="84"/>
    </row>
    <row r="224" spans="1:4">
      <c r="A224" s="82"/>
      <c r="B224" s="83"/>
      <c r="C224" s="32"/>
      <c r="D224" s="84"/>
    </row>
    <row r="225" spans="1:4">
      <c r="A225" s="82"/>
      <c r="B225" s="83"/>
      <c r="C225" s="32"/>
      <c r="D225" s="84"/>
    </row>
    <row r="226" spans="1:4">
      <c r="A226" s="82"/>
      <c r="B226" s="83"/>
      <c r="C226" s="32"/>
      <c r="D226" s="84"/>
    </row>
    <row r="227" spans="1:4">
      <c r="A227" s="82"/>
      <c r="B227" s="83"/>
      <c r="C227" s="32"/>
      <c r="D227" s="84"/>
    </row>
    <row r="228" spans="1:4">
      <c r="A228" s="82"/>
      <c r="B228" s="83"/>
      <c r="C228" s="32"/>
      <c r="D228" s="84"/>
    </row>
    <row r="229" spans="1:4">
      <c r="A229" s="82"/>
      <c r="B229" s="83"/>
      <c r="C229" s="32"/>
      <c r="D229" s="84"/>
    </row>
    <row r="230" spans="1:4">
      <c r="A230" s="82"/>
      <c r="B230" s="83"/>
      <c r="C230" s="32"/>
      <c r="D230" s="84"/>
    </row>
    <row r="231" spans="1:4">
      <c r="A231" s="82"/>
      <c r="B231" s="83"/>
      <c r="C231" s="32"/>
      <c r="D231" s="84"/>
    </row>
    <row r="232" spans="1:4">
      <c r="A232" s="82"/>
      <c r="B232" s="83"/>
      <c r="C232" s="32"/>
      <c r="D232" s="84"/>
    </row>
    <row r="233" spans="1:4">
      <c r="A233" s="82"/>
      <c r="B233" s="83"/>
      <c r="C233" s="32"/>
      <c r="D233" s="84"/>
    </row>
    <row r="234" spans="1:4">
      <c r="A234" s="82"/>
      <c r="B234" s="83"/>
      <c r="C234" s="32"/>
      <c r="D234" s="84"/>
    </row>
    <row r="235" spans="1:4">
      <c r="A235" s="82"/>
      <c r="B235" s="83"/>
      <c r="C235" s="32"/>
      <c r="D235" s="84"/>
    </row>
    <row r="236" spans="1:4">
      <c r="A236" s="82"/>
      <c r="B236" s="83"/>
      <c r="C236" s="32"/>
      <c r="D236" s="84"/>
    </row>
    <row r="237" spans="1:4">
      <c r="A237" s="82"/>
      <c r="B237" s="83"/>
      <c r="C237" s="32"/>
      <c r="D237" s="84"/>
    </row>
    <row r="238" spans="1:4">
      <c r="A238" s="82"/>
      <c r="B238" s="83"/>
      <c r="C238" s="32"/>
      <c r="D238" s="84"/>
    </row>
    <row r="239" spans="1:4">
      <c r="A239" s="82"/>
      <c r="B239" s="83"/>
      <c r="C239" s="32"/>
      <c r="D239" s="84"/>
    </row>
    <row r="240" spans="1:4">
      <c r="A240" s="82"/>
      <c r="B240" s="83"/>
      <c r="C240" s="32"/>
      <c r="D240" s="84"/>
    </row>
    <row r="241" spans="1:4">
      <c r="A241" s="82"/>
      <c r="B241" s="83"/>
      <c r="C241" s="32"/>
      <c r="D241" s="84"/>
    </row>
    <row r="242" spans="1:4">
      <c r="A242" s="82"/>
      <c r="B242" s="83"/>
      <c r="C242" s="32"/>
      <c r="D242" s="84"/>
    </row>
    <row r="243" spans="1:4">
      <c r="A243" s="82"/>
      <c r="B243" s="83"/>
      <c r="C243" s="32"/>
      <c r="D243" s="84"/>
    </row>
    <row r="244" spans="1:4">
      <c r="A244" s="82"/>
      <c r="B244" s="83"/>
      <c r="C244" s="32"/>
      <c r="D244" s="84"/>
    </row>
    <row r="245" spans="1:4">
      <c r="A245" s="82"/>
      <c r="B245" s="83"/>
      <c r="C245" s="32"/>
      <c r="D245" s="84"/>
    </row>
    <row r="246" spans="1:4">
      <c r="A246" s="82"/>
      <c r="B246" s="83"/>
      <c r="C246" s="32"/>
      <c r="D246" s="84"/>
    </row>
    <row r="247" spans="1:4">
      <c r="A247" s="82"/>
      <c r="B247" s="83"/>
      <c r="C247" s="32"/>
      <c r="D247" s="84"/>
    </row>
    <row r="248" spans="1:4">
      <c r="A248" s="82"/>
      <c r="B248" s="83"/>
      <c r="C248" s="32"/>
      <c r="D248" s="84"/>
    </row>
    <row r="249" spans="1:4">
      <c r="A249" s="82"/>
      <c r="B249" s="83"/>
      <c r="C249" s="32"/>
      <c r="D249" s="84"/>
    </row>
    <row r="250" spans="1:4">
      <c r="A250" s="82"/>
      <c r="B250" s="83"/>
      <c r="C250" s="32"/>
      <c r="D250" s="84"/>
    </row>
    <row r="251" spans="1:4">
      <c r="A251" s="82"/>
      <c r="B251" s="83"/>
      <c r="C251" s="32"/>
      <c r="D251" s="84"/>
    </row>
    <row r="252" spans="1:4">
      <c r="A252" s="82"/>
      <c r="B252" s="83"/>
      <c r="C252" s="32"/>
      <c r="D252" s="84"/>
    </row>
    <row r="253" spans="1:4">
      <c r="A253" s="82"/>
      <c r="B253" s="83"/>
      <c r="C253" s="32"/>
      <c r="D253" s="84"/>
    </row>
    <row r="254" spans="1:4">
      <c r="A254" s="82"/>
      <c r="B254" s="83"/>
      <c r="C254" s="32"/>
      <c r="D254" s="84"/>
    </row>
    <row r="255" spans="1:4">
      <c r="A255" s="82"/>
      <c r="B255" s="83"/>
      <c r="C255" s="32"/>
      <c r="D255" s="84"/>
    </row>
    <row r="256" spans="1:4">
      <c r="A256" s="82"/>
      <c r="B256" s="83"/>
      <c r="C256" s="32"/>
      <c r="D256" s="84"/>
    </row>
    <row r="257" spans="1:4">
      <c r="A257" s="82"/>
      <c r="B257" s="83"/>
      <c r="C257" s="32"/>
      <c r="D257" s="84"/>
    </row>
    <row r="258" spans="1:4">
      <c r="A258" s="82"/>
      <c r="B258" s="83"/>
      <c r="C258" s="32"/>
      <c r="D258" s="84"/>
    </row>
    <row r="259" spans="1:4">
      <c r="A259" s="82"/>
      <c r="B259" s="83"/>
      <c r="C259" s="32"/>
      <c r="D259" s="84"/>
    </row>
    <row r="260" spans="1:4">
      <c r="A260" s="82"/>
      <c r="B260" s="83"/>
      <c r="C260" s="32"/>
      <c r="D260" s="84"/>
    </row>
    <row r="261" spans="1:4">
      <c r="A261" s="82"/>
      <c r="B261" s="83"/>
      <c r="C261" s="32"/>
      <c r="D261" s="84"/>
    </row>
    <row r="262" spans="1:4">
      <c r="A262" s="82"/>
      <c r="B262" s="83"/>
      <c r="C262" s="32"/>
      <c r="D262" s="84"/>
    </row>
    <row r="263" spans="1:4">
      <c r="A263" s="82"/>
      <c r="B263" s="83"/>
      <c r="C263" s="32"/>
      <c r="D263" s="84"/>
    </row>
    <row r="264" spans="1:4">
      <c r="A264" s="82"/>
      <c r="B264" s="83"/>
      <c r="C264" s="32"/>
      <c r="D264" s="84"/>
    </row>
    <row r="265" spans="1:4">
      <c r="A265" s="82"/>
      <c r="B265" s="83"/>
      <c r="C265" s="32"/>
      <c r="D265" s="84"/>
    </row>
    <row r="266" spans="1:4">
      <c r="A266" s="82"/>
      <c r="B266" s="83"/>
      <c r="C266" s="32"/>
      <c r="D266" s="84"/>
    </row>
    <row r="267" spans="1:4">
      <c r="A267" s="82"/>
      <c r="B267" s="83"/>
      <c r="C267" s="32"/>
      <c r="D267" s="84"/>
    </row>
    <row r="268" spans="1:4">
      <c r="A268" s="82"/>
      <c r="B268" s="83"/>
      <c r="C268" s="32"/>
      <c r="D268" s="84"/>
    </row>
    <row r="269" spans="1:4">
      <c r="A269" s="82"/>
      <c r="B269" s="83"/>
      <c r="C269" s="32"/>
      <c r="D269" s="84"/>
    </row>
    <row r="270" spans="1:4">
      <c r="A270" s="82"/>
      <c r="B270" s="83"/>
      <c r="C270" s="32"/>
      <c r="D270" s="84"/>
    </row>
    <row r="271" spans="1:4">
      <c r="A271" s="82"/>
      <c r="B271" s="83"/>
      <c r="C271" s="32"/>
      <c r="D271" s="84"/>
    </row>
    <row r="272" spans="1:4">
      <c r="A272" s="82"/>
      <c r="B272" s="83"/>
      <c r="C272" s="32"/>
      <c r="D272" s="84"/>
    </row>
    <row r="273" spans="1:4">
      <c r="A273" s="82"/>
      <c r="B273" s="83"/>
      <c r="C273" s="32"/>
      <c r="D273" s="84"/>
    </row>
    <row r="274" spans="1:4">
      <c r="A274" s="82"/>
      <c r="B274" s="83"/>
      <c r="C274" s="32"/>
      <c r="D274" s="84"/>
    </row>
    <row r="275" spans="1:4">
      <c r="A275" s="82"/>
      <c r="B275" s="83"/>
      <c r="C275" s="32"/>
      <c r="D275" s="84"/>
    </row>
    <row r="276" spans="1:4">
      <c r="A276" s="82"/>
      <c r="B276" s="83"/>
      <c r="C276" s="32"/>
      <c r="D276" s="84"/>
    </row>
    <row r="277" spans="1:4">
      <c r="A277" s="82"/>
      <c r="B277" s="83"/>
      <c r="C277" s="32"/>
      <c r="D277" s="84"/>
    </row>
    <row r="278" spans="1:4">
      <c r="A278" s="82"/>
      <c r="B278" s="83"/>
      <c r="C278" s="32"/>
      <c r="D278" s="84"/>
    </row>
    <row r="279" spans="1:4">
      <c r="A279" s="82"/>
      <c r="B279" s="83"/>
      <c r="C279" s="32"/>
      <c r="D279" s="84"/>
    </row>
    <row r="280" spans="1:4">
      <c r="A280" s="82"/>
      <c r="B280" s="83"/>
      <c r="C280" s="32"/>
      <c r="D280" s="84"/>
    </row>
    <row r="281" spans="1:4">
      <c r="A281" s="82"/>
      <c r="B281" s="83"/>
      <c r="C281" s="32"/>
      <c r="D281" s="84"/>
    </row>
    <row r="282" spans="1:4">
      <c r="A282" s="82"/>
      <c r="B282" s="83"/>
      <c r="C282" s="32"/>
      <c r="D282" s="84"/>
    </row>
    <row r="283" spans="1:4">
      <c r="A283" s="82"/>
      <c r="B283" s="83"/>
      <c r="C283" s="32"/>
      <c r="D283" s="84"/>
    </row>
    <row r="284" spans="1:4">
      <c r="A284" s="82"/>
      <c r="B284" s="83"/>
      <c r="C284" s="32"/>
      <c r="D284" s="84"/>
    </row>
    <row r="285" spans="1:4">
      <c r="A285" s="82"/>
      <c r="B285" s="83"/>
      <c r="C285" s="32"/>
      <c r="D285" s="84"/>
    </row>
    <row r="286" spans="1:4">
      <c r="A286" s="82"/>
      <c r="B286" s="83"/>
      <c r="C286" s="32"/>
      <c r="D286" s="84"/>
    </row>
    <row r="287" spans="1:4">
      <c r="A287" s="82"/>
      <c r="B287" s="83"/>
      <c r="C287" s="32"/>
      <c r="D287" s="84"/>
    </row>
    <row r="288" spans="1:4">
      <c r="A288" s="82"/>
      <c r="B288" s="83"/>
      <c r="C288" s="32"/>
      <c r="D288" s="84"/>
    </row>
    <row r="289" spans="1:4">
      <c r="A289" s="82"/>
      <c r="B289" s="83"/>
      <c r="C289" s="32"/>
      <c r="D289" s="84"/>
    </row>
    <row r="290" spans="1:4">
      <c r="A290" s="82"/>
      <c r="B290" s="83"/>
      <c r="C290" s="32"/>
      <c r="D290" s="84"/>
    </row>
    <row r="291" spans="1:4">
      <c r="A291" s="82"/>
      <c r="B291" s="83"/>
      <c r="C291" s="32"/>
      <c r="D291" s="84"/>
    </row>
    <row r="292" spans="1:4">
      <c r="A292" s="82"/>
      <c r="B292" s="83"/>
      <c r="C292" s="32"/>
      <c r="D292" s="84"/>
    </row>
    <row r="293" spans="1:4">
      <c r="A293" s="82"/>
      <c r="B293" s="83"/>
      <c r="C293" s="32"/>
      <c r="D293" s="84"/>
    </row>
    <row r="294" spans="1:4">
      <c r="A294" s="82"/>
      <c r="B294" s="83"/>
      <c r="C294" s="32"/>
      <c r="D294" s="84"/>
    </row>
    <row r="295" spans="1:4">
      <c r="A295" s="82"/>
      <c r="B295" s="83"/>
      <c r="C295" s="32"/>
      <c r="D295" s="84"/>
    </row>
    <row r="296" spans="1:4">
      <c r="A296" s="82"/>
      <c r="B296" s="83"/>
      <c r="C296" s="32"/>
      <c r="D296" s="84"/>
    </row>
    <row r="297" spans="1:4">
      <c r="A297" s="82"/>
      <c r="B297" s="83"/>
      <c r="C297" s="32"/>
      <c r="D297" s="84"/>
    </row>
    <row r="298" spans="1:4">
      <c r="A298" s="82"/>
      <c r="B298" s="83"/>
      <c r="C298" s="32"/>
      <c r="D298" s="84"/>
    </row>
    <row r="299" spans="1:4">
      <c r="A299" s="82"/>
      <c r="B299" s="83"/>
      <c r="C299" s="32"/>
      <c r="D299" s="84"/>
    </row>
    <row r="300" spans="1:4">
      <c r="A300" s="82"/>
      <c r="B300" s="83"/>
      <c r="C300" s="32"/>
      <c r="D300" s="84"/>
    </row>
    <row r="301" spans="1:4">
      <c r="A301" s="82"/>
      <c r="B301" s="83"/>
      <c r="C301" s="32"/>
      <c r="D301" s="84"/>
    </row>
    <row r="302" spans="1:4">
      <c r="A302" s="82"/>
      <c r="B302" s="83"/>
      <c r="C302" s="32"/>
      <c r="D302" s="84"/>
    </row>
    <row r="303" spans="1:4">
      <c r="A303" s="82"/>
      <c r="B303" s="83"/>
      <c r="C303" s="32"/>
      <c r="D303" s="84"/>
    </row>
    <row r="304" spans="1:4">
      <c r="A304" s="82"/>
      <c r="B304" s="83"/>
      <c r="C304" s="32"/>
      <c r="D304" s="84"/>
    </row>
    <row r="305" spans="1:4">
      <c r="A305" s="82"/>
      <c r="B305" s="83"/>
      <c r="C305" s="32"/>
      <c r="D305" s="84"/>
    </row>
    <row r="306" spans="1:4">
      <c r="A306" s="82"/>
      <c r="B306" s="83"/>
      <c r="C306" s="32"/>
      <c r="D306" s="84"/>
    </row>
    <row r="307" spans="1:4">
      <c r="A307" s="82"/>
      <c r="B307" s="83"/>
      <c r="C307" s="32"/>
      <c r="D307" s="84"/>
    </row>
    <row r="308" spans="1:4">
      <c r="A308" s="82"/>
      <c r="B308" s="83"/>
      <c r="C308" s="32"/>
      <c r="D308" s="84"/>
    </row>
    <row r="309" spans="1:4">
      <c r="A309" s="82"/>
      <c r="B309" s="83"/>
      <c r="C309" s="32"/>
      <c r="D309" s="84"/>
    </row>
    <row r="310" spans="1:4">
      <c r="A310" s="82"/>
      <c r="B310" s="83"/>
      <c r="C310" s="32"/>
      <c r="D310" s="84"/>
    </row>
    <row r="311" spans="1:4">
      <c r="A311" s="82"/>
      <c r="B311" s="83"/>
      <c r="C311" s="32"/>
      <c r="D311" s="84"/>
    </row>
    <row r="312" spans="1:4">
      <c r="A312" s="82"/>
      <c r="B312" s="83"/>
      <c r="C312" s="32"/>
      <c r="D312" s="84"/>
    </row>
    <row r="313" spans="1:4">
      <c r="A313" s="82"/>
      <c r="B313" s="83"/>
      <c r="C313" s="32"/>
      <c r="D313" s="84"/>
    </row>
    <row r="314" spans="1:4">
      <c r="A314" s="82"/>
      <c r="B314" s="83"/>
      <c r="C314" s="32"/>
      <c r="D314" s="84"/>
    </row>
    <row r="315" spans="1:4">
      <c r="A315" s="82"/>
      <c r="B315" s="83"/>
      <c r="C315" s="32"/>
      <c r="D315" s="84"/>
    </row>
    <row r="316" spans="1:4">
      <c r="A316" s="82"/>
      <c r="B316" s="83"/>
      <c r="C316" s="32"/>
      <c r="D316" s="84"/>
    </row>
    <row r="317" spans="1:4">
      <c r="A317" s="82"/>
      <c r="B317" s="83"/>
      <c r="C317" s="32"/>
      <c r="D317" s="84"/>
    </row>
    <row r="318" spans="1:4">
      <c r="A318" s="82"/>
      <c r="B318" s="83"/>
      <c r="C318" s="32"/>
      <c r="D318" s="84"/>
    </row>
    <row r="319" spans="1:4">
      <c r="A319" s="82"/>
      <c r="B319" s="83"/>
      <c r="C319" s="32"/>
      <c r="D319" s="84"/>
    </row>
    <row r="320" spans="1:4">
      <c r="A320" s="82"/>
      <c r="B320" s="83"/>
      <c r="C320" s="32"/>
      <c r="D320" s="84"/>
    </row>
    <row r="321" spans="1:4">
      <c r="A321" s="82"/>
      <c r="B321" s="83"/>
      <c r="C321" s="32"/>
      <c r="D321" s="84"/>
    </row>
    <row r="322" spans="1:4">
      <c r="A322" s="82"/>
      <c r="B322" s="83"/>
      <c r="C322" s="32"/>
      <c r="D322" s="84"/>
    </row>
    <row r="323" spans="1:4">
      <c r="A323" s="82"/>
      <c r="B323" s="83"/>
      <c r="C323" s="32"/>
      <c r="D323" s="84"/>
    </row>
    <row r="324" spans="1:4">
      <c r="A324" s="82"/>
      <c r="B324" s="83"/>
      <c r="C324" s="32"/>
      <c r="D324" s="84"/>
    </row>
    <row r="325" spans="1:4">
      <c r="A325" s="82"/>
      <c r="B325" s="83"/>
      <c r="C325" s="32"/>
      <c r="D325" s="84"/>
    </row>
    <row r="326" spans="1:4">
      <c r="A326" s="82"/>
      <c r="B326" s="83"/>
      <c r="C326" s="32"/>
      <c r="D326" s="84"/>
    </row>
    <row r="327" spans="1:4">
      <c r="A327" s="82"/>
      <c r="B327" s="83"/>
      <c r="C327" s="32"/>
      <c r="D327" s="84"/>
    </row>
    <row r="328" spans="1:4">
      <c r="A328" s="82"/>
      <c r="B328" s="83"/>
      <c r="C328" s="32"/>
      <c r="D328" s="84"/>
    </row>
    <row r="329" spans="1:4">
      <c r="A329" s="82"/>
      <c r="B329" s="83"/>
      <c r="C329" s="32"/>
      <c r="D329" s="84"/>
    </row>
    <row r="330" spans="1:4">
      <c r="A330" s="82"/>
      <c r="B330" s="83"/>
      <c r="C330" s="32"/>
      <c r="D330" s="84"/>
    </row>
    <row r="331" spans="1:4">
      <c r="A331" s="82"/>
      <c r="B331" s="83"/>
      <c r="C331" s="32"/>
      <c r="D331" s="84"/>
    </row>
    <row r="332" spans="1:4">
      <c r="A332" s="82"/>
      <c r="B332" s="83"/>
      <c r="C332" s="32"/>
      <c r="D332" s="84"/>
    </row>
    <row r="333" spans="1:4">
      <c r="A333" s="82"/>
      <c r="B333" s="83"/>
      <c r="C333" s="32"/>
      <c r="D333" s="84"/>
    </row>
    <row r="334" spans="1:4">
      <c r="A334" s="82"/>
      <c r="B334" s="83"/>
      <c r="C334" s="32"/>
      <c r="D334" s="84"/>
    </row>
    <row r="335" spans="1:4">
      <c r="A335" s="82"/>
      <c r="B335" s="83"/>
      <c r="C335" s="32"/>
      <c r="D335" s="84"/>
    </row>
    <row r="336" spans="1:4">
      <c r="A336" s="82"/>
      <c r="B336" s="83"/>
      <c r="C336" s="32"/>
      <c r="D336" s="84"/>
    </row>
    <row r="337" spans="1:4">
      <c r="A337" s="82"/>
      <c r="B337" s="83"/>
      <c r="C337" s="32"/>
      <c r="D337" s="84"/>
    </row>
    <row r="338" spans="1:4">
      <c r="A338" s="82"/>
      <c r="B338" s="83"/>
      <c r="C338" s="32"/>
      <c r="D338" s="84"/>
    </row>
    <row r="339" spans="1:4">
      <c r="A339" s="82"/>
      <c r="B339" s="83"/>
      <c r="C339" s="32"/>
      <c r="D339" s="84"/>
    </row>
    <row r="340" spans="1:4">
      <c r="A340" s="82"/>
      <c r="B340" s="83"/>
      <c r="C340" s="32"/>
      <c r="D340" s="84"/>
    </row>
    <row r="341" spans="1:4">
      <c r="A341" s="82"/>
      <c r="B341" s="83"/>
      <c r="C341" s="32"/>
      <c r="D341" s="84"/>
    </row>
    <row r="342" spans="1:4">
      <c r="A342" s="82"/>
      <c r="B342" s="83"/>
      <c r="C342" s="32"/>
      <c r="D342" s="84"/>
    </row>
    <row r="343" spans="1:4">
      <c r="A343" s="82"/>
      <c r="B343" s="83"/>
      <c r="C343" s="32"/>
      <c r="D343" s="84"/>
    </row>
    <row r="344" spans="1:4">
      <c r="A344" s="82"/>
      <c r="B344" s="83"/>
      <c r="C344" s="32"/>
      <c r="D344" s="84"/>
    </row>
    <row r="345" spans="1:4">
      <c r="A345" s="82"/>
      <c r="B345" s="83"/>
      <c r="C345" s="32"/>
      <c r="D345" s="84"/>
    </row>
    <row r="346" spans="1:4">
      <c r="A346" s="82"/>
      <c r="B346" s="83"/>
      <c r="C346" s="32"/>
      <c r="D346" s="84"/>
    </row>
    <row r="347" spans="1:4">
      <c r="A347" s="82"/>
      <c r="B347" s="83"/>
      <c r="C347" s="32"/>
      <c r="D347" s="84"/>
    </row>
    <row r="348" spans="1:4">
      <c r="A348" s="82"/>
      <c r="B348" s="83"/>
      <c r="C348" s="32"/>
      <c r="D348" s="84"/>
    </row>
    <row r="349" spans="1:4">
      <c r="A349" s="82"/>
      <c r="B349" s="83"/>
      <c r="C349" s="32"/>
      <c r="D349" s="84"/>
    </row>
    <row r="350" spans="1:4">
      <c r="A350" s="82"/>
      <c r="B350" s="83"/>
      <c r="C350" s="32"/>
      <c r="D350" s="84"/>
    </row>
    <row r="351" spans="1:4">
      <c r="A351" s="82"/>
      <c r="B351" s="83"/>
      <c r="C351" s="32"/>
      <c r="D351" s="84"/>
    </row>
    <row r="352" spans="1:4">
      <c r="A352" s="82"/>
      <c r="B352" s="83"/>
      <c r="C352" s="32"/>
      <c r="D352" s="84"/>
    </row>
    <row r="353" spans="1:4">
      <c r="A353" s="82"/>
      <c r="B353" s="83"/>
      <c r="C353" s="32"/>
      <c r="D353" s="84"/>
    </row>
    <row r="354" spans="1:4">
      <c r="A354" s="82"/>
      <c r="B354" s="83"/>
      <c r="C354" s="32"/>
      <c r="D354" s="84"/>
    </row>
    <row r="355" spans="1:4">
      <c r="A355" s="82"/>
      <c r="B355" s="83"/>
      <c r="C355" s="32"/>
      <c r="D355" s="84"/>
    </row>
    <row r="356" spans="1:4">
      <c r="A356" s="82"/>
      <c r="B356" s="83"/>
      <c r="C356" s="32"/>
      <c r="D356" s="84"/>
    </row>
    <row r="357" spans="1:4">
      <c r="A357" s="82"/>
      <c r="B357" s="83"/>
      <c r="C357" s="32"/>
      <c r="D357" s="84"/>
    </row>
    <row r="358" spans="1:4">
      <c r="A358" s="82"/>
      <c r="B358" s="83"/>
      <c r="C358" s="32"/>
      <c r="D358" s="84"/>
    </row>
    <row r="359" spans="1:4">
      <c r="A359" s="82"/>
      <c r="B359" s="83"/>
      <c r="C359" s="32"/>
      <c r="D359" s="84"/>
    </row>
    <row r="360" spans="1:4">
      <c r="A360" s="82"/>
      <c r="B360" s="83"/>
      <c r="C360" s="32"/>
      <c r="D360" s="84"/>
    </row>
    <row r="361" spans="1:4">
      <c r="A361" s="82"/>
      <c r="B361" s="83"/>
      <c r="C361" s="32"/>
      <c r="D361" s="84"/>
    </row>
    <row r="362" spans="1:4">
      <c r="A362" s="82"/>
      <c r="B362" s="83"/>
      <c r="C362" s="32"/>
      <c r="D362" s="84"/>
    </row>
    <row r="363" spans="1:4">
      <c r="A363" s="82"/>
      <c r="B363" s="83"/>
      <c r="C363" s="32"/>
      <c r="D363" s="84"/>
    </row>
    <row r="364" spans="1:4">
      <c r="A364" s="82"/>
      <c r="B364" s="83"/>
      <c r="C364" s="32"/>
      <c r="D364" s="84"/>
    </row>
    <row r="365" spans="1:4">
      <c r="A365" s="82"/>
      <c r="B365" s="83"/>
      <c r="C365" s="32"/>
      <c r="D365" s="84"/>
    </row>
    <row r="366" spans="1:4">
      <c r="A366" s="82"/>
      <c r="B366" s="83"/>
      <c r="C366" s="32"/>
      <c r="D366" s="84"/>
    </row>
    <row r="367" spans="1:4">
      <c r="A367" s="82"/>
      <c r="B367" s="83"/>
      <c r="C367" s="32"/>
      <c r="D367" s="84"/>
    </row>
    <row r="368" spans="1:4">
      <c r="A368" s="82"/>
      <c r="B368" s="83"/>
      <c r="C368" s="32"/>
      <c r="D368" s="84"/>
    </row>
    <row r="369" spans="1:4">
      <c r="A369" s="82"/>
      <c r="B369" s="83"/>
      <c r="C369" s="32"/>
      <c r="D369" s="84"/>
    </row>
    <row r="370" spans="1:4">
      <c r="A370" s="82"/>
      <c r="B370" s="83"/>
      <c r="C370" s="32"/>
      <c r="D370" s="84"/>
    </row>
    <row r="371" spans="1:4">
      <c r="A371" s="82"/>
      <c r="B371" s="83"/>
      <c r="C371" s="32"/>
      <c r="D371" s="84"/>
    </row>
    <row r="372" spans="1:4">
      <c r="A372" s="82"/>
      <c r="B372" s="83"/>
      <c r="C372" s="32"/>
      <c r="D372" s="84"/>
    </row>
    <row r="373" spans="1:4">
      <c r="A373" s="82"/>
      <c r="B373" s="83"/>
      <c r="C373" s="32"/>
      <c r="D373" s="84"/>
    </row>
    <row r="374" spans="1:4">
      <c r="A374" s="82"/>
      <c r="B374" s="83"/>
      <c r="C374" s="32"/>
      <c r="D374" s="84"/>
    </row>
    <row r="375" spans="1:4">
      <c r="A375" s="82"/>
      <c r="B375" s="83"/>
      <c r="C375" s="32"/>
      <c r="D375" s="84"/>
    </row>
    <row r="376" spans="1:4">
      <c r="A376" s="82"/>
      <c r="B376" s="83"/>
      <c r="C376" s="32"/>
      <c r="D376" s="84"/>
    </row>
    <row r="377" spans="1:4">
      <c r="A377" s="82"/>
      <c r="B377" s="83"/>
      <c r="C377" s="32"/>
      <c r="D377" s="84"/>
    </row>
    <row r="378" spans="1:4">
      <c r="A378" s="82"/>
      <c r="B378" s="83"/>
      <c r="C378" s="32"/>
      <c r="D378" s="84"/>
    </row>
    <row r="379" spans="1:4">
      <c r="A379" s="82"/>
      <c r="B379" s="83"/>
      <c r="C379" s="32"/>
      <c r="D379" s="84"/>
    </row>
    <row r="380" spans="1:4">
      <c r="A380" s="82"/>
      <c r="B380" s="83"/>
      <c r="C380" s="32"/>
      <c r="D380" s="84"/>
    </row>
    <row r="381" spans="1:4">
      <c r="A381" s="82"/>
      <c r="B381" s="83"/>
      <c r="C381" s="32"/>
      <c r="D381" s="84"/>
    </row>
    <row r="382" spans="1:4">
      <c r="A382" s="82"/>
      <c r="B382" s="83"/>
      <c r="C382" s="32"/>
      <c r="D382" s="84"/>
    </row>
    <row r="383" spans="1:4">
      <c r="A383" s="82"/>
      <c r="B383" s="83"/>
      <c r="C383" s="32"/>
      <c r="D383" s="84"/>
    </row>
    <row r="384" spans="1:4">
      <c r="A384" s="82"/>
      <c r="B384" s="83"/>
      <c r="C384" s="32"/>
      <c r="D384" s="84"/>
    </row>
    <row r="385" spans="1:4">
      <c r="A385" s="82"/>
      <c r="B385" s="83"/>
      <c r="C385" s="32"/>
      <c r="D385" s="84"/>
    </row>
    <row r="386" spans="1:4">
      <c r="A386" s="82"/>
      <c r="B386" s="83"/>
      <c r="C386" s="32"/>
      <c r="D386" s="84"/>
    </row>
    <row r="387" spans="1:4">
      <c r="A387" s="82"/>
      <c r="B387" s="83"/>
      <c r="C387" s="32"/>
      <c r="D387" s="84"/>
    </row>
    <row r="388" spans="1:4">
      <c r="A388" s="82"/>
      <c r="B388" s="83"/>
      <c r="C388" s="32"/>
      <c r="D388" s="84"/>
    </row>
    <row r="389" spans="1:4">
      <c r="A389" s="82"/>
      <c r="B389" s="83"/>
      <c r="C389" s="32"/>
      <c r="D389" s="84"/>
    </row>
    <row r="390" spans="1:4">
      <c r="A390" s="82"/>
      <c r="B390" s="83"/>
      <c r="C390" s="32"/>
      <c r="D390" s="84"/>
    </row>
    <row r="391" spans="1:4">
      <c r="A391" s="82"/>
      <c r="B391" s="83"/>
      <c r="C391" s="32"/>
      <c r="D391" s="84"/>
    </row>
    <row r="392" spans="1:4">
      <c r="A392" s="82"/>
      <c r="B392" s="83"/>
      <c r="C392" s="32"/>
      <c r="D392" s="84"/>
    </row>
    <row r="393" spans="1:4">
      <c r="A393" s="82"/>
      <c r="B393" s="83"/>
      <c r="C393" s="32"/>
      <c r="D393" s="84"/>
    </row>
    <row r="394" spans="1:4">
      <c r="A394" s="82"/>
      <c r="B394" s="83"/>
      <c r="C394" s="32"/>
      <c r="D394" s="84"/>
    </row>
    <row r="395" spans="1:4">
      <c r="A395" s="82"/>
      <c r="B395" s="83"/>
      <c r="C395" s="32"/>
      <c r="D395" s="84"/>
    </row>
    <row r="396" spans="1:4">
      <c r="A396" s="82"/>
      <c r="B396" s="83"/>
      <c r="C396" s="32"/>
      <c r="D396" s="84"/>
    </row>
    <row r="397" spans="1:4">
      <c r="A397" s="82"/>
      <c r="B397" s="83"/>
      <c r="C397" s="32"/>
      <c r="D397" s="84"/>
    </row>
    <row r="398" spans="1:4">
      <c r="A398" s="82"/>
      <c r="B398" s="83"/>
      <c r="C398" s="32"/>
      <c r="D398" s="84"/>
    </row>
    <row r="399" spans="1:4">
      <c r="A399" s="82"/>
      <c r="B399" s="83"/>
      <c r="C399" s="32"/>
      <c r="D399" s="84"/>
    </row>
    <row r="400" spans="1:4">
      <c r="A400" s="82"/>
      <c r="B400" s="83"/>
      <c r="C400" s="32"/>
      <c r="D400" s="84"/>
    </row>
    <row r="401" spans="1:4">
      <c r="A401" s="82"/>
      <c r="B401" s="83"/>
      <c r="C401" s="32"/>
      <c r="D401" s="84"/>
    </row>
    <row r="402" spans="1:4">
      <c r="A402" s="82"/>
      <c r="B402" s="83"/>
      <c r="C402" s="32"/>
      <c r="D402" s="84"/>
    </row>
    <row r="403" spans="1:4">
      <c r="A403" s="82"/>
      <c r="B403" s="83"/>
      <c r="C403" s="32"/>
      <c r="D403" s="84"/>
    </row>
    <row r="404" spans="1:4">
      <c r="A404" s="82"/>
      <c r="B404" s="83"/>
      <c r="C404" s="32"/>
      <c r="D404" s="84"/>
    </row>
    <row r="405" spans="1:4">
      <c r="A405" s="82"/>
      <c r="B405" s="83"/>
      <c r="C405" s="32"/>
      <c r="D405" s="84"/>
    </row>
    <row r="406" spans="1:4">
      <c r="A406" s="82"/>
      <c r="B406" s="83"/>
      <c r="C406" s="32"/>
      <c r="D406" s="84"/>
    </row>
    <row r="407" spans="1:4">
      <c r="A407" s="82"/>
      <c r="B407" s="83"/>
      <c r="C407" s="32"/>
      <c r="D407" s="84"/>
    </row>
    <row r="408" spans="1:4">
      <c r="A408" s="82"/>
      <c r="B408" s="83"/>
      <c r="C408" s="32"/>
      <c r="D408" s="84"/>
    </row>
    <row r="409" spans="1:4">
      <c r="A409" s="82"/>
      <c r="B409" s="83"/>
      <c r="C409" s="32"/>
      <c r="D409" s="84"/>
    </row>
    <row r="410" spans="1:4">
      <c r="A410" s="82"/>
      <c r="B410" s="83"/>
      <c r="C410" s="32"/>
      <c r="D410" s="84"/>
    </row>
    <row r="411" spans="1:4">
      <c r="A411" s="82"/>
      <c r="B411" s="83"/>
      <c r="C411" s="32"/>
      <c r="D411" s="84"/>
    </row>
    <row r="412" spans="1:4">
      <c r="A412" s="82"/>
      <c r="B412" s="83"/>
      <c r="C412" s="32"/>
      <c r="D412" s="84"/>
    </row>
    <row r="413" spans="1:4">
      <c r="A413" s="82"/>
      <c r="B413" s="83"/>
      <c r="C413" s="32"/>
      <c r="D413" s="84"/>
    </row>
    <row r="414" spans="1:4">
      <c r="A414" s="82"/>
      <c r="B414" s="83"/>
      <c r="C414" s="32"/>
      <c r="D414" s="84"/>
    </row>
    <row r="415" spans="1:4">
      <c r="A415" s="82"/>
      <c r="B415" s="83"/>
      <c r="C415" s="32"/>
      <c r="D415" s="84"/>
    </row>
    <row r="416" spans="1:4">
      <c r="A416" s="82"/>
      <c r="B416" s="83"/>
      <c r="C416" s="32"/>
      <c r="D416" s="84"/>
    </row>
    <row r="417" spans="1:4">
      <c r="A417" s="82"/>
      <c r="B417" s="83"/>
      <c r="C417" s="32"/>
      <c r="D417" s="84"/>
    </row>
    <row r="418" spans="1:4">
      <c r="A418" s="82"/>
      <c r="B418" s="83"/>
      <c r="C418" s="32"/>
      <c r="D418" s="84"/>
    </row>
    <row r="419" spans="1:4">
      <c r="A419" s="82"/>
      <c r="B419" s="83"/>
      <c r="C419" s="32"/>
      <c r="D419" s="84"/>
    </row>
    <row r="420" spans="1:4">
      <c r="A420" s="82"/>
      <c r="B420" s="83"/>
      <c r="C420" s="32"/>
      <c r="D420" s="84"/>
    </row>
    <row r="421" spans="1:4">
      <c r="A421" s="82"/>
      <c r="B421" s="83"/>
    </row>
    <row r="422" spans="1:4">
      <c r="A422" s="82"/>
      <c r="B422" s="83"/>
    </row>
    <row r="423" spans="1:4">
      <c r="A423" s="82"/>
      <c r="B423" s="83"/>
    </row>
    <row r="424" spans="1:4">
      <c r="A424" s="82"/>
      <c r="B424" s="83"/>
    </row>
    <row r="425" spans="1:4">
      <c r="A425" s="82"/>
      <c r="B425" s="83"/>
    </row>
    <row r="426" spans="1:4">
      <c r="A426" s="82"/>
      <c r="B426" s="83"/>
    </row>
    <row r="427" spans="1:4">
      <c r="A427" s="82"/>
      <c r="B427" s="83"/>
    </row>
    <row r="428" spans="1:4">
      <c r="A428" s="82"/>
      <c r="B428" s="83"/>
    </row>
    <row r="429" spans="1:4">
      <c r="A429" s="82"/>
      <c r="B429" s="83"/>
    </row>
    <row r="430" spans="1:4">
      <c r="A430" s="82"/>
      <c r="B430" s="83"/>
    </row>
    <row r="431" spans="1:4">
      <c r="A431" s="82"/>
      <c r="B431" s="83"/>
    </row>
    <row r="432" spans="1:4">
      <c r="A432" s="82"/>
      <c r="B432" s="83"/>
    </row>
    <row r="433" spans="1:2">
      <c r="A433" s="82"/>
      <c r="B433" s="83"/>
    </row>
    <row r="434" spans="1:2">
      <c r="A434" s="82"/>
      <c r="B434" s="83"/>
    </row>
    <row r="435" spans="1:2">
      <c r="A435" s="82"/>
      <c r="B435" s="83"/>
    </row>
    <row r="436" spans="1:2">
      <c r="A436" s="82"/>
      <c r="B436" s="83"/>
    </row>
    <row r="437" spans="1:2">
      <c r="A437" s="82"/>
      <c r="B437" s="83"/>
    </row>
    <row r="438" spans="1:2">
      <c r="A438" s="82"/>
      <c r="B438" s="83"/>
    </row>
    <row r="439" spans="1:2">
      <c r="A439" s="82"/>
      <c r="B439" s="83"/>
    </row>
    <row r="440" spans="1:2">
      <c r="A440" s="82"/>
      <c r="B440" s="83"/>
    </row>
    <row r="441" spans="1:2">
      <c r="A441" s="82"/>
      <c r="B441" s="83"/>
    </row>
    <row r="442" spans="1:2">
      <c r="A442" s="82"/>
      <c r="B442" s="83"/>
    </row>
    <row r="443" spans="1:2">
      <c r="A443" s="82"/>
      <c r="B443" s="83"/>
    </row>
    <row r="444" spans="1:2">
      <c r="A444" s="82"/>
      <c r="B444" s="83"/>
    </row>
    <row r="445" spans="1:2">
      <c r="A445" s="82"/>
      <c r="B445" s="83"/>
    </row>
    <row r="446" spans="1:2">
      <c r="A446" s="82"/>
      <c r="B446" s="83"/>
    </row>
    <row r="447" spans="1:2">
      <c r="A447" s="82"/>
      <c r="B447" s="83"/>
    </row>
    <row r="448" spans="1:2">
      <c r="A448" s="82"/>
      <c r="B448" s="83"/>
    </row>
    <row r="449" spans="1:2">
      <c r="A449" s="82"/>
      <c r="B449" s="83"/>
    </row>
    <row r="450" spans="1:2">
      <c r="A450" s="82"/>
      <c r="B450" s="83"/>
    </row>
    <row r="451" spans="1:2">
      <c r="A451" s="82"/>
      <c r="B451" s="83"/>
    </row>
    <row r="452" spans="1:2">
      <c r="A452" s="82"/>
      <c r="B452" s="83"/>
    </row>
    <row r="453" spans="1:2">
      <c r="A453" s="82"/>
      <c r="B453" s="83"/>
    </row>
    <row r="454" spans="1:2">
      <c r="A454" s="82"/>
      <c r="B454" s="83"/>
    </row>
    <row r="455" spans="1:2">
      <c r="A455" s="82"/>
      <c r="B455" s="83"/>
    </row>
    <row r="456" spans="1:2">
      <c r="A456" s="82"/>
      <c r="B456" s="83"/>
    </row>
    <row r="457" spans="1:2">
      <c r="A457" s="82"/>
      <c r="B457" s="83"/>
    </row>
    <row r="458" spans="1:2">
      <c r="A458" s="82"/>
      <c r="B458" s="83"/>
    </row>
    <row r="459" spans="1:2">
      <c r="A459" s="82"/>
      <c r="B459" s="83"/>
    </row>
    <row r="460" spans="1:2">
      <c r="A460" s="82"/>
      <c r="B460" s="83"/>
    </row>
    <row r="461" spans="1:2">
      <c r="A461" s="82"/>
      <c r="B461" s="83"/>
    </row>
    <row r="462" spans="1:2">
      <c r="A462" s="82"/>
      <c r="B462" s="83"/>
    </row>
    <row r="463" spans="1:2">
      <c r="A463" s="82"/>
      <c r="B463" s="83"/>
    </row>
    <row r="464" spans="1:2">
      <c r="A464" s="82"/>
      <c r="B464" s="83"/>
    </row>
    <row r="465" spans="1:2">
      <c r="A465" s="82"/>
      <c r="B465" s="83"/>
    </row>
    <row r="466" spans="1:2">
      <c r="A466" s="82"/>
      <c r="B466" s="83"/>
    </row>
    <row r="467" spans="1:2">
      <c r="A467" s="82"/>
      <c r="B467" s="83"/>
    </row>
    <row r="468" spans="1:2">
      <c r="A468" s="82"/>
      <c r="B468" s="83"/>
    </row>
    <row r="469" spans="1:2">
      <c r="A469" s="82"/>
      <c r="B469" s="83"/>
    </row>
    <row r="470" spans="1:2">
      <c r="A470" s="82"/>
      <c r="B470" s="83"/>
    </row>
    <row r="471" spans="1:2">
      <c r="A471" s="82"/>
      <c r="B471" s="83"/>
    </row>
    <row r="472" spans="1:2">
      <c r="A472" s="82"/>
      <c r="B472" s="83"/>
    </row>
    <row r="473" spans="1:2">
      <c r="A473" s="82"/>
      <c r="B473" s="83"/>
    </row>
    <row r="474" spans="1:2">
      <c r="A474" s="82"/>
      <c r="B474" s="83"/>
    </row>
    <row r="475" spans="1:2">
      <c r="A475" s="82"/>
      <c r="B475" s="83"/>
    </row>
    <row r="476" spans="1:2">
      <c r="A476" s="82"/>
      <c r="B476" s="83"/>
    </row>
    <row r="477" spans="1:2">
      <c r="A477" s="82"/>
      <c r="B477" s="83"/>
    </row>
    <row r="478" spans="1:2">
      <c r="A478" s="82"/>
      <c r="B478" s="83"/>
    </row>
    <row r="479" spans="1:2">
      <c r="A479" s="82"/>
      <c r="B479" s="83"/>
    </row>
    <row r="480" spans="1:2">
      <c r="A480" s="82"/>
      <c r="B480" s="83"/>
    </row>
    <row r="481" spans="1:2">
      <c r="A481" s="82"/>
      <c r="B481" s="83"/>
    </row>
    <row r="482" spans="1:2">
      <c r="A482" s="82"/>
      <c r="B482" s="83"/>
    </row>
    <row r="483" spans="1:2">
      <c r="A483" s="82"/>
      <c r="B483" s="83"/>
    </row>
    <row r="484" spans="1:2">
      <c r="A484" s="82"/>
      <c r="B484" s="83"/>
    </row>
    <row r="485" spans="1:2">
      <c r="A485" s="82"/>
      <c r="B485" s="83"/>
    </row>
    <row r="486" spans="1:2">
      <c r="A486" s="82"/>
      <c r="B486" s="83"/>
    </row>
    <row r="487" spans="1:2">
      <c r="A487" s="82"/>
      <c r="B487" s="83"/>
    </row>
    <row r="488" spans="1:2">
      <c r="A488" s="82"/>
      <c r="B488" s="83"/>
    </row>
    <row r="489" spans="1:2">
      <c r="A489" s="82"/>
      <c r="B489" s="83"/>
    </row>
    <row r="490" spans="1:2">
      <c r="A490" s="82"/>
      <c r="B490" s="83"/>
    </row>
    <row r="491" spans="1:2">
      <c r="A491" s="82"/>
      <c r="B491" s="83"/>
    </row>
    <row r="492" spans="1:2">
      <c r="A492" s="82"/>
      <c r="B492" s="83"/>
    </row>
    <row r="493" spans="1:2">
      <c r="A493" s="82"/>
      <c r="B493" s="83"/>
    </row>
    <row r="494" spans="1:2">
      <c r="A494" s="82"/>
      <c r="B494" s="83"/>
    </row>
    <row r="495" spans="1:2">
      <c r="A495" s="82"/>
      <c r="B495" s="83"/>
    </row>
    <row r="496" spans="1:2">
      <c r="A496" s="82"/>
      <c r="B496" s="83"/>
    </row>
    <row r="497" spans="1:2">
      <c r="A497" s="82"/>
      <c r="B497" s="83"/>
    </row>
    <row r="498" spans="1:2">
      <c r="A498" s="82"/>
      <c r="B498" s="83"/>
    </row>
    <row r="499" spans="1:2">
      <c r="A499" s="82"/>
      <c r="B499" s="83"/>
    </row>
    <row r="500" spans="1:2">
      <c r="A500" s="82"/>
      <c r="B500" s="83"/>
    </row>
    <row r="501" spans="1:2">
      <c r="A501" s="82"/>
      <c r="B501" s="83"/>
    </row>
    <row r="502" spans="1:2">
      <c r="A502" s="82"/>
      <c r="B502" s="83"/>
    </row>
    <row r="503" spans="1:2">
      <c r="A503" s="82"/>
      <c r="B503" s="83"/>
    </row>
    <row r="504" spans="1:2">
      <c r="A504" s="82"/>
      <c r="B504" s="83"/>
    </row>
    <row r="505" spans="1:2">
      <c r="A505" s="82"/>
      <c r="B505" s="83"/>
    </row>
    <row r="506" spans="1:2">
      <c r="A506" s="82"/>
      <c r="B506" s="83"/>
    </row>
    <row r="507" spans="1:2">
      <c r="A507" s="82"/>
      <c r="B507" s="83"/>
    </row>
    <row r="508" spans="1:2">
      <c r="A508" s="82"/>
      <c r="B508" s="83"/>
    </row>
    <row r="509" spans="1:2">
      <c r="A509" s="82"/>
      <c r="B509" s="83"/>
    </row>
    <row r="510" spans="1:2">
      <c r="A510" s="82"/>
      <c r="B510" s="83"/>
    </row>
    <row r="511" spans="1:2">
      <c r="A511" s="82"/>
      <c r="B511" s="83"/>
    </row>
    <row r="512" spans="1:2">
      <c r="A512" s="82"/>
      <c r="B512" s="83"/>
    </row>
    <row r="513" spans="1:2">
      <c r="A513" s="82"/>
      <c r="B513" s="83"/>
    </row>
    <row r="514" spans="1:2">
      <c r="A514" s="82"/>
      <c r="B514" s="83"/>
    </row>
    <row r="515" spans="1:2">
      <c r="A515" s="82"/>
      <c r="B515" s="83"/>
    </row>
    <row r="516" spans="1:2">
      <c r="A516" s="82"/>
      <c r="B516" s="83"/>
    </row>
    <row r="517" spans="1:2">
      <c r="A517" s="82"/>
      <c r="B517" s="83"/>
    </row>
    <row r="518" spans="1:2">
      <c r="A518" s="82"/>
      <c r="B518" s="83"/>
    </row>
    <row r="519" spans="1:2">
      <c r="A519" s="82"/>
      <c r="B519" s="83"/>
    </row>
    <row r="520" spans="1:2">
      <c r="A520" s="82"/>
      <c r="B520" s="83"/>
    </row>
    <row r="521" spans="1:2">
      <c r="A521" s="82"/>
      <c r="B521" s="83"/>
    </row>
    <row r="522" spans="1:2">
      <c r="A522" s="82"/>
      <c r="B522" s="83"/>
    </row>
    <row r="523" spans="1:2">
      <c r="A523" s="82"/>
      <c r="B523" s="83"/>
    </row>
    <row r="524" spans="1:2">
      <c r="A524" s="82"/>
      <c r="B524" s="83"/>
    </row>
    <row r="525" spans="1:2">
      <c r="A525" s="82"/>
      <c r="B525" s="83"/>
    </row>
    <row r="526" spans="1:2">
      <c r="A526" s="82"/>
      <c r="B526" s="83"/>
    </row>
    <row r="527" spans="1:2">
      <c r="A527" s="82"/>
      <c r="B527" s="83"/>
    </row>
    <row r="528" spans="1:2">
      <c r="A528" s="82"/>
      <c r="B528" s="83"/>
    </row>
    <row r="529" spans="1:2">
      <c r="A529" s="82"/>
      <c r="B529" s="83"/>
    </row>
    <row r="530" spans="1:2">
      <c r="A530" s="82"/>
      <c r="B530" s="83"/>
    </row>
    <row r="531" spans="1:2">
      <c r="A531" s="82"/>
      <c r="B531" s="83"/>
    </row>
    <row r="532" spans="1:2">
      <c r="A532" s="82"/>
      <c r="B532" s="83"/>
    </row>
    <row r="533" spans="1:2">
      <c r="A533" s="82"/>
      <c r="B533" s="83"/>
    </row>
    <row r="534" spans="1:2">
      <c r="A534" s="82"/>
      <c r="B534" s="83"/>
    </row>
    <row r="535" spans="1:2">
      <c r="A535" s="82"/>
      <c r="B535" s="83"/>
    </row>
    <row r="536" spans="1:2">
      <c r="A536" s="82"/>
      <c r="B536" s="83"/>
    </row>
    <row r="537" spans="1:2">
      <c r="A537" s="82"/>
      <c r="B537" s="83"/>
    </row>
    <row r="538" spans="1:2">
      <c r="A538" s="82"/>
      <c r="B538" s="83"/>
    </row>
    <row r="539" spans="1:2">
      <c r="A539" s="82"/>
      <c r="B539" s="83"/>
    </row>
    <row r="540" spans="1:2">
      <c r="A540" s="82"/>
      <c r="B540" s="83"/>
    </row>
    <row r="541" spans="1:2">
      <c r="A541" s="82"/>
      <c r="B541" s="83"/>
    </row>
    <row r="542" spans="1:2">
      <c r="A542" s="82"/>
      <c r="B542" s="83"/>
    </row>
    <row r="543" spans="1:2">
      <c r="A543" s="82"/>
      <c r="B543" s="83"/>
    </row>
    <row r="544" spans="1:2">
      <c r="A544" s="82"/>
      <c r="B544" s="83"/>
    </row>
    <row r="545" spans="1:2">
      <c r="A545" s="82"/>
      <c r="B545" s="83"/>
    </row>
    <row r="546" spans="1:2">
      <c r="A546" s="82"/>
      <c r="B546" s="83"/>
    </row>
    <row r="547" spans="1:2">
      <c r="A547" s="82"/>
      <c r="B547" s="83"/>
    </row>
    <row r="548" spans="1:2">
      <c r="A548" s="82"/>
      <c r="B548" s="83"/>
    </row>
    <row r="549" spans="1:2">
      <c r="A549" s="82"/>
      <c r="B549" s="83"/>
    </row>
    <row r="550" spans="1:2">
      <c r="A550" s="82"/>
      <c r="B550" s="83"/>
    </row>
    <row r="551" spans="1:2">
      <c r="A551" s="82"/>
      <c r="B551" s="83"/>
    </row>
    <row r="552" spans="1:2">
      <c r="A552" s="82"/>
      <c r="B552" s="83"/>
    </row>
    <row r="553" spans="1:2">
      <c r="A553" s="82"/>
      <c r="B553" s="83"/>
    </row>
    <row r="554" spans="1:2">
      <c r="A554" s="82"/>
      <c r="B554" s="83"/>
    </row>
    <row r="555" spans="1:2">
      <c r="A555" s="82"/>
      <c r="B555" s="83"/>
    </row>
    <row r="556" spans="1:2">
      <c r="A556" s="82"/>
      <c r="B556" s="83"/>
    </row>
    <row r="557" spans="1:2">
      <c r="A557" s="82"/>
      <c r="B557" s="83"/>
    </row>
    <row r="558" spans="1:2">
      <c r="A558" s="82"/>
      <c r="B558" s="83"/>
    </row>
    <row r="559" spans="1:2">
      <c r="A559" s="82"/>
      <c r="B559" s="83"/>
    </row>
    <row r="560" spans="1:2">
      <c r="A560" s="82"/>
      <c r="B560" s="83"/>
    </row>
    <row r="561" spans="1:2">
      <c r="A561" s="82"/>
      <c r="B561" s="83"/>
    </row>
    <row r="562" spans="1:2">
      <c r="A562" s="82"/>
      <c r="B562" s="83"/>
    </row>
    <row r="563" spans="1:2">
      <c r="A563" s="82"/>
      <c r="B563" s="83"/>
    </row>
    <row r="564" spans="1:2">
      <c r="A564" s="82"/>
      <c r="B564" s="83"/>
    </row>
    <row r="565" spans="1:2">
      <c r="A565" s="82"/>
      <c r="B565" s="83"/>
    </row>
    <row r="566" spans="1:2">
      <c r="A566" s="82"/>
      <c r="B566" s="83"/>
    </row>
    <row r="567" spans="1:2">
      <c r="A567" s="82"/>
      <c r="B567" s="83"/>
    </row>
    <row r="568" spans="1:2">
      <c r="A568" s="82"/>
      <c r="B568" s="83"/>
    </row>
    <row r="569" spans="1:2">
      <c r="A569" s="82"/>
      <c r="B569" s="83"/>
    </row>
    <row r="570" spans="1:2">
      <c r="A570" s="82"/>
      <c r="B570" s="83"/>
    </row>
    <row r="571" spans="1:2">
      <c r="A571" s="82"/>
      <c r="B571" s="83"/>
    </row>
    <row r="572" spans="1:2">
      <c r="A572" s="82"/>
      <c r="B572" s="83"/>
    </row>
    <row r="573" spans="1:2">
      <c r="A573" s="82"/>
      <c r="B573" s="83"/>
    </row>
    <row r="574" spans="1:2">
      <c r="A574" s="82"/>
      <c r="B574" s="83"/>
    </row>
    <row r="575" spans="1:2">
      <c r="A575" s="82"/>
      <c r="B575" s="83"/>
    </row>
    <row r="576" spans="1:2">
      <c r="A576" s="82"/>
      <c r="B576" s="83"/>
    </row>
    <row r="577" spans="1:2">
      <c r="A577" s="82"/>
      <c r="B577" s="83"/>
    </row>
    <row r="578" spans="1:2">
      <c r="A578" s="82"/>
      <c r="B578" s="83"/>
    </row>
    <row r="579" spans="1:2">
      <c r="A579" s="82"/>
      <c r="B579" s="83"/>
    </row>
    <row r="580" spans="1:2">
      <c r="A580" s="82"/>
      <c r="B580" s="83"/>
    </row>
    <row r="581" spans="1:2">
      <c r="A581" s="82"/>
      <c r="B581" s="83"/>
    </row>
    <row r="582" spans="1:2">
      <c r="A582" s="82"/>
      <c r="B582" s="83"/>
    </row>
    <row r="583" spans="1:2">
      <c r="A583" s="82"/>
      <c r="B583" s="83"/>
    </row>
    <row r="584" spans="1:2">
      <c r="A584" s="82"/>
      <c r="B584" s="83"/>
    </row>
    <row r="585" spans="1:2">
      <c r="A585" s="82"/>
      <c r="B585" s="83"/>
    </row>
    <row r="586" spans="1:2">
      <c r="A586" s="82"/>
      <c r="B586" s="83"/>
    </row>
    <row r="587" spans="1:2">
      <c r="A587" s="82"/>
      <c r="B587" s="83"/>
    </row>
    <row r="588" spans="1:2">
      <c r="A588" s="82"/>
      <c r="B588" s="83"/>
    </row>
    <row r="589" spans="1:2">
      <c r="A589" s="82"/>
      <c r="B589" s="83"/>
    </row>
    <row r="590" spans="1:2">
      <c r="A590" s="82"/>
      <c r="B590" s="83"/>
    </row>
    <row r="591" spans="1:2">
      <c r="A591" s="82"/>
      <c r="B591" s="83"/>
    </row>
    <row r="592" spans="1:2">
      <c r="A592" s="82"/>
      <c r="B592" s="83"/>
    </row>
    <row r="593" spans="1:2">
      <c r="A593" s="82"/>
      <c r="B593" s="83"/>
    </row>
    <row r="594" spans="1:2">
      <c r="A594" s="82"/>
      <c r="B594" s="83"/>
    </row>
    <row r="595" spans="1:2">
      <c r="A595" s="82"/>
      <c r="B595" s="83"/>
    </row>
    <row r="596" spans="1:2">
      <c r="A596" s="82"/>
      <c r="B596" s="83"/>
    </row>
    <row r="597" spans="1:2">
      <c r="A597" s="82"/>
      <c r="B597" s="83"/>
    </row>
    <row r="598" spans="1:2">
      <c r="A598" s="82"/>
      <c r="B598" s="83"/>
    </row>
    <row r="599" spans="1:2">
      <c r="A599" s="82"/>
      <c r="B599" s="83"/>
    </row>
    <row r="600" spans="1:2">
      <c r="A600" s="82"/>
      <c r="B600" s="83"/>
    </row>
    <row r="601" spans="1:2">
      <c r="A601" s="82"/>
      <c r="B601" s="83"/>
    </row>
    <row r="602" spans="1:2">
      <c r="A602" s="82"/>
      <c r="B602" s="83"/>
    </row>
    <row r="603" spans="1:2">
      <c r="A603" s="82"/>
      <c r="B603" s="83"/>
    </row>
    <row r="604" spans="1:2">
      <c r="A604" s="82"/>
      <c r="B604" s="83"/>
    </row>
    <row r="605" spans="1:2">
      <c r="A605" s="82"/>
      <c r="B605" s="83"/>
    </row>
    <row r="606" spans="1:2">
      <c r="A606" s="82"/>
      <c r="B606" s="83"/>
    </row>
    <row r="607" spans="1:2">
      <c r="A607" s="82"/>
      <c r="B607" s="83"/>
    </row>
    <row r="608" spans="1:2">
      <c r="A608" s="82"/>
      <c r="B608" s="83"/>
    </row>
    <row r="609" spans="1:2">
      <c r="A609" s="82"/>
      <c r="B609" s="83"/>
    </row>
    <row r="610" spans="1:2">
      <c r="A610" s="82"/>
      <c r="B610" s="83"/>
    </row>
    <row r="611" spans="1:2">
      <c r="A611" s="82"/>
      <c r="B611" s="83"/>
    </row>
    <row r="612" spans="1:2">
      <c r="A612" s="82"/>
      <c r="B612" s="83"/>
    </row>
    <row r="613" spans="1:2">
      <c r="A613" s="82"/>
      <c r="B613" s="83"/>
    </row>
    <row r="614" spans="1:2">
      <c r="A614" s="82"/>
      <c r="B614" s="83"/>
    </row>
    <row r="615" spans="1:2">
      <c r="A615" s="82"/>
      <c r="B615" s="83"/>
    </row>
    <row r="616" spans="1:2">
      <c r="A616" s="82"/>
      <c r="B616" s="83"/>
    </row>
    <row r="617" spans="1:2">
      <c r="A617" s="82"/>
      <c r="B617" s="83"/>
    </row>
    <row r="618" spans="1:2">
      <c r="A618" s="82"/>
      <c r="B618" s="83"/>
    </row>
    <row r="619" spans="1:2">
      <c r="A619" s="82"/>
      <c r="B619" s="83"/>
    </row>
    <row r="620" spans="1:2">
      <c r="A620" s="82"/>
      <c r="B620" s="83"/>
    </row>
    <row r="621" spans="1:2">
      <c r="A621" s="82"/>
      <c r="B621" s="83"/>
    </row>
    <row r="622" spans="1:2">
      <c r="A622" s="82"/>
      <c r="B622" s="83"/>
    </row>
    <row r="623" spans="1:2">
      <c r="A623" s="82"/>
      <c r="B623" s="83"/>
    </row>
    <row r="624" spans="1:2">
      <c r="A624" s="82"/>
      <c r="B624" s="83"/>
    </row>
    <row r="625" spans="1:2">
      <c r="A625" s="82"/>
      <c r="B625" s="83"/>
    </row>
    <row r="626" spans="1:2">
      <c r="A626" s="82"/>
      <c r="B626" s="83"/>
    </row>
    <row r="627" spans="1:2">
      <c r="A627" s="82"/>
      <c r="B627" s="83"/>
    </row>
    <row r="628" spans="1:2">
      <c r="A628" s="82"/>
      <c r="B628" s="83"/>
    </row>
    <row r="629" spans="1:2">
      <c r="A629" s="82"/>
      <c r="B629" s="83"/>
    </row>
    <row r="630" spans="1:2">
      <c r="A630" s="82"/>
      <c r="B630" s="83"/>
    </row>
    <row r="631" spans="1:2">
      <c r="A631" s="82"/>
      <c r="B631" s="83"/>
    </row>
    <row r="632" spans="1:2">
      <c r="A632" s="82"/>
      <c r="B632" s="83"/>
    </row>
    <row r="633" spans="1:2">
      <c r="A633" s="82"/>
      <c r="B633" s="83"/>
    </row>
    <row r="634" spans="1:2">
      <c r="A634" s="82"/>
      <c r="B634" s="83"/>
    </row>
    <row r="635" spans="1:2">
      <c r="A635" s="82"/>
      <c r="B635" s="83"/>
    </row>
    <row r="636" spans="1:2">
      <c r="A636" s="82"/>
      <c r="B636" s="83"/>
    </row>
    <row r="637" spans="1:2">
      <c r="A637" s="82"/>
      <c r="B637" s="83"/>
    </row>
    <row r="638" spans="1:2">
      <c r="A638" s="82"/>
      <c r="B638" s="83"/>
    </row>
    <row r="639" spans="1:2">
      <c r="A639" s="82"/>
      <c r="B639" s="83"/>
    </row>
    <row r="640" spans="1:2">
      <c r="A640" s="82"/>
      <c r="B640" s="83"/>
    </row>
    <row r="641" spans="1:2">
      <c r="A641" s="82"/>
      <c r="B641" s="83"/>
    </row>
    <row r="642" spans="1:2">
      <c r="A642" s="82"/>
      <c r="B642" s="83"/>
    </row>
    <row r="643" spans="1:2">
      <c r="A643" s="82"/>
      <c r="B643" s="83"/>
    </row>
    <row r="644" spans="1:2">
      <c r="A644" s="82"/>
      <c r="B644" s="83"/>
    </row>
    <row r="645" spans="1:2">
      <c r="A645" s="82"/>
      <c r="B645" s="83"/>
    </row>
    <row r="646" spans="1:2">
      <c r="A646" s="82"/>
      <c r="B646" s="83"/>
    </row>
    <row r="647" spans="1:2">
      <c r="A647" s="82"/>
      <c r="B647" s="83"/>
    </row>
    <row r="648" spans="1:2">
      <c r="A648" s="82"/>
      <c r="B648" s="83"/>
    </row>
    <row r="649" spans="1:2">
      <c r="A649" s="82"/>
      <c r="B649" s="83"/>
    </row>
    <row r="650" spans="1:2">
      <c r="A650" s="82"/>
      <c r="B650" s="83"/>
    </row>
    <row r="651" spans="1:2">
      <c r="A651" s="82"/>
      <c r="B651" s="83"/>
    </row>
    <row r="652" spans="1:2">
      <c r="A652" s="82"/>
      <c r="B652" s="83"/>
    </row>
    <row r="653" spans="1:2">
      <c r="A653" s="82"/>
      <c r="B653" s="83"/>
    </row>
    <row r="654" spans="1:2">
      <c r="A654" s="82"/>
      <c r="B654" s="83"/>
    </row>
    <row r="655" spans="1:2">
      <c r="A655" s="82"/>
      <c r="B655" s="83"/>
    </row>
    <row r="656" spans="1:2">
      <c r="A656" s="82"/>
      <c r="B656" s="83"/>
    </row>
    <row r="657" spans="1:4">
      <c r="A657" s="82"/>
      <c r="B657" s="83"/>
    </row>
    <row r="658" spans="1:4">
      <c r="A658" s="82"/>
      <c r="B658" s="83"/>
    </row>
    <row r="659" spans="1:4">
      <c r="A659" s="82"/>
      <c r="B659" s="83"/>
    </row>
    <row r="660" spans="1:4">
      <c r="A660" s="82"/>
      <c r="B660" s="83"/>
    </row>
    <row r="661" spans="1:4">
      <c r="A661" s="82"/>
      <c r="B661" s="83"/>
      <c r="D661" s="84"/>
    </row>
    <row r="662" spans="1:4">
      <c r="A662" s="82"/>
      <c r="B662" s="83"/>
    </row>
    <row r="663" spans="1:4">
      <c r="A663" s="82"/>
      <c r="B663" s="83"/>
    </row>
    <row r="664" spans="1:4">
      <c r="A664" s="82"/>
      <c r="B664" s="83"/>
    </row>
    <row r="665" spans="1:4">
      <c r="A665" s="82"/>
      <c r="B665" s="83"/>
    </row>
    <row r="666" spans="1:4">
      <c r="A666" s="82"/>
      <c r="B666" s="83"/>
    </row>
    <row r="667" spans="1:4">
      <c r="A667" s="82"/>
      <c r="B667" s="83"/>
    </row>
    <row r="668" spans="1:4">
      <c r="A668" s="82"/>
      <c r="B668" s="83"/>
    </row>
    <row r="669" spans="1:4">
      <c r="A669" s="82"/>
      <c r="B669" s="83"/>
    </row>
    <row r="670" spans="1:4">
      <c r="A670" s="82"/>
      <c r="B670" s="83"/>
    </row>
    <row r="671" spans="1:4">
      <c r="A671" s="82"/>
      <c r="B671" s="83"/>
    </row>
    <row r="672" spans="1:4">
      <c r="A672" s="82"/>
      <c r="B672" s="83"/>
    </row>
    <row r="673" spans="1:2">
      <c r="A673" s="82"/>
      <c r="B673" s="83"/>
    </row>
    <row r="674" spans="1:2">
      <c r="A674" s="82"/>
      <c r="B674" s="83"/>
    </row>
    <row r="675" spans="1:2">
      <c r="A675" s="82"/>
      <c r="B675" s="83"/>
    </row>
    <row r="676" spans="1:2">
      <c r="A676" s="82"/>
      <c r="B676" s="83"/>
    </row>
    <row r="677" spans="1:2">
      <c r="A677" s="82"/>
      <c r="B677" s="83"/>
    </row>
    <row r="678" spans="1:2">
      <c r="A678" s="82"/>
      <c r="B678" s="83"/>
    </row>
    <row r="679" spans="1:2">
      <c r="A679" s="82"/>
      <c r="B679" s="83"/>
    </row>
    <row r="680" spans="1:2">
      <c r="A680" s="82"/>
      <c r="B680" s="83"/>
    </row>
    <row r="681" spans="1:2">
      <c r="A681" s="82"/>
      <c r="B681" s="83"/>
    </row>
    <row r="682" spans="1:2">
      <c r="A682" s="82"/>
      <c r="B682" s="83"/>
    </row>
    <row r="683" spans="1:2">
      <c r="A683" s="82"/>
      <c r="B683" s="83"/>
    </row>
    <row r="684" spans="1:2">
      <c r="A684" s="82"/>
      <c r="B684" s="83"/>
    </row>
    <row r="685" spans="1:2">
      <c r="A685" s="82"/>
      <c r="B685" s="83"/>
    </row>
    <row r="686" spans="1:2">
      <c r="A686" s="82"/>
      <c r="B686" s="83"/>
    </row>
    <row r="687" spans="1:2">
      <c r="A687" s="82"/>
      <c r="B687" s="83"/>
    </row>
    <row r="688" spans="1:2">
      <c r="A688" s="82"/>
      <c r="B688" s="83"/>
    </row>
    <row r="689" spans="1:2">
      <c r="A689" s="82"/>
      <c r="B689" s="83"/>
    </row>
    <row r="690" spans="1:2">
      <c r="A690" s="82"/>
      <c r="B690" s="83"/>
    </row>
    <row r="691" spans="1:2">
      <c r="A691" s="82"/>
      <c r="B691" s="83"/>
    </row>
    <row r="692" spans="1:2">
      <c r="A692" s="82"/>
      <c r="B692" s="83"/>
    </row>
    <row r="693" spans="1:2">
      <c r="A693" s="82"/>
      <c r="B693" s="83"/>
    </row>
    <row r="694" spans="1:2">
      <c r="A694" s="82"/>
      <c r="B694" s="83"/>
    </row>
    <row r="695" spans="1:2">
      <c r="A695" s="82"/>
      <c r="B695" s="83"/>
    </row>
    <row r="696" spans="1:2">
      <c r="A696" s="82"/>
      <c r="B696" s="83"/>
    </row>
    <row r="697" spans="1:2">
      <c r="A697" s="82"/>
      <c r="B697" s="83"/>
    </row>
    <row r="698" spans="1:2">
      <c r="A698" s="82"/>
      <c r="B698" s="83"/>
    </row>
    <row r="699" spans="1:2">
      <c r="A699" s="82"/>
      <c r="B699" s="83"/>
    </row>
    <row r="700" spans="1:2">
      <c r="A700" s="82"/>
      <c r="B700" s="83"/>
    </row>
    <row r="701" spans="1:2">
      <c r="A701" s="82"/>
      <c r="B701" s="83"/>
    </row>
    <row r="702" spans="1:2">
      <c r="A702" s="82"/>
      <c r="B702" s="83"/>
    </row>
    <row r="703" spans="1:2">
      <c r="A703" s="82"/>
      <c r="B703" s="83"/>
    </row>
    <row r="704" spans="1:2">
      <c r="A704" s="82"/>
      <c r="B704" s="83"/>
    </row>
    <row r="705" spans="1:2">
      <c r="A705" s="82"/>
      <c r="B705" s="83"/>
    </row>
    <row r="706" spans="1:2">
      <c r="A706" s="82"/>
      <c r="B706" s="83"/>
    </row>
    <row r="707" spans="1:2">
      <c r="A707" s="82"/>
      <c r="B707" s="83"/>
    </row>
    <row r="708" spans="1:2">
      <c r="A708" s="82"/>
      <c r="B708" s="83"/>
    </row>
    <row r="709" spans="1:2">
      <c r="A709" s="82"/>
      <c r="B709" s="83"/>
    </row>
    <row r="710" spans="1:2">
      <c r="A710" s="82"/>
      <c r="B710" s="83"/>
    </row>
    <row r="711" spans="1:2">
      <c r="A711" s="82"/>
      <c r="B711" s="83"/>
    </row>
    <row r="712" spans="1:2">
      <c r="A712" s="82"/>
      <c r="B712" s="83"/>
    </row>
    <row r="713" spans="1:2">
      <c r="A713" s="82"/>
      <c r="B713" s="83"/>
    </row>
    <row r="714" spans="1:2">
      <c r="A714" s="82"/>
      <c r="B714" s="83"/>
    </row>
    <row r="715" spans="1:2">
      <c r="A715" s="82"/>
      <c r="B715" s="83"/>
    </row>
    <row r="716" spans="1:2">
      <c r="A716" s="82"/>
      <c r="B716" s="83"/>
    </row>
    <row r="717" spans="1:2">
      <c r="A717" s="82"/>
      <c r="B717" s="83"/>
    </row>
    <row r="718" spans="1:2">
      <c r="A718" s="82"/>
      <c r="B718" s="83"/>
    </row>
    <row r="719" spans="1:2">
      <c r="A719" s="82"/>
      <c r="B719" s="83"/>
    </row>
    <row r="720" spans="1:2">
      <c r="A720" s="82"/>
      <c r="B720" s="83"/>
    </row>
    <row r="721" spans="1:2">
      <c r="A721" s="82"/>
      <c r="B721" s="83"/>
    </row>
    <row r="722" spans="1:2">
      <c r="A722" s="82"/>
      <c r="B722" s="83"/>
    </row>
    <row r="723" spans="1:2">
      <c r="A723" s="82"/>
      <c r="B723" s="83"/>
    </row>
    <row r="724" spans="1:2">
      <c r="A724" s="82"/>
      <c r="B724" s="83"/>
    </row>
    <row r="725" spans="1:2">
      <c r="A725" s="82"/>
      <c r="B725" s="83"/>
    </row>
    <row r="726" spans="1:2">
      <c r="A726" s="82"/>
      <c r="B726" s="83"/>
    </row>
    <row r="727" spans="1:2">
      <c r="A727" s="82"/>
      <c r="B727" s="83"/>
    </row>
    <row r="728" spans="1:2">
      <c r="A728" s="82"/>
      <c r="B728" s="83"/>
    </row>
    <row r="729" spans="1:2">
      <c r="A729" s="82"/>
      <c r="B729" s="83"/>
    </row>
    <row r="730" spans="1:2">
      <c r="A730" s="82"/>
      <c r="B730" s="83"/>
    </row>
    <row r="731" spans="1:2">
      <c r="A731" s="82"/>
      <c r="B731" s="83"/>
    </row>
    <row r="732" spans="1:2">
      <c r="A732" s="82"/>
      <c r="B732" s="83"/>
    </row>
    <row r="733" spans="1:2">
      <c r="A733" s="82"/>
      <c r="B733" s="83"/>
    </row>
    <row r="734" spans="1:2">
      <c r="A734" s="82"/>
      <c r="B734" s="83"/>
    </row>
    <row r="735" spans="1:2">
      <c r="A735" s="82"/>
      <c r="B735" s="83"/>
    </row>
    <row r="736" spans="1:2">
      <c r="A736" s="82"/>
      <c r="B736" s="83"/>
    </row>
    <row r="737" spans="1:2">
      <c r="A737" s="82"/>
      <c r="B737" s="83"/>
    </row>
    <row r="738" spans="1:2">
      <c r="A738" s="82"/>
      <c r="B738" s="83"/>
    </row>
    <row r="739" spans="1:2">
      <c r="A739" s="82"/>
      <c r="B739" s="83"/>
    </row>
    <row r="740" spans="1:2">
      <c r="A740" s="82"/>
      <c r="B740" s="83"/>
    </row>
    <row r="741" spans="1:2">
      <c r="A741" s="82"/>
      <c r="B741" s="83"/>
    </row>
    <row r="742" spans="1:2">
      <c r="A742" s="82"/>
      <c r="B742" s="83"/>
    </row>
    <row r="743" spans="1:2">
      <c r="A743" s="82"/>
      <c r="B743" s="83"/>
    </row>
    <row r="744" spans="1:2">
      <c r="A744" s="82"/>
      <c r="B744" s="83"/>
    </row>
    <row r="745" spans="1:2">
      <c r="A745" s="82"/>
      <c r="B745" s="83"/>
    </row>
    <row r="746" spans="1:2">
      <c r="A746" s="82"/>
      <c r="B746" s="83"/>
    </row>
    <row r="747" spans="1:2">
      <c r="A747" s="82"/>
      <c r="B747" s="83"/>
    </row>
    <row r="748" spans="1:2">
      <c r="A748" s="82"/>
      <c r="B748" s="83"/>
    </row>
    <row r="749" spans="1:2">
      <c r="A749" s="82"/>
      <c r="B749" s="83"/>
    </row>
    <row r="750" spans="1:2">
      <c r="A750" s="82"/>
      <c r="B750" s="83"/>
    </row>
    <row r="751" spans="1:2">
      <c r="A751" s="82"/>
      <c r="B751" s="83"/>
    </row>
    <row r="752" spans="1:2">
      <c r="A752" s="82"/>
      <c r="B752" s="83"/>
    </row>
    <row r="753" spans="1:2">
      <c r="A753" s="82"/>
      <c r="B753" s="83"/>
    </row>
    <row r="754" spans="1:2">
      <c r="A754" s="82"/>
      <c r="B754" s="83"/>
    </row>
    <row r="755" spans="1:2">
      <c r="A755" s="82"/>
      <c r="B755" s="83"/>
    </row>
    <row r="756" spans="1:2">
      <c r="A756" s="82"/>
      <c r="B756" s="83"/>
    </row>
    <row r="757" spans="1:2">
      <c r="A757" s="82"/>
      <c r="B757" s="83"/>
    </row>
    <row r="758" spans="1:2">
      <c r="A758" s="82"/>
      <c r="B758" s="83"/>
    </row>
    <row r="759" spans="1:2">
      <c r="A759" s="82"/>
      <c r="B759" s="83"/>
    </row>
    <row r="760" spans="1:2">
      <c r="A760" s="82"/>
      <c r="B760" s="83"/>
    </row>
    <row r="761" spans="1:2">
      <c r="A761" s="82"/>
      <c r="B761" s="83"/>
    </row>
    <row r="762" spans="1:2">
      <c r="A762" s="82"/>
      <c r="B762" s="83"/>
    </row>
    <row r="763" spans="1:2">
      <c r="A763" s="82"/>
      <c r="B763" s="83"/>
    </row>
    <row r="764" spans="1:2">
      <c r="A764" s="82"/>
      <c r="B764" s="83"/>
    </row>
    <row r="765" spans="1:2">
      <c r="A765" s="82"/>
      <c r="B765" s="83"/>
    </row>
    <row r="766" spans="1:2">
      <c r="A766" s="82"/>
      <c r="B766" s="83"/>
    </row>
    <row r="767" spans="1:2">
      <c r="A767" s="82"/>
      <c r="B767" s="83"/>
    </row>
    <row r="768" spans="1:2">
      <c r="A768" s="82"/>
      <c r="B768" s="83"/>
    </row>
    <row r="769" spans="1:2">
      <c r="A769" s="82"/>
      <c r="B769" s="83"/>
    </row>
    <row r="770" spans="1:2">
      <c r="A770" s="82"/>
      <c r="B770" s="83"/>
    </row>
    <row r="771" spans="1:2">
      <c r="A771" s="82"/>
      <c r="B771" s="83"/>
    </row>
    <row r="772" spans="1:2">
      <c r="A772" s="82"/>
      <c r="B772" s="83"/>
    </row>
    <row r="773" spans="1:2">
      <c r="A773" s="82"/>
      <c r="B773" s="83"/>
    </row>
    <row r="774" spans="1:2">
      <c r="A774" s="82"/>
      <c r="B774" s="83"/>
    </row>
    <row r="775" spans="1:2">
      <c r="A775" s="82"/>
      <c r="B775" s="83"/>
    </row>
    <row r="776" spans="1:2">
      <c r="A776" s="82"/>
      <c r="B776" s="83"/>
    </row>
    <row r="777" spans="1:2">
      <c r="A777" s="82"/>
      <c r="B777" s="83"/>
    </row>
    <row r="778" spans="1:2">
      <c r="A778" s="82"/>
      <c r="B778" s="83"/>
    </row>
    <row r="779" spans="1:2">
      <c r="A779" s="82"/>
      <c r="B779" s="83"/>
    </row>
    <row r="780" spans="1:2">
      <c r="A780" s="82"/>
      <c r="B780" s="83"/>
    </row>
    <row r="781" spans="1:2">
      <c r="A781" s="82"/>
      <c r="B781" s="83"/>
    </row>
    <row r="782" spans="1:2">
      <c r="A782" s="82"/>
      <c r="B782" s="83"/>
    </row>
    <row r="783" spans="1:2">
      <c r="A783" s="82"/>
      <c r="B783" s="83"/>
    </row>
    <row r="784" spans="1:2">
      <c r="A784" s="82"/>
      <c r="B784" s="83"/>
    </row>
    <row r="785" spans="1:2">
      <c r="A785" s="82"/>
      <c r="B785" s="83"/>
    </row>
    <row r="786" spans="1:2">
      <c r="A786" s="82"/>
      <c r="B786" s="83"/>
    </row>
    <row r="787" spans="1:2">
      <c r="A787" s="82"/>
      <c r="B787" s="83"/>
    </row>
    <row r="788" spans="1:2">
      <c r="A788" s="82"/>
      <c r="B788" s="83"/>
    </row>
    <row r="789" spans="1:2">
      <c r="A789" s="82"/>
      <c r="B789" s="83"/>
    </row>
    <row r="790" spans="1:2">
      <c r="A790" s="82"/>
      <c r="B790" s="83"/>
    </row>
    <row r="791" spans="1:2">
      <c r="A791" s="82"/>
      <c r="B791" s="83"/>
    </row>
    <row r="792" spans="1:2">
      <c r="A792" s="82"/>
      <c r="B792" s="83"/>
    </row>
    <row r="793" spans="1:2">
      <c r="A793" s="82"/>
      <c r="B793" s="83"/>
    </row>
    <row r="794" spans="1:2">
      <c r="A794" s="82"/>
      <c r="B794" s="83"/>
    </row>
    <row r="795" spans="1:2">
      <c r="A795" s="82"/>
      <c r="B795" s="83"/>
    </row>
    <row r="796" spans="1:2">
      <c r="A796" s="82"/>
      <c r="B796" s="83"/>
    </row>
    <row r="797" spans="1:2">
      <c r="A797" s="82"/>
      <c r="B797" s="83"/>
    </row>
    <row r="798" spans="1:2">
      <c r="A798" s="82"/>
      <c r="B798" s="83"/>
    </row>
    <row r="799" spans="1:2">
      <c r="A799" s="82"/>
      <c r="B799" s="83"/>
    </row>
    <row r="800" spans="1:2">
      <c r="A800" s="82"/>
      <c r="B800" s="83"/>
    </row>
    <row r="801" spans="1:2">
      <c r="A801" s="82"/>
      <c r="B801" s="83"/>
    </row>
    <row r="802" spans="1:2">
      <c r="A802" s="82"/>
      <c r="B802" s="83"/>
    </row>
    <row r="803" spans="1:2">
      <c r="A803" s="82"/>
      <c r="B803" s="83"/>
    </row>
    <row r="804" spans="1:2">
      <c r="A804" s="82"/>
      <c r="B804" s="83"/>
    </row>
    <row r="805" spans="1:2">
      <c r="A805" s="82"/>
      <c r="B805" s="83"/>
    </row>
    <row r="806" spans="1:2">
      <c r="A806" s="82"/>
      <c r="B806" s="83"/>
    </row>
    <row r="807" spans="1:2">
      <c r="A807" s="82"/>
      <c r="B807" s="83"/>
    </row>
    <row r="808" spans="1:2">
      <c r="A808" s="82"/>
      <c r="B808" s="83"/>
    </row>
    <row r="809" spans="1:2">
      <c r="A809" s="82"/>
      <c r="B809" s="83"/>
    </row>
    <row r="810" spans="1:2">
      <c r="A810" s="82"/>
      <c r="B810" s="83"/>
    </row>
    <row r="811" spans="1:2">
      <c r="A811" s="82"/>
      <c r="B811" s="83"/>
    </row>
    <row r="812" spans="1:2">
      <c r="A812" s="82"/>
      <c r="B812" s="83"/>
    </row>
    <row r="813" spans="1:2">
      <c r="A813" s="82"/>
      <c r="B813" s="83"/>
    </row>
    <row r="814" spans="1:2">
      <c r="A814" s="82"/>
      <c r="B814" s="83"/>
    </row>
    <row r="815" spans="1:2">
      <c r="A815" s="82"/>
      <c r="B815" s="83"/>
    </row>
    <row r="816" spans="1:2">
      <c r="A816" s="82"/>
      <c r="B816" s="83"/>
    </row>
    <row r="817" spans="1:2">
      <c r="A817" s="82"/>
      <c r="B817" s="83"/>
    </row>
    <row r="818" spans="1:2">
      <c r="A818" s="82"/>
      <c r="B818" s="83"/>
    </row>
    <row r="819" spans="1:2">
      <c r="A819" s="82"/>
      <c r="B819" s="83"/>
    </row>
    <row r="820" spans="1:2">
      <c r="A820" s="82"/>
      <c r="B820" s="83"/>
    </row>
    <row r="821" spans="1:2">
      <c r="A821" s="82"/>
      <c r="B821" s="83"/>
    </row>
    <row r="822" spans="1:2">
      <c r="A822" s="82"/>
      <c r="B822" s="83"/>
    </row>
    <row r="823" spans="1:2">
      <c r="A823" s="82"/>
      <c r="B823" s="83"/>
    </row>
    <row r="824" spans="1:2">
      <c r="A824" s="82"/>
      <c r="B824" s="83"/>
    </row>
    <row r="825" spans="1:2">
      <c r="A825" s="82"/>
      <c r="B825" s="83"/>
    </row>
    <row r="826" spans="1:2">
      <c r="A826" s="82"/>
      <c r="B826" s="83"/>
    </row>
    <row r="827" spans="1:2">
      <c r="A827" s="82"/>
      <c r="B827" s="83"/>
    </row>
    <row r="828" spans="1:2">
      <c r="A828" s="82"/>
      <c r="B828" s="83"/>
    </row>
    <row r="829" spans="1:2">
      <c r="A829" s="82"/>
      <c r="B829" s="83"/>
    </row>
    <row r="830" spans="1:2">
      <c r="A830" s="82"/>
      <c r="B830" s="83"/>
    </row>
    <row r="831" spans="1:2">
      <c r="A831" s="82"/>
      <c r="B831" s="83"/>
    </row>
    <row r="832" spans="1:2">
      <c r="A832" s="82"/>
      <c r="B832" s="83"/>
    </row>
    <row r="833" spans="1:2">
      <c r="A833" s="82"/>
      <c r="B833" s="83"/>
    </row>
    <row r="834" spans="1:2">
      <c r="A834" s="82"/>
      <c r="B834" s="83"/>
    </row>
    <row r="835" spans="1:2">
      <c r="A835" s="82"/>
      <c r="B835" s="83"/>
    </row>
    <row r="836" spans="1:2">
      <c r="A836" s="82"/>
      <c r="B836" s="83"/>
    </row>
    <row r="837" spans="1:2">
      <c r="A837" s="82"/>
      <c r="B837" s="83"/>
    </row>
    <row r="838" spans="1:2">
      <c r="A838" s="82"/>
      <c r="B838" s="83"/>
    </row>
    <row r="839" spans="1:2">
      <c r="A839" s="82"/>
      <c r="B839" s="83"/>
    </row>
    <row r="840" spans="1:2">
      <c r="A840" s="82"/>
      <c r="B840" s="83"/>
    </row>
    <row r="841" spans="1:2">
      <c r="A841" s="82"/>
      <c r="B841" s="83"/>
    </row>
    <row r="842" spans="1:2">
      <c r="A842" s="82"/>
      <c r="B842" s="83"/>
    </row>
    <row r="843" spans="1:2">
      <c r="A843" s="82"/>
      <c r="B843" s="83"/>
    </row>
    <row r="844" spans="1:2">
      <c r="A844" s="82"/>
      <c r="B844" s="83"/>
    </row>
    <row r="845" spans="1:2">
      <c r="A845" s="82"/>
      <c r="B845" s="83"/>
    </row>
    <row r="846" spans="1:2">
      <c r="A846" s="82"/>
      <c r="B846" s="83"/>
    </row>
    <row r="847" spans="1:2">
      <c r="A847" s="82"/>
      <c r="B847" s="83"/>
    </row>
    <row r="848" spans="1:2">
      <c r="A848" s="82"/>
      <c r="B848" s="83"/>
    </row>
    <row r="849" spans="1:2">
      <c r="A849" s="82"/>
      <c r="B849" s="83"/>
    </row>
    <row r="850" spans="1:2">
      <c r="A850" s="82"/>
      <c r="B850" s="83"/>
    </row>
    <row r="851" spans="1:2">
      <c r="A851" s="82"/>
      <c r="B851" s="83"/>
    </row>
    <row r="852" spans="1:2">
      <c r="A852" s="82"/>
      <c r="B852" s="83"/>
    </row>
    <row r="853" spans="1:2">
      <c r="A853" s="82"/>
      <c r="B853" s="83"/>
    </row>
    <row r="854" spans="1:2">
      <c r="A854" s="82"/>
      <c r="B854" s="83"/>
    </row>
    <row r="855" spans="1:2">
      <c r="A855" s="82"/>
      <c r="B855" s="83"/>
    </row>
    <row r="856" spans="1:2">
      <c r="A856" s="82"/>
      <c r="B856" s="83"/>
    </row>
    <row r="857" spans="1:2">
      <c r="A857" s="82"/>
      <c r="B857" s="83"/>
    </row>
    <row r="858" spans="1:2">
      <c r="A858" s="82"/>
      <c r="B858" s="83"/>
    </row>
    <row r="859" spans="1:2">
      <c r="A859" s="82"/>
      <c r="B859" s="83"/>
    </row>
    <row r="860" spans="1:2">
      <c r="A860" s="82"/>
      <c r="B860" s="83"/>
    </row>
    <row r="861" spans="1:2">
      <c r="A861" s="82"/>
      <c r="B861" s="83"/>
    </row>
    <row r="862" spans="1:2">
      <c r="A862" s="82"/>
      <c r="B862" s="83"/>
    </row>
    <row r="863" spans="1:2">
      <c r="A863" s="82"/>
      <c r="B863" s="83"/>
    </row>
    <row r="864" spans="1:2">
      <c r="A864" s="82"/>
      <c r="B864" s="83"/>
    </row>
    <row r="865" spans="1:2">
      <c r="A865" s="82"/>
      <c r="B865" s="83"/>
    </row>
    <row r="866" spans="1:2">
      <c r="A866" s="82"/>
      <c r="B866" s="83"/>
    </row>
    <row r="867" spans="1:2">
      <c r="A867" s="82"/>
      <c r="B867" s="83"/>
    </row>
    <row r="868" spans="1:2">
      <c r="A868" s="82"/>
      <c r="B868" s="83"/>
    </row>
    <row r="869" spans="1:2">
      <c r="A869" s="82"/>
      <c r="B869" s="83"/>
    </row>
    <row r="870" spans="1:2">
      <c r="A870" s="82"/>
      <c r="B870" s="83"/>
    </row>
    <row r="871" spans="1:2">
      <c r="A871" s="82"/>
      <c r="B871" s="83"/>
    </row>
    <row r="872" spans="1:2">
      <c r="A872" s="82"/>
      <c r="B872" s="83"/>
    </row>
    <row r="873" spans="1:2">
      <c r="A873" s="82"/>
      <c r="B873" s="83"/>
    </row>
    <row r="874" spans="1:2">
      <c r="A874" s="82"/>
      <c r="B874" s="83"/>
    </row>
    <row r="875" spans="1:2">
      <c r="A875" s="82"/>
      <c r="B875" s="83"/>
    </row>
    <row r="876" spans="1:2">
      <c r="A876" s="82"/>
      <c r="B876" s="83"/>
    </row>
    <row r="877" spans="1:2">
      <c r="A877" s="82"/>
      <c r="B877" s="83"/>
    </row>
    <row r="878" spans="1:2">
      <c r="A878" s="82"/>
      <c r="B878" s="83"/>
    </row>
    <row r="879" spans="1:2">
      <c r="A879" s="82"/>
      <c r="B879" s="83"/>
    </row>
    <row r="880" spans="1:2">
      <c r="A880" s="82"/>
      <c r="B880" s="83"/>
    </row>
    <row r="881" spans="1:2">
      <c r="A881" s="82"/>
      <c r="B881" s="83"/>
    </row>
    <row r="882" spans="1:2">
      <c r="A882" s="82"/>
      <c r="B882" s="83"/>
    </row>
    <row r="883" spans="1:2">
      <c r="A883" s="82"/>
      <c r="B883" s="83"/>
    </row>
    <row r="884" spans="1:2">
      <c r="A884" s="82"/>
      <c r="B884" s="83"/>
    </row>
    <row r="885" spans="1:2">
      <c r="A885" s="82"/>
      <c r="B885" s="83"/>
    </row>
    <row r="886" spans="1:2">
      <c r="A886" s="82"/>
      <c r="B886" s="83"/>
    </row>
    <row r="887" spans="1:2">
      <c r="A887" s="82"/>
      <c r="B887" s="83"/>
    </row>
    <row r="888" spans="1:2">
      <c r="A888" s="82"/>
      <c r="B888" s="83"/>
    </row>
    <row r="889" spans="1:2">
      <c r="A889" s="82"/>
      <c r="B889" s="83"/>
    </row>
    <row r="890" spans="1:2">
      <c r="A890" s="82"/>
      <c r="B890" s="83"/>
    </row>
    <row r="891" spans="1:2">
      <c r="A891" s="82"/>
      <c r="B891" s="83"/>
    </row>
    <row r="892" spans="1:2">
      <c r="A892" s="82"/>
      <c r="B892" s="83"/>
    </row>
    <row r="893" spans="1:2">
      <c r="A893" s="82"/>
      <c r="B893" s="83"/>
    </row>
    <row r="894" spans="1:2">
      <c r="A894" s="82"/>
      <c r="B894" s="83"/>
    </row>
    <row r="895" spans="1:2">
      <c r="A895" s="82"/>
      <c r="B895" s="83"/>
    </row>
    <row r="896" spans="1:2">
      <c r="A896" s="82"/>
      <c r="B896" s="83"/>
    </row>
    <row r="897" spans="1:2">
      <c r="A897" s="82"/>
      <c r="B897" s="83"/>
    </row>
    <row r="898" spans="1:2">
      <c r="A898" s="82"/>
      <c r="B898" s="83"/>
    </row>
    <row r="899" spans="1:2">
      <c r="A899" s="82"/>
      <c r="B899" s="83"/>
    </row>
    <row r="900" spans="1:2">
      <c r="A900" s="82"/>
      <c r="B900" s="83"/>
    </row>
    <row r="901" spans="1:2">
      <c r="A901" s="82"/>
      <c r="B901" s="83"/>
    </row>
    <row r="902" spans="1:2">
      <c r="A902" s="82"/>
      <c r="B902" s="83"/>
    </row>
    <row r="903" spans="1:2">
      <c r="A903" s="82"/>
      <c r="B903" s="83"/>
    </row>
    <row r="904" spans="1:2">
      <c r="A904" s="82"/>
      <c r="B904" s="83"/>
    </row>
    <row r="905" spans="1:2">
      <c r="A905" s="82"/>
      <c r="B905" s="83"/>
    </row>
    <row r="906" spans="1:2">
      <c r="A906" s="82"/>
      <c r="B906" s="83"/>
    </row>
    <row r="907" spans="1:2">
      <c r="A907" s="82"/>
      <c r="B907" s="83"/>
    </row>
    <row r="908" spans="1:2">
      <c r="A908" s="82"/>
      <c r="B908" s="83"/>
    </row>
    <row r="909" spans="1:2">
      <c r="A909" s="82"/>
      <c r="B909" s="83"/>
    </row>
    <row r="910" spans="1:2">
      <c r="A910" s="82"/>
      <c r="B910" s="83"/>
    </row>
    <row r="911" spans="1:2">
      <c r="A911" s="82"/>
      <c r="B911" s="83"/>
    </row>
    <row r="912" spans="1:2">
      <c r="A912" s="82"/>
      <c r="B912" s="83"/>
    </row>
    <row r="913" spans="1:2">
      <c r="A913" s="82"/>
      <c r="B913" s="83"/>
    </row>
    <row r="914" spans="1:2">
      <c r="A914" s="82"/>
      <c r="B914" s="83"/>
    </row>
    <row r="915" spans="1:2">
      <c r="A915" s="82"/>
      <c r="B915" s="83"/>
    </row>
    <row r="916" spans="1:2">
      <c r="A916" s="82"/>
      <c r="B916" s="83"/>
    </row>
    <row r="917" spans="1:2">
      <c r="A917" s="82"/>
      <c r="B917" s="83"/>
    </row>
    <row r="918" spans="1:2">
      <c r="A918" s="82"/>
      <c r="B918" s="83"/>
    </row>
    <row r="919" spans="1:2">
      <c r="A919" s="82"/>
      <c r="B919" s="83"/>
    </row>
    <row r="920" spans="1:2">
      <c r="A920" s="82"/>
      <c r="B920" s="83"/>
    </row>
    <row r="921" spans="1:2">
      <c r="A921" s="82"/>
      <c r="B921" s="83"/>
    </row>
    <row r="922" spans="1:2">
      <c r="A922" s="82"/>
      <c r="B922" s="83"/>
    </row>
    <row r="923" spans="1:2">
      <c r="A923" s="82"/>
      <c r="B923" s="83"/>
    </row>
    <row r="924" spans="1:2">
      <c r="A924" s="82"/>
      <c r="B924" s="83"/>
    </row>
    <row r="925" spans="1:2">
      <c r="A925" s="82"/>
      <c r="B925" s="83"/>
    </row>
    <row r="926" spans="1:2">
      <c r="A926" s="82"/>
      <c r="B926" s="83"/>
    </row>
    <row r="927" spans="1:2">
      <c r="A927" s="82"/>
      <c r="B927" s="83"/>
    </row>
    <row r="928" spans="1:2">
      <c r="A928" s="82"/>
      <c r="B928" s="83"/>
    </row>
    <row r="929" spans="1:2">
      <c r="A929" s="82"/>
      <c r="B929" s="83"/>
    </row>
    <row r="930" spans="1:2">
      <c r="A930" s="82"/>
      <c r="B930" s="83"/>
    </row>
    <row r="931" spans="1:2">
      <c r="A931" s="82"/>
      <c r="B931" s="83"/>
    </row>
    <row r="932" spans="1:2">
      <c r="A932" s="82"/>
      <c r="B932" s="83"/>
    </row>
    <row r="933" spans="1:2">
      <c r="A933" s="82"/>
      <c r="B933" s="83"/>
    </row>
    <row r="934" spans="1:2">
      <c r="A934" s="82"/>
      <c r="B934" s="83"/>
    </row>
    <row r="935" spans="1:2">
      <c r="A935" s="82"/>
      <c r="B935" s="83"/>
    </row>
    <row r="936" spans="1:2">
      <c r="A936" s="82"/>
      <c r="B936" s="83"/>
    </row>
    <row r="937" spans="1:2">
      <c r="A937" s="82"/>
      <c r="B937" s="83"/>
    </row>
    <row r="938" spans="1:2">
      <c r="A938" s="82"/>
      <c r="B938" s="83"/>
    </row>
    <row r="939" spans="1:2">
      <c r="A939" s="82"/>
      <c r="B939" s="83"/>
    </row>
    <row r="940" spans="1:2">
      <c r="A940" s="82"/>
      <c r="B940" s="83"/>
    </row>
    <row r="941" spans="1:2">
      <c r="A941" s="82"/>
      <c r="B941" s="83"/>
    </row>
    <row r="942" spans="1:2">
      <c r="A942" s="82"/>
      <c r="B942" s="83"/>
    </row>
    <row r="943" spans="1:2">
      <c r="A943" s="82"/>
      <c r="B943" s="83"/>
    </row>
    <row r="944" spans="1:2">
      <c r="A944" s="82"/>
      <c r="B944" s="83"/>
    </row>
    <row r="945" spans="1:2">
      <c r="A945" s="82"/>
      <c r="B945" s="83"/>
    </row>
    <row r="946" spans="1:2">
      <c r="A946" s="82"/>
      <c r="B946" s="83"/>
    </row>
    <row r="947" spans="1:2">
      <c r="A947" s="82"/>
      <c r="B947" s="83"/>
    </row>
    <row r="948" spans="1:2">
      <c r="A948" s="82"/>
      <c r="B948" s="83"/>
    </row>
    <row r="949" spans="1:2">
      <c r="A949" s="82"/>
      <c r="B949" s="83"/>
    </row>
    <row r="950" spans="1:2">
      <c r="A950" s="82"/>
      <c r="B950" s="83"/>
    </row>
    <row r="951" spans="1:2">
      <c r="A951" s="82"/>
      <c r="B951" s="83"/>
    </row>
    <row r="952" spans="1:2">
      <c r="A952" s="82"/>
      <c r="B952" s="83"/>
    </row>
    <row r="953" spans="1:2">
      <c r="A953" s="82"/>
      <c r="B953" s="83"/>
    </row>
    <row r="954" spans="1:2">
      <c r="A954" s="82"/>
      <c r="B954" s="83"/>
    </row>
    <row r="955" spans="1:2">
      <c r="A955" s="82"/>
      <c r="B955" s="83"/>
    </row>
    <row r="956" spans="1:2">
      <c r="A956" s="82"/>
      <c r="B956" s="83"/>
    </row>
    <row r="957" spans="1:2">
      <c r="A957" s="82"/>
      <c r="B957" s="83"/>
    </row>
    <row r="958" spans="1:2">
      <c r="A958" s="82"/>
      <c r="B958" s="83"/>
    </row>
    <row r="959" spans="1:2">
      <c r="A959" s="82"/>
      <c r="B959" s="83"/>
    </row>
    <row r="960" spans="1:2">
      <c r="A960" s="82"/>
      <c r="B960" s="83"/>
    </row>
    <row r="961" spans="1:2">
      <c r="A961" s="82"/>
      <c r="B961" s="83"/>
    </row>
    <row r="962" spans="1:2">
      <c r="A962" s="82"/>
      <c r="B962" s="83"/>
    </row>
    <row r="963" spans="1:2">
      <c r="A963" s="82"/>
      <c r="B963" s="83"/>
    </row>
    <row r="964" spans="1:2">
      <c r="A964" s="82"/>
      <c r="B964" s="83"/>
    </row>
    <row r="965" spans="1:2">
      <c r="A965" s="82"/>
      <c r="B965" s="83"/>
    </row>
    <row r="966" spans="1:2">
      <c r="A966" s="82"/>
      <c r="B966" s="83"/>
    </row>
    <row r="967" spans="1:2">
      <c r="A967" s="82"/>
      <c r="B967" s="83"/>
    </row>
    <row r="968" spans="1:2">
      <c r="A968" s="82"/>
      <c r="B968" s="83"/>
    </row>
    <row r="969" spans="1:2">
      <c r="A969" s="82"/>
      <c r="B969" s="83"/>
    </row>
    <row r="970" spans="1:2">
      <c r="A970" s="82"/>
      <c r="B970" s="83"/>
    </row>
    <row r="971" spans="1:2">
      <c r="A971" s="82"/>
      <c r="B971" s="83"/>
    </row>
    <row r="972" spans="1:2">
      <c r="A972" s="82"/>
      <c r="B972" s="83"/>
    </row>
    <row r="973" spans="1:2">
      <c r="A973" s="82"/>
      <c r="B973" s="83"/>
    </row>
    <row r="974" spans="1:2">
      <c r="A974" s="82"/>
      <c r="B974" s="83"/>
    </row>
    <row r="975" spans="1:2">
      <c r="A975" s="82"/>
      <c r="B975" s="83"/>
    </row>
    <row r="976" spans="1:2">
      <c r="A976" s="82"/>
      <c r="B976" s="83"/>
    </row>
    <row r="977" spans="1:2">
      <c r="A977" s="82"/>
      <c r="B977" s="83"/>
    </row>
    <row r="978" spans="1:2">
      <c r="A978" s="82"/>
      <c r="B978" s="83"/>
    </row>
    <row r="979" spans="1:2">
      <c r="A979" s="82"/>
      <c r="B979" s="83"/>
    </row>
    <row r="980" spans="1:2">
      <c r="A980" s="82"/>
      <c r="B980" s="83"/>
    </row>
    <row r="981" spans="1:2">
      <c r="A981" s="82"/>
      <c r="B981" s="83"/>
    </row>
    <row r="982" spans="1:2">
      <c r="A982" s="82"/>
      <c r="B982" s="83"/>
    </row>
    <row r="983" spans="1:2">
      <c r="A983" s="82"/>
      <c r="B983" s="83"/>
    </row>
    <row r="984" spans="1:2">
      <c r="A984" s="82"/>
      <c r="B984" s="83"/>
    </row>
    <row r="985" spans="1:2">
      <c r="A985" s="82"/>
      <c r="B985" s="83"/>
    </row>
    <row r="986" spans="1:2">
      <c r="A986" s="82"/>
      <c r="B986" s="83"/>
    </row>
    <row r="987" spans="1:2">
      <c r="A987" s="82"/>
      <c r="B987" s="83"/>
    </row>
    <row r="988" spans="1:2">
      <c r="A988" s="82"/>
      <c r="B988" s="83"/>
    </row>
    <row r="989" spans="1:2">
      <c r="A989" s="82"/>
      <c r="B989" s="83"/>
    </row>
    <row r="990" spans="1:2">
      <c r="A990" s="82"/>
      <c r="B990" s="83"/>
    </row>
    <row r="991" spans="1:2">
      <c r="A991" s="82"/>
      <c r="B991" s="83"/>
    </row>
    <row r="992" spans="1:2">
      <c r="A992" s="82"/>
      <c r="B992" s="83"/>
    </row>
    <row r="993" spans="1:2">
      <c r="A993" s="82"/>
      <c r="B993" s="83"/>
    </row>
    <row r="994" spans="1:2">
      <c r="A994" s="82"/>
      <c r="B994" s="83"/>
    </row>
    <row r="995" spans="1:2">
      <c r="A995" s="82"/>
      <c r="B995" s="83"/>
    </row>
    <row r="996" spans="1:2">
      <c r="A996" s="82"/>
      <c r="B996" s="83"/>
    </row>
    <row r="997" spans="1:2">
      <c r="A997" s="82"/>
      <c r="B997" s="83"/>
    </row>
    <row r="998" spans="1:2">
      <c r="A998" s="82"/>
      <c r="B998" s="83"/>
    </row>
    <row r="999" spans="1:2">
      <c r="A999" s="82"/>
      <c r="B999" s="83"/>
    </row>
    <row r="1000" spans="1:2">
      <c r="A1000" s="82"/>
      <c r="B1000" s="83"/>
    </row>
    <row r="1001" spans="1:2">
      <c r="A1001" s="82"/>
      <c r="B1001" s="83"/>
    </row>
    <row r="1002" spans="1:2">
      <c r="A1002" s="82"/>
      <c r="B1002" s="83"/>
    </row>
    <row r="1003" spans="1:2">
      <c r="A1003" s="82"/>
      <c r="B1003" s="83"/>
    </row>
    <row r="1004" spans="1:2">
      <c r="A1004" s="82"/>
      <c r="B1004" s="83"/>
    </row>
    <row r="1005" spans="1:2">
      <c r="A1005" s="82"/>
      <c r="B1005" s="83"/>
    </row>
    <row r="1006" spans="1:2">
      <c r="A1006" s="82"/>
      <c r="B1006" s="83"/>
    </row>
    <row r="1007" spans="1:2">
      <c r="A1007" s="82"/>
      <c r="B1007" s="83"/>
    </row>
    <row r="1008" spans="1:2">
      <c r="A1008" s="82"/>
      <c r="B1008" s="83"/>
    </row>
    <row r="1009" spans="1:2">
      <c r="A1009" s="82"/>
      <c r="B1009" s="83"/>
    </row>
    <row r="1010" spans="1:2">
      <c r="A1010" s="82"/>
      <c r="B1010" s="83"/>
    </row>
    <row r="1011" spans="1:2">
      <c r="A1011" s="82"/>
      <c r="B1011" s="83"/>
    </row>
    <row r="1012" spans="1:2">
      <c r="A1012" s="82"/>
      <c r="B1012" s="83"/>
    </row>
    <row r="1013" spans="1:2">
      <c r="A1013" s="82"/>
      <c r="B1013" s="83"/>
    </row>
    <row r="1014" spans="1:2">
      <c r="A1014" s="82"/>
      <c r="B1014" s="83"/>
    </row>
    <row r="1015" spans="1:2">
      <c r="A1015" s="82"/>
      <c r="B1015" s="83"/>
    </row>
    <row r="1016" spans="1:2">
      <c r="A1016" s="82"/>
      <c r="B1016" s="83"/>
    </row>
    <row r="1017" spans="1:2">
      <c r="A1017" s="82"/>
      <c r="B1017" s="83"/>
    </row>
    <row r="1018" spans="1:2">
      <c r="A1018" s="82"/>
      <c r="B1018" s="83"/>
    </row>
    <row r="1019" spans="1:2">
      <c r="A1019" s="82"/>
      <c r="B1019" s="83"/>
    </row>
    <row r="1020" spans="1:2">
      <c r="A1020" s="82"/>
      <c r="B1020" s="83"/>
    </row>
    <row r="1021" spans="1:2">
      <c r="A1021" s="82"/>
      <c r="B1021" s="83"/>
    </row>
    <row r="1022" spans="1:2">
      <c r="A1022" s="82"/>
      <c r="B1022" s="83"/>
    </row>
    <row r="1023" spans="1:2">
      <c r="A1023" s="82"/>
      <c r="B1023" s="83"/>
    </row>
    <row r="1024" spans="1:2">
      <c r="A1024" s="82"/>
      <c r="B1024" s="83"/>
    </row>
    <row r="1025" spans="1:2">
      <c r="A1025" s="82"/>
      <c r="B1025" s="83"/>
    </row>
    <row r="1026" spans="1:2">
      <c r="A1026" s="82"/>
      <c r="B1026" s="83"/>
    </row>
    <row r="1027" spans="1:2">
      <c r="A1027" s="82"/>
      <c r="B1027" s="83"/>
    </row>
    <row r="1028" spans="1:2">
      <c r="A1028" s="82"/>
      <c r="B1028" s="83"/>
    </row>
    <row r="1029" spans="1:2">
      <c r="A1029" s="82"/>
      <c r="B1029" s="83"/>
    </row>
    <row r="1030" spans="1:2">
      <c r="A1030" s="82"/>
      <c r="B1030" s="83"/>
    </row>
    <row r="1031" spans="1:2">
      <c r="A1031" s="82"/>
      <c r="B1031" s="83"/>
    </row>
    <row r="1032" spans="1:2">
      <c r="A1032" s="82"/>
      <c r="B1032" s="83"/>
    </row>
    <row r="1033" spans="1:2">
      <c r="A1033" s="82"/>
      <c r="B1033" s="83"/>
    </row>
    <row r="1034" spans="1:2">
      <c r="A1034" s="82"/>
      <c r="B1034" s="83"/>
    </row>
    <row r="1035" spans="1:2">
      <c r="A1035" s="82"/>
      <c r="B1035" s="83"/>
    </row>
    <row r="1036" spans="1:2">
      <c r="A1036" s="82"/>
      <c r="B1036" s="83"/>
    </row>
    <row r="1037" spans="1:2">
      <c r="A1037" s="82"/>
      <c r="B1037" s="83"/>
    </row>
    <row r="1038" spans="1:2">
      <c r="A1038" s="82"/>
      <c r="B1038" s="83"/>
    </row>
    <row r="1039" spans="1:2">
      <c r="A1039" s="82"/>
      <c r="B1039" s="83"/>
    </row>
    <row r="1040" spans="1:2">
      <c r="A1040" s="82"/>
      <c r="B1040" s="83"/>
    </row>
    <row r="1041" spans="1:2">
      <c r="A1041" s="82"/>
      <c r="B1041" s="83"/>
    </row>
    <row r="1042" spans="1:2">
      <c r="A1042" s="82"/>
      <c r="B1042" s="83"/>
    </row>
    <row r="1043" spans="1:2">
      <c r="A1043" s="82"/>
      <c r="B1043" s="83"/>
    </row>
    <row r="1044" spans="1:2">
      <c r="A1044" s="82"/>
      <c r="B1044" s="83"/>
    </row>
    <row r="1045" spans="1:2">
      <c r="A1045" s="82"/>
      <c r="B1045" s="83"/>
    </row>
    <row r="1046" spans="1:2">
      <c r="A1046" s="82"/>
      <c r="B1046" s="83"/>
    </row>
    <row r="1047" spans="1:2">
      <c r="A1047" s="82"/>
      <c r="B1047" s="83"/>
    </row>
    <row r="1048" spans="1:2">
      <c r="A1048" s="82"/>
      <c r="B1048" s="83"/>
    </row>
    <row r="1049" spans="1:2">
      <c r="A1049" s="82"/>
      <c r="B1049" s="83"/>
    </row>
    <row r="1050" spans="1:2">
      <c r="A1050" s="82"/>
      <c r="B1050" s="83"/>
    </row>
    <row r="1051" spans="1:2">
      <c r="A1051" s="82"/>
      <c r="B1051" s="83"/>
    </row>
    <row r="1052" spans="1:2">
      <c r="A1052" s="82"/>
      <c r="B1052" s="83"/>
    </row>
    <row r="1053" spans="1:2">
      <c r="A1053" s="82"/>
      <c r="B1053" s="83"/>
    </row>
    <row r="1054" spans="1:2">
      <c r="A1054" s="82"/>
      <c r="B1054" s="83"/>
    </row>
    <row r="1055" spans="1:2">
      <c r="A1055" s="82"/>
      <c r="B1055" s="83"/>
    </row>
    <row r="1056" spans="1:2">
      <c r="A1056" s="82"/>
      <c r="B1056" s="83"/>
    </row>
    <row r="1057" spans="1:2">
      <c r="A1057" s="82"/>
      <c r="B1057" s="83"/>
    </row>
    <row r="1058" spans="1:2">
      <c r="A1058" s="82"/>
      <c r="B1058" s="83"/>
    </row>
    <row r="1059" spans="1:2">
      <c r="A1059" s="82"/>
      <c r="B1059" s="83"/>
    </row>
    <row r="1060" spans="1:2">
      <c r="A1060" s="82"/>
      <c r="B1060" s="83"/>
    </row>
    <row r="1061" spans="1:2">
      <c r="A1061" s="82"/>
      <c r="B1061" s="83"/>
    </row>
    <row r="1062" spans="1:2">
      <c r="A1062" s="82"/>
      <c r="B1062" s="83"/>
    </row>
    <row r="1063" spans="1:2">
      <c r="A1063" s="82"/>
      <c r="B1063" s="83"/>
    </row>
    <row r="1064" spans="1:2">
      <c r="A1064" s="82"/>
      <c r="B1064" s="83"/>
    </row>
    <row r="1065" spans="1:2">
      <c r="A1065" s="82"/>
      <c r="B1065" s="83"/>
    </row>
    <row r="1066" spans="1:2">
      <c r="A1066" s="82"/>
      <c r="B1066" s="83"/>
    </row>
    <row r="1067" spans="1:2">
      <c r="A1067" s="82"/>
      <c r="B1067" s="83"/>
    </row>
    <row r="1068" spans="1:2">
      <c r="A1068" s="82"/>
      <c r="B1068" s="83"/>
    </row>
    <row r="1069" spans="1:2">
      <c r="A1069" s="82"/>
      <c r="B1069" s="83"/>
    </row>
    <row r="1070" spans="1:2">
      <c r="A1070" s="82"/>
      <c r="B1070" s="83"/>
    </row>
    <row r="1071" spans="1:2">
      <c r="A1071" s="82"/>
      <c r="B1071" s="83"/>
    </row>
    <row r="1072" spans="1:2">
      <c r="A1072" s="82"/>
      <c r="B1072" s="83"/>
    </row>
    <row r="1073" spans="1:2">
      <c r="A1073" s="82"/>
      <c r="B1073" s="83"/>
    </row>
    <row r="1074" spans="1:2">
      <c r="A1074" s="82"/>
      <c r="B1074" s="83"/>
    </row>
    <row r="1075" spans="1:2">
      <c r="A1075" s="82"/>
      <c r="B1075" s="83"/>
    </row>
    <row r="1076" spans="1:2">
      <c r="A1076" s="82"/>
      <c r="B1076" s="83"/>
    </row>
    <row r="1077" spans="1:2">
      <c r="A1077" s="82"/>
      <c r="B1077" s="83"/>
    </row>
    <row r="1078" spans="1:2">
      <c r="A1078" s="82"/>
      <c r="B1078" s="83"/>
    </row>
    <row r="1079" spans="1:2">
      <c r="A1079" s="82"/>
      <c r="B1079" s="83"/>
    </row>
    <row r="1080" spans="1:2">
      <c r="A1080" s="82"/>
      <c r="B1080" s="83"/>
    </row>
    <row r="1081" spans="1:2">
      <c r="A1081" s="82"/>
      <c r="B1081" s="83"/>
    </row>
    <row r="1082" spans="1:2">
      <c r="A1082" s="82"/>
      <c r="B1082" s="83"/>
    </row>
    <row r="1083" spans="1:2">
      <c r="A1083" s="82"/>
      <c r="B1083" s="83"/>
    </row>
    <row r="1084" spans="1:2">
      <c r="A1084" s="82"/>
      <c r="B1084" s="83"/>
    </row>
    <row r="1085" spans="1:2">
      <c r="A1085" s="82"/>
      <c r="B1085" s="83"/>
    </row>
    <row r="1086" spans="1:2">
      <c r="A1086" s="82"/>
      <c r="B1086" s="83"/>
    </row>
    <row r="1087" spans="1:2">
      <c r="A1087" s="82"/>
      <c r="B1087" s="83"/>
    </row>
    <row r="1088" spans="1:2">
      <c r="A1088" s="82"/>
      <c r="B1088" s="83"/>
    </row>
    <row r="1089" spans="1:2">
      <c r="A1089" s="82"/>
      <c r="B1089" s="83"/>
    </row>
    <row r="1090" spans="1:2">
      <c r="A1090" s="82"/>
      <c r="B1090" s="83"/>
    </row>
    <row r="1091" spans="1:2">
      <c r="A1091" s="82"/>
      <c r="B1091" s="83"/>
    </row>
    <row r="1092" spans="1:2">
      <c r="A1092" s="82"/>
      <c r="B1092" s="83"/>
    </row>
    <row r="1093" spans="1:2">
      <c r="A1093" s="82"/>
      <c r="B1093" s="83"/>
    </row>
    <row r="1094" spans="1:2">
      <c r="A1094" s="82"/>
      <c r="B1094" s="83"/>
    </row>
    <row r="1095" spans="1:2">
      <c r="A1095" s="82"/>
      <c r="B1095" s="83"/>
    </row>
    <row r="1096" spans="1:2">
      <c r="A1096" s="82"/>
      <c r="B1096" s="83"/>
    </row>
    <row r="1097" spans="1:2">
      <c r="A1097" s="82"/>
      <c r="B1097" s="83"/>
    </row>
    <row r="1098" spans="1:2">
      <c r="A1098" s="82"/>
      <c r="B1098" s="83"/>
    </row>
    <row r="1099" spans="1:2">
      <c r="A1099" s="82"/>
      <c r="B1099" s="83"/>
    </row>
    <row r="1100" spans="1:2">
      <c r="A1100" s="82"/>
      <c r="B1100" s="83"/>
    </row>
    <row r="1101" spans="1:2">
      <c r="A1101" s="82"/>
      <c r="B1101" s="83"/>
    </row>
    <row r="1102" spans="1:2">
      <c r="A1102" s="82"/>
      <c r="B1102" s="83"/>
    </row>
    <row r="1103" spans="1:2">
      <c r="A1103" s="82"/>
      <c r="B1103" s="83"/>
    </row>
    <row r="1104" spans="1:2">
      <c r="A1104" s="82"/>
      <c r="B1104" s="83"/>
    </row>
    <row r="1105" spans="1:2">
      <c r="A1105" s="82"/>
      <c r="B1105" s="83"/>
    </row>
    <row r="1106" spans="1:2">
      <c r="A1106" s="82"/>
      <c r="B1106" s="83"/>
    </row>
    <row r="1107" spans="1:2">
      <c r="A1107" s="82"/>
      <c r="B1107" s="83"/>
    </row>
    <row r="1108" spans="1:2">
      <c r="A1108" s="82"/>
      <c r="B1108" s="83"/>
    </row>
    <row r="1109" spans="1:2">
      <c r="A1109" s="82"/>
      <c r="B1109" s="83"/>
    </row>
    <row r="1110" spans="1:2">
      <c r="A1110" s="82"/>
      <c r="B1110" s="83"/>
    </row>
    <row r="1111" spans="1:2">
      <c r="A1111" s="82"/>
      <c r="B1111" s="83"/>
    </row>
    <row r="1112" spans="1:2">
      <c r="A1112" s="82"/>
      <c r="B1112" s="83"/>
    </row>
    <row r="1113" spans="1:2">
      <c r="A1113" s="82"/>
      <c r="B1113" s="83"/>
    </row>
    <row r="1114" spans="1:2">
      <c r="A1114" s="82"/>
      <c r="B1114" s="83"/>
    </row>
    <row r="1115" spans="1:2">
      <c r="A1115" s="82"/>
      <c r="B1115" s="83"/>
    </row>
    <row r="1116" spans="1:2">
      <c r="A1116" s="82"/>
      <c r="B1116" s="83"/>
    </row>
    <row r="1117" spans="1:2">
      <c r="A1117" s="82"/>
      <c r="B1117" s="83"/>
    </row>
    <row r="1118" spans="1:2">
      <c r="A1118" s="82"/>
      <c r="B1118" s="83"/>
    </row>
    <row r="1119" spans="1:2">
      <c r="A1119" s="82"/>
      <c r="B1119" s="83"/>
    </row>
    <row r="1120" spans="1:2">
      <c r="A1120" s="82"/>
      <c r="B1120" s="83"/>
    </row>
    <row r="1121" spans="1:2">
      <c r="A1121" s="82"/>
      <c r="B1121" s="83"/>
    </row>
    <row r="1122" spans="1:2">
      <c r="A1122" s="82"/>
      <c r="B1122" s="83"/>
    </row>
    <row r="1123" spans="1:2">
      <c r="A1123" s="82"/>
      <c r="B1123" s="83"/>
    </row>
    <row r="1124" spans="1:2">
      <c r="A1124" s="82"/>
      <c r="B1124" s="83"/>
    </row>
    <row r="1125" spans="1:2">
      <c r="A1125" s="82"/>
      <c r="B1125" s="83"/>
    </row>
    <row r="1126" spans="1:2">
      <c r="A1126" s="82"/>
      <c r="B1126" s="83"/>
    </row>
    <row r="1127" spans="1:2">
      <c r="A1127" s="82"/>
      <c r="B1127" s="83"/>
    </row>
    <row r="1128" spans="1:2">
      <c r="A1128" s="82"/>
      <c r="B1128" s="83"/>
    </row>
    <row r="1129" spans="1:2">
      <c r="A1129" s="82"/>
      <c r="B1129" s="83"/>
    </row>
    <row r="1130" spans="1:2">
      <c r="A1130" s="82"/>
      <c r="B1130" s="83"/>
    </row>
    <row r="1131" spans="1:2">
      <c r="A1131" s="82"/>
      <c r="B1131" s="83"/>
    </row>
    <row r="1132" spans="1:2">
      <c r="A1132" s="82"/>
      <c r="B1132" s="83"/>
    </row>
    <row r="1133" spans="1:2">
      <c r="A1133" s="82"/>
      <c r="B1133" s="83"/>
    </row>
    <row r="1134" spans="1:2">
      <c r="A1134" s="82"/>
      <c r="B1134" s="83"/>
    </row>
    <row r="1135" spans="1:2">
      <c r="A1135" s="82"/>
      <c r="B1135" s="83"/>
    </row>
    <row r="1136" spans="1:2">
      <c r="A1136" s="82"/>
      <c r="B1136" s="83"/>
    </row>
    <row r="1137" spans="1:2">
      <c r="A1137" s="82"/>
      <c r="B1137" s="83"/>
    </row>
    <row r="1138" spans="1:2">
      <c r="A1138" s="82"/>
      <c r="B1138" s="83"/>
    </row>
    <row r="1139" spans="1:2">
      <c r="A1139" s="82"/>
      <c r="B1139" s="83"/>
    </row>
    <row r="1140" spans="1:2">
      <c r="A1140" s="82"/>
      <c r="B1140" s="83"/>
    </row>
    <row r="1141" spans="1:2">
      <c r="A1141" s="82"/>
      <c r="B1141" s="83"/>
    </row>
    <row r="1142" spans="1:2">
      <c r="A1142" s="82"/>
      <c r="B1142" s="83"/>
    </row>
    <row r="1143" spans="1:2">
      <c r="A1143" s="82"/>
      <c r="B1143" s="83"/>
    </row>
    <row r="1144" spans="1:2">
      <c r="A1144" s="82"/>
      <c r="B1144" s="83"/>
    </row>
    <row r="1145" spans="1:2">
      <c r="A1145" s="82"/>
      <c r="B1145" s="83"/>
    </row>
    <row r="1146" spans="1:2">
      <c r="A1146" s="82"/>
      <c r="B1146" s="83"/>
    </row>
    <row r="1147" spans="1:2">
      <c r="A1147" s="82"/>
      <c r="B1147" s="83"/>
    </row>
    <row r="1148" spans="1:2">
      <c r="A1148" s="82"/>
      <c r="B1148" s="83"/>
    </row>
    <row r="1149" spans="1:2">
      <c r="A1149" s="82"/>
      <c r="B1149" s="83"/>
    </row>
    <row r="1150" spans="1:2">
      <c r="A1150" s="82"/>
      <c r="B1150" s="83"/>
    </row>
    <row r="1151" spans="1:2">
      <c r="A1151" s="82"/>
      <c r="B1151" s="83"/>
    </row>
    <row r="1152" spans="1:2">
      <c r="A1152" s="82"/>
      <c r="B1152" s="83"/>
    </row>
    <row r="1153" spans="1:2">
      <c r="A1153" s="82"/>
      <c r="B1153" s="83"/>
    </row>
    <row r="1154" spans="1:2">
      <c r="A1154" s="82"/>
      <c r="B1154" s="83"/>
    </row>
    <row r="1155" spans="1:2">
      <c r="A1155" s="82"/>
      <c r="B1155" s="83"/>
    </row>
    <row r="1156" spans="1:2">
      <c r="A1156" s="82"/>
      <c r="B1156" s="83"/>
    </row>
    <row r="1157" spans="1:2">
      <c r="A1157" s="82"/>
      <c r="B1157" s="83"/>
    </row>
    <row r="1158" spans="1:2">
      <c r="A1158" s="82"/>
      <c r="B1158" s="83"/>
    </row>
    <row r="1159" spans="1:2">
      <c r="A1159" s="82"/>
      <c r="B1159" s="83"/>
    </row>
    <row r="1160" spans="1:2">
      <c r="A1160" s="82"/>
      <c r="B1160" s="83"/>
    </row>
    <row r="1161" spans="1:2">
      <c r="A1161" s="82"/>
      <c r="B1161" s="83"/>
    </row>
    <row r="1162" spans="1:2">
      <c r="A1162" s="82"/>
      <c r="B1162" s="83"/>
    </row>
    <row r="1163" spans="1:2">
      <c r="A1163" s="82"/>
      <c r="B1163" s="83"/>
    </row>
    <row r="1164" spans="1:2">
      <c r="A1164" s="82"/>
      <c r="B1164" s="83"/>
    </row>
    <row r="1165" spans="1:2">
      <c r="A1165" s="82"/>
      <c r="B1165" s="83"/>
    </row>
    <row r="1166" spans="1:2">
      <c r="A1166" s="82"/>
      <c r="B1166" s="83"/>
    </row>
    <row r="1167" spans="1:2">
      <c r="A1167" s="82"/>
      <c r="B1167" s="83"/>
    </row>
    <row r="1168" spans="1:2">
      <c r="A1168" s="82"/>
      <c r="B1168" s="83"/>
    </row>
    <row r="1169" spans="1:2">
      <c r="A1169" s="82"/>
      <c r="B1169" s="83"/>
    </row>
    <row r="1170" spans="1:2">
      <c r="A1170" s="82"/>
      <c r="B1170" s="83"/>
    </row>
    <row r="1171" spans="1:2">
      <c r="A1171" s="82"/>
      <c r="B1171" s="83"/>
    </row>
    <row r="1172" spans="1:2">
      <c r="A1172" s="82"/>
      <c r="B1172" s="83"/>
    </row>
    <row r="1173" spans="1:2">
      <c r="A1173" s="82"/>
      <c r="B1173" s="83"/>
    </row>
    <row r="1174" spans="1:2">
      <c r="A1174" s="82"/>
      <c r="B1174" s="83"/>
    </row>
    <row r="1175" spans="1:2">
      <c r="A1175" s="82"/>
      <c r="B1175" s="83"/>
    </row>
    <row r="1176" spans="1:2">
      <c r="A1176" s="82"/>
      <c r="B1176" s="83"/>
    </row>
    <row r="1177" spans="1:2">
      <c r="A1177" s="82"/>
      <c r="B1177" s="83"/>
    </row>
    <row r="1178" spans="1:2">
      <c r="A1178" s="82"/>
      <c r="B1178" s="83"/>
    </row>
    <row r="1179" spans="1:2">
      <c r="A1179" s="82"/>
      <c r="B1179" s="83"/>
    </row>
    <row r="1180" spans="1:2">
      <c r="A1180" s="82"/>
      <c r="B1180" s="83"/>
    </row>
    <row r="1181" spans="1:2">
      <c r="A1181" s="82"/>
      <c r="B1181" s="83"/>
    </row>
    <row r="1182" spans="1:2">
      <c r="A1182" s="82"/>
      <c r="B1182" s="83"/>
    </row>
    <row r="1183" spans="1:2">
      <c r="A1183" s="82"/>
      <c r="B1183" s="83"/>
    </row>
    <row r="1184" spans="1:2">
      <c r="A1184" s="82"/>
      <c r="B1184" s="83"/>
    </row>
    <row r="1185" spans="1:2">
      <c r="A1185" s="82"/>
      <c r="B1185" s="83"/>
    </row>
    <row r="1186" spans="1:2">
      <c r="A1186" s="82"/>
      <c r="B1186" s="83"/>
    </row>
    <row r="1187" spans="1:2">
      <c r="A1187" s="82"/>
      <c r="B1187" s="83"/>
    </row>
    <row r="1188" spans="1:2">
      <c r="A1188" s="82"/>
      <c r="B1188" s="83"/>
    </row>
    <row r="1189" spans="1:2">
      <c r="A1189" s="82"/>
      <c r="B1189" s="83"/>
    </row>
    <row r="1190" spans="1:2">
      <c r="A1190" s="82"/>
      <c r="B1190" s="83"/>
    </row>
    <row r="1191" spans="1:2">
      <c r="A1191" s="82"/>
      <c r="B1191" s="83"/>
    </row>
    <row r="1192" spans="1:2">
      <c r="A1192" s="82"/>
      <c r="B1192" s="83"/>
    </row>
    <row r="1193" spans="1:2">
      <c r="A1193" s="82"/>
      <c r="B1193" s="83"/>
    </row>
    <row r="1194" spans="1:2">
      <c r="A1194" s="82"/>
      <c r="B1194" s="83"/>
    </row>
    <row r="1195" spans="1:2">
      <c r="A1195" s="82"/>
      <c r="B1195" s="83"/>
    </row>
    <row r="1196" spans="1:2">
      <c r="A1196" s="82"/>
      <c r="B1196" s="83"/>
    </row>
    <row r="1197" spans="1:2">
      <c r="A1197" s="82"/>
      <c r="B1197" s="83"/>
    </row>
    <row r="1198" spans="1:2">
      <c r="A1198" s="82"/>
      <c r="B1198" s="83"/>
    </row>
    <row r="1199" spans="1:2">
      <c r="A1199" s="82"/>
      <c r="B1199" s="83"/>
    </row>
    <row r="1200" spans="1:2">
      <c r="A1200" s="82"/>
      <c r="B1200" s="83"/>
    </row>
    <row r="1201" spans="1:2">
      <c r="A1201" s="82"/>
      <c r="B1201" s="83"/>
    </row>
    <row r="1202" spans="1:2">
      <c r="A1202" s="82"/>
      <c r="B1202" s="83"/>
    </row>
    <row r="1203" spans="1:2">
      <c r="A1203" s="82"/>
      <c r="B1203" s="83"/>
    </row>
    <row r="1204" spans="1:2">
      <c r="A1204" s="82"/>
      <c r="B1204" s="83"/>
    </row>
    <row r="1205" spans="1:2">
      <c r="A1205" s="82"/>
      <c r="B1205" s="83"/>
    </row>
    <row r="1206" spans="1:2">
      <c r="A1206" s="82"/>
      <c r="B1206" s="83"/>
    </row>
    <row r="1207" spans="1:2">
      <c r="A1207" s="82"/>
      <c r="B1207" s="83"/>
    </row>
    <row r="1208" spans="1:2">
      <c r="A1208" s="82"/>
      <c r="B1208" s="83"/>
    </row>
    <row r="1209" spans="1:2">
      <c r="A1209" s="82"/>
      <c r="B1209" s="83"/>
    </row>
    <row r="1210" spans="1:2">
      <c r="A1210" s="82"/>
      <c r="B1210" s="83"/>
    </row>
    <row r="1211" spans="1:2">
      <c r="A1211" s="82"/>
      <c r="B1211" s="83"/>
    </row>
    <row r="1212" spans="1:2">
      <c r="A1212" s="82"/>
      <c r="B1212" s="83"/>
    </row>
    <row r="1213" spans="1:2">
      <c r="A1213" s="82"/>
      <c r="B1213" s="83"/>
    </row>
    <row r="1214" spans="1:2">
      <c r="A1214" s="82"/>
      <c r="B1214" s="83"/>
    </row>
    <row r="1215" spans="1:2">
      <c r="A1215" s="82"/>
      <c r="B1215" s="83"/>
    </row>
    <row r="1216" spans="1:2">
      <c r="A1216" s="82"/>
      <c r="B1216" s="83"/>
    </row>
    <row r="1217" spans="1:2">
      <c r="A1217" s="82"/>
      <c r="B1217" s="83"/>
    </row>
    <row r="1218" spans="1:2">
      <c r="A1218" s="82"/>
      <c r="B1218" s="83"/>
    </row>
    <row r="1219" spans="1:2">
      <c r="A1219" s="82"/>
      <c r="B1219" s="83"/>
    </row>
    <row r="1220" spans="1:2">
      <c r="A1220" s="82"/>
      <c r="B1220" s="83"/>
    </row>
    <row r="1221" spans="1:2">
      <c r="A1221" s="82"/>
      <c r="B1221" s="83"/>
    </row>
    <row r="1222" spans="1:2">
      <c r="A1222" s="82"/>
      <c r="B1222" s="83"/>
    </row>
    <row r="1223" spans="1:2">
      <c r="A1223" s="82"/>
      <c r="B1223" s="83"/>
    </row>
    <row r="1224" spans="1:2">
      <c r="A1224" s="82"/>
      <c r="B1224" s="83"/>
    </row>
    <row r="1225" spans="1:2">
      <c r="A1225" s="82"/>
      <c r="B1225" s="83"/>
    </row>
    <row r="1226" spans="1:2">
      <c r="A1226" s="82"/>
      <c r="B1226" s="83"/>
    </row>
    <row r="1227" spans="1:2">
      <c r="A1227" s="82"/>
      <c r="B1227" s="83"/>
    </row>
    <row r="1228" spans="1:2">
      <c r="A1228" s="82"/>
      <c r="B1228" s="83"/>
    </row>
    <row r="1229" spans="1:2">
      <c r="A1229" s="82"/>
      <c r="B1229" s="83"/>
    </row>
    <row r="1230" spans="1:2">
      <c r="A1230" s="82"/>
      <c r="B1230" s="83"/>
    </row>
    <row r="1231" spans="1:2">
      <c r="A1231" s="82"/>
      <c r="B1231" s="83"/>
    </row>
    <row r="1232" spans="1:2">
      <c r="A1232" s="82"/>
      <c r="B1232" s="83"/>
    </row>
    <row r="1233" spans="1:2">
      <c r="A1233" s="82"/>
      <c r="B1233" s="83"/>
    </row>
    <row r="1234" spans="1:2">
      <c r="A1234" s="82"/>
      <c r="B1234" s="83"/>
    </row>
    <row r="1235" spans="1:2">
      <c r="A1235" s="82"/>
      <c r="B1235" s="83"/>
    </row>
    <row r="1236" spans="1:2">
      <c r="A1236" s="82"/>
      <c r="B1236" s="83"/>
    </row>
    <row r="1237" spans="1:2">
      <c r="A1237" s="82"/>
      <c r="B1237" s="83"/>
    </row>
    <row r="1238" spans="1:2">
      <c r="A1238" s="82"/>
      <c r="B1238" s="83"/>
    </row>
    <row r="1239" spans="1:2">
      <c r="A1239" s="82"/>
      <c r="B1239" s="83"/>
    </row>
    <row r="1240" spans="1:2">
      <c r="A1240" s="82"/>
      <c r="B1240" s="83"/>
    </row>
    <row r="1241" spans="1:2">
      <c r="A1241" s="82"/>
      <c r="B1241" s="83"/>
    </row>
    <row r="1242" spans="1:2">
      <c r="A1242" s="82"/>
      <c r="B1242" s="83"/>
    </row>
    <row r="1243" spans="1:2">
      <c r="A1243" s="82"/>
      <c r="B1243" s="83"/>
    </row>
    <row r="1244" spans="1:2">
      <c r="A1244" s="82"/>
      <c r="B1244" s="83"/>
    </row>
    <row r="1245" spans="1:2">
      <c r="A1245" s="82"/>
      <c r="B1245" s="83"/>
    </row>
    <row r="1246" spans="1:2">
      <c r="A1246" s="82"/>
      <c r="B1246" s="83"/>
    </row>
    <row r="1247" spans="1:2">
      <c r="A1247" s="82"/>
      <c r="B1247" s="83"/>
    </row>
    <row r="1248" spans="1:2">
      <c r="A1248" s="82"/>
      <c r="B1248" s="83"/>
    </row>
    <row r="1249" spans="1:2">
      <c r="A1249" s="82"/>
      <c r="B1249" s="83"/>
    </row>
    <row r="1250" spans="1:2">
      <c r="A1250" s="82"/>
      <c r="B1250" s="83"/>
    </row>
    <row r="1251" spans="1:2">
      <c r="A1251" s="82"/>
      <c r="B1251" s="83"/>
    </row>
    <row r="1252" spans="1:2">
      <c r="A1252" s="82"/>
      <c r="B1252" s="83"/>
    </row>
    <row r="1253" spans="1:2">
      <c r="A1253" s="82"/>
      <c r="B1253" s="83"/>
    </row>
    <row r="1254" spans="1:2">
      <c r="A1254" s="82"/>
      <c r="B1254" s="83"/>
    </row>
    <row r="1255" spans="1:2">
      <c r="A1255" s="82"/>
      <c r="B1255" s="83"/>
    </row>
    <row r="1256" spans="1:2">
      <c r="A1256" s="82"/>
      <c r="B1256" s="83"/>
    </row>
    <row r="1257" spans="1:2">
      <c r="A1257" s="82"/>
      <c r="B1257" s="83"/>
    </row>
    <row r="1258" spans="1:2">
      <c r="A1258" s="82"/>
      <c r="B1258" s="83"/>
    </row>
    <row r="1259" spans="1:2">
      <c r="A1259" s="82"/>
      <c r="B1259" s="83"/>
    </row>
    <row r="1260" spans="1:2">
      <c r="A1260" s="82"/>
      <c r="B1260" s="83"/>
    </row>
    <row r="1261" spans="1:2">
      <c r="A1261" s="82"/>
      <c r="B1261" s="83"/>
    </row>
    <row r="1262" spans="1:2">
      <c r="A1262" s="82"/>
      <c r="B1262" s="83"/>
    </row>
    <row r="1263" spans="1:2">
      <c r="A1263" s="82"/>
      <c r="B1263" s="83"/>
    </row>
    <row r="1264" spans="1:2">
      <c r="A1264" s="82"/>
      <c r="B1264" s="83"/>
    </row>
    <row r="1265" spans="1:2">
      <c r="A1265" s="82"/>
      <c r="B1265" s="83"/>
    </row>
    <row r="1266" spans="1:2">
      <c r="A1266" s="82"/>
      <c r="B1266" s="83"/>
    </row>
    <row r="1267" spans="1:2">
      <c r="A1267" s="82"/>
      <c r="B1267" s="83"/>
    </row>
    <row r="1268" spans="1:2">
      <c r="A1268" s="82"/>
      <c r="B1268" s="83"/>
    </row>
    <row r="1269" spans="1:2">
      <c r="A1269" s="82"/>
      <c r="B1269" s="83"/>
    </row>
    <row r="1270" spans="1:2">
      <c r="A1270" s="82"/>
      <c r="B1270" s="83"/>
    </row>
    <row r="1271" spans="1:2">
      <c r="A1271" s="82"/>
      <c r="B1271" s="83"/>
    </row>
    <row r="1272" spans="1:2">
      <c r="A1272" s="82"/>
      <c r="B1272" s="83"/>
    </row>
    <row r="1273" spans="1:2">
      <c r="A1273" s="82"/>
      <c r="B1273" s="83"/>
    </row>
    <row r="1274" spans="1:2">
      <c r="A1274" s="82"/>
      <c r="B1274" s="83"/>
    </row>
    <row r="1275" spans="1:2">
      <c r="A1275" s="82"/>
      <c r="B1275" s="83"/>
    </row>
    <row r="1276" spans="1:2">
      <c r="A1276" s="82"/>
      <c r="B1276" s="83"/>
    </row>
    <row r="1277" spans="1:2">
      <c r="A1277" s="82"/>
      <c r="B1277" s="83"/>
    </row>
    <row r="1278" spans="1:2">
      <c r="A1278" s="82"/>
      <c r="B1278" s="83"/>
    </row>
    <row r="1279" spans="1:2">
      <c r="A1279" s="82"/>
      <c r="B1279" s="83"/>
    </row>
    <row r="1280" spans="1:2">
      <c r="A1280" s="82"/>
      <c r="B1280" s="83"/>
    </row>
    <row r="1281" spans="1:2">
      <c r="A1281" s="82"/>
      <c r="B1281" s="83"/>
    </row>
    <row r="1282" spans="1:2">
      <c r="A1282" s="82"/>
      <c r="B1282" s="83"/>
    </row>
    <row r="1283" spans="1:2">
      <c r="A1283" s="82"/>
      <c r="B1283" s="83"/>
    </row>
    <row r="1284" spans="1:2">
      <c r="A1284" s="82"/>
      <c r="B1284" s="83"/>
    </row>
    <row r="1285" spans="1:2">
      <c r="A1285" s="82"/>
      <c r="B1285" s="83"/>
    </row>
    <row r="1286" spans="1:2">
      <c r="A1286" s="82"/>
      <c r="B1286" s="83"/>
    </row>
    <row r="1287" spans="1:2">
      <c r="A1287" s="82"/>
      <c r="B1287" s="83"/>
    </row>
    <row r="1288" spans="1:2">
      <c r="A1288" s="82"/>
      <c r="B1288" s="83"/>
    </row>
    <row r="1289" spans="1:2">
      <c r="A1289" s="82"/>
      <c r="B1289" s="83"/>
    </row>
    <row r="1290" spans="1:2">
      <c r="A1290" s="82"/>
      <c r="B1290" s="83"/>
    </row>
    <row r="1291" spans="1:2">
      <c r="A1291" s="82"/>
      <c r="B1291" s="83"/>
    </row>
    <row r="1292" spans="1:2">
      <c r="A1292" s="82"/>
      <c r="B1292" s="83"/>
    </row>
    <row r="1293" spans="1:2">
      <c r="A1293" s="82"/>
      <c r="B1293" s="83"/>
    </row>
    <row r="1294" spans="1:2">
      <c r="A1294" s="82"/>
      <c r="B1294" s="83"/>
    </row>
    <row r="1295" spans="1:2">
      <c r="A1295" s="82"/>
      <c r="B1295" s="83"/>
    </row>
    <row r="1296" spans="1:2">
      <c r="A1296" s="82"/>
      <c r="B1296" s="83"/>
    </row>
    <row r="1297" spans="1:2">
      <c r="A1297" s="82"/>
      <c r="B1297" s="83"/>
    </row>
    <row r="1298" spans="1:2">
      <c r="A1298" s="82"/>
      <c r="B1298" s="83"/>
    </row>
    <row r="1299" spans="1:2">
      <c r="A1299" s="82"/>
      <c r="B1299" s="83"/>
    </row>
    <row r="1300" spans="1:2">
      <c r="A1300" s="82"/>
      <c r="B1300" s="83"/>
    </row>
    <row r="1301" spans="1:2">
      <c r="A1301" s="82"/>
      <c r="B1301" s="83"/>
    </row>
    <row r="1302" spans="1:2">
      <c r="A1302" s="82"/>
      <c r="B1302" s="83"/>
    </row>
    <row r="1303" spans="1:2">
      <c r="A1303" s="82"/>
      <c r="B1303" s="83"/>
    </row>
    <row r="1304" spans="1:2">
      <c r="A1304" s="82"/>
      <c r="B1304" s="83"/>
    </row>
    <row r="1305" spans="1:2">
      <c r="A1305" s="82"/>
      <c r="B1305" s="83"/>
    </row>
    <row r="1306" spans="1:2">
      <c r="A1306" s="82"/>
      <c r="B1306" s="83"/>
    </row>
    <row r="1307" spans="1:2">
      <c r="A1307" s="82"/>
      <c r="B1307" s="83"/>
    </row>
    <row r="1308" spans="1:2">
      <c r="A1308" s="82"/>
      <c r="B1308" s="83"/>
    </row>
    <row r="1309" spans="1:2">
      <c r="A1309" s="82"/>
      <c r="B1309" s="83"/>
    </row>
    <row r="1310" spans="1:2">
      <c r="A1310" s="82"/>
      <c r="B1310" s="83"/>
    </row>
    <row r="1311" spans="1:2">
      <c r="A1311" s="82"/>
      <c r="B1311" s="83"/>
    </row>
    <row r="1312" spans="1:2">
      <c r="A1312" s="82"/>
      <c r="B1312" s="83"/>
    </row>
    <row r="1313" spans="1:2">
      <c r="A1313" s="82"/>
      <c r="B1313" s="83"/>
    </row>
    <row r="1314" spans="1:2">
      <c r="A1314" s="82"/>
      <c r="B1314" s="83"/>
    </row>
    <row r="1315" spans="1:2">
      <c r="A1315" s="82"/>
      <c r="B1315" s="83"/>
    </row>
    <row r="1316" spans="1:2">
      <c r="A1316" s="82"/>
      <c r="B1316" s="83"/>
    </row>
    <row r="1317" spans="1:2">
      <c r="A1317" s="82"/>
      <c r="B1317" s="83"/>
    </row>
    <row r="1318" spans="1:2">
      <c r="A1318" s="82"/>
      <c r="B1318" s="83"/>
    </row>
    <row r="1319" spans="1:2">
      <c r="A1319" s="82"/>
      <c r="B1319" s="83"/>
    </row>
    <row r="1320" spans="1:2">
      <c r="A1320" s="82"/>
      <c r="B1320" s="83"/>
    </row>
    <row r="1321" spans="1:2">
      <c r="A1321" s="82"/>
      <c r="B1321" s="83"/>
    </row>
    <row r="1322" spans="1:2">
      <c r="A1322" s="82"/>
      <c r="B1322" s="83"/>
    </row>
    <row r="1323" spans="1:2">
      <c r="A1323" s="82"/>
      <c r="B1323" s="83"/>
    </row>
    <row r="1324" spans="1:2">
      <c r="A1324" s="82"/>
      <c r="B1324" s="83"/>
    </row>
    <row r="1325" spans="1:2">
      <c r="A1325" s="82"/>
      <c r="B1325" s="83"/>
    </row>
    <row r="1326" spans="1:2">
      <c r="A1326" s="82"/>
      <c r="B1326" s="83"/>
    </row>
    <row r="1327" spans="1:2">
      <c r="A1327" s="82"/>
      <c r="B1327" s="83"/>
    </row>
    <row r="1328" spans="1:2">
      <c r="A1328" s="82"/>
      <c r="B1328" s="83"/>
    </row>
    <row r="1329" spans="1:2">
      <c r="A1329" s="82"/>
      <c r="B1329" s="83"/>
    </row>
    <row r="1330" spans="1:2">
      <c r="A1330" s="82"/>
      <c r="B1330" s="83"/>
    </row>
    <row r="1331" spans="1:2">
      <c r="A1331" s="82"/>
      <c r="B1331" s="83"/>
    </row>
    <row r="1332" spans="1:2">
      <c r="A1332" s="82"/>
      <c r="B1332" s="83"/>
    </row>
    <row r="1333" spans="1:2">
      <c r="A1333" s="82"/>
      <c r="B1333" s="83"/>
    </row>
    <row r="1334" spans="1:2">
      <c r="A1334" s="82"/>
      <c r="B1334" s="83"/>
    </row>
    <row r="1335" spans="1:2">
      <c r="A1335" s="82"/>
      <c r="B1335" s="83"/>
    </row>
    <row r="1336" spans="1:2">
      <c r="A1336" s="82"/>
      <c r="B1336" s="83"/>
    </row>
    <row r="1337" spans="1:2">
      <c r="A1337" s="82"/>
      <c r="B1337" s="83"/>
    </row>
    <row r="1338" spans="1:2">
      <c r="A1338" s="82"/>
      <c r="B1338" s="83"/>
    </row>
    <row r="1339" spans="1:2">
      <c r="A1339" s="82"/>
      <c r="B1339" s="83"/>
    </row>
    <row r="1340" spans="1:2">
      <c r="A1340" s="82"/>
      <c r="B1340" s="83"/>
    </row>
    <row r="1341" spans="1:2">
      <c r="A1341" s="82"/>
      <c r="B1341" s="83"/>
    </row>
    <row r="1342" spans="1:2">
      <c r="A1342" s="82"/>
      <c r="B1342" s="83"/>
    </row>
    <row r="1343" spans="1:2">
      <c r="A1343" s="82"/>
      <c r="B1343" s="83"/>
    </row>
    <row r="1344" spans="1:2">
      <c r="A1344" s="82"/>
      <c r="B1344" s="83"/>
    </row>
    <row r="1345" spans="1:2">
      <c r="A1345" s="82"/>
      <c r="B1345" s="83"/>
    </row>
    <row r="1346" spans="1:2">
      <c r="A1346" s="82"/>
      <c r="B1346" s="83"/>
    </row>
    <row r="1347" spans="1:2">
      <c r="A1347" s="82"/>
      <c r="B1347" s="83"/>
    </row>
    <row r="1348" spans="1:2">
      <c r="A1348" s="82"/>
      <c r="B1348" s="83"/>
    </row>
    <row r="1349" spans="1:2">
      <c r="A1349" s="82"/>
      <c r="B1349" s="83"/>
    </row>
    <row r="1350" spans="1:2">
      <c r="A1350" s="82"/>
      <c r="B1350" s="83"/>
    </row>
    <row r="1351" spans="1:2">
      <c r="A1351" s="82"/>
      <c r="B1351" s="83"/>
    </row>
    <row r="1352" spans="1:2">
      <c r="A1352" s="82"/>
      <c r="B1352" s="83"/>
    </row>
    <row r="1353" spans="1:2">
      <c r="A1353" s="82"/>
      <c r="B1353" s="83"/>
    </row>
    <row r="1354" spans="1:2">
      <c r="A1354" s="82"/>
      <c r="B1354" s="83"/>
    </row>
    <row r="1355" spans="1:2">
      <c r="A1355" s="82"/>
      <c r="B1355" s="83"/>
    </row>
    <row r="1356" spans="1:2">
      <c r="A1356" s="82"/>
      <c r="B1356" s="83"/>
    </row>
    <row r="1357" spans="1:2">
      <c r="A1357" s="82"/>
      <c r="B1357" s="83"/>
    </row>
    <row r="1358" spans="1:2">
      <c r="A1358" s="82"/>
      <c r="B1358" s="83"/>
    </row>
    <row r="1359" spans="1:2">
      <c r="A1359" s="82"/>
      <c r="B1359" s="83"/>
    </row>
    <row r="1360" spans="1:2">
      <c r="A1360" s="82"/>
      <c r="B1360" s="83"/>
    </row>
    <row r="1361" spans="1:2">
      <c r="A1361" s="82"/>
      <c r="B1361" s="83"/>
    </row>
    <row r="1362" spans="1:2">
      <c r="A1362" s="82"/>
      <c r="B1362" s="83"/>
    </row>
    <row r="1363" spans="1:2">
      <c r="A1363" s="82"/>
      <c r="B1363" s="83"/>
    </row>
    <row r="1364" spans="1:2">
      <c r="A1364" s="82"/>
      <c r="B1364" s="83"/>
    </row>
    <row r="1365" spans="1:2">
      <c r="A1365" s="82"/>
      <c r="B1365" s="83"/>
    </row>
    <row r="1366" spans="1:2">
      <c r="A1366" s="82"/>
      <c r="B1366" s="83"/>
    </row>
    <row r="1367" spans="1:2">
      <c r="A1367" s="82"/>
      <c r="B1367" s="83"/>
    </row>
    <row r="1368" spans="1:2">
      <c r="A1368" s="82"/>
      <c r="B1368" s="83"/>
    </row>
    <row r="1369" spans="1:2">
      <c r="A1369" s="82"/>
      <c r="B1369" s="83"/>
    </row>
    <row r="1370" spans="1:2">
      <c r="A1370" s="82"/>
      <c r="B1370" s="83"/>
    </row>
    <row r="1371" spans="1:2">
      <c r="A1371" s="82"/>
      <c r="B1371" s="83"/>
    </row>
    <row r="1372" spans="1:2">
      <c r="A1372" s="82"/>
      <c r="B1372" s="83"/>
    </row>
    <row r="1373" spans="1:2">
      <c r="A1373" s="82"/>
      <c r="B1373" s="83"/>
    </row>
    <row r="1374" spans="1:2">
      <c r="A1374" s="82"/>
      <c r="B1374" s="83"/>
    </row>
    <row r="1375" spans="1:2">
      <c r="A1375" s="82"/>
      <c r="B1375" s="83"/>
    </row>
    <row r="1376" spans="1:2">
      <c r="A1376" s="82"/>
      <c r="B1376" s="83"/>
    </row>
    <row r="1377" spans="1:2">
      <c r="A1377" s="82"/>
      <c r="B1377" s="83"/>
    </row>
    <row r="1378" spans="1:2">
      <c r="A1378" s="82"/>
      <c r="B1378" s="83"/>
    </row>
    <row r="1379" spans="1:2">
      <c r="A1379" s="82"/>
      <c r="B1379" s="83"/>
    </row>
    <row r="1380" spans="1:2">
      <c r="A1380" s="82"/>
      <c r="B1380" s="83"/>
    </row>
    <row r="1381" spans="1:2">
      <c r="A1381" s="82"/>
      <c r="B1381" s="83"/>
    </row>
    <row r="1382" spans="1:2">
      <c r="A1382" s="82"/>
      <c r="B1382" s="83"/>
    </row>
    <row r="1383" spans="1:2">
      <c r="A1383" s="82"/>
      <c r="B1383" s="83"/>
    </row>
    <row r="1384" spans="1:2">
      <c r="A1384" s="82"/>
      <c r="B1384" s="83"/>
    </row>
    <row r="1385" spans="1:2">
      <c r="A1385" s="82"/>
      <c r="B1385" s="83"/>
    </row>
    <row r="1386" spans="1:2">
      <c r="A1386" s="82"/>
      <c r="B1386" s="83"/>
    </row>
    <row r="1387" spans="1:2">
      <c r="A1387" s="82"/>
      <c r="B1387" s="83"/>
    </row>
    <row r="1388" spans="1:2">
      <c r="A1388" s="82"/>
      <c r="B1388" s="83"/>
    </row>
    <row r="1389" spans="1:2">
      <c r="A1389" s="82"/>
      <c r="B1389" s="83"/>
    </row>
    <row r="1390" spans="1:2">
      <c r="A1390" s="82"/>
      <c r="B1390" s="83"/>
    </row>
    <row r="1391" spans="1:2">
      <c r="A1391" s="82"/>
      <c r="B1391" s="83"/>
    </row>
    <row r="1392" spans="1:2">
      <c r="A1392" s="82"/>
      <c r="B1392" s="83"/>
    </row>
    <row r="1393" spans="1:2">
      <c r="A1393" s="82"/>
      <c r="B1393" s="83"/>
    </row>
    <row r="1394" spans="1:2">
      <c r="A1394" s="82"/>
      <c r="B1394" s="83"/>
    </row>
    <row r="1395" spans="1:2">
      <c r="A1395" s="82"/>
      <c r="B1395" s="83"/>
    </row>
    <row r="1396" spans="1:2">
      <c r="A1396" s="82"/>
      <c r="B1396" s="83"/>
    </row>
    <row r="1397" spans="1:2">
      <c r="A1397" s="82"/>
      <c r="B1397" s="83"/>
    </row>
    <row r="1398" spans="1:2">
      <c r="A1398" s="82"/>
      <c r="B1398" s="83"/>
    </row>
    <row r="1399" spans="1:2">
      <c r="A1399" s="82"/>
      <c r="B1399" s="83"/>
    </row>
    <row r="1400" spans="1:2">
      <c r="A1400" s="82"/>
      <c r="B1400" s="83"/>
    </row>
    <row r="1401" spans="1:2">
      <c r="A1401" s="82"/>
      <c r="B1401" s="83"/>
    </row>
    <row r="1402" spans="1:2">
      <c r="A1402" s="82"/>
      <c r="B1402" s="83"/>
    </row>
    <row r="1403" spans="1:2">
      <c r="A1403" s="82"/>
      <c r="B1403" s="83"/>
    </row>
    <row r="1404" spans="1:2">
      <c r="A1404" s="82"/>
      <c r="B1404" s="83"/>
    </row>
    <row r="1405" spans="1:2">
      <c r="A1405" s="82"/>
      <c r="B1405" s="83"/>
    </row>
    <row r="1406" spans="1:2">
      <c r="A1406" s="82"/>
      <c r="B1406" s="83"/>
    </row>
    <row r="1407" spans="1:2">
      <c r="A1407" s="82"/>
      <c r="B1407" s="83"/>
    </row>
    <row r="1408" spans="1:2">
      <c r="A1408" s="82"/>
      <c r="B1408" s="83"/>
    </row>
    <row r="1409" spans="1:2">
      <c r="A1409" s="82"/>
      <c r="B1409" s="83"/>
    </row>
    <row r="1410" spans="1:2">
      <c r="A1410" s="82"/>
      <c r="B1410" s="83"/>
    </row>
    <row r="1411" spans="1:2">
      <c r="A1411" s="82"/>
      <c r="B1411" s="83"/>
    </row>
    <row r="1412" spans="1:2">
      <c r="A1412" s="82"/>
      <c r="B1412" s="83"/>
    </row>
    <row r="1413" spans="1:2">
      <c r="A1413" s="82"/>
      <c r="B1413" s="83"/>
    </row>
    <row r="1414" spans="1:2">
      <c r="A1414" s="82"/>
      <c r="B1414" s="83"/>
    </row>
    <row r="1415" spans="1:2">
      <c r="A1415" s="82"/>
      <c r="B1415" s="83"/>
    </row>
    <row r="1416" spans="1:2">
      <c r="A1416" s="82"/>
      <c r="B1416" s="83"/>
    </row>
    <row r="1417" spans="1:2">
      <c r="A1417" s="82"/>
      <c r="B1417" s="83"/>
    </row>
    <row r="1418" spans="1:2">
      <c r="A1418" s="82"/>
      <c r="B1418" s="83"/>
    </row>
    <row r="1419" spans="1:2">
      <c r="A1419" s="82"/>
      <c r="B1419" s="83"/>
    </row>
    <row r="1420" spans="1:2">
      <c r="A1420" s="82"/>
      <c r="B1420" s="83"/>
    </row>
    <row r="1421" spans="1:2">
      <c r="A1421" s="82"/>
      <c r="B1421" s="83"/>
    </row>
    <row r="1422" spans="1:2">
      <c r="A1422" s="82"/>
      <c r="B1422" s="83"/>
    </row>
    <row r="1423" spans="1:2">
      <c r="A1423" s="82"/>
      <c r="B1423" s="83"/>
    </row>
    <row r="1424" spans="1:2">
      <c r="A1424" s="82"/>
      <c r="B1424" s="83"/>
    </row>
    <row r="1425" spans="1:2">
      <c r="A1425" s="82"/>
      <c r="B1425" s="83"/>
    </row>
    <row r="1426" spans="1:2">
      <c r="A1426" s="82"/>
      <c r="B1426" s="83"/>
    </row>
    <row r="1427" spans="1:2">
      <c r="A1427" s="82"/>
      <c r="B1427" s="83"/>
    </row>
    <row r="1428" spans="1:2">
      <c r="A1428" s="82"/>
      <c r="B1428" s="83"/>
    </row>
    <row r="1429" spans="1:2">
      <c r="A1429" s="82"/>
      <c r="B1429" s="83"/>
    </row>
    <row r="1430" spans="1:2">
      <c r="A1430" s="82"/>
      <c r="B1430" s="83"/>
    </row>
    <row r="1431" spans="1:2">
      <c r="A1431" s="82"/>
      <c r="B1431" s="83"/>
    </row>
    <row r="1432" spans="1:2">
      <c r="A1432" s="82"/>
      <c r="B1432" s="83"/>
    </row>
    <row r="1433" spans="1:2">
      <c r="A1433" s="82"/>
      <c r="B1433" s="83"/>
    </row>
    <row r="1434" spans="1:2">
      <c r="A1434" s="82"/>
      <c r="B1434" s="83"/>
    </row>
    <row r="1435" spans="1:2">
      <c r="A1435" s="82"/>
      <c r="B1435" s="83"/>
    </row>
    <row r="1436" spans="1:2">
      <c r="A1436" s="82"/>
      <c r="B1436" s="83"/>
    </row>
    <row r="1437" spans="1:2">
      <c r="A1437" s="82"/>
      <c r="B1437" s="83"/>
    </row>
    <row r="1438" spans="1:2">
      <c r="A1438" s="82"/>
      <c r="B1438" s="83"/>
    </row>
    <row r="1439" spans="1:2">
      <c r="A1439" s="82"/>
      <c r="B1439" s="83"/>
    </row>
    <row r="1440" spans="1:2">
      <c r="A1440" s="82"/>
      <c r="B1440" s="83"/>
    </row>
    <row r="1441" spans="1:2">
      <c r="A1441" s="82"/>
      <c r="B1441" s="83"/>
    </row>
    <row r="1442" spans="1:2">
      <c r="A1442" s="82"/>
      <c r="B1442" s="83"/>
    </row>
    <row r="1443" spans="1:2">
      <c r="A1443" s="82"/>
      <c r="B1443" s="83"/>
    </row>
    <row r="1444" spans="1:2">
      <c r="A1444" s="82"/>
      <c r="B1444" s="83"/>
    </row>
    <row r="1445" spans="1:2">
      <c r="A1445" s="82"/>
      <c r="B1445" s="83"/>
    </row>
    <row r="1446" spans="1:2">
      <c r="A1446" s="82"/>
      <c r="B1446" s="83"/>
    </row>
    <row r="1447" spans="1:2">
      <c r="A1447" s="82"/>
      <c r="B1447" s="83"/>
    </row>
    <row r="1448" spans="1:2">
      <c r="A1448" s="82"/>
      <c r="B1448" s="83"/>
    </row>
    <row r="1449" spans="1:2">
      <c r="A1449" s="82"/>
      <c r="B1449" s="83"/>
    </row>
    <row r="1450" spans="1:2">
      <c r="A1450" s="82"/>
      <c r="B1450" s="83"/>
    </row>
    <row r="1451" spans="1:2">
      <c r="A1451" s="82"/>
      <c r="B1451" s="83"/>
    </row>
    <row r="1452" spans="1:2">
      <c r="A1452" s="82"/>
      <c r="B1452" s="83"/>
    </row>
    <row r="1453" spans="1:2">
      <c r="A1453" s="82"/>
      <c r="B1453" s="83"/>
    </row>
    <row r="1454" spans="1:2">
      <c r="A1454" s="82"/>
      <c r="B1454" s="83"/>
    </row>
    <row r="1455" spans="1:2">
      <c r="A1455" s="82"/>
      <c r="B1455" s="83"/>
    </row>
    <row r="1456" spans="1:2">
      <c r="A1456" s="82"/>
      <c r="B1456" s="83"/>
    </row>
    <row r="1457" spans="1:2">
      <c r="A1457" s="82"/>
      <c r="B1457" s="83"/>
    </row>
    <row r="1458" spans="1:2">
      <c r="A1458" s="82"/>
      <c r="B1458" s="83"/>
    </row>
    <row r="1459" spans="1:2">
      <c r="A1459" s="82"/>
      <c r="B1459" s="83"/>
    </row>
    <row r="1460" spans="1:2">
      <c r="A1460" s="82"/>
      <c r="B1460" s="83"/>
    </row>
    <row r="1461" spans="1:2">
      <c r="A1461" s="82"/>
      <c r="B1461" s="83"/>
    </row>
    <row r="1462" spans="1:2">
      <c r="A1462" s="82"/>
      <c r="B1462" s="83"/>
    </row>
    <row r="1463" spans="1:2">
      <c r="A1463" s="82"/>
      <c r="B1463" s="83"/>
    </row>
    <row r="1464" spans="1:2">
      <c r="A1464" s="82"/>
      <c r="B1464" s="83"/>
    </row>
    <row r="1465" spans="1:2">
      <c r="A1465" s="82"/>
      <c r="B1465" s="83"/>
    </row>
    <row r="1466" spans="1:2">
      <c r="A1466" s="82"/>
      <c r="B1466" s="83"/>
    </row>
    <row r="1467" spans="1:2">
      <c r="A1467" s="82"/>
      <c r="B1467" s="83"/>
    </row>
    <row r="1468" spans="1:2">
      <c r="A1468" s="82"/>
      <c r="B1468" s="83"/>
    </row>
    <row r="1469" spans="1:2">
      <c r="A1469" s="82"/>
      <c r="B1469" s="83"/>
    </row>
    <row r="1470" spans="1:2">
      <c r="A1470" s="82"/>
      <c r="B1470" s="83"/>
    </row>
    <row r="1471" spans="1:2">
      <c r="A1471" s="82"/>
      <c r="B1471" s="83"/>
    </row>
    <row r="1472" spans="1:2">
      <c r="A1472" s="82"/>
      <c r="B1472" s="83"/>
    </row>
    <row r="1473" spans="1:2">
      <c r="A1473" s="82"/>
      <c r="B1473" s="83"/>
    </row>
    <row r="1474" spans="1:2">
      <c r="A1474" s="82"/>
      <c r="B1474" s="83"/>
    </row>
    <row r="1475" spans="1:2">
      <c r="A1475" s="82"/>
      <c r="B1475" s="83"/>
    </row>
    <row r="1476" spans="1:2">
      <c r="A1476" s="82"/>
      <c r="B1476" s="83"/>
    </row>
    <row r="1477" spans="1:2">
      <c r="A1477" s="82"/>
      <c r="B1477" s="83"/>
    </row>
    <row r="1478" spans="1:2">
      <c r="A1478" s="82"/>
      <c r="B1478" s="83"/>
    </row>
    <row r="1479" spans="1:2">
      <c r="A1479" s="82"/>
      <c r="B1479" s="83"/>
    </row>
    <row r="1480" spans="1:2">
      <c r="A1480" s="82"/>
      <c r="B1480" s="83"/>
    </row>
    <row r="1481" spans="1:2">
      <c r="A1481" s="82"/>
      <c r="B1481" s="83"/>
    </row>
    <row r="1482" spans="1:2">
      <c r="A1482" s="82"/>
      <c r="B1482" s="83"/>
    </row>
    <row r="1483" spans="1:2">
      <c r="A1483" s="82"/>
      <c r="B1483" s="83"/>
    </row>
    <row r="1484" spans="1:2">
      <c r="A1484" s="82"/>
      <c r="B1484" s="83"/>
    </row>
    <row r="1485" spans="1:2">
      <c r="A1485" s="82"/>
      <c r="B1485" s="83"/>
    </row>
    <row r="1486" spans="1:2">
      <c r="A1486" s="82"/>
      <c r="B1486" s="83"/>
    </row>
    <row r="1487" spans="1:2">
      <c r="A1487" s="82"/>
      <c r="B1487" s="83"/>
    </row>
    <row r="1488" spans="1:2">
      <c r="A1488" s="82"/>
      <c r="B1488" s="83"/>
    </row>
    <row r="1489" spans="1:2">
      <c r="A1489" s="82"/>
      <c r="B1489" s="83"/>
    </row>
    <row r="1490" spans="1:2">
      <c r="A1490" s="82"/>
      <c r="B1490" s="83"/>
    </row>
    <row r="1491" spans="1:2">
      <c r="A1491" s="82"/>
      <c r="B1491" s="83"/>
    </row>
    <row r="1492" spans="1:2">
      <c r="A1492" s="82"/>
      <c r="B1492" s="83"/>
    </row>
    <row r="1493" spans="1:2">
      <c r="A1493" s="82"/>
      <c r="B1493" s="83"/>
    </row>
    <row r="1494" spans="1:2">
      <c r="A1494" s="82"/>
      <c r="B1494" s="83"/>
    </row>
    <row r="1495" spans="1:2">
      <c r="A1495" s="82"/>
      <c r="B1495" s="83"/>
    </row>
    <row r="1496" spans="1:2">
      <c r="A1496" s="82"/>
      <c r="B1496" s="83"/>
    </row>
    <row r="1497" spans="1:2">
      <c r="A1497" s="82"/>
      <c r="B1497" s="83"/>
    </row>
    <row r="1498" spans="1:2">
      <c r="A1498" s="82"/>
      <c r="B1498" s="83"/>
    </row>
    <row r="1499" spans="1:2">
      <c r="A1499" s="82"/>
      <c r="B1499" s="83"/>
    </row>
    <row r="1500" spans="1:2">
      <c r="A1500" s="82"/>
      <c r="B1500" s="83"/>
    </row>
    <row r="1501" spans="1:2">
      <c r="A1501" s="82"/>
      <c r="B1501" s="83"/>
    </row>
    <row r="1502" spans="1:2">
      <c r="A1502" s="82"/>
      <c r="B1502" s="83"/>
    </row>
    <row r="1503" spans="1:2">
      <c r="A1503" s="82"/>
      <c r="B1503" s="83"/>
    </row>
  </sheetData>
  <mergeCells count="21">
    <mergeCell ref="K6:L6"/>
    <mergeCell ref="K7:L7"/>
    <mergeCell ref="K8:L8"/>
    <mergeCell ref="K9:L9"/>
    <mergeCell ref="K3:L3"/>
    <mergeCell ref="K4:L4"/>
    <mergeCell ref="K5:L5"/>
    <mergeCell ref="A9:B9"/>
    <mergeCell ref="C26:D26"/>
    <mergeCell ref="C25:D25"/>
    <mergeCell ref="E25:F25"/>
    <mergeCell ref="G26:H26"/>
    <mergeCell ref="E26:F26"/>
    <mergeCell ref="G25:H25"/>
    <mergeCell ref="G24:M24"/>
    <mergeCell ref="K10:L10"/>
    <mergeCell ref="O26:P26"/>
    <mergeCell ref="I26:J26"/>
    <mergeCell ref="K25:M25"/>
    <mergeCell ref="K26:M26"/>
    <mergeCell ref="I25:J2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P35"/>
  <sheetViews>
    <sheetView workbookViewId="0">
      <selection activeCell="A31" sqref="A31"/>
    </sheetView>
  </sheetViews>
  <sheetFormatPr baseColWidth="10" defaultColWidth="8.6640625" defaultRowHeight="14" x14ac:dyDescent="0"/>
  <cols>
    <col min="2" max="2" width="13.33203125" customWidth="1"/>
    <col min="3" max="3" width="19.5" customWidth="1"/>
    <col min="4" max="4" width="14.6640625" customWidth="1"/>
    <col min="5" max="5" width="17" customWidth="1"/>
    <col min="7" max="7" width="10.33203125" customWidth="1"/>
    <col min="8" max="8" width="12.33203125" customWidth="1"/>
    <col min="9" max="9" width="14.6640625" customWidth="1"/>
    <col min="12" max="12" width="12.5" customWidth="1"/>
  </cols>
  <sheetData>
    <row r="1" spans="1:14">
      <c r="A1" t="s">
        <v>172</v>
      </c>
      <c r="B1" t="s">
        <v>147</v>
      </c>
      <c r="C1" s="105">
        <v>4104</v>
      </c>
    </row>
    <row r="2" spans="1:14">
      <c r="B2" t="s">
        <v>148</v>
      </c>
      <c r="C2" s="255" t="s">
        <v>239</v>
      </c>
    </row>
    <row r="3" spans="1:14">
      <c r="A3" t="s">
        <v>173</v>
      </c>
      <c r="B3" t="s">
        <v>174</v>
      </c>
      <c r="C3" t="s">
        <v>175</v>
      </c>
    </row>
    <row r="4" spans="1:14">
      <c r="B4" t="s">
        <v>176</v>
      </c>
      <c r="C4" s="254" t="s">
        <v>177</v>
      </c>
    </row>
    <row r="5" spans="1:14">
      <c r="B5" t="s">
        <v>178</v>
      </c>
      <c r="C5" s="254" t="s">
        <v>179</v>
      </c>
      <c r="D5" s="335" t="s">
        <v>309</v>
      </c>
    </row>
    <row r="6" spans="1:14">
      <c r="B6" t="s">
        <v>180</v>
      </c>
      <c r="C6" s="261">
        <v>43758</v>
      </c>
    </row>
    <row r="7" spans="1:14">
      <c r="B7" s="5"/>
      <c r="C7" s="5"/>
      <c r="D7" s="5"/>
      <c r="E7" s="260"/>
      <c r="F7" s="5"/>
      <c r="G7" s="5" t="s">
        <v>170</v>
      </c>
      <c r="H7" s="5" t="s">
        <v>162</v>
      </c>
      <c r="I7" s="5" t="s">
        <v>162</v>
      </c>
      <c r="J7" s="17" t="s">
        <v>107</v>
      </c>
      <c r="K7" s="17" t="s">
        <v>181</v>
      </c>
      <c r="L7" s="17" t="s">
        <v>181</v>
      </c>
      <c r="M7" s="5"/>
      <c r="N7" s="5"/>
    </row>
    <row r="8" spans="1:14" ht="15" thickBot="1">
      <c r="A8" t="s">
        <v>149</v>
      </c>
      <c r="B8" s="17" t="s">
        <v>226</v>
      </c>
      <c r="C8" s="5"/>
      <c r="D8" s="5" t="s">
        <v>224</v>
      </c>
      <c r="E8" s="5" t="s">
        <v>4</v>
      </c>
      <c r="F8" s="5" t="s">
        <v>169</v>
      </c>
      <c r="G8" s="5" t="s">
        <v>171</v>
      </c>
      <c r="H8" s="5" t="s">
        <v>90</v>
      </c>
      <c r="I8" s="5" t="s">
        <v>163</v>
      </c>
      <c r="J8" s="17" t="s">
        <v>90</v>
      </c>
      <c r="K8" s="17" t="s">
        <v>90</v>
      </c>
      <c r="L8" s="17" t="s">
        <v>30</v>
      </c>
      <c r="M8" s="5"/>
      <c r="N8" s="5"/>
    </row>
    <row r="9" spans="1:14">
      <c r="A9" s="1">
        <v>1</v>
      </c>
      <c r="B9" s="2" t="s">
        <v>164</v>
      </c>
      <c r="C9" s="2" t="s">
        <v>165</v>
      </c>
      <c r="D9" s="232">
        <v>0.10059999999999999</v>
      </c>
      <c r="E9" s="336">
        <v>44516.443611111099</v>
      </c>
      <c r="F9" s="296">
        <v>170643</v>
      </c>
      <c r="G9" s="131">
        <f t="shared" ref="G9:G26" si="0">(E9-$E$9)*24*60</f>
        <v>0</v>
      </c>
      <c r="H9" s="109">
        <f>EXP(LN(2)/110*G9)*(F9-$F$35)</f>
        <v>170545.5</v>
      </c>
      <c r="I9" s="109">
        <f t="shared" ref="I9:I26" si="1">H9/D9</f>
        <v>1695283.3001988071</v>
      </c>
      <c r="J9" s="2"/>
      <c r="K9" s="2"/>
      <c r="L9" s="3"/>
      <c r="M9" s="5"/>
      <c r="N9" s="5"/>
    </row>
    <row r="10" spans="1:14">
      <c r="A10" s="4">
        <f>A9+1</f>
        <v>2</v>
      </c>
      <c r="B10" s="5" t="s">
        <v>164</v>
      </c>
      <c r="C10" s="5" t="s">
        <v>165</v>
      </c>
      <c r="D10" s="233">
        <v>0.1016</v>
      </c>
      <c r="E10" s="337">
        <v>44516.444652777798</v>
      </c>
      <c r="F10" s="297">
        <v>171391</v>
      </c>
      <c r="G10" s="46">
        <f t="shared" si="0"/>
        <v>1.5000000467989594</v>
      </c>
      <c r="H10" s="48">
        <f t="shared" ref="H10:H26" si="2">EXP(LN(2)/110*G10)*(F10-$F$35)</f>
        <v>172920.24329648935</v>
      </c>
      <c r="I10" s="48">
        <f t="shared" si="1"/>
        <v>1701970.8985874937</v>
      </c>
      <c r="J10" s="5"/>
      <c r="K10" s="5"/>
      <c r="L10" s="6"/>
      <c r="M10" s="5"/>
      <c r="N10" s="5"/>
    </row>
    <row r="11" spans="1:14" ht="15" thickBot="1">
      <c r="A11" s="7">
        <f t="shared" ref="A11:A31" si="3">A10+1</f>
        <v>3</v>
      </c>
      <c r="B11" s="8" t="s">
        <v>164</v>
      </c>
      <c r="C11" s="8" t="s">
        <v>165</v>
      </c>
      <c r="D11" s="233">
        <v>0.1023</v>
      </c>
      <c r="E11" s="337">
        <v>44516.445694444403</v>
      </c>
      <c r="F11" s="297">
        <v>186281</v>
      </c>
      <c r="G11" s="81">
        <f t="shared" si="0"/>
        <v>2.9999999573919922</v>
      </c>
      <c r="H11" s="66">
        <f t="shared" si="2"/>
        <v>189736.5934965676</v>
      </c>
      <c r="I11" s="66">
        <f t="shared" si="1"/>
        <v>1854707.6588129774</v>
      </c>
      <c r="J11" s="66">
        <f>AVERAGE(I9:I11)</f>
        <v>1750653.9525330926</v>
      </c>
      <c r="K11" s="66">
        <f>STDEV(I9:I11)</f>
        <v>90175.170285325599</v>
      </c>
      <c r="L11" s="134">
        <f>K11/J11</f>
        <v>5.1509420325386107E-2</v>
      </c>
      <c r="M11" s="5"/>
      <c r="N11" s="5"/>
    </row>
    <row r="12" spans="1:14">
      <c r="A12" s="1">
        <f t="shared" si="3"/>
        <v>4</v>
      </c>
      <c r="B12" s="2" t="s">
        <v>164</v>
      </c>
      <c r="C12" s="2" t="s">
        <v>151</v>
      </c>
      <c r="D12" s="233">
        <v>0.10390000000000001</v>
      </c>
      <c r="E12" s="337">
        <v>44516.446736111102</v>
      </c>
      <c r="F12" s="297">
        <v>250561</v>
      </c>
      <c r="G12" s="131">
        <f t="shared" si="0"/>
        <v>4.5000000041909516</v>
      </c>
      <c r="H12" s="109">
        <f t="shared" si="2"/>
        <v>257667.30116016424</v>
      </c>
      <c r="I12" s="109">
        <f t="shared" si="1"/>
        <v>2479954.7753625046</v>
      </c>
      <c r="J12" s="109"/>
      <c r="K12" s="109"/>
      <c r="L12" s="135"/>
      <c r="M12" s="5"/>
      <c r="N12" s="5"/>
    </row>
    <row r="13" spans="1:14">
      <c r="A13" s="4">
        <f t="shared" si="3"/>
        <v>5</v>
      </c>
      <c r="B13" s="5" t="s">
        <v>164</v>
      </c>
      <c r="C13" s="5" t="s">
        <v>151</v>
      </c>
      <c r="D13" s="233">
        <v>0.1036</v>
      </c>
      <c r="E13" s="337">
        <v>44516.447777777801</v>
      </c>
      <c r="F13" s="297">
        <v>247599</v>
      </c>
      <c r="G13" s="46">
        <f t="shared" si="0"/>
        <v>6.000000050989911</v>
      </c>
      <c r="H13" s="48">
        <f t="shared" si="2"/>
        <v>257038.18945277811</v>
      </c>
      <c r="I13" s="48">
        <f t="shared" si="1"/>
        <v>2481063.6047565457</v>
      </c>
      <c r="J13" s="48"/>
      <c r="K13" s="48"/>
      <c r="L13" s="133"/>
      <c r="M13" s="5"/>
      <c r="N13" s="5"/>
    </row>
    <row r="14" spans="1:14" ht="15" thickBot="1">
      <c r="A14" s="7">
        <f t="shared" si="3"/>
        <v>6</v>
      </c>
      <c r="B14" s="8" t="s">
        <v>164</v>
      </c>
      <c r="C14" s="8" t="s">
        <v>151</v>
      </c>
      <c r="D14" s="233">
        <v>0.1046</v>
      </c>
      <c r="E14" s="337">
        <v>44516.448831018497</v>
      </c>
      <c r="F14" s="297">
        <v>248664</v>
      </c>
      <c r="G14" s="81">
        <f t="shared" si="0"/>
        <v>7.5166666531004012</v>
      </c>
      <c r="H14" s="66">
        <f t="shared" si="2"/>
        <v>260623.14437490099</v>
      </c>
      <c r="I14" s="66">
        <f t="shared" si="1"/>
        <v>2491617.0590334702</v>
      </c>
      <c r="J14" s="66">
        <f>AVERAGE(I12:I14)</f>
        <v>2484211.81305084</v>
      </c>
      <c r="K14" s="66">
        <f>STDEV(I12:I14)</f>
        <v>6437.0510875490154</v>
      </c>
      <c r="L14" s="134">
        <f>K14/J14</f>
        <v>2.59118447699664E-3</v>
      </c>
      <c r="M14" s="5"/>
      <c r="N14" s="5"/>
    </row>
    <row r="15" spans="1:14">
      <c r="A15" s="1">
        <f t="shared" si="3"/>
        <v>7</v>
      </c>
      <c r="B15" s="2" t="s">
        <v>164</v>
      </c>
      <c r="C15" s="2" t="s">
        <v>150</v>
      </c>
      <c r="D15" s="233">
        <v>0.1036</v>
      </c>
      <c r="E15" s="337">
        <v>44516.449872685203</v>
      </c>
      <c r="F15" s="297">
        <v>150307</v>
      </c>
      <c r="G15" s="131">
        <f t="shared" si="0"/>
        <v>9.0166667103767395</v>
      </c>
      <c r="H15" s="109">
        <f t="shared" si="2"/>
        <v>158991.07219909667</v>
      </c>
      <c r="I15" s="109">
        <f t="shared" si="1"/>
        <v>1534662.8590646398</v>
      </c>
      <c r="J15" s="109"/>
      <c r="K15" s="109"/>
      <c r="L15" s="135"/>
      <c r="M15" s="5"/>
      <c r="N15" s="5" t="s">
        <v>107</v>
      </c>
    </row>
    <row r="16" spans="1:14">
      <c r="A16" s="4">
        <f t="shared" si="3"/>
        <v>8</v>
      </c>
      <c r="B16" s="5" t="s">
        <v>164</v>
      </c>
      <c r="C16" s="5" t="s">
        <v>150</v>
      </c>
      <c r="D16" s="233">
        <v>0.10349999999999999</v>
      </c>
      <c r="E16" s="337">
        <v>44516.450914351903</v>
      </c>
      <c r="F16" s="297">
        <v>151292</v>
      </c>
      <c r="G16" s="46">
        <f t="shared" si="0"/>
        <v>10.516666757175699</v>
      </c>
      <c r="H16" s="48">
        <f t="shared" si="2"/>
        <v>161553.46804331997</v>
      </c>
      <c r="I16" s="48">
        <f t="shared" si="1"/>
        <v>1560903.0728823186</v>
      </c>
      <c r="J16" s="48"/>
      <c r="K16" s="48"/>
      <c r="L16" s="133"/>
      <c r="M16" s="5" t="s">
        <v>137</v>
      </c>
      <c r="N16" s="5" t="s">
        <v>137</v>
      </c>
    </row>
    <row r="17" spans="1:16" ht="15" thickBot="1">
      <c r="A17" s="4">
        <f t="shared" si="3"/>
        <v>9</v>
      </c>
      <c r="B17" s="5" t="s">
        <v>164</v>
      </c>
      <c r="C17" s="5" t="s">
        <v>150</v>
      </c>
      <c r="D17" s="233">
        <v>0.1037</v>
      </c>
      <c r="E17" s="337">
        <v>44516.451967592599</v>
      </c>
      <c r="F17" s="297">
        <v>149403</v>
      </c>
      <c r="G17" s="46">
        <f t="shared" si="0"/>
        <v>12.033333359286189</v>
      </c>
      <c r="H17" s="48">
        <f t="shared" si="2"/>
        <v>161067.0347557941</v>
      </c>
      <c r="I17" s="48">
        <f t="shared" si="1"/>
        <v>1553201.8780693742</v>
      </c>
      <c r="J17" s="48">
        <f>AVERAGE(I15:I17)</f>
        <v>1549589.2700054441</v>
      </c>
      <c r="K17" s="48">
        <f>STDEV(I15:I17)</f>
        <v>13487.972718946879</v>
      </c>
      <c r="L17" s="133">
        <f>K17/J17</f>
        <v>8.7042243903118228E-3</v>
      </c>
      <c r="M17" s="5" t="s">
        <v>182</v>
      </c>
      <c r="N17" s="5" t="s">
        <v>182</v>
      </c>
      <c r="O17" t="s">
        <v>183</v>
      </c>
      <c r="P17" t="s">
        <v>184</v>
      </c>
    </row>
    <row r="18" spans="1:16">
      <c r="A18" s="1">
        <f t="shared" si="3"/>
        <v>10</v>
      </c>
      <c r="B18" s="2" t="s">
        <v>166</v>
      </c>
      <c r="C18" s="2" t="s">
        <v>165</v>
      </c>
      <c r="D18" s="233">
        <v>0.10390000000000001</v>
      </c>
      <c r="E18" s="337">
        <v>44516.452997685199</v>
      </c>
      <c r="F18" s="297">
        <v>149963</v>
      </c>
      <c r="G18" s="131">
        <f>(E18-$E$9)*24*60</f>
        <v>13.516666704090312</v>
      </c>
      <c r="H18" s="109">
        <f>EXP(LN(2)/110*G18)*(F18-$F$35)</f>
        <v>163189.37084588635</v>
      </c>
      <c r="I18" s="109">
        <f t="shared" si="1"/>
        <v>1570638.7954368272</v>
      </c>
      <c r="J18" s="2"/>
      <c r="K18" s="2"/>
      <c r="L18" s="2"/>
      <c r="M18" s="136">
        <f>I18/J11</f>
        <v>0.89717262121632091</v>
      </c>
      <c r="N18" s="136"/>
      <c r="O18" s="136"/>
      <c r="P18" s="3"/>
    </row>
    <row r="19" spans="1:16">
      <c r="A19" s="4">
        <f t="shared" si="3"/>
        <v>11</v>
      </c>
      <c r="B19" s="5" t="s">
        <v>166</v>
      </c>
      <c r="C19" s="5" t="s">
        <v>165</v>
      </c>
      <c r="D19" s="233">
        <v>0.1017</v>
      </c>
      <c r="E19" s="337">
        <v>44516.454178240703</v>
      </c>
      <c r="F19" s="297">
        <v>148936</v>
      </c>
      <c r="G19" s="46">
        <f>(E19-$E$9)*24*60</f>
        <v>15.216666630003601</v>
      </c>
      <c r="H19" s="48">
        <f>EXP(LN(2)/110*G19)*(F19-$F$35)</f>
        <v>163816.54689928135</v>
      </c>
      <c r="I19" s="48">
        <f t="shared" si="1"/>
        <v>1610782.1720676634</v>
      </c>
      <c r="J19" s="5"/>
      <c r="K19" s="5"/>
      <c r="L19" s="5"/>
      <c r="M19" s="50">
        <f>I19/J11</f>
        <v>0.92010312474201827</v>
      </c>
      <c r="N19" s="50"/>
      <c r="O19" s="50"/>
      <c r="P19" s="6"/>
    </row>
    <row r="20" spans="1:16" ht="15" thickBot="1">
      <c r="A20" s="7">
        <f t="shared" si="3"/>
        <v>12</v>
      </c>
      <c r="B20" s="8" t="s">
        <v>166</v>
      </c>
      <c r="C20" s="8" t="s">
        <v>165</v>
      </c>
      <c r="D20" s="233">
        <v>0.10249999999999999</v>
      </c>
      <c r="E20" s="337">
        <v>44516.455219907402</v>
      </c>
      <c r="F20" s="297">
        <v>151530</v>
      </c>
      <c r="G20" s="46">
        <f>(E20-$E$9)*24*60</f>
        <v>16.716666676802561</v>
      </c>
      <c r="H20" s="66">
        <f t="shared" si="2"/>
        <v>168254.43843206821</v>
      </c>
      <c r="I20" s="66">
        <f t="shared" si="1"/>
        <v>1641506.7164104218</v>
      </c>
      <c r="J20" s="8"/>
      <c r="K20" s="8"/>
      <c r="L20" s="8"/>
      <c r="M20" s="137">
        <f>I20/J11</f>
        <v>0.93765344889277447</v>
      </c>
      <c r="N20" s="137">
        <f>AVERAGE(M18:M20)</f>
        <v>0.91830973161703788</v>
      </c>
      <c r="O20" s="137">
        <f>STDEV(M18:M20)</f>
        <v>2.0299914938694381E-2</v>
      </c>
      <c r="P20" s="134">
        <f>O20/N20</f>
        <v>2.2105738662867663E-2</v>
      </c>
    </row>
    <row r="21" spans="1:16">
      <c r="A21" s="1">
        <f t="shared" si="3"/>
        <v>13</v>
      </c>
      <c r="B21" s="2" t="s">
        <v>166</v>
      </c>
      <c r="C21" s="2" t="s">
        <v>151</v>
      </c>
      <c r="D21" s="233">
        <v>0.1032</v>
      </c>
      <c r="E21" s="337">
        <v>44516.456261574102</v>
      </c>
      <c r="F21" s="297">
        <v>6790</v>
      </c>
      <c r="G21" s="131">
        <f t="shared" si="0"/>
        <v>18.21666672360152</v>
      </c>
      <c r="H21" s="109">
        <f t="shared" si="2"/>
        <v>7506.5567410495878</v>
      </c>
      <c r="I21" s="109">
        <f t="shared" si="1"/>
        <v>72737.952917147166</v>
      </c>
      <c r="J21" s="2"/>
      <c r="K21" s="2"/>
      <c r="L21" s="2"/>
      <c r="M21" s="138">
        <f>I21/J14</f>
        <v>2.9280092999726254E-2</v>
      </c>
      <c r="N21" s="138"/>
      <c r="O21" s="138"/>
      <c r="P21" s="135"/>
    </row>
    <row r="22" spans="1:16">
      <c r="A22" s="4">
        <f t="shared" si="3"/>
        <v>14</v>
      </c>
      <c r="B22" s="5" t="s">
        <v>166</v>
      </c>
      <c r="C22" s="5" t="s">
        <v>151</v>
      </c>
      <c r="D22" s="233">
        <v>0.1008</v>
      </c>
      <c r="E22" s="337">
        <v>44516.457303240699</v>
      </c>
      <c r="F22" s="297">
        <v>6696</v>
      </c>
      <c r="G22" s="46">
        <f t="shared" si="0"/>
        <v>19.716666623717174</v>
      </c>
      <c r="H22" s="48">
        <f t="shared" si="2"/>
        <v>7471.4099615346031</v>
      </c>
      <c r="I22" s="48">
        <f t="shared" si="1"/>
        <v>74121.130570779787</v>
      </c>
      <c r="J22" s="5"/>
      <c r="K22" s="5"/>
      <c r="L22" s="5"/>
      <c r="M22" s="139">
        <f>I22/J14</f>
        <v>2.9836880326139435E-2</v>
      </c>
      <c r="N22" s="139"/>
      <c r="O22" s="139"/>
      <c r="P22" s="133"/>
    </row>
    <row r="23" spans="1:16" ht="15" thickBot="1">
      <c r="A23" s="7">
        <f t="shared" si="3"/>
        <v>15</v>
      </c>
      <c r="B23" s="8" t="s">
        <v>166</v>
      </c>
      <c r="C23" s="8" t="s">
        <v>151</v>
      </c>
      <c r="D23" s="233">
        <v>0.10150000000000001</v>
      </c>
      <c r="E23" s="337">
        <v>44516.458344907398</v>
      </c>
      <c r="F23" s="297">
        <v>6905</v>
      </c>
      <c r="G23" s="46">
        <f t="shared" si="0"/>
        <v>21.216666670516133</v>
      </c>
      <c r="H23" s="66">
        <f t="shared" si="2"/>
        <v>7781.2604263610692</v>
      </c>
      <c r="I23" s="66">
        <f t="shared" si="1"/>
        <v>76662.664299123833</v>
      </c>
      <c r="J23" s="8"/>
      <c r="K23" s="8"/>
      <c r="L23" s="8"/>
      <c r="M23" s="140">
        <f>I23/J14</f>
        <v>3.0859954813987883E-2</v>
      </c>
      <c r="N23" s="140">
        <f>AVERAGE(M21:M23)</f>
        <v>2.999230937995119E-2</v>
      </c>
      <c r="O23" s="140">
        <f>STDEV(M21:M23)</f>
        <v>8.0131734108100053E-4</v>
      </c>
      <c r="P23" s="134">
        <f>O23/N23</f>
        <v>2.6717427155397815E-2</v>
      </c>
    </row>
    <row r="24" spans="1:16">
      <c r="A24" s="1">
        <f t="shared" si="3"/>
        <v>16</v>
      </c>
      <c r="B24" s="2" t="s">
        <v>166</v>
      </c>
      <c r="C24" s="2" t="s">
        <v>150</v>
      </c>
      <c r="D24" s="233">
        <v>0.1008</v>
      </c>
      <c r="E24" s="337">
        <v>44516.459374999999</v>
      </c>
      <c r="F24" s="297">
        <v>2285</v>
      </c>
      <c r="G24" s="131">
        <f t="shared" si="0"/>
        <v>22.700000015320256</v>
      </c>
      <c r="H24" s="109">
        <f t="shared" si="2"/>
        <v>2523.8858354560762</v>
      </c>
      <c r="I24" s="109">
        <f t="shared" si="1"/>
        <v>25038.549954921389</v>
      </c>
      <c r="J24" s="2"/>
      <c r="K24" s="2"/>
      <c r="L24" s="2"/>
      <c r="M24" s="138">
        <f>I24/J17</f>
        <v>1.6158184907174418E-2</v>
      </c>
      <c r="N24" s="138"/>
      <c r="O24" s="138"/>
      <c r="P24" s="135"/>
    </row>
    <row r="25" spans="1:16">
      <c r="A25" s="4">
        <f t="shared" si="3"/>
        <v>17</v>
      </c>
      <c r="B25" s="5" t="s">
        <v>166</v>
      </c>
      <c r="C25" s="5" t="s">
        <v>150</v>
      </c>
      <c r="D25" s="233">
        <v>0.1017</v>
      </c>
      <c r="E25" s="337">
        <v>44516.460416666698</v>
      </c>
      <c r="F25" s="297">
        <v>2173</v>
      </c>
      <c r="G25" s="46">
        <f t="shared" si="0"/>
        <v>24.200000062119216</v>
      </c>
      <c r="H25" s="48">
        <f t="shared" si="2"/>
        <v>2417.4045596615351</v>
      </c>
      <c r="I25" s="48">
        <f t="shared" si="1"/>
        <v>23769.956338854819</v>
      </c>
      <c r="J25" s="5"/>
      <c r="K25" s="5"/>
      <c r="L25" s="5"/>
      <c r="M25" s="139">
        <f>I25/J17</f>
        <v>1.5339520477430325E-2</v>
      </c>
      <c r="N25" s="139"/>
      <c r="O25" s="139"/>
      <c r="P25" s="133"/>
    </row>
    <row r="26" spans="1:16" ht="15" thickBot="1">
      <c r="A26" s="7">
        <f t="shared" si="3"/>
        <v>18</v>
      </c>
      <c r="B26" s="8" t="s">
        <v>166</v>
      </c>
      <c r="C26" s="8" t="s">
        <v>150</v>
      </c>
      <c r="D26" s="233">
        <v>0.1011</v>
      </c>
      <c r="E26" s="337">
        <v>44516.461458333302</v>
      </c>
      <c r="F26" s="297">
        <v>2206</v>
      </c>
      <c r="G26" s="81">
        <f t="shared" si="0"/>
        <v>25.699999972712249</v>
      </c>
      <c r="H26" s="66">
        <f t="shared" si="2"/>
        <v>2479.1634401813885</v>
      </c>
      <c r="I26" s="66">
        <f t="shared" si="1"/>
        <v>24521.893572516208</v>
      </c>
      <c r="J26" s="8"/>
      <c r="K26" s="8"/>
      <c r="L26" s="8"/>
      <c r="M26" s="140">
        <f>I26/J17</f>
        <v>1.5824769858163806E-2</v>
      </c>
      <c r="N26" s="140">
        <f>AVERAGE(M24:M26)</f>
        <v>1.5774158414256185E-2</v>
      </c>
      <c r="O26" s="140">
        <f>STDEV(M24:M26)</f>
        <v>4.1167220069233008E-4</v>
      </c>
      <c r="P26" s="134">
        <f>O26/N26</f>
        <v>2.6097886802016249E-2</v>
      </c>
    </row>
    <row r="27" spans="1:16">
      <c r="A27" s="1">
        <f t="shared" si="3"/>
        <v>19</v>
      </c>
      <c r="B27" s="59" t="s">
        <v>167</v>
      </c>
      <c r="C27" s="2"/>
      <c r="D27" s="233"/>
      <c r="E27" s="337">
        <v>44516.322222222203</v>
      </c>
      <c r="F27" s="297">
        <v>112</v>
      </c>
      <c r="G27" s="46"/>
      <c r="H27" s="5"/>
      <c r="I27" s="5"/>
      <c r="J27" s="5"/>
      <c r="K27" s="5"/>
      <c r="L27" s="5"/>
      <c r="M27" s="5"/>
      <c r="N27" s="5"/>
      <c r="O27" s="5"/>
    </row>
    <row r="28" spans="1:16">
      <c r="A28" s="4">
        <f t="shared" si="3"/>
        <v>20</v>
      </c>
      <c r="B28" s="5" t="str">
        <f>B27</f>
        <v>BKG</v>
      </c>
      <c r="C28" s="5"/>
      <c r="D28" s="233"/>
      <c r="E28" s="337">
        <v>44516.323275463001</v>
      </c>
      <c r="F28" s="222">
        <v>104</v>
      </c>
      <c r="G28" s="46"/>
      <c r="H28" s="5"/>
      <c r="I28" s="5"/>
      <c r="J28" s="5"/>
      <c r="K28" s="5"/>
      <c r="L28" s="5"/>
      <c r="M28" s="5"/>
      <c r="N28" s="5"/>
      <c r="O28" s="5"/>
    </row>
    <row r="29" spans="1:16">
      <c r="A29" s="4">
        <f t="shared" si="3"/>
        <v>21</v>
      </c>
      <c r="B29" s="5" t="str">
        <f t="shared" ref="B29:B30" si="4">B28</f>
        <v>BKG</v>
      </c>
      <c r="C29" s="5"/>
      <c r="D29" s="233"/>
      <c r="E29" s="337">
        <v>44516.324317129598</v>
      </c>
      <c r="F29" s="297">
        <v>80</v>
      </c>
      <c r="G29" s="46"/>
      <c r="H29" s="5"/>
      <c r="I29" s="5"/>
      <c r="J29" s="5"/>
      <c r="K29" s="5"/>
      <c r="L29" s="5"/>
      <c r="M29" s="5"/>
      <c r="N29" s="5"/>
      <c r="O29" s="5"/>
    </row>
    <row r="30" spans="1:16">
      <c r="A30" s="4">
        <f t="shared" si="3"/>
        <v>22</v>
      </c>
      <c r="B30" s="5" t="str">
        <f t="shared" si="4"/>
        <v>BKG</v>
      </c>
      <c r="C30" s="5"/>
      <c r="D30" s="233"/>
      <c r="E30" s="337">
        <v>44516.325370370403</v>
      </c>
      <c r="F30" s="297">
        <v>94</v>
      </c>
      <c r="G30" s="46"/>
      <c r="H30" s="5"/>
      <c r="I30" s="5"/>
      <c r="J30" s="5"/>
      <c r="K30" s="5"/>
      <c r="L30" s="5"/>
      <c r="M30" s="5"/>
      <c r="N30" s="5"/>
      <c r="O30" s="5"/>
    </row>
    <row r="31" spans="1:16" ht="15" thickBot="1">
      <c r="A31" s="7">
        <f t="shared" si="3"/>
        <v>23</v>
      </c>
      <c r="B31" s="8" t="s">
        <v>168</v>
      </c>
      <c r="C31" s="8"/>
      <c r="D31" s="338"/>
      <c r="E31" s="339">
        <v>44516.321134259299</v>
      </c>
      <c r="F31" s="340">
        <v>93806</v>
      </c>
      <c r="G31" s="46"/>
      <c r="H31" s="5"/>
      <c r="I31" s="5"/>
      <c r="J31" s="5"/>
      <c r="K31" s="5"/>
      <c r="L31" s="5"/>
      <c r="M31" s="5"/>
      <c r="N31" s="5"/>
      <c r="O31" s="5"/>
    </row>
    <row r="32" spans="1:16">
      <c r="G32" s="106"/>
      <c r="I32" s="107"/>
      <c r="K32" s="108"/>
    </row>
    <row r="33" spans="3:11">
      <c r="G33" s="106"/>
      <c r="I33" s="107"/>
      <c r="K33" s="108"/>
    </row>
    <row r="34" spans="3:11">
      <c r="G34" s="106"/>
      <c r="I34" s="107"/>
      <c r="K34" s="108"/>
    </row>
    <row r="35" spans="3:11">
      <c r="C35" s="106" t="s">
        <v>152</v>
      </c>
      <c r="F35" s="108">
        <f>AVERAGE(F27:F30)</f>
        <v>97.5</v>
      </c>
      <c r="I35" s="107"/>
      <c r="K35" s="10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28"/>
  <sheetViews>
    <sheetView workbookViewId="0">
      <selection activeCell="C10" sqref="C10"/>
    </sheetView>
  </sheetViews>
  <sheetFormatPr baseColWidth="10" defaultColWidth="8.6640625" defaultRowHeight="14" x14ac:dyDescent="0"/>
  <cols>
    <col min="1" max="1" width="16.6640625" customWidth="1"/>
    <col min="3" max="3" width="18.33203125" customWidth="1"/>
    <col min="4" max="4" width="13.33203125" customWidth="1"/>
    <col min="5" max="5" width="11.5" customWidth="1"/>
  </cols>
  <sheetData>
    <row r="1" spans="1:7" ht="15" thickBot="1"/>
    <row r="2" spans="1:7" ht="15" thickBot="1">
      <c r="A2" s="415" t="s">
        <v>2</v>
      </c>
      <c r="B2" s="416"/>
      <c r="C2" s="252">
        <v>36</v>
      </c>
    </row>
    <row r="3" spans="1:7" ht="15" thickBot="1">
      <c r="A3" s="29" t="s">
        <v>111</v>
      </c>
      <c r="B3" s="30"/>
      <c r="C3" s="246" t="s">
        <v>313</v>
      </c>
    </row>
    <row r="4" spans="1:7" ht="15" thickBot="1">
      <c r="A4" s="419" t="s">
        <v>1</v>
      </c>
      <c r="B4" s="420"/>
      <c r="C4" s="247">
        <v>44516</v>
      </c>
    </row>
    <row r="5" spans="1:7" ht="17" thickBot="1">
      <c r="A5" s="408" t="s">
        <v>67</v>
      </c>
      <c r="B5" s="409"/>
      <c r="C5" s="248" t="s">
        <v>289</v>
      </c>
    </row>
    <row r="6" spans="1:7" ht="15" thickBot="1">
      <c r="A6" s="417" t="s">
        <v>32</v>
      </c>
      <c r="B6" s="418"/>
      <c r="C6" s="249" t="s">
        <v>310</v>
      </c>
    </row>
    <row r="7" spans="1:7" ht="15" thickBot="1">
      <c r="A7" s="417" t="s">
        <v>33</v>
      </c>
      <c r="B7" s="418"/>
      <c r="C7" s="249" t="s">
        <v>311</v>
      </c>
    </row>
    <row r="8" spans="1:7" ht="15" thickBot="1">
      <c r="A8" s="421" t="s">
        <v>80</v>
      </c>
      <c r="B8" s="422"/>
      <c r="C8" s="284">
        <v>0.41053240740740743</v>
      </c>
      <c r="D8" t="b">
        <v>1</v>
      </c>
    </row>
    <row r="9" spans="1:7" ht="15" thickBot="1">
      <c r="A9" s="423" t="s">
        <v>81</v>
      </c>
      <c r="B9" s="424"/>
      <c r="C9" s="284">
        <v>0.41097222222222224</v>
      </c>
    </row>
    <row r="10" spans="1:7" ht="15" thickBot="1">
      <c r="A10" s="425" t="s">
        <v>82</v>
      </c>
      <c r="B10" s="426"/>
      <c r="C10" s="285" t="s">
        <v>312</v>
      </c>
    </row>
    <row r="11" spans="1:7">
      <c r="A11" s="18"/>
      <c r="B11" s="18"/>
      <c r="C11" s="5"/>
    </row>
    <row r="12" spans="1:7" ht="15" thickBot="1"/>
    <row r="13" spans="1:7" ht="15" thickBot="1">
      <c r="A13" t="s">
        <v>83</v>
      </c>
      <c r="D13" s="10" t="s">
        <v>56</v>
      </c>
      <c r="E13" s="3" t="s">
        <v>57</v>
      </c>
      <c r="F13" s="17" t="s">
        <v>113</v>
      </c>
    </row>
    <row r="14" spans="1:7">
      <c r="C14" s="1" t="s">
        <v>54</v>
      </c>
      <c r="D14" s="11" t="s">
        <v>4</v>
      </c>
      <c r="E14" s="6" t="s">
        <v>4</v>
      </c>
    </row>
    <row r="15" spans="1:7" ht="15" thickBot="1">
      <c r="C15" s="4" t="s">
        <v>55</v>
      </c>
      <c r="D15" s="12" t="s">
        <v>16</v>
      </c>
      <c r="E15" s="9" t="s">
        <v>16</v>
      </c>
      <c r="F15" s="17" t="s">
        <v>93</v>
      </c>
      <c r="G15" s="17" t="s">
        <v>119</v>
      </c>
    </row>
    <row r="16" spans="1:7" ht="15" thickBot="1">
      <c r="A16" s="13" t="s">
        <v>244</v>
      </c>
      <c r="B16" s="15"/>
      <c r="C16" s="16" t="s">
        <v>118</v>
      </c>
      <c r="D16" s="242">
        <v>0.34652777777777777</v>
      </c>
      <c r="E16" s="242">
        <v>0.34644675925925927</v>
      </c>
      <c r="F16">
        <v>0</v>
      </c>
      <c r="G16" t="s">
        <v>120</v>
      </c>
    </row>
    <row r="17" spans="1:6" ht="15" thickBot="1">
      <c r="A17" s="408" t="s">
        <v>52</v>
      </c>
      <c r="B17" s="409"/>
      <c r="C17" s="7" t="s">
        <v>118</v>
      </c>
      <c r="D17" s="243">
        <v>0.34097222222222223</v>
      </c>
      <c r="E17" s="244">
        <v>0.34098379629629627</v>
      </c>
      <c r="F17" s="32">
        <f>(D17-$D$16-E17+$E$16)*24*60</f>
        <v>-0.13333333333324759</v>
      </c>
    </row>
    <row r="18" spans="1:6" ht="15" thickBot="1">
      <c r="A18" s="408" t="s">
        <v>53</v>
      </c>
      <c r="B18" s="409"/>
      <c r="C18" s="13" t="s">
        <v>117</v>
      </c>
      <c r="D18" s="325">
        <v>0.34375</v>
      </c>
      <c r="E18" s="326">
        <v>0.34491898148148148</v>
      </c>
      <c r="F18" s="32">
        <f>(D18-$D$16-E18+$E$16)*24*60</f>
        <v>-1.7999999999999616</v>
      </c>
    </row>
    <row r="19" spans="1:6" ht="15" thickBot="1">
      <c r="A19" s="415" t="s">
        <v>307</v>
      </c>
      <c r="B19" s="416"/>
      <c r="C19" s="16" t="s">
        <v>118</v>
      </c>
      <c r="D19" s="325">
        <v>0.3430555555555555</v>
      </c>
      <c r="E19" s="326">
        <v>0.34541666666666665</v>
      </c>
      <c r="F19" s="32">
        <f>(D19-$D$16-E19+$E$16)*24*60</f>
        <v>-3.5166666666666835</v>
      </c>
    </row>
    <row r="20" spans="1:6" ht="15" thickBot="1">
      <c r="A20" s="415" t="s">
        <v>279</v>
      </c>
      <c r="B20" s="416"/>
      <c r="C20" s="16" t="s">
        <v>118</v>
      </c>
      <c r="D20" s="242">
        <v>0.3972222222222222</v>
      </c>
      <c r="E20" s="245">
        <v>0.39725694444444443</v>
      </c>
      <c r="F20" s="84">
        <f>(D20-$D$16-E20+$E$16)*24*60</f>
        <v>-0.16666666666663943</v>
      </c>
    </row>
    <row r="21" spans="1:6">
      <c r="A21" s="18"/>
      <c r="B21" s="18"/>
      <c r="C21" s="5"/>
      <c r="D21" s="31"/>
      <c r="E21" s="31"/>
    </row>
    <row r="22" spans="1:6">
      <c r="A22" t="s">
        <v>114</v>
      </c>
      <c r="C22" s="357" t="s">
        <v>292</v>
      </c>
      <c r="D22" s="172"/>
      <c r="E22" s="172"/>
    </row>
    <row r="23" spans="1:6">
      <c r="C23" s="23"/>
    </row>
    <row r="28" spans="1:6">
      <c r="A28" t="s">
        <v>41</v>
      </c>
    </row>
  </sheetData>
  <mergeCells count="12">
    <mergeCell ref="A20:B20"/>
    <mergeCell ref="A6:B6"/>
    <mergeCell ref="A7:B7"/>
    <mergeCell ref="A2:B2"/>
    <mergeCell ref="A19:B19"/>
    <mergeCell ref="A4:B4"/>
    <mergeCell ref="A5:B5"/>
    <mergeCell ref="A8:B8"/>
    <mergeCell ref="A9:B9"/>
    <mergeCell ref="A10:B10"/>
    <mergeCell ref="A17:B17"/>
    <mergeCell ref="A18:B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18"/>
  <sheetViews>
    <sheetView zoomScale="102" zoomScaleNormal="150" zoomScalePageLayoutView="150" workbookViewId="0">
      <selection activeCell="B7" sqref="B7"/>
    </sheetView>
  </sheetViews>
  <sheetFormatPr baseColWidth="10" defaultColWidth="8.6640625" defaultRowHeight="14" x14ac:dyDescent="0"/>
  <cols>
    <col min="1" max="1" width="26.5" customWidth="1"/>
    <col min="2" max="2" width="17.33203125" customWidth="1"/>
    <col min="3" max="3" width="19" customWidth="1"/>
  </cols>
  <sheetData>
    <row r="1" spans="1:3">
      <c r="A1" t="s">
        <v>192</v>
      </c>
      <c r="B1" t="s">
        <v>308</v>
      </c>
    </row>
    <row r="2" spans="1:3">
      <c r="A2" t="str">
        <f>'[1]Subject data'!A6:B6</f>
        <v>Study Radiopharmaceutical:</v>
      </c>
      <c r="B2" s="108" t="str">
        <f>'Subject data'!C5</f>
        <v>[18F]VAT</v>
      </c>
    </row>
    <row r="3" spans="1:3">
      <c r="A3" t="str">
        <f>'[1]Subject data'!A4:B4</f>
        <v>Study date:</v>
      </c>
      <c r="B3" s="23">
        <f>'Subject data'!C4</f>
        <v>44516</v>
      </c>
    </row>
    <row r="4" spans="1:3">
      <c r="A4" t="s">
        <v>193</v>
      </c>
      <c r="B4" s="200" t="s">
        <v>314</v>
      </c>
    </row>
    <row r="5" spans="1:3">
      <c r="A5" t="str">
        <f>'[1]Subject data'!A3:B3</f>
        <v>Initials:</v>
      </c>
      <c r="B5" s="108" t="str">
        <f>'Subject data'!C3</f>
        <v>MA</v>
      </c>
    </row>
    <row r="6" spans="1:3">
      <c r="A6" t="s">
        <v>194</v>
      </c>
      <c r="B6" s="295" t="s">
        <v>317</v>
      </c>
    </row>
    <row r="7" spans="1:3">
      <c r="A7" t="s">
        <v>316</v>
      </c>
      <c r="B7" s="200">
        <v>154403</v>
      </c>
    </row>
    <row r="8" spans="1:3">
      <c r="B8" s="108"/>
    </row>
    <row r="9" spans="1:3">
      <c r="A9" t="s">
        <v>195</v>
      </c>
      <c r="B9" s="200" t="s">
        <v>315</v>
      </c>
    </row>
    <row r="10" spans="1:3">
      <c r="A10" t="s">
        <v>196</v>
      </c>
      <c r="B10" s="201">
        <v>23292</v>
      </c>
    </row>
    <row r="11" spans="1:3">
      <c r="A11" t="s">
        <v>197</v>
      </c>
      <c r="B11" s="108">
        <f>(B3-B10)/365.25</f>
        <v>58.108145106091719</v>
      </c>
    </row>
    <row r="13" spans="1:3">
      <c r="A13" t="str">
        <f>'[1]Subject data'!A7:B7</f>
        <v>Mass:</v>
      </c>
      <c r="B13" s="108" t="str">
        <f>'Subject data'!C6</f>
        <v>189 lbs</v>
      </c>
    </row>
    <row r="14" spans="1:3">
      <c r="A14" t="str">
        <f>'[1]Subject data'!A8:B8</f>
        <v>Height:</v>
      </c>
      <c r="B14" s="108" t="str">
        <f>'Subject data'!C7</f>
        <v>68 inches</v>
      </c>
    </row>
    <row r="15" spans="1:3">
      <c r="A15" t="str">
        <f>'[1]Subject data'!A9:B9</f>
        <v>Injection start time</v>
      </c>
      <c r="B15" s="147">
        <f>'Subject data'!C8</f>
        <v>0.41053240740740743</v>
      </c>
    </row>
    <row r="16" spans="1:3">
      <c r="A16" t="s">
        <v>198</v>
      </c>
      <c r="B16" s="32">
        <f>Output!B20</f>
        <v>3.4454271613451546</v>
      </c>
      <c r="C16" t="s">
        <v>160</v>
      </c>
    </row>
    <row r="17" spans="1:3">
      <c r="A17" s="172"/>
      <c r="B17" s="172"/>
      <c r="C17" s="172"/>
    </row>
    <row r="18" spans="1:3">
      <c r="A18" s="172"/>
      <c r="B18" s="172"/>
      <c r="C18" s="17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24"/>
  <sheetViews>
    <sheetView zoomScale="92" workbookViewId="0">
      <selection activeCell="C17" sqref="C17"/>
    </sheetView>
  </sheetViews>
  <sheetFormatPr baseColWidth="10" defaultColWidth="8.6640625" defaultRowHeight="14" x14ac:dyDescent="0"/>
  <cols>
    <col min="1" max="1" width="24.33203125" customWidth="1"/>
    <col min="3" max="3" width="10.5" bestFit="1" customWidth="1"/>
    <col min="4" max="4" width="11" customWidth="1"/>
    <col min="5" max="5" width="10.5" customWidth="1"/>
    <col min="6" max="6" width="13.33203125" customWidth="1"/>
    <col min="10" max="10" width="11.33203125" customWidth="1"/>
  </cols>
  <sheetData>
    <row r="1" spans="1:12">
      <c r="A1" t="s">
        <v>66</v>
      </c>
    </row>
    <row r="2" spans="1:12" ht="15" thickBot="1"/>
    <row r="3" spans="1:12" ht="15" thickBot="1">
      <c r="A3" s="1" t="s">
        <v>44</v>
      </c>
      <c r="B3" s="256" t="s">
        <v>237</v>
      </c>
    </row>
    <row r="4" spans="1:12" ht="15" thickBot="1">
      <c r="A4" s="13" t="s">
        <v>43</v>
      </c>
      <c r="B4" s="257" t="s">
        <v>238</v>
      </c>
    </row>
    <row r="6" spans="1:12" ht="15" thickBot="1">
      <c r="H6" t="s">
        <v>3</v>
      </c>
    </row>
    <row r="7" spans="1:12">
      <c r="A7" s="1"/>
      <c r="B7" s="2" t="s">
        <v>3</v>
      </c>
      <c r="C7" s="2" t="s">
        <v>4</v>
      </c>
      <c r="D7" s="3" t="s">
        <v>5</v>
      </c>
      <c r="E7" s="87" t="s">
        <v>158</v>
      </c>
      <c r="F7" s="10" t="s">
        <v>101</v>
      </c>
      <c r="H7" t="s">
        <v>105</v>
      </c>
    </row>
    <row r="8" spans="1:12" ht="15" thickBot="1">
      <c r="A8" s="4" t="s">
        <v>42</v>
      </c>
      <c r="B8" s="5" t="s">
        <v>10</v>
      </c>
      <c r="C8" s="5" t="s">
        <v>11</v>
      </c>
      <c r="D8" s="6" t="s">
        <v>12</v>
      </c>
      <c r="E8" s="231" t="s">
        <v>11</v>
      </c>
      <c r="F8" s="34">
        <f>'Subject data'!C8</f>
        <v>0.41053240740740743</v>
      </c>
      <c r="H8" t="s">
        <v>10</v>
      </c>
    </row>
    <row r="9" spans="1:12">
      <c r="A9" s="4" t="s">
        <v>6</v>
      </c>
      <c r="B9" s="202">
        <v>1E-4</v>
      </c>
      <c r="C9" s="203">
        <v>0.40625</v>
      </c>
      <c r="D9" s="21">
        <f>'Subject data'!C4</f>
        <v>44516</v>
      </c>
      <c r="E9" s="128">
        <f>C9-'Subject data'!$F$17/24/60</f>
        <v>0.40634259259259253</v>
      </c>
      <c r="F9" s="32">
        <f>B9*EXP(LN(2)*(E9-$F$8)*24*60/'Gamma data'!$B$10)</f>
        <v>9.6261885808591156E-5</v>
      </c>
    </row>
    <row r="10" spans="1:12">
      <c r="A10" s="4" t="s">
        <v>7</v>
      </c>
      <c r="B10" s="202">
        <v>3.72</v>
      </c>
      <c r="C10" s="203">
        <v>0.40625</v>
      </c>
      <c r="D10" s="21">
        <f>D9</f>
        <v>44516</v>
      </c>
      <c r="E10" s="128">
        <f>C10-'Subject data'!$F$17/24/60</f>
        <v>0.40634259259259253</v>
      </c>
      <c r="F10" s="32">
        <f>B10*EXP(LN(2)*(E10-$F$8)*24*60/'Gamma data'!$B$10)</f>
        <v>3.580942152079591</v>
      </c>
      <c r="H10" s="32">
        <f>F10-F12</f>
        <v>3.4454271613451546</v>
      </c>
    </row>
    <row r="11" spans="1:12">
      <c r="A11" s="4" t="s">
        <v>6</v>
      </c>
      <c r="B11" s="202">
        <v>3.0000000000000001E-5</v>
      </c>
      <c r="C11" s="203">
        <v>0.41180555555555554</v>
      </c>
      <c r="D11" s="21">
        <f>D10</f>
        <v>44516</v>
      </c>
      <c r="E11" s="128">
        <f>C11-'Subject data'!$F$17/24/60</f>
        <v>0.41189814814814807</v>
      </c>
      <c r="F11" s="32">
        <f>B11*EXP(LN(2)*(E11-$F$8)*24*60/'Gamma data'!$B$10)</f>
        <v>3.0374880856422583E-5</v>
      </c>
    </row>
    <row r="12" spans="1:12" ht="15" thickBot="1">
      <c r="A12" s="7" t="s">
        <v>8</v>
      </c>
      <c r="B12" s="204">
        <v>0.13300000000000001</v>
      </c>
      <c r="C12" s="205">
        <v>0.41250000000000003</v>
      </c>
      <c r="D12" s="22">
        <f>D11</f>
        <v>44516</v>
      </c>
      <c r="E12" s="128">
        <f>C12-'Subject data'!$F$17/24/60</f>
        <v>0.41259259259259257</v>
      </c>
      <c r="F12" s="32">
        <f>B12*EXP(LN(2)*(E12-$F$8)*24*60/'Gamma data'!$B$10)</f>
        <v>0.1355149907344364</v>
      </c>
    </row>
    <row r="13" spans="1:12" ht="15" thickBot="1"/>
    <row r="14" spans="1:12">
      <c r="A14" s="1" t="s">
        <v>247</v>
      </c>
      <c r="B14" s="2"/>
      <c r="C14" s="286">
        <f>H10/C16</f>
        <v>1.7131210195467721</v>
      </c>
      <c r="D14" s="2" t="s">
        <v>248</v>
      </c>
      <c r="E14" s="2"/>
      <c r="F14" s="3"/>
    </row>
    <row r="15" spans="1:12">
      <c r="A15" s="4" t="s">
        <v>249</v>
      </c>
      <c r="B15" s="5"/>
      <c r="C15" s="354">
        <v>3.0542777999999999</v>
      </c>
      <c r="D15" s="5" t="s">
        <v>250</v>
      </c>
      <c r="E15" s="5" t="s">
        <v>251</v>
      </c>
      <c r="F15" s="355">
        <v>0.36458333333333331</v>
      </c>
      <c r="G15" s="254" t="s">
        <v>290</v>
      </c>
      <c r="J15" s="364"/>
      <c r="K15" s="172"/>
      <c r="L15" s="172"/>
    </row>
    <row r="16" spans="1:12">
      <c r="A16" s="4" t="s">
        <v>249</v>
      </c>
      <c r="B16" s="5"/>
      <c r="C16" s="83">
        <f>C15*EXP(LN(2)*(F15-$F$8)*24*60/109.77)</f>
        <v>2.0111989299253863</v>
      </c>
      <c r="D16" s="5" t="s">
        <v>250</v>
      </c>
      <c r="E16" s="5" t="s">
        <v>251</v>
      </c>
      <c r="F16" s="127">
        <f>F8</f>
        <v>0.41053240740740743</v>
      </c>
    </row>
    <row r="17" spans="1:6">
      <c r="A17" s="4" t="s">
        <v>252</v>
      </c>
      <c r="B17" s="5"/>
      <c r="C17" s="287">
        <v>0.65</v>
      </c>
      <c r="D17" s="5" t="s">
        <v>253</v>
      </c>
      <c r="E17" s="5"/>
      <c r="F17" s="6"/>
    </row>
    <row r="18" spans="1:6" ht="15" thickBot="1">
      <c r="A18" s="7" t="s">
        <v>254</v>
      </c>
      <c r="B18" s="8"/>
      <c r="C18" s="356">
        <f>C17*C14</f>
        <v>1.113528662705402</v>
      </c>
      <c r="D18" s="8" t="s">
        <v>255</v>
      </c>
      <c r="E18" s="8"/>
      <c r="F18" s="9"/>
    </row>
    <row r="19" spans="1:6">
      <c r="F19" s="128"/>
    </row>
    <row r="21" spans="1:6">
      <c r="A21" t="s">
        <v>79</v>
      </c>
      <c r="B21" s="427" t="str">
        <f>'Subject data'!C22</f>
        <v>DN/VM</v>
      </c>
      <c r="C21" s="427"/>
    </row>
    <row r="23" spans="1:6">
      <c r="A23" t="s">
        <v>39</v>
      </c>
    </row>
    <row r="24" spans="1:6">
      <c r="A24" t="s">
        <v>68</v>
      </c>
    </row>
  </sheetData>
  <mergeCells count="1">
    <mergeCell ref="B21:C2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F50"/>
  <sheetViews>
    <sheetView workbookViewId="0">
      <selection activeCell="A28" sqref="A28"/>
    </sheetView>
  </sheetViews>
  <sheetFormatPr baseColWidth="10" defaultColWidth="9.33203125" defaultRowHeight="14" x14ac:dyDescent="0"/>
  <cols>
    <col min="1" max="1" width="15.6640625" style="27" customWidth="1"/>
    <col min="2" max="2" width="15.33203125" style="27" customWidth="1"/>
    <col min="3" max="3" width="18.5" style="27" customWidth="1"/>
    <col min="4" max="4" width="9.33203125" style="27"/>
    <col min="5" max="5" width="11.5" style="27" bestFit="1" customWidth="1"/>
    <col min="6" max="16384" width="9.33203125" style="27"/>
  </cols>
  <sheetData>
    <row r="2" spans="1:5">
      <c r="A2" s="27" t="s">
        <v>79</v>
      </c>
      <c r="B2" s="427" t="str">
        <f>'Subject data'!C22</f>
        <v>DN/VM</v>
      </c>
      <c r="C2" s="427"/>
    </row>
    <row r="6" spans="1:5">
      <c r="A6" s="27" t="s">
        <v>275</v>
      </c>
      <c r="B6" s="44"/>
      <c r="C6" s="298">
        <f>'Subject data'!C8</f>
        <v>0.41053240740740743</v>
      </c>
    </row>
    <row r="7" spans="1:5" ht="15" thickBot="1">
      <c r="B7" s="44"/>
    </row>
    <row r="8" spans="1:5" ht="15" thickBot="1">
      <c r="A8" s="70"/>
      <c r="B8" s="71" t="s">
        <v>4</v>
      </c>
      <c r="C8" s="72"/>
    </row>
    <row r="9" spans="1:5">
      <c r="A9" s="70" t="s">
        <v>17</v>
      </c>
      <c r="B9" s="71" t="s">
        <v>16</v>
      </c>
      <c r="C9" s="72" t="s">
        <v>112</v>
      </c>
    </row>
    <row r="10" spans="1:5">
      <c r="A10" s="73" t="s">
        <v>319</v>
      </c>
      <c r="B10" s="206">
        <f>C6+TIME(0,0,10)</f>
        <v>0.41064814814814815</v>
      </c>
      <c r="C10" s="74" t="s">
        <v>222</v>
      </c>
      <c r="E10" s="299"/>
    </row>
    <row r="11" spans="1:5">
      <c r="A11" s="73" t="s">
        <v>320</v>
      </c>
      <c r="B11" s="206">
        <f>B10+TIME(0,0,10)</f>
        <v>0.41076388888888887</v>
      </c>
      <c r="C11" s="74" t="s">
        <v>222</v>
      </c>
      <c r="E11" s="299"/>
    </row>
    <row r="12" spans="1:5">
      <c r="A12" s="73" t="s">
        <v>321</v>
      </c>
      <c r="B12" s="206">
        <f t="shared" ref="B12:B21" si="0">B11+TIME(0,0,10)</f>
        <v>0.41087962962962959</v>
      </c>
      <c r="C12" s="74" t="s">
        <v>222</v>
      </c>
      <c r="E12" s="299"/>
    </row>
    <row r="13" spans="1:5">
      <c r="A13" s="73" t="s">
        <v>322</v>
      </c>
      <c r="B13" s="206">
        <f t="shared" si="0"/>
        <v>0.41099537037037032</v>
      </c>
      <c r="C13" s="74" t="s">
        <v>222</v>
      </c>
      <c r="E13" s="299"/>
    </row>
    <row r="14" spans="1:5">
      <c r="A14" s="73" t="s">
        <v>323</v>
      </c>
      <c r="B14" s="206">
        <f t="shared" si="0"/>
        <v>0.41111111111111104</v>
      </c>
      <c r="C14" s="74" t="s">
        <v>222</v>
      </c>
      <c r="E14" s="299"/>
    </row>
    <row r="15" spans="1:5">
      <c r="A15" s="73" t="s">
        <v>324</v>
      </c>
      <c r="B15" s="206">
        <f t="shared" si="0"/>
        <v>0.41122685185185176</v>
      </c>
      <c r="C15" s="74" t="s">
        <v>222</v>
      </c>
      <c r="E15" s="299"/>
    </row>
    <row r="16" spans="1:5">
      <c r="A16" s="73" t="s">
        <v>325</v>
      </c>
      <c r="B16" s="206">
        <f t="shared" si="0"/>
        <v>0.41134259259259248</v>
      </c>
      <c r="C16" s="74" t="s">
        <v>222</v>
      </c>
      <c r="E16" s="299"/>
    </row>
    <row r="17" spans="1:6">
      <c r="A17" s="73" t="s">
        <v>326</v>
      </c>
      <c r="B17" s="206">
        <f t="shared" si="0"/>
        <v>0.4114583333333332</v>
      </c>
      <c r="C17" s="74" t="s">
        <v>222</v>
      </c>
      <c r="E17" s="299"/>
    </row>
    <row r="18" spans="1:6">
      <c r="A18" s="73" t="s">
        <v>327</v>
      </c>
      <c r="B18" s="206">
        <f t="shared" si="0"/>
        <v>0.41157407407407393</v>
      </c>
      <c r="C18" s="74" t="s">
        <v>222</v>
      </c>
      <c r="E18" s="299"/>
    </row>
    <row r="19" spans="1:6">
      <c r="A19" s="73" t="s">
        <v>328</v>
      </c>
      <c r="B19" s="206">
        <f t="shared" si="0"/>
        <v>0.41168981481481465</v>
      </c>
      <c r="C19" s="74" t="s">
        <v>222</v>
      </c>
      <c r="E19" s="299"/>
    </row>
    <row r="20" spans="1:6">
      <c r="A20" s="73" t="s">
        <v>329</v>
      </c>
      <c r="B20" s="206">
        <f t="shared" si="0"/>
        <v>0.41180555555555537</v>
      </c>
      <c r="C20" s="74" t="s">
        <v>222</v>
      </c>
    </row>
    <row r="21" spans="1:6">
      <c r="A21" s="73" t="s">
        <v>189</v>
      </c>
      <c r="B21" s="206">
        <f t="shared" si="0"/>
        <v>0.41192129629629609</v>
      </c>
      <c r="C21" s="74" t="s">
        <v>223</v>
      </c>
    </row>
    <row r="22" spans="1:6">
      <c r="A22" s="73" t="s">
        <v>330</v>
      </c>
      <c r="B22" s="206">
        <f>B21+TIME(0,0,20)</f>
        <v>0.41215277777777759</v>
      </c>
      <c r="C22" s="74" t="s">
        <v>222</v>
      </c>
    </row>
    <row r="23" spans="1:6">
      <c r="A23" s="73" t="s">
        <v>331</v>
      </c>
      <c r="B23" s="206">
        <f t="shared" ref="B23:B27" si="1">B22+TIME(0,0,20)</f>
        <v>0.41238425925925909</v>
      </c>
      <c r="C23" s="74" t="s">
        <v>222</v>
      </c>
    </row>
    <row r="24" spans="1:6">
      <c r="A24" s="73" t="s">
        <v>332</v>
      </c>
      <c r="B24" s="206">
        <f t="shared" si="1"/>
        <v>0.41261574074074059</v>
      </c>
      <c r="C24" s="74" t="s">
        <v>222</v>
      </c>
    </row>
    <row r="25" spans="1:6">
      <c r="A25" s="73" t="s">
        <v>333</v>
      </c>
      <c r="B25" s="206">
        <f t="shared" si="1"/>
        <v>0.41284722222222209</v>
      </c>
      <c r="C25" s="74" t="s">
        <v>222</v>
      </c>
    </row>
    <row r="26" spans="1:6">
      <c r="A26" s="73" t="s">
        <v>334</v>
      </c>
      <c r="B26" s="206">
        <f t="shared" si="1"/>
        <v>0.41307870370370359</v>
      </c>
      <c r="C26" s="74" t="s">
        <v>222</v>
      </c>
    </row>
    <row r="27" spans="1:6">
      <c r="A27" s="73" t="s">
        <v>335</v>
      </c>
      <c r="B27" s="206">
        <f t="shared" si="1"/>
        <v>0.41331018518518509</v>
      </c>
      <c r="C27" s="74" t="s">
        <v>222</v>
      </c>
    </row>
    <row r="28" spans="1:6">
      <c r="A28" s="73" t="s">
        <v>273</v>
      </c>
      <c r="B28" s="206">
        <v>0.4148148148148148</v>
      </c>
      <c r="C28" s="74" t="s">
        <v>223</v>
      </c>
    </row>
    <row r="29" spans="1:6">
      <c r="A29" s="73" t="s">
        <v>293</v>
      </c>
      <c r="B29" s="206">
        <v>0.41608796296296297</v>
      </c>
      <c r="C29" s="74" t="s">
        <v>222</v>
      </c>
    </row>
    <row r="30" spans="1:6">
      <c r="A30" s="73" t="s">
        <v>295</v>
      </c>
      <c r="B30" s="206">
        <v>0.41886574074074073</v>
      </c>
      <c r="C30" s="74" t="s">
        <v>222</v>
      </c>
    </row>
    <row r="31" spans="1:6">
      <c r="A31" s="73" t="s">
        <v>199</v>
      </c>
      <c r="B31" s="206">
        <v>0.4216435185185185</v>
      </c>
      <c r="C31" s="74" t="s">
        <v>223</v>
      </c>
      <c r="F31" s="298"/>
    </row>
    <row r="32" spans="1:6">
      <c r="A32" s="144" t="s">
        <v>200</v>
      </c>
      <c r="B32" s="206">
        <v>0.42442129629629632</v>
      </c>
      <c r="C32" s="74" t="s">
        <v>222</v>
      </c>
    </row>
    <row r="33" spans="1:3">
      <c r="A33" s="144" t="s">
        <v>156</v>
      </c>
      <c r="B33" s="206">
        <v>0.43136574074074074</v>
      </c>
      <c r="C33" s="74" t="s">
        <v>223</v>
      </c>
    </row>
    <row r="34" spans="1:3">
      <c r="A34" s="144" t="s">
        <v>294</v>
      </c>
      <c r="B34" s="206">
        <v>0.43831018518518516</v>
      </c>
      <c r="C34" s="74" t="s">
        <v>222</v>
      </c>
    </row>
    <row r="35" spans="1:3">
      <c r="A35" s="144" t="s">
        <v>190</v>
      </c>
      <c r="B35" s="206">
        <v>0.44525462962962964</v>
      </c>
      <c r="C35" s="74" t="s">
        <v>222</v>
      </c>
    </row>
    <row r="36" spans="1:3">
      <c r="A36" s="144" t="s">
        <v>157</v>
      </c>
      <c r="B36" s="206">
        <v>0.45219907407407406</v>
      </c>
      <c r="C36" s="74" t="s">
        <v>223</v>
      </c>
    </row>
    <row r="37" spans="1:3">
      <c r="A37" s="144" t="s">
        <v>201</v>
      </c>
      <c r="B37" s="206">
        <v>0.45915509259259263</v>
      </c>
      <c r="C37" s="74" t="s">
        <v>222</v>
      </c>
    </row>
    <row r="38" spans="1:3">
      <c r="A38" s="144" t="s">
        <v>130</v>
      </c>
      <c r="B38" s="206">
        <v>0.47309027777777773</v>
      </c>
      <c r="C38" s="74" t="s">
        <v>223</v>
      </c>
    </row>
    <row r="39" spans="1:3">
      <c r="A39" s="144" t="s">
        <v>284</v>
      </c>
      <c r="B39" s="206">
        <v>0.48692129629629632</v>
      </c>
      <c r="C39" s="74" t="s">
        <v>222</v>
      </c>
    </row>
    <row r="40" spans="1:3">
      <c r="A40" s="144" t="s">
        <v>296</v>
      </c>
      <c r="B40" s="359">
        <v>0.50104166666666672</v>
      </c>
      <c r="C40" s="74" t="s">
        <v>223</v>
      </c>
    </row>
    <row r="41" spans="1:3" ht="15" thickBot="1">
      <c r="A41" s="145" t="s">
        <v>285</v>
      </c>
      <c r="B41" s="207">
        <v>0.51487268518518514</v>
      </c>
      <c r="C41" s="76" t="s">
        <v>222</v>
      </c>
    </row>
    <row r="42" spans="1:3">
      <c r="B42" s="358"/>
      <c r="C42" s="44"/>
    </row>
    <row r="43" spans="1:3">
      <c r="B43" s="44"/>
      <c r="C43" s="44"/>
    </row>
    <row r="44" spans="1:3">
      <c r="B44" s="44"/>
      <c r="C44" s="44"/>
    </row>
    <row r="45" spans="1:3">
      <c r="B45" s="44"/>
      <c r="C45" s="44"/>
    </row>
    <row r="46" spans="1:3">
      <c r="B46" s="44"/>
      <c r="C46" s="44"/>
    </row>
    <row r="47" spans="1:3">
      <c r="B47" s="44"/>
      <c r="C47" s="44"/>
    </row>
    <row r="48" spans="1:3">
      <c r="B48" s="44"/>
      <c r="C48" s="44"/>
    </row>
    <row r="49" spans="2:5">
      <c r="B49" s="44"/>
      <c r="C49" s="44"/>
    </row>
    <row r="50" spans="2:5">
      <c r="E50" s="27" t="s">
        <v>146</v>
      </c>
    </row>
  </sheetData>
  <mergeCells count="1">
    <mergeCell ref="B2:C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X186"/>
  <sheetViews>
    <sheetView topLeftCell="A152" workbookViewId="0">
      <selection activeCell="A186" sqref="A186"/>
    </sheetView>
  </sheetViews>
  <sheetFormatPr baseColWidth="10" defaultColWidth="9.33203125" defaultRowHeight="14" x14ac:dyDescent="0"/>
  <cols>
    <col min="1" max="1" width="23.5" style="27" bestFit="1" customWidth="1"/>
    <col min="2" max="2" width="16.6640625" style="44" customWidth="1"/>
    <col min="3" max="10" width="9.33203125" style="27"/>
    <col min="11" max="11" width="20.5" style="27" bestFit="1" customWidth="1"/>
    <col min="12" max="16384" width="9.33203125" style="27"/>
  </cols>
  <sheetData>
    <row r="1" spans="1:14">
      <c r="A1" s="27" t="s">
        <v>62</v>
      </c>
      <c r="B1" s="389" t="s">
        <v>240</v>
      </c>
      <c r="C1" s="253"/>
    </row>
    <row r="2" spans="1:14">
      <c r="A2" s="27" t="s">
        <v>45</v>
      </c>
      <c r="B2" s="389" t="s">
        <v>228</v>
      </c>
      <c r="C2" s="253"/>
      <c r="E2" s="27" t="s">
        <v>79</v>
      </c>
      <c r="F2" s="388" t="str">
        <f>'Subject data'!C22</f>
        <v>DN/VM</v>
      </c>
      <c r="G2" s="388"/>
    </row>
    <row r="3" spans="1:14">
      <c r="A3" s="27" t="s">
        <v>46</v>
      </c>
      <c r="B3" s="390">
        <v>44509</v>
      </c>
      <c r="F3" s="169"/>
      <c r="G3" s="169"/>
    </row>
    <row r="4" spans="1:14">
      <c r="B4" s="390"/>
      <c r="H4" s="44"/>
    </row>
    <row r="5" spans="1:14" ht="15" thickBot="1">
      <c r="B5" s="390"/>
    </row>
    <row r="6" spans="1:14">
      <c r="A6" s="115" t="s">
        <v>225</v>
      </c>
      <c r="B6" s="391"/>
      <c r="C6" s="116"/>
      <c r="D6" s="117"/>
      <c r="E6" s="118"/>
      <c r="F6" s="116"/>
      <c r="G6" s="116"/>
      <c r="H6" s="116"/>
      <c r="I6" s="116"/>
      <c r="J6" s="116"/>
      <c r="K6" s="119"/>
    </row>
    <row r="7" spans="1:14">
      <c r="A7" s="73"/>
      <c r="B7" s="90" t="s">
        <v>63</v>
      </c>
      <c r="C7" s="69" t="s">
        <v>35</v>
      </c>
      <c r="D7" s="69" t="s">
        <v>37</v>
      </c>
      <c r="E7" s="69" t="s">
        <v>38</v>
      </c>
      <c r="F7" s="69"/>
      <c r="G7" s="69"/>
      <c r="H7" s="69"/>
      <c r="I7" s="69"/>
      <c r="J7" s="69"/>
      <c r="K7" s="74"/>
    </row>
    <row r="8" spans="1:14">
      <c r="A8" s="73" t="s">
        <v>17</v>
      </c>
      <c r="B8" s="90" t="s">
        <v>64</v>
      </c>
      <c r="C8" s="69" t="s">
        <v>36</v>
      </c>
      <c r="D8" s="69" t="s">
        <v>36</v>
      </c>
      <c r="E8" s="69" t="s">
        <v>36</v>
      </c>
      <c r="F8" s="69" t="s">
        <v>49</v>
      </c>
      <c r="G8" s="428" t="s">
        <v>104</v>
      </c>
      <c r="H8" s="428"/>
      <c r="I8" s="429"/>
      <c r="J8" s="429"/>
      <c r="K8" s="430"/>
    </row>
    <row r="9" spans="1:14">
      <c r="A9" s="73" t="s">
        <v>34</v>
      </c>
      <c r="B9" s="90" t="s">
        <v>84</v>
      </c>
      <c r="C9" s="208">
        <v>0</v>
      </c>
      <c r="D9" s="208">
        <v>0</v>
      </c>
      <c r="E9" s="47">
        <f>C9-D9</f>
        <v>0</v>
      </c>
      <c r="F9" s="111" t="str">
        <f>IF(ABS(C9+D9)&gt;0.00001, "FAIL","PASS")</f>
        <v>PASS</v>
      </c>
      <c r="G9" s="69" t="s">
        <v>106</v>
      </c>
      <c r="H9" s="69" t="s">
        <v>107</v>
      </c>
      <c r="I9" s="90" t="s">
        <v>110</v>
      </c>
      <c r="J9" s="69" t="s">
        <v>108</v>
      </c>
      <c r="K9" s="74"/>
    </row>
    <row r="10" spans="1:14">
      <c r="A10" s="114" t="s">
        <v>242</v>
      </c>
      <c r="B10" s="194" t="s">
        <v>84</v>
      </c>
      <c r="C10" s="209">
        <v>0</v>
      </c>
      <c r="D10" s="209">
        <v>5.0000999999999998</v>
      </c>
      <c r="E10" s="57">
        <f>D10-C10</f>
        <v>5.0000999999999998</v>
      </c>
      <c r="F10" s="193" t="str">
        <f>IF(ABS(E10-5)&gt;0.001,"FAIL","PASS")</f>
        <v>PASS</v>
      </c>
      <c r="G10" s="194" t="s">
        <v>125</v>
      </c>
      <c r="H10" s="194" t="s">
        <v>125</v>
      </c>
      <c r="I10" s="92" t="s">
        <v>109</v>
      </c>
      <c r="J10" s="92" t="s">
        <v>109</v>
      </c>
      <c r="K10" s="98" t="s">
        <v>115</v>
      </c>
    </row>
    <row r="11" spans="1:14">
      <c r="A11" s="69"/>
      <c r="B11" s="90"/>
      <c r="C11" s="101"/>
      <c r="D11" s="101"/>
      <c r="E11" s="99"/>
      <c r="F11" s="69"/>
      <c r="G11" s="89"/>
      <c r="H11" s="69"/>
      <c r="I11" s="69"/>
      <c r="J11" s="69"/>
      <c r="K11" s="69"/>
      <c r="L11" s="196"/>
      <c r="M11" s="197"/>
      <c r="N11" s="69"/>
    </row>
    <row r="12" spans="1:14" ht="15" thickBot="1">
      <c r="A12" s="69"/>
      <c r="B12" s="90"/>
      <c r="C12" s="101"/>
      <c r="D12" s="101"/>
      <c r="E12" s="99"/>
      <c r="F12" s="69"/>
      <c r="G12" s="89"/>
      <c r="H12" s="69"/>
      <c r="I12" s="69"/>
      <c r="J12" s="69"/>
      <c r="K12" s="69"/>
      <c r="L12" s="196"/>
      <c r="M12" s="197"/>
      <c r="N12" s="69"/>
    </row>
    <row r="13" spans="1:14" ht="15" thickBot="1">
      <c r="A13" s="250" t="s">
        <v>202</v>
      </c>
      <c r="B13" s="392" t="s">
        <v>203</v>
      </c>
      <c r="C13" s="251"/>
      <c r="D13" s="110"/>
      <c r="E13" s="52"/>
      <c r="F13" s="251"/>
      <c r="G13" s="251"/>
      <c r="H13" s="251"/>
      <c r="I13" s="251"/>
      <c r="J13" s="251"/>
      <c r="K13" s="91"/>
    </row>
    <row r="14" spans="1:14">
      <c r="A14" s="70"/>
      <c r="B14" s="393" t="s">
        <v>63</v>
      </c>
      <c r="C14" s="71" t="s">
        <v>35</v>
      </c>
      <c r="D14" s="71" t="s">
        <v>37</v>
      </c>
      <c r="E14" s="71" t="s">
        <v>38</v>
      </c>
      <c r="F14" s="71"/>
      <c r="G14" s="71"/>
      <c r="H14" s="71"/>
      <c r="I14" s="71"/>
      <c r="J14" s="71"/>
      <c r="K14" s="72"/>
    </row>
    <row r="15" spans="1:14">
      <c r="A15" s="73" t="s">
        <v>17</v>
      </c>
      <c r="B15" s="90" t="s">
        <v>64</v>
      </c>
      <c r="C15" s="69" t="s">
        <v>36</v>
      </c>
      <c r="D15" s="69" t="s">
        <v>36</v>
      </c>
      <c r="E15" s="69" t="s">
        <v>36</v>
      </c>
      <c r="F15" s="69" t="s">
        <v>49</v>
      </c>
      <c r="G15" s="428" t="s">
        <v>104</v>
      </c>
      <c r="H15" s="428"/>
      <c r="I15" s="429"/>
      <c r="J15" s="429"/>
      <c r="K15" s="430"/>
    </row>
    <row r="16" spans="1:14">
      <c r="A16" s="73" t="s">
        <v>34</v>
      </c>
      <c r="B16" s="90" t="s">
        <v>84</v>
      </c>
      <c r="C16" s="103">
        <v>0</v>
      </c>
      <c r="D16" s="103">
        <v>0</v>
      </c>
      <c r="E16" s="47">
        <f>C16-D16</f>
        <v>0</v>
      </c>
      <c r="F16" s="111" t="str">
        <f>IF(ABS(C16+D16)&gt;0.00001, "FAIL","PASS")</f>
        <v>PASS</v>
      </c>
      <c r="G16" s="69" t="s">
        <v>106</v>
      </c>
      <c r="H16" s="69" t="s">
        <v>107</v>
      </c>
      <c r="I16" s="90" t="s">
        <v>110</v>
      </c>
      <c r="J16" s="69" t="s">
        <v>108</v>
      </c>
      <c r="K16" s="74"/>
    </row>
    <row r="17" spans="1:16" ht="15" thickBot="1">
      <c r="A17" s="114" t="s">
        <v>227</v>
      </c>
      <c r="B17" s="194" t="s">
        <v>84</v>
      </c>
      <c r="C17" s="195">
        <v>0</v>
      </c>
      <c r="D17" s="195">
        <f>D10</f>
        <v>5.0000999999999998</v>
      </c>
      <c r="E17" s="57">
        <f t="shared" ref="E17:E24" si="0">D17-C17</f>
        <v>5.0000999999999998</v>
      </c>
      <c r="F17" s="193" t="str">
        <f>IF(ABS(E17-5)&gt;0.001,"FAIL","PASS")</f>
        <v>PASS</v>
      </c>
      <c r="G17" s="194" t="s">
        <v>125</v>
      </c>
      <c r="H17" s="194" t="s">
        <v>125</v>
      </c>
      <c r="I17" s="92" t="s">
        <v>109</v>
      </c>
      <c r="J17" s="92" t="s">
        <v>109</v>
      </c>
      <c r="K17" s="98" t="s">
        <v>115</v>
      </c>
      <c r="M17" s="90"/>
    </row>
    <row r="18" spans="1:16">
      <c r="A18" s="73" t="s">
        <v>204</v>
      </c>
      <c r="B18" s="78">
        <v>0.15</v>
      </c>
      <c r="C18" s="208">
        <v>1.5959000000000001</v>
      </c>
      <c r="D18" s="208">
        <v>1.7372000000000001</v>
      </c>
      <c r="E18" s="47">
        <f t="shared" si="0"/>
        <v>0.14129999999999998</v>
      </c>
      <c r="F18" s="69"/>
      <c r="G18" s="89">
        <f>'Gamma data'!J20/'Balance data'!E18</f>
        <v>-16.398989813005134</v>
      </c>
      <c r="H18" s="89"/>
      <c r="I18" s="95">
        <f>'Gamma data'!M20</f>
        <v>6.5795169495976913E-2</v>
      </c>
      <c r="J18" s="94">
        <f>SQRT('Gamma data'!$E$37)/'Gamma data'!$E$37</f>
        <v>3.2650113192424879E-3</v>
      </c>
      <c r="K18" s="94">
        <f>$J$18+I18</f>
        <v>6.9060180815219405E-2</v>
      </c>
      <c r="L18" s="312" t="s">
        <v>128</v>
      </c>
      <c r="M18" s="168">
        <f>('Blood collection data'!B10-'Subject data'!$C$8)*24*60</f>
        <v>0.16666666666663943</v>
      </c>
      <c r="N18" s="72" t="s">
        <v>99</v>
      </c>
    </row>
    <row r="19" spans="1:16">
      <c r="A19" s="144" t="s">
        <v>291</v>
      </c>
      <c r="B19" s="78">
        <v>0.15</v>
      </c>
      <c r="C19" s="208">
        <v>1.597</v>
      </c>
      <c r="D19" s="208">
        <v>1.7394000000000001</v>
      </c>
      <c r="E19" s="47">
        <f t="shared" si="0"/>
        <v>0.14240000000000008</v>
      </c>
      <c r="F19" s="69"/>
      <c r="G19" s="89">
        <f>'Gamma data'!J21/'Balance data'!E19</f>
        <v>20.138653663557651</v>
      </c>
      <c r="H19" s="69"/>
      <c r="I19" s="95">
        <f>'Gamma data'!M21</f>
        <v>4.7781848256749658E-2</v>
      </c>
      <c r="J19" s="69"/>
      <c r="K19" s="94">
        <f t="shared" ref="K19:K28" si="1">$J$18+I19</f>
        <v>5.1046859575992143E-2</v>
      </c>
      <c r="L19" s="313" t="s">
        <v>128</v>
      </c>
      <c r="M19" s="197">
        <f>('Blood collection data'!B11-'Subject data'!$C$8)*24*60</f>
        <v>0.33333333333327886</v>
      </c>
      <c r="N19" s="74" t="s">
        <v>99</v>
      </c>
      <c r="P19" s="27" t="s">
        <v>40</v>
      </c>
    </row>
    <row r="20" spans="1:16">
      <c r="A20" s="73" t="s">
        <v>205</v>
      </c>
      <c r="B20" s="78">
        <v>0.15</v>
      </c>
      <c r="C20" s="208">
        <v>1.6087</v>
      </c>
      <c r="D20" s="208">
        <v>1.7522</v>
      </c>
      <c r="E20" s="47">
        <f t="shared" si="0"/>
        <v>0.14349999999999996</v>
      </c>
      <c r="F20" s="69"/>
      <c r="G20" s="89">
        <f>'Gamma data'!J22/'Balance data'!E20</f>
        <v>13650.681688422867</v>
      </c>
      <c r="H20" s="69"/>
      <c r="I20" s="95">
        <f>'Gamma data'!M22</f>
        <v>3.5930333946339573E-3</v>
      </c>
      <c r="J20" s="69"/>
      <c r="K20" s="94">
        <f t="shared" si="1"/>
        <v>6.8580447138764447E-3</v>
      </c>
      <c r="L20" s="313" t="s">
        <v>128</v>
      </c>
      <c r="M20" s="197">
        <f>('Blood collection data'!B12-'Subject data'!$C$8)*24*60</f>
        <v>0.49999999999991829</v>
      </c>
      <c r="N20" s="74" t="s">
        <v>99</v>
      </c>
    </row>
    <row r="21" spans="1:16">
      <c r="A21" s="73" t="s">
        <v>206</v>
      </c>
      <c r="B21" s="78">
        <v>0.15</v>
      </c>
      <c r="C21" s="208">
        <v>1.6106</v>
      </c>
      <c r="D21" s="208">
        <v>1.7523</v>
      </c>
      <c r="E21" s="47">
        <f t="shared" si="0"/>
        <v>0.14169999999999994</v>
      </c>
      <c r="F21" s="69"/>
      <c r="G21" s="89">
        <f>'Gamma data'!J23/'Balance data'!E21</f>
        <v>18041.602158319394</v>
      </c>
      <c r="H21" s="69"/>
      <c r="I21" s="95">
        <f>'Gamma data'!M23</f>
        <v>3.1615821885803532E-3</v>
      </c>
      <c r="J21" s="69"/>
      <c r="K21" s="94">
        <f t="shared" si="1"/>
        <v>6.4265935078228406E-3</v>
      </c>
      <c r="L21" s="313" t="s">
        <v>128</v>
      </c>
      <c r="M21" s="197">
        <f>('Blood collection data'!B13-'Subject data'!$C$8)*24*60</f>
        <v>0.66666666666655772</v>
      </c>
      <c r="N21" s="74" t="s">
        <v>99</v>
      </c>
    </row>
    <row r="22" spans="1:16">
      <c r="A22" s="73" t="s">
        <v>207</v>
      </c>
      <c r="B22" s="78">
        <v>0.15</v>
      </c>
      <c r="C22" s="208">
        <v>1.5846</v>
      </c>
      <c r="D22" s="208">
        <v>1.7228000000000001</v>
      </c>
      <c r="E22" s="47">
        <f t="shared" si="0"/>
        <v>0.1382000000000001</v>
      </c>
      <c r="F22" s="69"/>
      <c r="G22" s="89">
        <f>'Gamma data'!J24/'Balance data'!E22</f>
        <v>20881.865434111271</v>
      </c>
      <c r="H22" s="69"/>
      <c r="I22" s="95">
        <f>'Gamma data'!M24</f>
        <v>2.9904889222555865E-3</v>
      </c>
      <c r="J22" s="69"/>
      <c r="K22" s="94">
        <f t="shared" si="1"/>
        <v>6.2555002414980739E-3</v>
      </c>
      <c r="L22" s="313" t="s">
        <v>128</v>
      </c>
      <c r="M22" s="197">
        <f>('Blood collection data'!B14-'Subject data'!$C$8)*24*60</f>
        <v>0.83333333333319715</v>
      </c>
      <c r="N22" s="74" t="s">
        <v>99</v>
      </c>
    </row>
    <row r="23" spans="1:16">
      <c r="A23" s="73" t="s">
        <v>208</v>
      </c>
      <c r="B23" s="78">
        <v>0.15</v>
      </c>
      <c r="C23" s="208">
        <v>1.5971</v>
      </c>
      <c r="D23" s="208">
        <v>1.7407999999999999</v>
      </c>
      <c r="E23" s="47">
        <f t="shared" si="0"/>
        <v>0.14369999999999994</v>
      </c>
      <c r="F23" s="69"/>
      <c r="G23" s="89">
        <f>'Gamma data'!J25/'Balance data'!E23</f>
        <v>17085.811301169819</v>
      </c>
      <c r="H23" s="69"/>
      <c r="I23" s="95">
        <f>'Gamma data'!M25</f>
        <v>3.2566725318849002E-3</v>
      </c>
      <c r="J23" s="69"/>
      <c r="K23" s="94">
        <f t="shared" si="1"/>
        <v>6.5216838511273877E-3</v>
      </c>
      <c r="L23" s="313" t="s">
        <v>128</v>
      </c>
      <c r="M23" s="197">
        <f>('Blood collection data'!B15-'Subject data'!$C$8)*24*60</f>
        <v>0.99999999999983658</v>
      </c>
      <c r="N23" s="74" t="s">
        <v>99</v>
      </c>
    </row>
    <row r="24" spans="1:16">
      <c r="A24" s="73" t="s">
        <v>209</v>
      </c>
      <c r="B24" s="78">
        <v>0.15</v>
      </c>
      <c r="C24" s="208">
        <v>1.6335999999999999</v>
      </c>
      <c r="D24" s="208">
        <v>1.7765</v>
      </c>
      <c r="E24" s="47">
        <f t="shared" si="0"/>
        <v>0.14290000000000003</v>
      </c>
      <c r="F24" s="69"/>
      <c r="G24" s="89">
        <f>'Gamma data'!J26/'Balance data'!E24</f>
        <v>18003.421545331959</v>
      </c>
      <c r="H24" s="69"/>
      <c r="I24" s="95">
        <f>'Gamma data'!M26</f>
        <v>3.1967649762670138E-3</v>
      </c>
      <c r="J24" s="69"/>
      <c r="K24" s="94">
        <f t="shared" si="1"/>
        <v>6.4617762955095012E-3</v>
      </c>
      <c r="L24" s="313" t="s">
        <v>128</v>
      </c>
      <c r="M24" s="316">
        <f>('Blood collection data'!B16-'Subject data'!$C$8)*24*60</f>
        <v>1.166666666666476</v>
      </c>
      <c r="N24" s="74" t="s">
        <v>99</v>
      </c>
    </row>
    <row r="25" spans="1:16">
      <c r="A25" s="73" t="s">
        <v>210</v>
      </c>
      <c r="B25" s="78">
        <v>0.15</v>
      </c>
      <c r="C25" s="208">
        <v>1.5742</v>
      </c>
      <c r="D25" s="208">
        <v>1.7164999999999999</v>
      </c>
      <c r="E25" s="47">
        <f>D25-C25</f>
        <v>0.14229999999999987</v>
      </c>
      <c r="F25" s="69"/>
      <c r="G25" s="89">
        <f>'Gamma data'!J27/'Balance data'!E25</f>
        <v>9346.8897179700944</v>
      </c>
      <c r="H25" s="69"/>
      <c r="I25" s="95">
        <f>'Gamma data'!M27</f>
        <v>4.4600655108153579E-3</v>
      </c>
      <c r="J25" s="69"/>
      <c r="K25" s="94">
        <f t="shared" si="1"/>
        <v>7.7250768300578462E-3</v>
      </c>
      <c r="L25" s="313" t="s">
        <v>128</v>
      </c>
      <c r="M25" s="197">
        <f>('Blood collection data'!B17-'Subject data'!$C$8)*24*60</f>
        <v>1.3333333333331154</v>
      </c>
      <c r="N25" s="74" t="s">
        <v>99</v>
      </c>
    </row>
    <row r="26" spans="1:16">
      <c r="A26" s="73" t="s">
        <v>211</v>
      </c>
      <c r="B26" s="78">
        <v>0.15</v>
      </c>
      <c r="C26" s="208">
        <v>1.583</v>
      </c>
      <c r="D26" s="208">
        <v>1.7269000000000001</v>
      </c>
      <c r="E26" s="47">
        <f>D26-C26</f>
        <v>0.14390000000000014</v>
      </c>
      <c r="F26" s="69"/>
      <c r="G26" s="89">
        <f>'Gamma data'!J28/'Balance data'!E26</f>
        <v>6816.749480370886</v>
      </c>
      <c r="H26" s="69"/>
      <c r="I26" s="95">
        <f>'Gamma data'!M28</f>
        <v>5.2119398455133968E-3</v>
      </c>
      <c r="J26" s="69"/>
      <c r="K26" s="94">
        <f t="shared" si="1"/>
        <v>8.4769511647558842E-3</v>
      </c>
      <c r="L26" s="313" t="s">
        <v>128</v>
      </c>
      <c r="M26" s="197">
        <f>('Blood collection data'!B18-'Subject data'!$C$8)*24*60</f>
        <v>1.4999999999997549</v>
      </c>
      <c r="N26" s="74" t="s">
        <v>99</v>
      </c>
    </row>
    <row r="27" spans="1:16">
      <c r="A27" s="73" t="s">
        <v>212</v>
      </c>
      <c r="B27" s="78">
        <v>0.15</v>
      </c>
      <c r="C27" s="208">
        <v>1.5949</v>
      </c>
      <c r="D27" s="208">
        <v>1.7377</v>
      </c>
      <c r="E27" s="47">
        <f>D27-C27</f>
        <v>0.14280000000000004</v>
      </c>
      <c r="F27" s="69"/>
      <c r="G27" s="89">
        <f>'Gamma data'!J29/'Balance data'!E27</f>
        <v>5233.900356252223</v>
      </c>
      <c r="H27" s="69"/>
      <c r="I27" s="95">
        <f>'Gamma data'!M29</f>
        <v>5.9907096224132463E-3</v>
      </c>
      <c r="J27" s="69"/>
      <c r="K27" s="94">
        <f t="shared" si="1"/>
        <v>9.2557209416557346E-3</v>
      </c>
      <c r="L27" s="313" t="s">
        <v>128</v>
      </c>
      <c r="M27" s="197">
        <f>('Blood collection data'!B19-'Subject data'!$C$8)*24*60</f>
        <v>1.6666666666663943</v>
      </c>
      <c r="N27" s="74" t="s">
        <v>99</v>
      </c>
    </row>
    <row r="28" spans="1:16" ht="15" thickBot="1">
      <c r="A28" s="75" t="s">
        <v>213</v>
      </c>
      <c r="B28" s="268">
        <v>0.15</v>
      </c>
      <c r="C28" s="289">
        <v>1.5737000000000001</v>
      </c>
      <c r="D28" s="289">
        <v>1.7176</v>
      </c>
      <c r="E28" s="55">
        <f>D28-C28</f>
        <v>0.14389999999999992</v>
      </c>
      <c r="F28" s="93"/>
      <c r="G28" s="113">
        <f>'Gamma data'!J30/'Balance data'!E28</f>
        <v>4557.9602518420979</v>
      </c>
      <c r="H28" s="93"/>
      <c r="I28" s="126">
        <f>'Gamma data'!M30</f>
        <v>6.4237325098362311E-3</v>
      </c>
      <c r="J28" s="93"/>
      <c r="K28" s="125">
        <f t="shared" si="1"/>
        <v>9.6887438290787185E-3</v>
      </c>
      <c r="L28" s="314" t="s">
        <v>128</v>
      </c>
      <c r="M28" s="315">
        <f>('Blood collection data'!B20-'Subject data'!$C$8)*24*60</f>
        <v>1.8333333333330337</v>
      </c>
      <c r="N28" s="76" t="s">
        <v>99</v>
      </c>
    </row>
    <row r="29" spans="1:16">
      <c r="F29" s="44"/>
      <c r="G29" s="44"/>
    </row>
    <row r="30" spans="1:16" ht="15" thickBot="1">
      <c r="F30" s="44"/>
      <c r="G30" s="44"/>
      <c r="N30" s="27" t="s">
        <v>146</v>
      </c>
    </row>
    <row r="31" spans="1:16">
      <c r="A31" s="115">
        <v>2</v>
      </c>
      <c r="B31" s="391" t="s">
        <v>129</v>
      </c>
      <c r="C31" s="116"/>
      <c r="D31" s="117"/>
      <c r="E31" s="118"/>
      <c r="F31" s="116"/>
      <c r="G31" s="116"/>
      <c r="H31" s="116"/>
      <c r="I31" s="116"/>
      <c r="J31" s="116"/>
      <c r="K31" s="119"/>
    </row>
    <row r="32" spans="1:16">
      <c r="A32" s="73"/>
      <c r="B32" s="90" t="s">
        <v>63</v>
      </c>
      <c r="C32" s="69" t="s">
        <v>35</v>
      </c>
      <c r="D32" s="69" t="s">
        <v>37</v>
      </c>
      <c r="E32" s="69" t="s">
        <v>38</v>
      </c>
      <c r="F32" s="69"/>
      <c r="G32" s="69"/>
      <c r="H32" s="69"/>
      <c r="I32" s="69"/>
      <c r="J32" s="69"/>
      <c r="K32" s="74"/>
    </row>
    <row r="33" spans="1:20">
      <c r="A33" s="73" t="s">
        <v>17</v>
      </c>
      <c r="B33" s="90" t="s">
        <v>64</v>
      </c>
      <c r="C33" s="69" t="s">
        <v>36</v>
      </c>
      <c r="D33" s="69" t="s">
        <v>36</v>
      </c>
      <c r="E33" s="69" t="s">
        <v>36</v>
      </c>
      <c r="F33" s="69" t="s">
        <v>49</v>
      </c>
      <c r="G33" s="428" t="s">
        <v>104</v>
      </c>
      <c r="H33" s="428"/>
      <c r="I33" s="429"/>
      <c r="J33" s="429"/>
      <c r="K33" s="430"/>
      <c r="N33" s="294"/>
    </row>
    <row r="34" spans="1:20">
      <c r="A34" s="73" t="s">
        <v>34</v>
      </c>
      <c r="B34" s="90" t="s">
        <v>84</v>
      </c>
      <c r="C34" s="103">
        <v>0</v>
      </c>
      <c r="D34" s="103">
        <v>0</v>
      </c>
      <c r="E34" s="47">
        <f>C34-D34</f>
        <v>0</v>
      </c>
      <c r="F34" s="111" t="str">
        <f>IF(ABS(C34+D34)&gt;0.00001, "FAIL","PASS")</f>
        <v>PASS</v>
      </c>
      <c r="G34" s="69" t="s">
        <v>106</v>
      </c>
      <c r="H34" s="69" t="s">
        <v>107</v>
      </c>
      <c r="I34" s="90" t="s">
        <v>110</v>
      </c>
      <c r="J34" s="69" t="s">
        <v>108</v>
      </c>
      <c r="K34" s="74"/>
      <c r="T34" s="294"/>
    </row>
    <row r="35" spans="1:20" ht="15" thickBot="1">
      <c r="A35" s="114" t="str">
        <f>A17</f>
        <v>1 g standard</v>
      </c>
      <c r="B35" s="194" t="s">
        <v>84</v>
      </c>
      <c r="C35" s="195">
        <v>0</v>
      </c>
      <c r="D35" s="195">
        <f>D17</f>
        <v>5.0000999999999998</v>
      </c>
      <c r="E35" s="57">
        <f>D35-C35</f>
        <v>5.0000999999999998</v>
      </c>
      <c r="F35" s="193" t="str">
        <f>IF(ABS(E35-5)&gt;0.001,"FAIL","PASS")</f>
        <v>PASS</v>
      </c>
      <c r="G35" s="194" t="s">
        <v>125</v>
      </c>
      <c r="H35" s="194" t="s">
        <v>125</v>
      </c>
      <c r="I35" s="92" t="s">
        <v>109</v>
      </c>
      <c r="J35" s="92" t="s">
        <v>109</v>
      </c>
      <c r="K35" s="98" t="s">
        <v>115</v>
      </c>
      <c r="N35" s="90"/>
    </row>
    <row r="36" spans="1:20" ht="15" thickBot="1">
      <c r="A36" s="73" t="str">
        <f>"Arterial "&amp; $A$31&amp;"-1"</f>
        <v>Arterial 2-1</v>
      </c>
      <c r="B36" s="78">
        <v>0.2</v>
      </c>
      <c r="C36" s="208">
        <v>1.6220000000000001</v>
      </c>
      <c r="D36" s="208">
        <v>1.8324</v>
      </c>
      <c r="E36" s="47">
        <f>D36-C36</f>
        <v>0.21039999999999992</v>
      </c>
      <c r="F36" s="69"/>
      <c r="G36" s="89">
        <f>'Gamma data'!J40/'Balance data'!E36</f>
        <v>3997.5413309608589</v>
      </c>
      <c r="H36" s="89">
        <f>AVERAGE(G36:G36)</f>
        <v>3997.5413309608589</v>
      </c>
      <c r="I36" s="95">
        <f>'Gamma data'!M40</f>
        <v>5.7076733028605109E-3</v>
      </c>
      <c r="J36" s="94">
        <f>SQRT('Gamma data'!$E$37)/'Gamma data'!$E$37</f>
        <v>3.2650113192424879E-3</v>
      </c>
      <c r="K36" s="97">
        <f>J36+I36</f>
        <v>8.9726846221029992E-3</v>
      </c>
      <c r="L36" s="110" t="s">
        <v>128</v>
      </c>
      <c r="M36" s="52">
        <f>('Blood collection data'!B21-'Subject data'!$C$8)*24*60</f>
        <v>1.9999999999996732</v>
      </c>
      <c r="N36" s="91" t="s">
        <v>99</v>
      </c>
    </row>
    <row r="37" spans="1:20">
      <c r="A37" s="73" t="str">
        <f>"Pellet Arterial " &amp;$A$31</f>
        <v>Pellet Arterial 2</v>
      </c>
      <c r="B37" s="78">
        <v>0.5</v>
      </c>
      <c r="C37" s="208">
        <v>1.0759000000000001</v>
      </c>
      <c r="D37" s="208">
        <v>1.1744000000000001</v>
      </c>
      <c r="E37" s="47">
        <f>D37-C37</f>
        <v>9.8500000000000032E-2</v>
      </c>
      <c r="F37" s="69"/>
      <c r="G37" s="89">
        <f>'Pellet - Gamma Data'!K22/'Balance data'!E37</f>
        <v>641.32815668237663</v>
      </c>
      <c r="H37" s="69"/>
      <c r="I37" s="69"/>
      <c r="J37" s="69"/>
      <c r="K37" s="74"/>
      <c r="N37" s="90"/>
    </row>
    <row r="38" spans="1:20" ht="15" thickBot="1">
      <c r="A38" s="120" t="str">
        <f>"Whole Blood Arterial " &amp;$A$31</f>
        <v>Whole Blood Arterial 2</v>
      </c>
      <c r="B38" s="269">
        <v>0.3</v>
      </c>
      <c r="C38" s="290">
        <v>1.6213</v>
      </c>
      <c r="D38" s="290">
        <v>1.9267000000000001</v>
      </c>
      <c r="E38" s="121">
        <f>D38-C38</f>
        <v>0.30540000000000012</v>
      </c>
      <c r="F38" s="122"/>
      <c r="G38" s="123">
        <f>'Gamma data'!J41/'Balance data'!E38</f>
        <v>2708.2957154674041</v>
      </c>
      <c r="H38" s="122"/>
      <c r="I38" s="122"/>
      <c r="J38" s="122"/>
      <c r="K38" s="124"/>
    </row>
    <row r="39" spans="1:20">
      <c r="A39" s="90"/>
      <c r="B39" s="78"/>
      <c r="C39" s="103"/>
      <c r="D39" s="103"/>
      <c r="E39" s="104"/>
      <c r="F39" s="90"/>
      <c r="G39" s="102"/>
      <c r="H39" s="69"/>
      <c r="N39" s="90"/>
    </row>
    <row r="40" spans="1:20" ht="15" thickBot="1">
      <c r="A40" s="90"/>
      <c r="B40" s="78"/>
      <c r="C40" s="103"/>
      <c r="D40" s="103"/>
      <c r="E40" s="104"/>
      <c r="F40" s="90"/>
      <c r="G40" s="102"/>
      <c r="H40" s="69"/>
      <c r="N40" s="90"/>
    </row>
    <row r="41" spans="1:20" ht="15" thickBot="1">
      <c r="A41" s="170" t="s">
        <v>219</v>
      </c>
      <c r="B41" s="394"/>
      <c r="C41" s="71"/>
      <c r="D41" s="167"/>
      <c r="E41" s="168"/>
      <c r="F41" s="71"/>
      <c r="G41" s="71"/>
      <c r="H41" s="71"/>
      <c r="I41" s="71"/>
      <c r="J41" s="71"/>
      <c r="K41" s="72"/>
      <c r="N41" s="90"/>
    </row>
    <row r="42" spans="1:20">
      <c r="A42" s="70"/>
      <c r="B42" s="393" t="s">
        <v>63</v>
      </c>
      <c r="C42" s="71" t="s">
        <v>35</v>
      </c>
      <c r="D42" s="71" t="s">
        <v>37</v>
      </c>
      <c r="E42" s="71" t="s">
        <v>38</v>
      </c>
      <c r="F42" s="71"/>
      <c r="G42" s="71"/>
      <c r="H42" s="71"/>
      <c r="I42" s="71"/>
      <c r="J42" s="71"/>
      <c r="K42" s="72"/>
      <c r="N42" s="90"/>
    </row>
    <row r="43" spans="1:20">
      <c r="A43" s="73" t="s">
        <v>17</v>
      </c>
      <c r="B43" s="90" t="s">
        <v>64</v>
      </c>
      <c r="C43" s="69" t="s">
        <v>36</v>
      </c>
      <c r="D43" s="69" t="s">
        <v>36</v>
      </c>
      <c r="E43" s="69" t="s">
        <v>36</v>
      </c>
      <c r="F43" s="69" t="s">
        <v>49</v>
      </c>
      <c r="G43" s="428" t="s">
        <v>104</v>
      </c>
      <c r="H43" s="428"/>
      <c r="I43" s="429"/>
      <c r="J43" s="429"/>
      <c r="K43" s="430"/>
      <c r="N43" s="90"/>
    </row>
    <row r="44" spans="1:20">
      <c r="A44" s="73" t="s">
        <v>34</v>
      </c>
      <c r="B44" s="90" t="s">
        <v>84</v>
      </c>
      <c r="C44" s="103">
        <v>0</v>
      </c>
      <c r="D44" s="103">
        <v>0</v>
      </c>
      <c r="E44" s="47">
        <f>C44-D44</f>
        <v>0</v>
      </c>
      <c r="F44" s="111" t="str">
        <f>IF(ABS(C44+D44)&gt;0.00001, "FAIL","PASS")</f>
        <v>PASS</v>
      </c>
      <c r="G44" s="69" t="s">
        <v>106</v>
      </c>
      <c r="H44" s="69" t="s">
        <v>107</v>
      </c>
      <c r="I44" s="90" t="s">
        <v>110</v>
      </c>
      <c r="J44" s="69" t="s">
        <v>108</v>
      </c>
      <c r="K44" s="74"/>
      <c r="N44" s="90"/>
    </row>
    <row r="45" spans="1:20" ht="15" thickBot="1">
      <c r="A45" s="114" t="str">
        <f>A17</f>
        <v>1 g standard</v>
      </c>
      <c r="B45" s="194" t="s">
        <v>84</v>
      </c>
      <c r="C45" s="195">
        <v>0</v>
      </c>
      <c r="D45" s="195">
        <f>D17</f>
        <v>5.0000999999999998</v>
      </c>
      <c r="E45" s="57">
        <f t="shared" ref="E45:E47" si="2">D45-C45</f>
        <v>5.0000999999999998</v>
      </c>
      <c r="F45" s="193" t="str">
        <f>IF(ABS(E45-5)&gt;0.001,"FAIL","PASS")</f>
        <v>PASS</v>
      </c>
      <c r="G45" s="194" t="s">
        <v>125</v>
      </c>
      <c r="H45" s="194" t="s">
        <v>125</v>
      </c>
      <c r="I45" s="92" t="s">
        <v>109</v>
      </c>
      <c r="J45" s="92" t="s">
        <v>109</v>
      </c>
      <c r="K45" s="98" t="s">
        <v>115</v>
      </c>
      <c r="N45" s="90"/>
    </row>
    <row r="46" spans="1:20">
      <c r="A46" s="73" t="s">
        <v>214</v>
      </c>
      <c r="B46" s="78">
        <v>0.15</v>
      </c>
      <c r="C46" s="208">
        <v>1.6084000000000001</v>
      </c>
      <c r="D46" s="208">
        <v>1.7534000000000001</v>
      </c>
      <c r="E46" s="47">
        <f>D46-C46</f>
        <v>0.14500000000000002</v>
      </c>
      <c r="F46" s="69"/>
      <c r="G46" s="102">
        <f>'Gamma data'!J51/'Balance data'!E46</f>
        <v>2964.5094148059343</v>
      </c>
      <c r="H46" s="102"/>
      <c r="I46" s="234">
        <f>'Gamma data'!M51</f>
        <v>8.0179804368732191E-3</v>
      </c>
      <c r="J46" s="94">
        <f>SQRT('Gamma data'!$E$37)/'Gamma data'!$E$37</f>
        <v>3.2650113192424879E-3</v>
      </c>
      <c r="K46" s="97">
        <f>$J$46+I46</f>
        <v>1.1282991756115707E-2</v>
      </c>
      <c r="L46" s="312" t="s">
        <v>128</v>
      </c>
      <c r="M46" s="168">
        <f>('Blood collection data'!B22-'Subject data'!$C$8)*24*60</f>
        <v>2.3333333333330319</v>
      </c>
      <c r="N46" s="72" t="s">
        <v>99</v>
      </c>
    </row>
    <row r="47" spans="1:20">
      <c r="A47" s="73" t="s">
        <v>215</v>
      </c>
      <c r="B47" s="78">
        <v>0.15</v>
      </c>
      <c r="C47" s="208">
        <v>1.5840000000000001</v>
      </c>
      <c r="D47" s="208">
        <v>1.7263999999999999</v>
      </c>
      <c r="E47" s="47">
        <f t="shared" si="2"/>
        <v>0.14239999999999986</v>
      </c>
      <c r="F47" s="69"/>
      <c r="G47" s="102">
        <f>'Gamma data'!J52/'Balance data'!E47</f>
        <v>2681.5425788197331</v>
      </c>
      <c r="H47" s="69"/>
      <c r="I47" s="234">
        <f>'Gamma data'!M52</f>
        <v>8.5348592749864872E-3</v>
      </c>
      <c r="J47" s="69"/>
      <c r="K47" s="97">
        <f t="shared" ref="K47:K51" si="3">$J$46+I47</f>
        <v>1.1799870594228976E-2</v>
      </c>
      <c r="L47" s="313" t="s">
        <v>128</v>
      </c>
      <c r="M47" s="197">
        <f>('Blood collection data'!B23-'Subject data'!$C$8)*24*60</f>
        <v>2.6666666666663907</v>
      </c>
      <c r="N47" s="74" t="s">
        <v>99</v>
      </c>
    </row>
    <row r="48" spans="1:20">
      <c r="A48" s="73" t="s">
        <v>216</v>
      </c>
      <c r="B48" s="78">
        <v>0.15</v>
      </c>
      <c r="C48" s="208">
        <v>1.5971</v>
      </c>
      <c r="D48" s="208">
        <v>1.7414000000000001</v>
      </c>
      <c r="E48" s="47">
        <f>D48-C48</f>
        <v>0.14430000000000009</v>
      </c>
      <c r="F48" s="69"/>
      <c r="G48" s="102">
        <f>'Gamma data'!J53/'Balance data'!E48</f>
        <v>2589.5060519102799</v>
      </c>
      <c r="H48" s="69"/>
      <c r="I48" s="234">
        <f>'Gamma data'!M53</f>
        <v>8.665563321845501E-3</v>
      </c>
      <c r="J48" s="69"/>
      <c r="K48" s="97">
        <f t="shared" si="3"/>
        <v>1.1930574641087989E-2</v>
      </c>
      <c r="L48" s="313" t="s">
        <v>128</v>
      </c>
      <c r="M48" s="197">
        <f>('Blood collection data'!B24-'Subject data'!$C$8)*24*60</f>
        <v>2.9999999999997495</v>
      </c>
      <c r="N48" s="74" t="s">
        <v>99</v>
      </c>
    </row>
    <row r="49" spans="1:24">
      <c r="A49" s="73" t="s">
        <v>217</v>
      </c>
      <c r="B49" s="78">
        <v>0.15</v>
      </c>
      <c r="C49" s="208">
        <v>1.5952999999999999</v>
      </c>
      <c r="D49" s="208">
        <v>1.7414000000000001</v>
      </c>
      <c r="E49" s="47">
        <f>D49-C49</f>
        <v>0.14610000000000012</v>
      </c>
      <c r="F49" s="69"/>
      <c r="G49" s="102">
        <f>'Gamma data'!J54/'Balance data'!E49</f>
        <v>2301.3963934615413</v>
      </c>
      <c r="H49" s="69"/>
      <c r="I49" s="234">
        <f>'Gamma data'!M54</f>
        <v>9.1654446888345814E-3</v>
      </c>
      <c r="J49" s="69"/>
      <c r="K49" s="97">
        <f t="shared" si="3"/>
        <v>1.243045600807707E-2</v>
      </c>
      <c r="L49" s="313" t="s">
        <v>128</v>
      </c>
      <c r="M49" s="197">
        <f>('Blood collection data'!B25-'Subject data'!$C$8)*24*60</f>
        <v>3.3333333333331083</v>
      </c>
      <c r="N49" s="74" t="s">
        <v>99</v>
      </c>
    </row>
    <row r="50" spans="1:24">
      <c r="A50" s="73" t="s">
        <v>218</v>
      </c>
      <c r="B50" s="78">
        <v>0.15</v>
      </c>
      <c r="C50" s="208">
        <v>1.6338999999999999</v>
      </c>
      <c r="D50" s="208">
        <v>1.7764</v>
      </c>
      <c r="E50" s="47">
        <f>D50-C50</f>
        <v>0.14250000000000007</v>
      </c>
      <c r="F50" s="69"/>
      <c r="G50" s="102">
        <f>'Gamma data'!J55/'Balance data'!E50</f>
        <v>2173.0251957043356</v>
      </c>
      <c r="H50" s="69"/>
      <c r="I50" s="234">
        <f>'Gamma data'!M55</f>
        <v>9.5839797746038007E-3</v>
      </c>
      <c r="J50" s="69"/>
      <c r="K50" s="97">
        <f t="shared" si="3"/>
        <v>1.2848991093846289E-2</v>
      </c>
      <c r="L50" s="313" t="s">
        <v>128</v>
      </c>
      <c r="M50" s="197">
        <f>('Blood collection data'!B26-'Subject data'!$C$8)*24*60</f>
        <v>3.6666666666664671</v>
      </c>
      <c r="N50" s="74" t="s">
        <v>99</v>
      </c>
    </row>
    <row r="51" spans="1:24" ht="15" thickBot="1">
      <c r="A51" s="75" t="s">
        <v>336</v>
      </c>
      <c r="B51" s="268">
        <v>0.15</v>
      </c>
      <c r="C51" s="289">
        <v>1.635</v>
      </c>
      <c r="D51" s="289">
        <v>1.7805</v>
      </c>
      <c r="E51" s="55">
        <f>D51-C51</f>
        <v>0.14549999999999996</v>
      </c>
      <c r="F51" s="93"/>
      <c r="G51" s="235">
        <f>'Gamma data'!J56/'Balance data'!E51</f>
        <v>2034.369138249441</v>
      </c>
      <c r="H51" s="93"/>
      <c r="I51" s="236">
        <f>'Gamma data'!M56</f>
        <v>9.8408800817046255E-3</v>
      </c>
      <c r="J51" s="93"/>
      <c r="K51" s="188">
        <f t="shared" si="3"/>
        <v>1.3105891400947114E-2</v>
      </c>
      <c r="L51" s="314" t="s">
        <v>128</v>
      </c>
      <c r="M51" s="315">
        <f>('Blood collection data'!B27-'Subject data'!$C$8)*24*60</f>
        <v>3.9999999999998259</v>
      </c>
      <c r="N51" s="76" t="s">
        <v>99</v>
      </c>
    </row>
    <row r="52" spans="1:24">
      <c r="A52" s="90"/>
      <c r="B52" s="78"/>
      <c r="C52" s="103"/>
      <c r="D52" s="103"/>
      <c r="E52" s="104"/>
      <c r="F52" s="90"/>
      <c r="G52" s="102"/>
      <c r="H52" s="69"/>
      <c r="N52" s="90"/>
    </row>
    <row r="53" spans="1:24">
      <c r="A53" s="90"/>
      <c r="B53" s="90"/>
      <c r="C53" s="101"/>
      <c r="D53" s="101"/>
      <c r="E53" s="101"/>
      <c r="F53" s="90"/>
      <c r="G53" s="102"/>
      <c r="H53" s="69"/>
      <c r="N53" s="90"/>
    </row>
    <row r="54" spans="1:24" ht="15" thickBot="1">
      <c r="C54" s="49"/>
      <c r="D54" s="49"/>
      <c r="E54" s="47"/>
      <c r="F54" s="69"/>
      <c r="G54" s="89"/>
      <c r="H54" s="89"/>
      <c r="I54" s="95"/>
      <c r="J54" s="94"/>
      <c r="K54" s="96"/>
      <c r="N54" s="90"/>
    </row>
    <row r="55" spans="1:24">
      <c r="A55" s="115">
        <v>6</v>
      </c>
      <c r="B55" s="391" t="s">
        <v>129</v>
      </c>
      <c r="C55" s="116"/>
      <c r="D55" s="117"/>
      <c r="E55" s="118"/>
      <c r="F55" s="116"/>
      <c r="G55" s="116"/>
      <c r="H55" s="116"/>
      <c r="I55" s="116"/>
      <c r="J55" s="116"/>
      <c r="K55" s="119"/>
      <c r="N55" s="90"/>
    </row>
    <row r="56" spans="1:24">
      <c r="A56" s="73"/>
      <c r="B56" s="90" t="s">
        <v>63</v>
      </c>
      <c r="C56" s="69" t="s">
        <v>35</v>
      </c>
      <c r="D56" s="69" t="s">
        <v>37</v>
      </c>
      <c r="E56" s="69" t="s">
        <v>38</v>
      </c>
      <c r="F56" s="69"/>
      <c r="G56" s="69"/>
      <c r="H56" s="69"/>
      <c r="I56" s="69"/>
      <c r="J56" s="69"/>
      <c r="K56" s="74"/>
      <c r="N56" s="90"/>
    </row>
    <row r="57" spans="1:24">
      <c r="A57" s="73" t="s">
        <v>17</v>
      </c>
      <c r="B57" s="90" t="s">
        <v>64</v>
      </c>
      <c r="C57" s="69" t="s">
        <v>36</v>
      </c>
      <c r="D57" s="69" t="s">
        <v>36</v>
      </c>
      <c r="E57" s="69" t="s">
        <v>36</v>
      </c>
      <c r="F57" s="69" t="s">
        <v>49</v>
      </c>
      <c r="G57" s="428" t="s">
        <v>104</v>
      </c>
      <c r="H57" s="428"/>
      <c r="I57" s="429"/>
      <c r="J57" s="429"/>
      <c r="K57" s="430"/>
      <c r="N57" s="90"/>
      <c r="X57" s="69"/>
    </row>
    <row r="58" spans="1:24">
      <c r="A58" s="73" t="s">
        <v>34</v>
      </c>
      <c r="B58" s="90" t="s">
        <v>84</v>
      </c>
      <c r="C58" s="103">
        <v>0</v>
      </c>
      <c r="D58" s="103">
        <v>0</v>
      </c>
      <c r="E58" s="47">
        <f>C58-D58</f>
        <v>0</v>
      </c>
      <c r="F58" s="111" t="str">
        <f>IF(ABS(C58+D58)&gt;0.00001, "FAIL","PASS")</f>
        <v>PASS</v>
      </c>
      <c r="G58" s="69" t="s">
        <v>106</v>
      </c>
      <c r="H58" s="69" t="s">
        <v>107</v>
      </c>
      <c r="I58" s="90" t="s">
        <v>110</v>
      </c>
      <c r="J58" s="69" t="s">
        <v>108</v>
      </c>
      <c r="K58" s="74"/>
      <c r="N58" s="90"/>
    </row>
    <row r="59" spans="1:24" ht="15" thickBot="1">
      <c r="A59" s="114" t="str">
        <f>A17</f>
        <v>1 g standard</v>
      </c>
      <c r="B59" s="194" t="s">
        <v>84</v>
      </c>
      <c r="C59" s="195">
        <v>0</v>
      </c>
      <c r="D59" s="195">
        <f>D35</f>
        <v>5.0000999999999998</v>
      </c>
      <c r="E59" s="57">
        <f>D59-C59</f>
        <v>5.0000999999999998</v>
      </c>
      <c r="F59" s="193" t="str">
        <f>IF(ABS(E59-5)&gt;0.001,"FAIL","PASS")</f>
        <v>PASS</v>
      </c>
      <c r="G59" s="194" t="s">
        <v>125</v>
      </c>
      <c r="H59" s="194" t="s">
        <v>125</v>
      </c>
      <c r="I59" s="92" t="s">
        <v>109</v>
      </c>
      <c r="J59" s="92" t="s">
        <v>109</v>
      </c>
      <c r="K59" s="98" t="s">
        <v>115</v>
      </c>
      <c r="N59" s="90"/>
    </row>
    <row r="60" spans="1:24" ht="15" thickBot="1">
      <c r="A60" s="73" t="str">
        <f>"Arterial "&amp; $A$55&amp;"-1"</f>
        <v>Arterial 6-1</v>
      </c>
      <c r="B60" s="78">
        <v>0.2</v>
      </c>
      <c r="C60" s="210">
        <v>1.5833999999999999</v>
      </c>
      <c r="D60" s="210">
        <v>1.7761</v>
      </c>
      <c r="E60" s="47">
        <f>D60-C60</f>
        <v>0.19270000000000009</v>
      </c>
      <c r="F60" s="69"/>
      <c r="G60" s="89">
        <f>'Gamma data'!J66/'Balance data'!E60</f>
        <v>1503.7121271235819</v>
      </c>
      <c r="H60" s="89">
        <f>AVERAGE(G60:G60)</f>
        <v>1503.7121271235819</v>
      </c>
      <c r="I60" s="95">
        <f>'Gamma data'!M66</f>
        <v>9.9885197995544864E-3</v>
      </c>
      <c r="J60" s="94">
        <f>SQRT('Gamma data'!$E$63)/'Gamma data'!$E$63</f>
        <v>3.2650113192424879E-3</v>
      </c>
      <c r="K60" s="97">
        <f>J60+I60</f>
        <v>1.3253531118796975E-2</v>
      </c>
      <c r="L60" s="110" t="s">
        <v>128</v>
      </c>
      <c r="M60" s="52">
        <f>('Blood collection data'!B28-'Subject data'!$C$8)*24*60</f>
        <v>6.1666666666666181</v>
      </c>
      <c r="N60" s="91" t="s">
        <v>99</v>
      </c>
    </row>
    <row r="61" spans="1:24">
      <c r="A61" s="73" t="str">
        <f>"Pellet Arterial" &amp;$A$55</f>
        <v>Pellet Arterial6</v>
      </c>
      <c r="B61" s="78">
        <v>0.5</v>
      </c>
      <c r="C61" s="212">
        <v>1.0176000000000001</v>
      </c>
      <c r="D61" s="210">
        <v>1.1213</v>
      </c>
      <c r="E61" s="47">
        <f>D61-C61</f>
        <v>0.1036999999999999</v>
      </c>
      <c r="F61" s="69"/>
      <c r="G61" s="89">
        <f>'Pellet - Gamma Data'!K23/'Balance data'!E61</f>
        <v>282.12534211391221</v>
      </c>
      <c r="H61" s="69"/>
      <c r="I61" s="69"/>
      <c r="J61" s="69"/>
      <c r="K61" s="74"/>
      <c r="N61" s="90"/>
    </row>
    <row r="62" spans="1:24" ht="15" thickBot="1">
      <c r="A62" s="75" t="str">
        <f>"Whole Blood Arterial " &amp;$A$55</f>
        <v>Whole Blood Arterial 6</v>
      </c>
      <c r="B62" s="395">
        <v>0.3</v>
      </c>
      <c r="C62" s="213">
        <v>1.5984</v>
      </c>
      <c r="D62" s="213">
        <v>1.891</v>
      </c>
      <c r="E62" s="112">
        <f>D62-C62</f>
        <v>0.29259999999999997</v>
      </c>
      <c r="F62" s="93"/>
      <c r="G62" s="113">
        <f>'Gamma data'!J67/'Balance data'!E62</f>
        <v>1117.5346775686189</v>
      </c>
      <c r="H62" s="93"/>
      <c r="I62" s="93"/>
      <c r="J62" s="93"/>
      <c r="K62" s="76"/>
    </row>
    <row r="63" spans="1:24">
      <c r="A63" s="69"/>
      <c r="B63" s="90"/>
      <c r="C63" s="101"/>
      <c r="D63" s="101"/>
      <c r="E63" s="99"/>
      <c r="F63" s="69"/>
      <c r="G63" s="89"/>
      <c r="H63" s="69"/>
      <c r="I63" s="69"/>
      <c r="J63" s="69"/>
      <c r="K63" s="69"/>
      <c r="N63" s="90"/>
    </row>
    <row r="64" spans="1:24" ht="15" thickBot="1">
      <c r="C64" s="49"/>
      <c r="D64" s="49"/>
      <c r="E64" s="47"/>
      <c r="F64" s="69"/>
      <c r="G64" s="89"/>
      <c r="H64" s="89"/>
      <c r="I64" s="95"/>
      <c r="J64" s="94"/>
      <c r="K64" s="96"/>
    </row>
    <row r="65" spans="1:14">
      <c r="A65" s="115">
        <v>8</v>
      </c>
      <c r="B65" s="391" t="s">
        <v>129</v>
      </c>
      <c r="C65" s="116"/>
      <c r="D65" s="117"/>
      <c r="E65" s="118"/>
      <c r="F65" s="116"/>
      <c r="G65" s="116"/>
      <c r="H65" s="116"/>
      <c r="I65" s="116"/>
      <c r="J65" s="116"/>
      <c r="K65" s="119"/>
      <c r="N65" s="90"/>
    </row>
    <row r="66" spans="1:14">
      <c r="A66" s="73"/>
      <c r="B66" s="90" t="s">
        <v>63</v>
      </c>
      <c r="C66" s="69" t="s">
        <v>35</v>
      </c>
      <c r="D66" s="69" t="s">
        <v>37</v>
      </c>
      <c r="E66" s="69" t="s">
        <v>38</v>
      </c>
      <c r="F66" s="69"/>
      <c r="G66" s="69"/>
      <c r="H66" s="69"/>
      <c r="I66" s="69"/>
      <c r="J66" s="69"/>
      <c r="K66" s="74"/>
      <c r="N66" s="90"/>
    </row>
    <row r="67" spans="1:14">
      <c r="A67" s="73" t="s">
        <v>17</v>
      </c>
      <c r="B67" s="90" t="s">
        <v>64</v>
      </c>
      <c r="C67" s="69" t="s">
        <v>36</v>
      </c>
      <c r="D67" s="69" t="s">
        <v>36</v>
      </c>
      <c r="E67" s="69" t="s">
        <v>36</v>
      </c>
      <c r="F67" s="69" t="s">
        <v>49</v>
      </c>
      <c r="G67" s="428" t="s">
        <v>104</v>
      </c>
      <c r="H67" s="428"/>
      <c r="I67" s="429"/>
      <c r="J67" s="429"/>
      <c r="K67" s="430"/>
    </row>
    <row r="68" spans="1:14">
      <c r="A68" s="73" t="s">
        <v>34</v>
      </c>
      <c r="B68" s="90" t="s">
        <v>84</v>
      </c>
      <c r="C68" s="103">
        <v>0</v>
      </c>
      <c r="D68" s="103">
        <v>0</v>
      </c>
      <c r="E68" s="47">
        <f>C68-D68</f>
        <v>0</v>
      </c>
      <c r="F68" s="111" t="str">
        <f>IF(ABS(C68+D68)&gt;0.00001, "FAIL","PASS")</f>
        <v>PASS</v>
      </c>
      <c r="G68" s="69" t="s">
        <v>106</v>
      </c>
      <c r="H68" s="69" t="s">
        <v>107</v>
      </c>
      <c r="I68" s="90" t="s">
        <v>110</v>
      </c>
      <c r="J68" s="69" t="s">
        <v>108</v>
      </c>
      <c r="K68" s="74"/>
    </row>
    <row r="69" spans="1:14" ht="15" thickBot="1">
      <c r="A69" s="114" t="str">
        <f>A17</f>
        <v>1 g standard</v>
      </c>
      <c r="B69" s="194" t="s">
        <v>84</v>
      </c>
      <c r="C69" s="195">
        <v>0</v>
      </c>
      <c r="D69" s="195">
        <f>D45</f>
        <v>5.0000999999999998</v>
      </c>
      <c r="E69" s="57">
        <f>D69-C69</f>
        <v>5.0000999999999998</v>
      </c>
      <c r="F69" s="193" t="str">
        <f>IF(ABS(E69-5)&gt;0.001,"FAIL","PASS")</f>
        <v>PASS</v>
      </c>
      <c r="G69" s="194" t="s">
        <v>125</v>
      </c>
      <c r="H69" s="194" t="s">
        <v>125</v>
      </c>
      <c r="I69" s="92" t="s">
        <v>109</v>
      </c>
      <c r="J69" s="92" t="s">
        <v>109</v>
      </c>
      <c r="K69" s="98" t="s">
        <v>115</v>
      </c>
    </row>
    <row r="70" spans="1:14" ht="15" thickBot="1">
      <c r="A70" s="75" t="str">
        <f>"Arterial "&amp; $A$65&amp;"-1"</f>
        <v>Arterial 8-1</v>
      </c>
      <c r="B70" s="268">
        <v>0.4</v>
      </c>
      <c r="C70" s="211">
        <v>1.6097999999999999</v>
      </c>
      <c r="D70" s="211">
        <v>2.0030000000000001</v>
      </c>
      <c r="E70" s="55">
        <f>D70-C70</f>
        <v>0.39320000000000022</v>
      </c>
      <c r="F70" s="93"/>
      <c r="G70" s="113">
        <f>'Gamma data'!J77/'Balance data'!E70</f>
        <v>1243.2562470194039</v>
      </c>
      <c r="H70" s="113">
        <f>AVERAGE(G70:G70)</f>
        <v>1243.2562470194039</v>
      </c>
      <c r="I70" s="126">
        <f>'Gamma data'!M77</f>
        <v>7.819184288945057E-3</v>
      </c>
      <c r="J70" s="125">
        <f>SQRT('Gamma data'!$E$63)/'Gamma data'!$E$63</f>
        <v>3.2650113192424879E-3</v>
      </c>
      <c r="K70" s="188">
        <f>J70+I70</f>
        <v>1.1084195608187545E-2</v>
      </c>
      <c r="L70" s="110" t="s">
        <v>128</v>
      </c>
      <c r="M70" s="52">
        <f>('Blood collection data'!B28-'Subject data'!$C$8)*24*60</f>
        <v>6.1666666666666181</v>
      </c>
      <c r="N70" s="91" t="s">
        <v>99</v>
      </c>
    </row>
    <row r="71" spans="1:14">
      <c r="A71" s="69"/>
      <c r="B71" s="90"/>
      <c r="C71" s="101"/>
      <c r="D71" s="101"/>
      <c r="E71" s="99"/>
      <c r="F71" s="69"/>
      <c r="G71" s="89"/>
      <c r="H71" s="69"/>
      <c r="I71" s="69"/>
      <c r="J71" s="69"/>
      <c r="K71" s="69"/>
    </row>
    <row r="72" spans="1:14">
      <c r="A72" s="69"/>
      <c r="B72" s="90"/>
      <c r="C72" s="99"/>
      <c r="D72" s="99"/>
      <c r="E72" s="99"/>
      <c r="F72" s="69"/>
      <c r="G72" s="89"/>
      <c r="H72" s="89"/>
      <c r="I72" s="95"/>
      <c r="J72" s="94"/>
      <c r="K72" s="96"/>
    </row>
    <row r="73" spans="1:14" ht="15" thickBot="1">
      <c r="C73" s="49"/>
      <c r="D73" s="49"/>
      <c r="E73" s="47"/>
      <c r="F73" s="69"/>
      <c r="G73" s="89"/>
      <c r="H73" s="69"/>
      <c r="I73" s="69"/>
      <c r="J73" s="69"/>
      <c r="K73" s="69"/>
    </row>
    <row r="74" spans="1:14">
      <c r="A74" s="115">
        <v>12</v>
      </c>
      <c r="B74" s="391" t="s">
        <v>129</v>
      </c>
      <c r="C74" s="116"/>
      <c r="D74" s="117"/>
      <c r="E74" s="118"/>
      <c r="F74" s="116"/>
      <c r="G74" s="116"/>
      <c r="H74" s="116"/>
      <c r="I74" s="116"/>
      <c r="J74" s="116"/>
      <c r="K74" s="119"/>
    </row>
    <row r="75" spans="1:14">
      <c r="A75" s="73"/>
      <c r="B75" s="90" t="s">
        <v>63</v>
      </c>
      <c r="C75" s="69" t="s">
        <v>35</v>
      </c>
      <c r="D75" s="69" t="s">
        <v>37</v>
      </c>
      <c r="E75" s="69" t="s">
        <v>38</v>
      </c>
      <c r="F75" s="69"/>
      <c r="G75" s="69"/>
      <c r="H75" s="69"/>
      <c r="I75" s="69"/>
      <c r="J75" s="69"/>
      <c r="K75" s="74"/>
    </row>
    <row r="76" spans="1:14">
      <c r="A76" s="73" t="s">
        <v>17</v>
      </c>
      <c r="B76" s="90" t="s">
        <v>64</v>
      </c>
      <c r="C76" s="69" t="s">
        <v>36</v>
      </c>
      <c r="D76" s="69" t="s">
        <v>36</v>
      </c>
      <c r="E76" s="69" t="s">
        <v>36</v>
      </c>
      <c r="F76" s="69" t="s">
        <v>49</v>
      </c>
      <c r="G76" s="428" t="s">
        <v>104</v>
      </c>
      <c r="H76" s="428"/>
      <c r="I76" s="429"/>
      <c r="J76" s="429"/>
      <c r="K76" s="430"/>
    </row>
    <row r="77" spans="1:14">
      <c r="A77" s="73" t="s">
        <v>34</v>
      </c>
      <c r="B77" s="90" t="s">
        <v>84</v>
      </c>
      <c r="C77" s="103">
        <v>0</v>
      </c>
      <c r="D77" s="103">
        <v>0</v>
      </c>
      <c r="E77" s="47">
        <f>C77-D77</f>
        <v>0</v>
      </c>
      <c r="F77" s="111" t="str">
        <f>IF(ABS(C77+D77)&gt;0.00001, "FAIL","PASS")</f>
        <v>PASS</v>
      </c>
      <c r="G77" s="69" t="s">
        <v>106</v>
      </c>
      <c r="H77" s="69" t="s">
        <v>107</v>
      </c>
      <c r="I77" s="90" t="s">
        <v>110</v>
      </c>
      <c r="J77" s="69" t="s">
        <v>108</v>
      </c>
      <c r="K77" s="74"/>
    </row>
    <row r="78" spans="1:14" ht="15" thickBot="1">
      <c r="A78" s="73" t="str">
        <f>A17</f>
        <v>1 g standard</v>
      </c>
      <c r="B78" s="90" t="s">
        <v>84</v>
      </c>
      <c r="C78" s="103">
        <v>0</v>
      </c>
      <c r="D78" s="103">
        <f>D59</f>
        <v>5.0000999999999998</v>
      </c>
      <c r="E78" s="47">
        <f>D78-C78</f>
        <v>5.0000999999999998</v>
      </c>
      <c r="F78" s="111" t="str">
        <f>IF(ABS(E78-5)&gt;0.001,"FAIL","PASS")</f>
        <v>PASS</v>
      </c>
      <c r="G78" s="90" t="s">
        <v>125</v>
      </c>
      <c r="H78" s="90" t="s">
        <v>125</v>
      </c>
      <c r="I78" s="69" t="s">
        <v>109</v>
      </c>
      <c r="J78" s="69" t="s">
        <v>109</v>
      </c>
      <c r="K78" s="74" t="s">
        <v>115</v>
      </c>
    </row>
    <row r="79" spans="1:14" ht="15" thickBot="1">
      <c r="A79" s="73" t="str">
        <f>"Arterial "&amp; $A$74&amp;"-1"</f>
        <v>Arterial 12-1</v>
      </c>
      <c r="B79" s="78">
        <v>0.4</v>
      </c>
      <c r="C79" s="210">
        <v>1.6075999999999999</v>
      </c>
      <c r="D79" s="210">
        <v>1.9984999999999999</v>
      </c>
      <c r="E79" s="47">
        <f>D79-C79</f>
        <v>0.39090000000000003</v>
      </c>
      <c r="F79" s="69"/>
      <c r="G79" s="102">
        <f>'Gamma data'!J87/'Balance data'!E79</f>
        <v>866.86009848815263</v>
      </c>
      <c r="H79" s="89">
        <f>AVERAGE(G79:G79)</f>
        <v>866.86009848815263</v>
      </c>
      <c r="I79" s="95">
        <f>'Gamma data'!M87</f>
        <v>9.3943314795923612E-3</v>
      </c>
      <c r="J79" s="94">
        <f>SQRT('Gamma data'!$E$84)/'Gamma data'!$E$84</f>
        <v>3.2650113192424879E-3</v>
      </c>
      <c r="K79" s="270">
        <f>J79+I79</f>
        <v>1.2659342798834849E-2</v>
      </c>
      <c r="L79" s="110" t="s">
        <v>128</v>
      </c>
      <c r="M79" s="52">
        <f>('Blood collection data'!B29-'Subject data'!$C$8)*24*60</f>
        <v>7.9999999999999716</v>
      </c>
      <c r="N79" s="91" t="s">
        <v>99</v>
      </c>
    </row>
    <row r="80" spans="1:14" ht="15" thickBot="1">
      <c r="C80" s="49"/>
      <c r="D80" s="49"/>
      <c r="E80" s="47"/>
      <c r="F80" s="69"/>
      <c r="G80" s="89"/>
      <c r="H80" s="69"/>
      <c r="I80" s="69"/>
      <c r="J80" s="69"/>
      <c r="K80" s="69"/>
    </row>
    <row r="81" spans="1:14">
      <c r="A81" s="115">
        <v>16</v>
      </c>
      <c r="B81" s="391" t="s">
        <v>129</v>
      </c>
      <c r="C81" s="116"/>
      <c r="D81" s="117"/>
      <c r="E81" s="118"/>
      <c r="F81" s="116"/>
      <c r="G81" s="116"/>
      <c r="H81" s="116"/>
      <c r="I81" s="116"/>
      <c r="J81" s="116"/>
      <c r="K81" s="119"/>
    </row>
    <row r="82" spans="1:14">
      <c r="A82" s="73"/>
      <c r="B82" s="90" t="s">
        <v>63</v>
      </c>
      <c r="C82" s="69" t="s">
        <v>35</v>
      </c>
      <c r="D82" s="69" t="s">
        <v>37</v>
      </c>
      <c r="E82" s="69" t="s">
        <v>38</v>
      </c>
      <c r="F82" s="69"/>
      <c r="G82" s="69"/>
      <c r="H82" s="69"/>
      <c r="I82" s="69"/>
      <c r="J82" s="69"/>
      <c r="K82" s="74"/>
    </row>
    <row r="83" spans="1:14">
      <c r="A83" s="73" t="s">
        <v>17</v>
      </c>
      <c r="B83" s="90" t="s">
        <v>64</v>
      </c>
      <c r="C83" s="69" t="s">
        <v>36</v>
      </c>
      <c r="D83" s="69" t="s">
        <v>36</v>
      </c>
      <c r="E83" s="69" t="s">
        <v>36</v>
      </c>
      <c r="F83" s="69" t="s">
        <v>49</v>
      </c>
      <c r="G83" s="428" t="s">
        <v>104</v>
      </c>
      <c r="H83" s="428"/>
      <c r="I83" s="429"/>
      <c r="J83" s="429"/>
      <c r="K83" s="430"/>
    </row>
    <row r="84" spans="1:14">
      <c r="A84" s="73" t="s">
        <v>34</v>
      </c>
      <c r="B84" s="90" t="s">
        <v>84</v>
      </c>
      <c r="C84" s="103">
        <v>0</v>
      </c>
      <c r="D84" s="103">
        <v>0</v>
      </c>
      <c r="E84" s="47">
        <f>C84-D84</f>
        <v>0</v>
      </c>
      <c r="F84" s="111" t="str">
        <f>IF(ABS(C84+D84)&gt;0.00001, "FAIL","PASS")</f>
        <v>PASS</v>
      </c>
      <c r="G84" s="69" t="s">
        <v>106</v>
      </c>
      <c r="H84" s="69" t="s">
        <v>107</v>
      </c>
      <c r="I84" s="90" t="s">
        <v>110</v>
      </c>
      <c r="J84" s="69" t="s">
        <v>108</v>
      </c>
      <c r="K84" s="74"/>
    </row>
    <row r="85" spans="1:14" ht="15" thickBot="1">
      <c r="A85" s="114" t="str">
        <f>A17</f>
        <v>1 g standard</v>
      </c>
      <c r="B85" s="194" t="s">
        <v>84</v>
      </c>
      <c r="C85" s="195">
        <v>0</v>
      </c>
      <c r="D85" s="195">
        <f>D78</f>
        <v>5.0000999999999998</v>
      </c>
      <c r="E85" s="57">
        <f>D85-C85</f>
        <v>5.0000999999999998</v>
      </c>
      <c r="F85" s="193" t="str">
        <f>IF(ABS(E85-5)&gt;0.001,"FAIL","PASS")</f>
        <v>PASS</v>
      </c>
      <c r="G85" s="194" t="s">
        <v>125</v>
      </c>
      <c r="H85" s="194" t="s">
        <v>125</v>
      </c>
      <c r="I85" s="92" t="s">
        <v>109</v>
      </c>
      <c r="J85" s="92" t="s">
        <v>109</v>
      </c>
      <c r="K85" s="98" t="s">
        <v>115</v>
      </c>
    </row>
    <row r="86" spans="1:14" ht="15" thickBot="1">
      <c r="A86" s="73" t="str">
        <f>"Arterial "&amp; $A$81&amp;"-1"</f>
        <v>Arterial 16-1</v>
      </c>
      <c r="B86" s="78">
        <v>0.4</v>
      </c>
      <c r="C86" s="210">
        <v>1.6338999999999999</v>
      </c>
      <c r="D86" s="210">
        <v>2.0278999999999998</v>
      </c>
      <c r="E86" s="47">
        <f>D86-C86</f>
        <v>0.39399999999999991</v>
      </c>
      <c r="F86" s="69"/>
      <c r="G86" s="89">
        <f>'Gamma data'!J97/'Balance data'!E86</f>
        <v>711.57016967637901</v>
      </c>
      <c r="H86" s="89">
        <f>AVERAGE(G86:G86)</f>
        <v>711.57016967637901</v>
      </c>
      <c r="I86" s="95">
        <f>'Gamma data'!M97</f>
        <v>1.0344520084234974E-2</v>
      </c>
      <c r="J86" s="94">
        <f>SQRT('Gamma data'!$E$94)/'Gamma data'!$E$94</f>
        <v>3.2650113192424879E-3</v>
      </c>
      <c r="K86" s="270">
        <f>J86+I86</f>
        <v>1.3609531403477463E-2</v>
      </c>
      <c r="L86" s="110" t="s">
        <v>128</v>
      </c>
      <c r="M86" s="52">
        <f>('Blood collection data'!B30-'Subject data'!$C$8)*24*60</f>
        <v>11.999999999999957</v>
      </c>
      <c r="N86" s="91" t="s">
        <v>99</v>
      </c>
    </row>
    <row r="87" spans="1:14">
      <c r="A87" s="73" t="str">
        <f>"Pellet Arterial " &amp;$A$81</f>
        <v>Pellet Arterial 16</v>
      </c>
      <c r="B87" s="17">
        <v>0.5</v>
      </c>
      <c r="C87" s="212">
        <v>1.0653999999999999</v>
      </c>
      <c r="D87" s="212">
        <v>1.1752</v>
      </c>
      <c r="E87" s="47">
        <f>D87-C87</f>
        <v>0.10980000000000012</v>
      </c>
      <c r="F87" s="69"/>
      <c r="G87" s="89">
        <f>'Pellet - Gamma Data'!K24/'Balance data'!E87</f>
        <v>145.66326641778483</v>
      </c>
      <c r="H87" s="69"/>
      <c r="I87" s="69"/>
      <c r="J87" s="69"/>
      <c r="K87" s="74"/>
    </row>
    <row r="88" spans="1:14" ht="15" thickBot="1">
      <c r="A88" s="75" t="str">
        <f>"Whole Blood Arterial " &amp;$A$81</f>
        <v>Whole Blood Arterial 16</v>
      </c>
      <c r="B88" s="395">
        <v>0.3</v>
      </c>
      <c r="C88" s="214">
        <v>1.6101000000000001</v>
      </c>
      <c r="D88" s="214">
        <v>1.9</v>
      </c>
      <c r="E88" s="55">
        <f>D88-C88</f>
        <v>0.28989999999999982</v>
      </c>
      <c r="F88" s="93"/>
      <c r="G88" s="113">
        <f>'Gamma data'!J98/'Balance data'!E88</f>
        <v>522.77817643499668</v>
      </c>
      <c r="H88" s="93"/>
      <c r="I88" s="93"/>
      <c r="J88" s="93"/>
      <c r="K88" s="76"/>
    </row>
    <row r="89" spans="1:14">
      <c r="C89" s="49"/>
      <c r="D89" s="49"/>
      <c r="E89" s="28"/>
      <c r="G89" s="89"/>
      <c r="H89" s="69"/>
    </row>
    <row r="90" spans="1:14">
      <c r="C90" s="49"/>
      <c r="D90" s="49"/>
      <c r="E90" s="28"/>
      <c r="G90" s="89"/>
      <c r="H90" s="69"/>
    </row>
    <row r="91" spans="1:14" ht="15" thickBot="1">
      <c r="C91" s="49"/>
      <c r="D91" s="49"/>
      <c r="E91" s="47"/>
      <c r="F91" s="69"/>
      <c r="G91" s="89"/>
      <c r="H91" s="89"/>
      <c r="I91" s="95"/>
      <c r="J91" s="94"/>
      <c r="K91" s="96"/>
    </row>
    <row r="92" spans="1:14">
      <c r="A92" s="115">
        <v>20</v>
      </c>
      <c r="B92" s="391" t="s">
        <v>129</v>
      </c>
      <c r="C92" s="116"/>
      <c r="D92" s="117"/>
      <c r="E92" s="118"/>
      <c r="F92" s="116"/>
      <c r="G92" s="116"/>
      <c r="H92" s="116"/>
      <c r="I92" s="116"/>
      <c r="J92" s="116"/>
      <c r="K92" s="119"/>
    </row>
    <row r="93" spans="1:14">
      <c r="A93" s="73"/>
      <c r="B93" s="90" t="s">
        <v>63</v>
      </c>
      <c r="C93" s="69" t="s">
        <v>35</v>
      </c>
      <c r="D93" s="69" t="s">
        <v>37</v>
      </c>
      <c r="E93" s="69" t="s">
        <v>38</v>
      </c>
      <c r="F93" s="69"/>
      <c r="G93" s="69"/>
      <c r="H93" s="69"/>
      <c r="I93" s="69"/>
      <c r="J93" s="69"/>
      <c r="K93" s="74"/>
    </row>
    <row r="94" spans="1:14">
      <c r="A94" s="73" t="s">
        <v>17</v>
      </c>
      <c r="B94" s="90" t="s">
        <v>64</v>
      </c>
      <c r="C94" s="69" t="s">
        <v>36</v>
      </c>
      <c r="D94" s="69" t="s">
        <v>36</v>
      </c>
      <c r="E94" s="69" t="s">
        <v>36</v>
      </c>
      <c r="F94" s="69" t="s">
        <v>49</v>
      </c>
      <c r="G94" s="428" t="s">
        <v>104</v>
      </c>
      <c r="H94" s="428"/>
      <c r="I94" s="429"/>
      <c r="J94" s="429"/>
      <c r="K94" s="430"/>
    </row>
    <row r="95" spans="1:14">
      <c r="A95" s="73" t="s">
        <v>34</v>
      </c>
      <c r="B95" s="90" t="s">
        <v>84</v>
      </c>
      <c r="C95" s="103">
        <v>0</v>
      </c>
      <c r="D95" s="103">
        <v>0</v>
      </c>
      <c r="E95" s="47">
        <f>C95-D95</f>
        <v>0</v>
      </c>
      <c r="F95" s="111" t="str">
        <f>IF(ABS(C95+D95)&gt;0.00001, "FAIL","PASS")</f>
        <v>PASS</v>
      </c>
      <c r="G95" s="69" t="s">
        <v>106</v>
      </c>
      <c r="H95" s="69" t="s">
        <v>107</v>
      </c>
      <c r="I95" s="90" t="s">
        <v>110</v>
      </c>
      <c r="J95" s="69" t="s">
        <v>108</v>
      </c>
      <c r="K95" s="74"/>
    </row>
    <row r="96" spans="1:14" ht="15" thickBot="1">
      <c r="A96" s="114" t="str">
        <f>A17</f>
        <v>1 g standard</v>
      </c>
      <c r="B96" s="194" t="s">
        <v>84</v>
      </c>
      <c r="C96" s="195">
        <v>0</v>
      </c>
      <c r="D96" s="195">
        <f>D85</f>
        <v>5.0000999999999998</v>
      </c>
      <c r="E96" s="57">
        <f>D96-C96</f>
        <v>5.0000999999999998</v>
      </c>
      <c r="F96" s="193" t="str">
        <f>IF(ABS(E96-5)&gt;0.001,"FAIL","PASS")</f>
        <v>PASS</v>
      </c>
      <c r="G96" s="194" t="s">
        <v>125</v>
      </c>
      <c r="H96" s="194" t="s">
        <v>125</v>
      </c>
      <c r="I96" s="92" t="s">
        <v>109</v>
      </c>
      <c r="J96" s="92" t="s">
        <v>109</v>
      </c>
      <c r="K96" s="98" t="s">
        <v>115</v>
      </c>
    </row>
    <row r="97" spans="1:14" ht="15" thickBot="1">
      <c r="A97" s="75" t="str">
        <f>"Arterial "&amp; $A$92&amp;"-1"</f>
        <v>Arterial 20-1</v>
      </c>
      <c r="B97" s="268">
        <v>0.4</v>
      </c>
      <c r="C97" s="211">
        <v>1.5948</v>
      </c>
      <c r="D97" s="211">
        <v>1.9863999999999999</v>
      </c>
      <c r="E97" s="55">
        <f>D97-C97</f>
        <v>0.39159999999999995</v>
      </c>
      <c r="F97" s="93"/>
      <c r="G97" s="113">
        <f>'Gamma data'!J108/'Balance data'!E97</f>
        <v>620.07935466589777</v>
      </c>
      <c r="H97" s="113">
        <f>AVERAGE(G97:G97)</f>
        <v>620.07935466589777</v>
      </c>
      <c r="I97" s="126">
        <f>'Gamma data'!M108</f>
        <v>1.1188034306951495E-2</v>
      </c>
      <c r="J97" s="125">
        <f>SQRT('Gamma data'!$E$115)/'Gamma data'!$E$115</f>
        <v>3.2650113192424879E-3</v>
      </c>
      <c r="K97" s="310">
        <f>J97+I97</f>
        <v>1.4453045626193983E-2</v>
      </c>
      <c r="L97" s="110" t="s">
        <v>128</v>
      </c>
      <c r="M97" s="52">
        <f>('Blood collection data'!B31-'Subject data'!$C$8)*24*60</f>
        <v>15.999999999999943</v>
      </c>
      <c r="N97" s="91" t="s">
        <v>99</v>
      </c>
    </row>
    <row r="98" spans="1:14">
      <c r="C98" s="49"/>
      <c r="D98" s="49"/>
      <c r="E98" s="28"/>
      <c r="G98" s="89"/>
      <c r="H98" s="69"/>
    </row>
    <row r="99" spans="1:14">
      <c r="C99" s="49"/>
      <c r="D99" s="49"/>
      <c r="E99" s="28"/>
      <c r="G99" s="89"/>
      <c r="H99" s="69"/>
    </row>
    <row r="100" spans="1:14" ht="15" thickBot="1">
      <c r="C100" s="49"/>
      <c r="D100" s="49"/>
      <c r="E100" s="47"/>
      <c r="F100" s="69"/>
      <c r="G100" s="89"/>
      <c r="H100" s="89"/>
      <c r="I100" s="95"/>
      <c r="J100" s="94"/>
      <c r="K100" s="96"/>
    </row>
    <row r="101" spans="1:14">
      <c r="A101" s="115">
        <v>30</v>
      </c>
      <c r="B101" s="391" t="s">
        <v>129</v>
      </c>
      <c r="C101" s="116"/>
      <c r="D101" s="117"/>
      <c r="E101" s="118"/>
      <c r="F101" s="116"/>
      <c r="G101" s="116"/>
      <c r="H101" s="116"/>
      <c r="I101" s="116"/>
      <c r="J101" s="116"/>
      <c r="K101" s="119"/>
    </row>
    <row r="102" spans="1:14">
      <c r="A102" s="73"/>
      <c r="B102" s="90" t="s">
        <v>63</v>
      </c>
      <c r="C102" s="69" t="s">
        <v>35</v>
      </c>
      <c r="D102" s="69" t="s">
        <v>37</v>
      </c>
      <c r="E102" s="69" t="s">
        <v>38</v>
      </c>
      <c r="F102" s="69"/>
      <c r="G102" s="69"/>
      <c r="H102" s="69"/>
      <c r="I102" s="69"/>
      <c r="J102" s="69"/>
      <c r="K102" s="74"/>
    </row>
    <row r="103" spans="1:14">
      <c r="A103" s="73" t="s">
        <v>17</v>
      </c>
      <c r="B103" s="90" t="s">
        <v>64</v>
      </c>
      <c r="C103" s="69" t="s">
        <v>36</v>
      </c>
      <c r="D103" s="69" t="s">
        <v>36</v>
      </c>
      <c r="E103" s="69" t="s">
        <v>36</v>
      </c>
      <c r="F103" s="69" t="s">
        <v>49</v>
      </c>
      <c r="G103" s="428" t="s">
        <v>104</v>
      </c>
      <c r="H103" s="428"/>
      <c r="I103" s="429"/>
      <c r="J103" s="429"/>
      <c r="K103" s="430"/>
    </row>
    <row r="104" spans="1:14">
      <c r="A104" s="73" t="s">
        <v>34</v>
      </c>
      <c r="B104" s="90" t="s">
        <v>84</v>
      </c>
      <c r="C104" s="103">
        <v>0</v>
      </c>
      <c r="D104" s="103">
        <v>0</v>
      </c>
      <c r="E104" s="47">
        <f>C104-D104</f>
        <v>0</v>
      </c>
      <c r="F104" s="111" t="str">
        <f>IF(ABS(C104+D104)&gt;0.00001, "FAIL","PASS")</f>
        <v>PASS</v>
      </c>
      <c r="G104" s="69" t="s">
        <v>106</v>
      </c>
      <c r="H104" s="69" t="s">
        <v>107</v>
      </c>
      <c r="I104" s="90" t="s">
        <v>110</v>
      </c>
      <c r="J104" s="69" t="s">
        <v>108</v>
      </c>
      <c r="K104" s="74"/>
    </row>
    <row r="105" spans="1:14" ht="15" thickBot="1">
      <c r="A105" s="114" t="str">
        <f>A17</f>
        <v>1 g standard</v>
      </c>
      <c r="B105" s="194" t="s">
        <v>84</v>
      </c>
      <c r="C105" s="195">
        <v>0</v>
      </c>
      <c r="D105" s="195">
        <f>D96</f>
        <v>5.0000999999999998</v>
      </c>
      <c r="E105" s="57">
        <f>D105-C105</f>
        <v>5.0000999999999998</v>
      </c>
      <c r="F105" s="193" t="str">
        <f>IF(ABS(E105-5)&gt;0.001,"FAIL","PASS")</f>
        <v>PASS</v>
      </c>
      <c r="G105" s="194" t="s">
        <v>125</v>
      </c>
      <c r="H105" s="194" t="s">
        <v>125</v>
      </c>
      <c r="I105" s="92" t="s">
        <v>109</v>
      </c>
      <c r="J105" s="92" t="s">
        <v>109</v>
      </c>
      <c r="K105" s="98" t="s">
        <v>115</v>
      </c>
    </row>
    <row r="106" spans="1:14" ht="15" thickBot="1">
      <c r="A106" s="73" t="str">
        <f>"Arterial "&amp; $A$101&amp;"-1"</f>
        <v>Arterial 30-1</v>
      </c>
      <c r="B106" s="78">
        <v>0.4</v>
      </c>
      <c r="C106" s="210">
        <v>1.6226</v>
      </c>
      <c r="D106" s="210">
        <v>2.0425</v>
      </c>
      <c r="E106" s="47">
        <f>D106-C106</f>
        <v>0.41989999999999994</v>
      </c>
      <c r="F106" s="69"/>
      <c r="G106" s="102">
        <f>'Gamma data'!J118/'Balance data'!E106</f>
        <v>551.17529234059282</v>
      </c>
      <c r="H106" s="102">
        <f>AVERAGE(G106:G106)</f>
        <v>551.17529234059282</v>
      </c>
      <c r="I106" s="234">
        <f>'Gamma data'!M118</f>
        <v>1.1501092655705904E-2</v>
      </c>
      <c r="J106" s="237">
        <f>SQRT('Gamma data'!$E$126)/'Gamma data'!$E$126</f>
        <v>3.2650113192424879E-3</v>
      </c>
      <c r="K106" s="270">
        <f>J106+I106</f>
        <v>1.4766103974948392E-2</v>
      </c>
      <c r="L106" s="110" t="s">
        <v>128</v>
      </c>
      <c r="M106" s="52">
        <f>('Blood collection data'!B32-'Subject data'!$C$8)*24*60</f>
        <v>20.000000000000007</v>
      </c>
      <c r="N106" s="91" t="s">
        <v>99</v>
      </c>
    </row>
    <row r="107" spans="1:14">
      <c r="A107" s="73" t="str">
        <f>"Pellet Arterial " &amp;$A$101</f>
        <v>Pellet Arterial 30</v>
      </c>
      <c r="B107" s="17">
        <v>0.5</v>
      </c>
      <c r="C107" s="210">
        <v>1.0106999999999999</v>
      </c>
      <c r="D107" s="212">
        <v>1.1162000000000001</v>
      </c>
      <c r="E107" s="47">
        <f>D107-C107</f>
        <v>0.10550000000000015</v>
      </c>
      <c r="F107" s="69"/>
      <c r="G107" s="102">
        <f>'Pellet - Gamma Data'!K25/'Balance data'!E107</f>
        <v>147.7756598538804</v>
      </c>
      <c r="H107" s="69"/>
      <c r="I107" s="69"/>
      <c r="J107" s="69"/>
      <c r="K107" s="74"/>
    </row>
    <row r="108" spans="1:14" ht="15" thickBot="1">
      <c r="A108" s="75" t="str">
        <f>"Whole Blood Arterial " &amp; $A$101</f>
        <v>Whole Blood Arterial 30</v>
      </c>
      <c r="B108" s="395">
        <v>0.3</v>
      </c>
      <c r="C108" s="211">
        <v>1.5731999999999999</v>
      </c>
      <c r="D108" s="214">
        <v>1.8714999999999999</v>
      </c>
      <c r="E108" s="291">
        <f>D108-C108</f>
        <v>0.29830000000000001</v>
      </c>
      <c r="F108" s="93"/>
      <c r="G108" s="235">
        <f>'Gamma data'!J119/'Balance data'!E108</f>
        <v>382.85332180615012</v>
      </c>
      <c r="H108" s="93"/>
      <c r="I108" s="93"/>
      <c r="J108" s="93"/>
      <c r="K108" s="76"/>
    </row>
    <row r="109" spans="1:14">
      <c r="A109" s="275"/>
      <c r="B109" s="78"/>
      <c r="C109" s="103"/>
      <c r="D109" s="103"/>
      <c r="E109" s="104"/>
      <c r="F109" s="90"/>
      <c r="G109" s="102"/>
      <c r="H109" s="69"/>
    </row>
    <row r="110" spans="1:14">
      <c r="A110" s="90"/>
      <c r="B110" s="90"/>
      <c r="C110" s="101"/>
      <c r="D110" s="101"/>
      <c r="E110" s="101"/>
      <c r="F110" s="90"/>
      <c r="G110" s="102"/>
      <c r="H110" s="69"/>
    </row>
    <row r="111" spans="1:14" ht="15" thickBot="1">
      <c r="C111" s="49"/>
      <c r="D111" s="49"/>
      <c r="E111" s="47"/>
      <c r="F111" s="69"/>
      <c r="G111" s="89"/>
      <c r="H111" s="89"/>
      <c r="I111" s="95"/>
      <c r="J111" s="94"/>
      <c r="K111" s="96"/>
    </row>
    <row r="112" spans="1:14">
      <c r="A112" s="115">
        <v>40</v>
      </c>
      <c r="B112" s="391" t="s">
        <v>129</v>
      </c>
      <c r="C112" s="116"/>
      <c r="D112" s="117"/>
      <c r="E112" s="118"/>
      <c r="F112" s="116"/>
      <c r="G112" s="116"/>
      <c r="H112" s="116"/>
      <c r="I112" s="116"/>
      <c r="J112" s="116"/>
      <c r="K112" s="119"/>
    </row>
    <row r="113" spans="1:14">
      <c r="A113" s="73"/>
      <c r="B113" s="90" t="s">
        <v>63</v>
      </c>
      <c r="C113" s="69" t="s">
        <v>35</v>
      </c>
      <c r="D113" s="69" t="s">
        <v>37</v>
      </c>
      <c r="E113" s="69" t="s">
        <v>38</v>
      </c>
      <c r="F113" s="69"/>
      <c r="G113" s="69"/>
      <c r="H113" s="69"/>
      <c r="I113" s="69"/>
      <c r="J113" s="69"/>
      <c r="K113" s="74"/>
    </row>
    <row r="114" spans="1:14">
      <c r="A114" s="73" t="s">
        <v>17</v>
      </c>
      <c r="B114" s="90" t="s">
        <v>64</v>
      </c>
      <c r="C114" s="69" t="s">
        <v>36</v>
      </c>
      <c r="D114" s="69" t="s">
        <v>36</v>
      </c>
      <c r="E114" s="69" t="s">
        <v>36</v>
      </c>
      <c r="F114" s="69" t="s">
        <v>49</v>
      </c>
      <c r="G114" s="428" t="s">
        <v>104</v>
      </c>
      <c r="H114" s="428"/>
      <c r="I114" s="429"/>
      <c r="J114" s="429"/>
      <c r="K114" s="430"/>
    </row>
    <row r="115" spans="1:14">
      <c r="A115" s="73" t="s">
        <v>34</v>
      </c>
      <c r="B115" s="90" t="s">
        <v>84</v>
      </c>
      <c r="C115" s="103">
        <v>0</v>
      </c>
      <c r="D115" s="103">
        <v>0</v>
      </c>
      <c r="E115" s="47">
        <f>C115-D115</f>
        <v>0</v>
      </c>
      <c r="F115" s="111" t="str">
        <f>IF(ABS(C115+D115)&gt;0.00001, "FAIL","PASS")</f>
        <v>PASS</v>
      </c>
      <c r="G115" s="69" t="s">
        <v>106</v>
      </c>
      <c r="H115" s="69" t="s">
        <v>107</v>
      </c>
      <c r="I115" s="90" t="s">
        <v>110</v>
      </c>
      <c r="J115" s="69" t="s">
        <v>108</v>
      </c>
      <c r="K115" s="74"/>
    </row>
    <row r="116" spans="1:14" ht="15" thickBot="1">
      <c r="A116" s="114" t="str">
        <f>A17</f>
        <v>1 g standard</v>
      </c>
      <c r="B116" s="194" t="s">
        <v>84</v>
      </c>
      <c r="C116" s="195">
        <v>0</v>
      </c>
      <c r="D116" s="195">
        <f>D105</f>
        <v>5.0000999999999998</v>
      </c>
      <c r="E116" s="57">
        <f>D116-C116</f>
        <v>5.0000999999999998</v>
      </c>
      <c r="F116" s="193" t="str">
        <f>IF(ABS(E116-5)&gt;0.001,"FAIL","PASS")</f>
        <v>PASS</v>
      </c>
      <c r="G116" s="194" t="s">
        <v>125</v>
      </c>
      <c r="H116" s="194" t="s">
        <v>125</v>
      </c>
      <c r="I116" s="92" t="s">
        <v>109</v>
      </c>
      <c r="J116" s="92" t="s">
        <v>109</v>
      </c>
      <c r="K116" s="98" t="s">
        <v>115</v>
      </c>
    </row>
    <row r="117" spans="1:14" ht="15" thickBot="1">
      <c r="A117" s="75" t="str">
        <f>"Arterial "&amp; $A$112&amp;"-1"</f>
        <v>Arterial 40-1</v>
      </c>
      <c r="B117" s="268">
        <v>0.4</v>
      </c>
      <c r="C117" s="211">
        <v>1.6224000000000001</v>
      </c>
      <c r="D117" s="211">
        <v>2.016</v>
      </c>
      <c r="E117" s="55">
        <f>D117-C117</f>
        <v>0.39359999999999995</v>
      </c>
      <c r="F117" s="93"/>
      <c r="G117" s="113">
        <f>'Gamma data'!J129/'Balance data'!E117</f>
        <v>536.69777023107383</v>
      </c>
      <c r="H117" s="113">
        <f>AVERAGE(G117:G117)</f>
        <v>536.69777023107383</v>
      </c>
      <c r="I117" s="126">
        <f>'Gamma data'!M129</f>
        <v>1.2123216124221799E-2</v>
      </c>
      <c r="J117" s="125">
        <f>SQRT('Gamma data'!$E$126)/'Gamma data'!$E$126</f>
        <v>3.2650113192424879E-3</v>
      </c>
      <c r="K117" s="188">
        <f>J117+I117</f>
        <v>1.5388227443464287E-2</v>
      </c>
      <c r="L117" s="110" t="s">
        <v>128</v>
      </c>
      <c r="M117" s="52">
        <f>('Blood collection data'!B33-'Subject data'!$C$8)*24*60</f>
        <v>29.999999999999972</v>
      </c>
      <c r="N117" s="91" t="s">
        <v>99</v>
      </c>
    </row>
    <row r="118" spans="1:14">
      <c r="A118" s="69"/>
      <c r="B118" s="90"/>
      <c r="C118" s="101"/>
      <c r="D118" s="101"/>
      <c r="E118" s="99"/>
      <c r="G118" s="89"/>
      <c r="H118" s="69"/>
    </row>
    <row r="119" spans="1:14">
      <c r="A119" s="69"/>
      <c r="B119" s="90"/>
      <c r="C119" s="99"/>
      <c r="D119" s="99"/>
      <c r="E119" s="99"/>
      <c r="G119" s="89"/>
      <c r="H119" s="69"/>
    </row>
    <row r="120" spans="1:14" ht="15" thickBot="1">
      <c r="A120" s="69"/>
      <c r="B120" s="90"/>
      <c r="C120" s="99"/>
      <c r="D120" s="99"/>
      <c r="E120" s="99"/>
      <c r="F120" s="69"/>
      <c r="G120" s="89"/>
      <c r="H120" s="89"/>
      <c r="I120" s="95"/>
      <c r="J120" s="94"/>
      <c r="K120" s="96"/>
    </row>
    <row r="121" spans="1:14">
      <c r="A121" s="115">
        <v>50</v>
      </c>
      <c r="B121" s="391" t="s">
        <v>129</v>
      </c>
      <c r="C121" s="116"/>
      <c r="D121" s="117"/>
      <c r="E121" s="118"/>
      <c r="F121" s="116"/>
      <c r="G121" s="116"/>
      <c r="H121" s="116"/>
      <c r="I121" s="116"/>
      <c r="J121" s="116"/>
      <c r="K121" s="119"/>
      <c r="L121" s="69"/>
      <c r="M121" s="69"/>
    </row>
    <row r="122" spans="1:14">
      <c r="A122" s="73"/>
      <c r="B122" s="90" t="s">
        <v>63</v>
      </c>
      <c r="C122" s="69" t="s">
        <v>35</v>
      </c>
      <c r="D122" s="69" t="s">
        <v>37</v>
      </c>
      <c r="E122" s="69" t="s">
        <v>38</v>
      </c>
      <c r="F122" s="69"/>
      <c r="G122" s="69"/>
      <c r="H122" s="69"/>
      <c r="I122" s="69"/>
      <c r="J122" s="69"/>
      <c r="K122" s="74"/>
      <c r="L122" s="69"/>
      <c r="M122" s="69"/>
    </row>
    <row r="123" spans="1:14">
      <c r="A123" s="73" t="s">
        <v>17</v>
      </c>
      <c r="B123" s="90" t="s">
        <v>64</v>
      </c>
      <c r="C123" s="69" t="s">
        <v>36</v>
      </c>
      <c r="D123" s="69" t="s">
        <v>36</v>
      </c>
      <c r="E123" s="69" t="s">
        <v>36</v>
      </c>
      <c r="F123" s="69" t="s">
        <v>49</v>
      </c>
      <c r="G123" s="428" t="s">
        <v>104</v>
      </c>
      <c r="H123" s="428"/>
      <c r="I123" s="429"/>
      <c r="J123" s="429"/>
      <c r="K123" s="430"/>
      <c r="L123" s="69"/>
      <c r="M123" s="69"/>
    </row>
    <row r="124" spans="1:14">
      <c r="A124" s="73" t="s">
        <v>34</v>
      </c>
      <c r="B124" s="90" t="s">
        <v>84</v>
      </c>
      <c r="C124" s="103">
        <v>0</v>
      </c>
      <c r="D124" s="103">
        <v>0</v>
      </c>
      <c r="E124" s="47">
        <f>C124-D124</f>
        <v>0</v>
      </c>
      <c r="F124" s="111" t="str">
        <f>IF(ABS(C124+D124)&gt;0.00001, "FAIL","PASS")</f>
        <v>PASS</v>
      </c>
      <c r="G124" s="69" t="s">
        <v>106</v>
      </c>
      <c r="H124" s="69" t="s">
        <v>107</v>
      </c>
      <c r="I124" s="90" t="s">
        <v>110</v>
      </c>
      <c r="J124" s="69" t="s">
        <v>108</v>
      </c>
      <c r="K124" s="74"/>
      <c r="L124" s="69"/>
      <c r="M124" s="69"/>
    </row>
    <row r="125" spans="1:14" ht="15" thickBot="1">
      <c r="A125" s="114" t="str">
        <f>A17</f>
        <v>1 g standard</v>
      </c>
      <c r="B125" s="194" t="s">
        <v>84</v>
      </c>
      <c r="C125" s="195">
        <v>0</v>
      </c>
      <c r="D125" s="195">
        <f>D116</f>
        <v>5.0000999999999998</v>
      </c>
      <c r="E125" s="57">
        <f>D125-C125</f>
        <v>5.0000999999999998</v>
      </c>
      <c r="F125" s="193" t="str">
        <f>IF(ABS(E125-5)&gt;0.001,"FAIL","PASS")</f>
        <v>PASS</v>
      </c>
      <c r="G125" s="194" t="s">
        <v>125</v>
      </c>
      <c r="H125" s="194" t="s">
        <v>125</v>
      </c>
      <c r="I125" s="92" t="s">
        <v>109</v>
      </c>
      <c r="J125" s="92" t="s">
        <v>109</v>
      </c>
      <c r="K125" s="98" t="s">
        <v>115</v>
      </c>
      <c r="L125" s="69"/>
      <c r="M125" s="69"/>
    </row>
    <row r="126" spans="1:14" ht="15" thickBot="1">
      <c r="A126" s="75" t="str">
        <f>"Arterial "&amp; $A$121&amp;"-1"</f>
        <v>Arterial 50-1</v>
      </c>
      <c r="B126" s="268">
        <v>0.4</v>
      </c>
      <c r="C126" s="211">
        <v>1.5846</v>
      </c>
      <c r="D126" s="211">
        <v>1.9775</v>
      </c>
      <c r="E126" s="55">
        <f t="shared" ref="E126" si="4">D126-C126</f>
        <v>0.39290000000000003</v>
      </c>
      <c r="F126" s="93"/>
      <c r="G126" s="113">
        <f>'Gamma data'!J139/'Balance data'!E126</f>
        <v>509.60139359315235</v>
      </c>
      <c r="H126" s="113">
        <f>AVERAGE(G126:G126)</f>
        <v>509.60139359315235</v>
      </c>
      <c r="I126" s="126">
        <f>'Gamma data'!M139</f>
        <v>1.2492194816597692E-2</v>
      </c>
      <c r="J126" s="125">
        <f>SQRT('Gamma data'!$E$136)/'Gamma data'!$E$136</f>
        <v>3.2650113192424879E-3</v>
      </c>
      <c r="K126" s="311">
        <f>J126+I126</f>
        <v>1.5757206135840179E-2</v>
      </c>
      <c r="L126" s="238" t="s">
        <v>128</v>
      </c>
      <c r="M126" s="52">
        <f>('Blood collection data'!B34-'Subject data'!$C$8)*24*60</f>
        <v>39.999999999999936</v>
      </c>
      <c r="N126" s="91" t="s">
        <v>99</v>
      </c>
    </row>
    <row r="127" spans="1:14">
      <c r="A127" s="69"/>
      <c r="C127" s="49"/>
      <c r="D127" s="49"/>
      <c r="E127" s="47"/>
      <c r="F127" s="69"/>
      <c r="G127" s="89"/>
      <c r="H127" s="89"/>
      <c r="I127" s="95"/>
      <c r="J127" s="94"/>
      <c r="K127" s="96"/>
      <c r="L127" s="69"/>
      <c r="M127" s="69"/>
      <c r="N127" s="69"/>
    </row>
    <row r="128" spans="1:14">
      <c r="A128" s="69"/>
      <c r="C128" s="78"/>
      <c r="D128" s="104"/>
      <c r="E128" s="104"/>
      <c r="F128" s="69"/>
      <c r="G128" s="89"/>
      <c r="H128" s="89"/>
      <c r="I128" s="95"/>
      <c r="J128" s="94"/>
      <c r="K128" s="96"/>
    </row>
    <row r="129" spans="1:14" ht="15" thickBot="1">
      <c r="A129" s="69"/>
      <c r="C129" s="49"/>
      <c r="D129" s="49"/>
      <c r="E129" s="47"/>
      <c r="F129" s="69"/>
      <c r="G129" s="89"/>
      <c r="H129" s="89"/>
      <c r="I129" s="95"/>
      <c r="J129" s="94"/>
      <c r="K129" s="96"/>
    </row>
    <row r="130" spans="1:14">
      <c r="A130" s="115">
        <v>60</v>
      </c>
      <c r="B130" s="391" t="s">
        <v>129</v>
      </c>
      <c r="C130" s="116"/>
      <c r="D130" s="117"/>
      <c r="E130" s="118"/>
      <c r="F130" s="116"/>
      <c r="G130" s="116"/>
      <c r="H130" s="116"/>
      <c r="I130" s="116"/>
      <c r="J130" s="116"/>
      <c r="K130" s="119"/>
    </row>
    <row r="131" spans="1:14">
      <c r="A131" s="73"/>
      <c r="B131" s="90" t="s">
        <v>63</v>
      </c>
      <c r="C131" s="69" t="s">
        <v>35</v>
      </c>
      <c r="D131" s="69" t="s">
        <v>37</v>
      </c>
      <c r="E131" s="69" t="s">
        <v>38</v>
      </c>
      <c r="F131" s="69"/>
      <c r="G131" s="69"/>
      <c r="H131" s="69"/>
      <c r="I131" s="69"/>
      <c r="J131" s="69"/>
      <c r="K131" s="74"/>
    </row>
    <row r="132" spans="1:14">
      <c r="A132" s="73" t="s">
        <v>17</v>
      </c>
      <c r="B132" s="90" t="s">
        <v>64</v>
      </c>
      <c r="C132" s="69" t="s">
        <v>36</v>
      </c>
      <c r="D132" s="69" t="s">
        <v>36</v>
      </c>
      <c r="E132" s="69" t="s">
        <v>36</v>
      </c>
      <c r="F132" s="69" t="s">
        <v>49</v>
      </c>
      <c r="G132" s="428" t="s">
        <v>104</v>
      </c>
      <c r="H132" s="428"/>
      <c r="I132" s="429"/>
      <c r="J132" s="429"/>
      <c r="K132" s="430"/>
    </row>
    <row r="133" spans="1:14">
      <c r="A133" s="73" t="s">
        <v>34</v>
      </c>
      <c r="B133" s="90" t="s">
        <v>84</v>
      </c>
      <c r="C133" s="103">
        <v>0</v>
      </c>
      <c r="D133" s="103">
        <v>0</v>
      </c>
      <c r="E133" s="47">
        <f>C133-D133</f>
        <v>0</v>
      </c>
      <c r="F133" s="111" t="str">
        <f>IF(ABS(C133+D133)&gt;0.00001, "FAIL","PASS")</f>
        <v>PASS</v>
      </c>
      <c r="G133" s="69" t="s">
        <v>106</v>
      </c>
      <c r="H133" s="69" t="s">
        <v>107</v>
      </c>
      <c r="I133" s="90" t="s">
        <v>110</v>
      </c>
      <c r="J133" s="69" t="s">
        <v>108</v>
      </c>
      <c r="K133" s="74"/>
    </row>
    <row r="134" spans="1:14" ht="15" thickBot="1">
      <c r="A134" s="114" t="str">
        <f>A125</f>
        <v>1 g standard</v>
      </c>
      <c r="B134" s="194" t="s">
        <v>84</v>
      </c>
      <c r="C134" s="195">
        <v>0</v>
      </c>
      <c r="D134" s="195">
        <f>D125</f>
        <v>5.0000999999999998</v>
      </c>
      <c r="E134" s="57">
        <f>D134-C134</f>
        <v>5.0000999999999998</v>
      </c>
      <c r="F134" s="193" t="str">
        <f>IF(ABS(E134-5)&gt;0.001,"FAIL","PASS")</f>
        <v>PASS</v>
      </c>
      <c r="G134" s="194" t="s">
        <v>125</v>
      </c>
      <c r="H134" s="194" t="s">
        <v>125</v>
      </c>
      <c r="I134" s="92" t="s">
        <v>109</v>
      </c>
      <c r="J134" s="92" t="s">
        <v>109</v>
      </c>
      <c r="K134" s="98" t="s">
        <v>115</v>
      </c>
    </row>
    <row r="135" spans="1:14" ht="15" thickBot="1">
      <c r="A135" s="73" t="str">
        <f>"Arterial "&amp; $A$130&amp;"-1"</f>
        <v>Arterial 60-1</v>
      </c>
      <c r="B135" s="78">
        <v>0.4</v>
      </c>
      <c r="C135" s="210">
        <v>1.5972999999999999</v>
      </c>
      <c r="D135" s="210">
        <v>1.9893000000000001</v>
      </c>
      <c r="E135" s="47">
        <f t="shared" ref="E135" si="5">D135-C135</f>
        <v>0.39200000000000013</v>
      </c>
      <c r="F135" s="69"/>
      <c r="G135" s="89">
        <f>'Gamma data'!J149/'Balance data'!E135</f>
        <v>605.95909873052051</v>
      </c>
      <c r="H135" s="89">
        <f>AVERAGE(G135:G135)</f>
        <v>605.95909873052051</v>
      </c>
      <c r="I135" s="95">
        <f>'Gamma data'!M149</f>
        <v>1.1574818363587983E-2</v>
      </c>
      <c r="J135" s="94">
        <f>SQRT('Gamma data'!$E$146)/'Gamma data'!$E$146</f>
        <v>3.2650113192424879E-3</v>
      </c>
      <c r="K135" s="270">
        <f>J135+I135</f>
        <v>1.4839829682830472E-2</v>
      </c>
      <c r="L135" s="110" t="s">
        <v>128</v>
      </c>
      <c r="M135" s="52">
        <f>('Blood collection data'!B35-'Subject data'!$C$8)*24*60</f>
        <v>49.999999999999986</v>
      </c>
      <c r="N135" s="91" t="s">
        <v>99</v>
      </c>
    </row>
    <row r="136" spans="1:14">
      <c r="A136" s="73" t="str">
        <f>"Pellet Arterial" &amp;$A$130</f>
        <v>Pellet Arterial60</v>
      </c>
      <c r="B136" s="17">
        <v>0.5</v>
      </c>
      <c r="C136" s="212">
        <v>1.0370999999999999</v>
      </c>
      <c r="D136" s="212">
        <v>1.1438999999999999</v>
      </c>
      <c r="E136" s="47">
        <f>D136-C136</f>
        <v>0.10680000000000001</v>
      </c>
      <c r="F136" s="69"/>
      <c r="G136" s="102">
        <f>'Pellet - Gamma Data'!K26/'Balance data'!E136</f>
        <v>170.72619367360534</v>
      </c>
      <c r="H136" s="69"/>
      <c r="I136" s="69"/>
      <c r="J136" s="69"/>
      <c r="K136" s="74"/>
    </row>
    <row r="137" spans="1:14" ht="15" thickBot="1">
      <c r="A137" s="75" t="str">
        <f>"Whole Blood Arterial " &amp;$A$130</f>
        <v>Whole Blood Arterial 60</v>
      </c>
      <c r="B137" s="395">
        <v>0.3</v>
      </c>
      <c r="C137" s="214">
        <v>1.5843</v>
      </c>
      <c r="D137" s="214">
        <v>1.8991</v>
      </c>
      <c r="E137" s="55">
        <f>D137-C137</f>
        <v>0.31479999999999997</v>
      </c>
      <c r="F137" s="93"/>
      <c r="G137" s="113">
        <f>'Gamma data'!J150/'Balance data'!E137</f>
        <v>353.06321486554083</v>
      </c>
      <c r="H137" s="93"/>
      <c r="I137" s="93"/>
      <c r="J137" s="93"/>
      <c r="K137" s="76"/>
    </row>
    <row r="138" spans="1:14">
      <c r="C138" s="49"/>
      <c r="D138" s="49"/>
      <c r="E138" s="28"/>
      <c r="G138" s="89"/>
      <c r="H138" s="69"/>
    </row>
    <row r="139" spans="1:14">
      <c r="C139" s="49"/>
      <c r="D139" s="49"/>
      <c r="E139" s="28"/>
      <c r="G139" s="89"/>
      <c r="H139" s="69"/>
    </row>
    <row r="140" spans="1:14" ht="15" thickBot="1">
      <c r="C140" s="49"/>
      <c r="D140" s="49"/>
      <c r="E140" s="47"/>
      <c r="F140" s="69"/>
      <c r="G140" s="89"/>
      <c r="H140" s="89"/>
      <c r="I140" s="95"/>
      <c r="J140" s="94"/>
      <c r="K140" s="96"/>
    </row>
    <row r="141" spans="1:14">
      <c r="A141" s="115">
        <v>70</v>
      </c>
      <c r="B141" s="391" t="s">
        <v>129</v>
      </c>
      <c r="C141" s="116"/>
      <c r="D141" s="117"/>
      <c r="E141" s="118"/>
      <c r="F141" s="116"/>
      <c r="G141" s="116"/>
      <c r="H141" s="116"/>
      <c r="I141" s="116"/>
      <c r="J141" s="116"/>
      <c r="K141" s="119"/>
    </row>
    <row r="142" spans="1:14">
      <c r="A142" s="73"/>
      <c r="B142" s="90" t="s">
        <v>63</v>
      </c>
      <c r="C142" s="69" t="s">
        <v>35</v>
      </c>
      <c r="D142" s="69" t="s">
        <v>37</v>
      </c>
      <c r="E142" s="69" t="s">
        <v>38</v>
      </c>
      <c r="F142" s="69"/>
      <c r="G142" s="69"/>
      <c r="H142" s="69"/>
      <c r="I142" s="69"/>
      <c r="J142" s="69"/>
      <c r="K142" s="74"/>
    </row>
    <row r="143" spans="1:14">
      <c r="A143" s="73" t="s">
        <v>17</v>
      </c>
      <c r="B143" s="90" t="s">
        <v>64</v>
      </c>
      <c r="C143" s="69" t="s">
        <v>36</v>
      </c>
      <c r="D143" s="69" t="s">
        <v>36</v>
      </c>
      <c r="E143" s="69" t="s">
        <v>36</v>
      </c>
      <c r="F143" s="69" t="s">
        <v>49</v>
      </c>
      <c r="G143" s="428" t="s">
        <v>104</v>
      </c>
      <c r="H143" s="428"/>
      <c r="I143" s="429"/>
      <c r="J143" s="429"/>
      <c r="K143" s="430"/>
    </row>
    <row r="144" spans="1:14">
      <c r="A144" s="73" t="s">
        <v>34</v>
      </c>
      <c r="B144" s="90" t="s">
        <v>84</v>
      </c>
      <c r="C144" s="103">
        <v>0</v>
      </c>
      <c r="D144" s="103">
        <v>0</v>
      </c>
      <c r="E144" s="47">
        <f>C144-D144</f>
        <v>0</v>
      </c>
      <c r="F144" s="111" t="str">
        <f>IF(ABS(C144+D144)&gt;0.00001, "FAIL","PASS")</f>
        <v>PASS</v>
      </c>
      <c r="G144" s="69" t="s">
        <v>106</v>
      </c>
      <c r="H144" s="69" t="s">
        <v>107</v>
      </c>
      <c r="I144" s="90" t="s">
        <v>110</v>
      </c>
      <c r="J144" s="69" t="s">
        <v>108</v>
      </c>
      <c r="K144" s="74"/>
    </row>
    <row r="145" spans="1:14" ht="15" thickBot="1">
      <c r="A145" s="114" t="str">
        <f>A134</f>
        <v>1 g standard</v>
      </c>
      <c r="B145" s="194" t="s">
        <v>84</v>
      </c>
      <c r="C145" s="195">
        <v>0</v>
      </c>
      <c r="D145" s="195">
        <f>D134</f>
        <v>5.0000999999999998</v>
      </c>
      <c r="E145" s="57">
        <f>D145-C145</f>
        <v>5.0000999999999998</v>
      </c>
      <c r="F145" s="193" t="str">
        <f>IF(ABS(E145-5)&gt;0.001,"FAIL","PASS")</f>
        <v>PASS</v>
      </c>
      <c r="G145" s="194" t="s">
        <v>125</v>
      </c>
      <c r="H145" s="194" t="s">
        <v>125</v>
      </c>
      <c r="I145" s="92" t="s">
        <v>109</v>
      </c>
      <c r="J145" s="92" t="s">
        <v>109</v>
      </c>
      <c r="K145" s="98" t="s">
        <v>115</v>
      </c>
    </row>
    <row r="146" spans="1:14" ht="15" thickBot="1">
      <c r="A146" s="75" t="str">
        <f>"Arterial "&amp; $A$141&amp;"-1"</f>
        <v>Arterial 70-1</v>
      </c>
      <c r="B146" s="268">
        <v>0.4</v>
      </c>
      <c r="C146" s="211">
        <v>1.5832999999999999</v>
      </c>
      <c r="D146" s="211">
        <v>1.9762999999999999</v>
      </c>
      <c r="E146" s="55">
        <f>D146-C146</f>
        <v>0.39300000000000002</v>
      </c>
      <c r="F146" s="93"/>
      <c r="G146" s="113">
        <f>'Gamma data'!J160/'Balance data'!E146</f>
        <v>547.18939377276888</v>
      </c>
      <c r="H146" s="113">
        <f>AVERAGE(G146:G146)</f>
        <v>547.18939377276888</v>
      </c>
      <c r="I146" s="126">
        <f>'Gamma data'!M160</f>
        <v>1.2248061132283349E-2</v>
      </c>
      <c r="J146" s="125">
        <f>SQRT('Gamma data'!$E$167)/'Gamma data'!$E$167</f>
        <v>3.2650113192424879E-3</v>
      </c>
      <c r="K146" s="310">
        <f>J146+I146</f>
        <v>1.5513072451525837E-2</v>
      </c>
      <c r="L146" s="110" t="s">
        <v>128</v>
      </c>
      <c r="M146" s="52">
        <f>('Blood collection data'!B36-'Subject data'!$C$8)*24*60</f>
        <v>59.999999999999943</v>
      </c>
      <c r="N146" s="91" t="s">
        <v>99</v>
      </c>
    </row>
    <row r="147" spans="1:14">
      <c r="C147" s="49"/>
      <c r="D147" s="49"/>
      <c r="E147" s="28"/>
      <c r="G147" s="89"/>
      <c r="H147" s="69"/>
    </row>
    <row r="148" spans="1:14">
      <c r="C148" s="49"/>
      <c r="D148" s="49"/>
      <c r="E148" s="28"/>
      <c r="G148" s="89"/>
      <c r="H148" s="69"/>
    </row>
    <row r="149" spans="1:14" ht="15" thickBot="1">
      <c r="C149" s="49"/>
      <c r="D149" s="49"/>
      <c r="E149" s="47"/>
      <c r="F149" s="69"/>
      <c r="G149" s="89"/>
      <c r="H149" s="89"/>
      <c r="I149" s="95"/>
      <c r="J149" s="94"/>
      <c r="K149" s="96"/>
    </row>
    <row r="150" spans="1:14">
      <c r="A150" s="115">
        <v>90</v>
      </c>
      <c r="B150" s="391" t="s">
        <v>129</v>
      </c>
      <c r="C150" s="116"/>
      <c r="D150" s="117"/>
      <c r="E150" s="118"/>
      <c r="F150" s="116"/>
      <c r="G150" s="116"/>
      <c r="H150" s="116"/>
      <c r="I150" s="116"/>
      <c r="J150" s="116"/>
      <c r="K150" s="119"/>
    </row>
    <row r="151" spans="1:14">
      <c r="A151" s="73"/>
      <c r="B151" s="90" t="s">
        <v>63</v>
      </c>
      <c r="C151" s="69" t="s">
        <v>35</v>
      </c>
      <c r="D151" s="69" t="s">
        <v>37</v>
      </c>
      <c r="E151" s="69" t="s">
        <v>38</v>
      </c>
      <c r="F151" s="69"/>
      <c r="G151" s="69"/>
      <c r="H151" s="69"/>
      <c r="I151" s="69"/>
      <c r="J151" s="69"/>
      <c r="K151" s="74"/>
    </row>
    <row r="152" spans="1:14">
      <c r="A152" s="73" t="s">
        <v>17</v>
      </c>
      <c r="B152" s="90" t="s">
        <v>64</v>
      </c>
      <c r="C152" s="69" t="s">
        <v>36</v>
      </c>
      <c r="D152" s="69" t="s">
        <v>36</v>
      </c>
      <c r="E152" s="69" t="s">
        <v>36</v>
      </c>
      <c r="F152" s="69" t="s">
        <v>49</v>
      </c>
      <c r="G152" s="428" t="s">
        <v>104</v>
      </c>
      <c r="H152" s="428"/>
      <c r="I152" s="429"/>
      <c r="J152" s="429"/>
      <c r="K152" s="430"/>
    </row>
    <row r="153" spans="1:14">
      <c r="A153" s="73" t="s">
        <v>34</v>
      </c>
      <c r="B153" s="90" t="s">
        <v>84</v>
      </c>
      <c r="C153" s="103">
        <v>0</v>
      </c>
      <c r="D153" s="103">
        <v>0</v>
      </c>
      <c r="E153" s="47">
        <f>C153-D153</f>
        <v>0</v>
      </c>
      <c r="F153" s="111" t="str">
        <f>IF(ABS(C153+D153)&gt;0.00001, "FAIL","PASS")</f>
        <v>PASS</v>
      </c>
      <c r="G153" s="69" t="s">
        <v>106</v>
      </c>
      <c r="H153" s="69" t="s">
        <v>107</v>
      </c>
      <c r="I153" s="90" t="s">
        <v>110</v>
      </c>
      <c r="J153" s="69" t="s">
        <v>108</v>
      </c>
      <c r="K153" s="74"/>
    </row>
    <row r="154" spans="1:14" ht="15" thickBot="1">
      <c r="A154" s="114" t="str">
        <f>A145</f>
        <v>1 g standard</v>
      </c>
      <c r="B154" s="194" t="s">
        <v>84</v>
      </c>
      <c r="C154" s="195">
        <v>0</v>
      </c>
      <c r="D154" s="195">
        <f>D145</f>
        <v>5.0000999999999998</v>
      </c>
      <c r="E154" s="57">
        <f>D154-C154</f>
        <v>5.0000999999999998</v>
      </c>
      <c r="F154" s="193" t="str">
        <f>IF(ABS(E154-5)&gt;0.001,"FAIL","PASS")</f>
        <v>PASS</v>
      </c>
      <c r="G154" s="194" t="s">
        <v>125</v>
      </c>
      <c r="H154" s="194" t="s">
        <v>125</v>
      </c>
      <c r="I154" s="92" t="s">
        <v>109</v>
      </c>
      <c r="J154" s="92" t="s">
        <v>109</v>
      </c>
      <c r="K154" s="98" t="s">
        <v>115</v>
      </c>
    </row>
    <row r="155" spans="1:14" ht="15" thickBot="1">
      <c r="A155" s="73" t="str">
        <f>"Arterial "&amp; $A$150&amp;"-1"</f>
        <v>Arterial 90-1</v>
      </c>
      <c r="B155" s="78">
        <v>0.4</v>
      </c>
      <c r="C155" s="210">
        <v>1.6216999999999999</v>
      </c>
      <c r="D155" s="210">
        <v>2.0177999999999998</v>
      </c>
      <c r="E155" s="47">
        <f t="shared" ref="E155" si="6">D155-C155</f>
        <v>0.3960999999999999</v>
      </c>
      <c r="F155" s="69"/>
      <c r="G155" s="89">
        <f>'Gamma data'!J170/'Balance data'!E155</f>
        <v>525.57343555708439</v>
      </c>
      <c r="H155" s="89">
        <f>AVERAGE(G155:G155)</f>
        <v>525.57343555708439</v>
      </c>
      <c r="I155" s="95">
        <f>'Gamma data'!M170</f>
        <v>1.2495120046661578E-2</v>
      </c>
      <c r="J155" s="94">
        <f>SQRT('Gamma data'!$E$188)/'Gamma data'!$E$188</f>
        <v>3.2650113192424879E-3</v>
      </c>
      <c r="K155" s="270">
        <f>J155+I155</f>
        <v>1.5760131365904064E-2</v>
      </c>
      <c r="L155" s="110" t="s">
        <v>128</v>
      </c>
      <c r="M155" s="52">
        <f>('Blood collection data'!B37-'Subject data'!$C$8)*24*60</f>
        <v>70.01666666666668</v>
      </c>
      <c r="N155" s="91" t="s">
        <v>99</v>
      </c>
    </row>
    <row r="156" spans="1:14">
      <c r="A156" s="73" t="str">
        <f>"Pellet Arterial " &amp;$A$150</f>
        <v>Pellet Arterial 90</v>
      </c>
      <c r="B156" s="17">
        <v>0.5</v>
      </c>
      <c r="C156" s="210">
        <v>1.0126999999999999</v>
      </c>
      <c r="D156" s="210">
        <v>1.1173999999999999</v>
      </c>
      <c r="E156" s="47">
        <f>D156-C156</f>
        <v>0.10470000000000002</v>
      </c>
      <c r="F156" s="69"/>
      <c r="G156" s="89">
        <f>'Pellet - Gamma Data'!K27/'Balance data'!E156</f>
        <v>227.20237241100887</v>
      </c>
      <c r="H156" s="69"/>
      <c r="I156" s="69"/>
      <c r="J156" s="69"/>
      <c r="K156" s="74"/>
    </row>
    <row r="157" spans="1:14" ht="15" thickBot="1">
      <c r="A157" s="75" t="str">
        <f>"Whole Blood Arterial " &amp;$A$150</f>
        <v>Whole Blood Arterial 90</v>
      </c>
      <c r="B157" s="395">
        <v>0.3</v>
      </c>
      <c r="C157" s="211">
        <v>1.5730999999999999</v>
      </c>
      <c r="D157" s="214">
        <v>1.8705000000000001</v>
      </c>
      <c r="E157" s="55">
        <f>D157-C157</f>
        <v>0.29740000000000011</v>
      </c>
      <c r="F157" s="93"/>
      <c r="G157" s="113">
        <f>'Gamma data'!J171/'Balance data'!E157</f>
        <v>381.78329046161241</v>
      </c>
      <c r="H157" s="93"/>
      <c r="I157" s="93"/>
      <c r="J157" s="93"/>
      <c r="K157" s="76"/>
    </row>
    <row r="158" spans="1:14">
      <c r="C158" s="49"/>
      <c r="D158" s="49"/>
      <c r="E158" s="28"/>
      <c r="G158" s="89"/>
      <c r="H158" s="69"/>
    </row>
    <row r="159" spans="1:14">
      <c r="C159" s="49"/>
      <c r="D159" s="49"/>
      <c r="E159" s="28"/>
      <c r="G159" s="89"/>
      <c r="H159" s="69"/>
    </row>
    <row r="160" spans="1:14" ht="15" thickBot="1">
      <c r="C160" s="49"/>
      <c r="D160" s="49"/>
      <c r="E160" s="47"/>
      <c r="F160" s="69"/>
      <c r="G160" s="89"/>
      <c r="H160" s="89"/>
      <c r="I160" s="95"/>
      <c r="J160" s="94"/>
      <c r="K160" s="96"/>
    </row>
    <row r="161" spans="1:14">
      <c r="A161" s="115">
        <v>110</v>
      </c>
      <c r="B161" s="391" t="s">
        <v>129</v>
      </c>
      <c r="C161" s="116"/>
      <c r="D161" s="117"/>
      <c r="E161" s="118"/>
      <c r="F161" s="116"/>
      <c r="G161" s="116"/>
      <c r="H161" s="116"/>
      <c r="I161" s="116"/>
      <c r="J161" s="116"/>
      <c r="K161" s="119"/>
    </row>
    <row r="162" spans="1:14">
      <c r="A162" s="73"/>
      <c r="B162" s="90" t="s">
        <v>63</v>
      </c>
      <c r="C162" s="69" t="s">
        <v>35</v>
      </c>
      <c r="D162" s="69" t="s">
        <v>37</v>
      </c>
      <c r="E162" s="69" t="s">
        <v>38</v>
      </c>
      <c r="F162" s="69"/>
      <c r="G162" s="69"/>
      <c r="H162" s="69"/>
      <c r="I162" s="69"/>
      <c r="J162" s="69"/>
      <c r="K162" s="74"/>
    </row>
    <row r="163" spans="1:14">
      <c r="A163" s="73" t="s">
        <v>17</v>
      </c>
      <c r="B163" s="90" t="s">
        <v>64</v>
      </c>
      <c r="C163" s="69" t="s">
        <v>36</v>
      </c>
      <c r="D163" s="69" t="s">
        <v>36</v>
      </c>
      <c r="E163" s="69" t="s">
        <v>36</v>
      </c>
      <c r="F163" s="69" t="s">
        <v>49</v>
      </c>
      <c r="G163" s="428" t="s">
        <v>104</v>
      </c>
      <c r="H163" s="428"/>
      <c r="I163" s="429"/>
      <c r="J163" s="429"/>
      <c r="K163" s="430"/>
    </row>
    <row r="164" spans="1:14">
      <c r="A164" s="73" t="s">
        <v>34</v>
      </c>
      <c r="B164" s="90" t="s">
        <v>84</v>
      </c>
      <c r="C164" s="103">
        <v>0</v>
      </c>
      <c r="D164" s="103">
        <v>0</v>
      </c>
      <c r="E164" s="47">
        <f>C164-D164</f>
        <v>0</v>
      </c>
      <c r="F164" s="111" t="str">
        <f>IF(ABS(C164+D164)&gt;0.00001, "FAIL","PASS")</f>
        <v>PASS</v>
      </c>
      <c r="G164" s="69" t="s">
        <v>106</v>
      </c>
      <c r="H164" s="69" t="s">
        <v>107</v>
      </c>
      <c r="I164" s="90" t="s">
        <v>110</v>
      </c>
      <c r="J164" s="69" t="s">
        <v>108</v>
      </c>
      <c r="K164" s="74"/>
    </row>
    <row r="165" spans="1:14" ht="15" thickBot="1">
      <c r="A165" s="114" t="str">
        <f>A17</f>
        <v>1 g standard</v>
      </c>
      <c r="B165" s="194" t="s">
        <v>84</v>
      </c>
      <c r="C165" s="195">
        <v>0</v>
      </c>
      <c r="D165" s="195">
        <f>D154</f>
        <v>5.0000999999999998</v>
      </c>
      <c r="E165" s="57">
        <f>D165-C165</f>
        <v>5.0000999999999998</v>
      </c>
      <c r="F165" s="193" t="str">
        <f>IF(ABS(E165-5)&gt;0.001,"FAIL","PASS")</f>
        <v>PASS</v>
      </c>
      <c r="G165" s="194" t="s">
        <v>125</v>
      </c>
      <c r="H165" s="194" t="s">
        <v>125</v>
      </c>
      <c r="I165" s="92" t="s">
        <v>109</v>
      </c>
      <c r="J165" s="92" t="s">
        <v>109</v>
      </c>
      <c r="K165" s="98" t="s">
        <v>115</v>
      </c>
    </row>
    <row r="166" spans="1:14" ht="15" thickBot="1">
      <c r="A166" s="75" t="str">
        <f>"Arterial "&amp; $A$161&amp;"-1"</f>
        <v>Arterial 110-1</v>
      </c>
      <c r="B166" s="268">
        <v>0.4</v>
      </c>
      <c r="C166" s="211">
        <v>1.5818000000000001</v>
      </c>
      <c r="D166" s="211">
        <v>1.9770000000000001</v>
      </c>
      <c r="E166" s="55">
        <f t="shared" ref="E166" si="7">D166-C166</f>
        <v>0.3952</v>
      </c>
      <c r="F166" s="93"/>
      <c r="G166" s="113">
        <f>'Gamma data'!J181/'Balance data'!E166</f>
        <v>494.73375996596923</v>
      </c>
      <c r="H166" s="113">
        <f>AVERAGE(G166:G166)</f>
        <v>494.73375996596923</v>
      </c>
      <c r="I166" s="126">
        <f>'Gamma data'!M181</f>
        <v>1.298810833665328E-2</v>
      </c>
      <c r="J166" s="125">
        <f>SQRT('Gamma data'!$E$188)/'Gamma data'!$E$188</f>
        <v>3.2650113192424879E-3</v>
      </c>
      <c r="K166" s="310">
        <f>J166+I166</f>
        <v>1.6253119655895768E-2</v>
      </c>
      <c r="L166" s="110" t="s">
        <v>128</v>
      </c>
      <c r="M166" s="52">
        <f>('Blood collection data'!B38-'Subject data'!$C$8)*24*60</f>
        <v>90.083333333333243</v>
      </c>
      <c r="N166" s="91" t="s">
        <v>99</v>
      </c>
    </row>
    <row r="167" spans="1:14">
      <c r="A167" s="69"/>
      <c r="B167" s="90"/>
      <c r="C167" s="78"/>
      <c r="D167" s="17"/>
      <c r="E167" s="47"/>
      <c r="F167" s="69"/>
      <c r="G167" s="89"/>
      <c r="H167" s="69"/>
      <c r="I167" s="69"/>
      <c r="J167" s="69"/>
      <c r="K167" s="69"/>
    </row>
    <row r="168" spans="1:14">
      <c r="A168" s="69"/>
      <c r="B168" s="90"/>
      <c r="C168" s="78"/>
      <c r="D168" s="17"/>
      <c r="E168" s="47"/>
      <c r="F168" s="69"/>
      <c r="G168" s="89"/>
      <c r="H168" s="69"/>
      <c r="I168" s="69"/>
      <c r="J168" s="69"/>
      <c r="K168" s="69"/>
    </row>
    <row r="169" spans="1:14" ht="15" thickBot="1">
      <c r="B169" s="90"/>
      <c r="C169" s="69"/>
      <c r="D169" s="69"/>
    </row>
    <row r="170" spans="1:14">
      <c r="A170" s="166">
        <v>130</v>
      </c>
      <c r="B170" s="394" t="s">
        <v>129</v>
      </c>
      <c r="C170" s="71"/>
      <c r="D170" s="167"/>
      <c r="E170" s="168"/>
      <c r="F170" s="71"/>
      <c r="G170" s="71"/>
      <c r="H170" s="71"/>
      <c r="I170" s="71"/>
      <c r="J170" s="71"/>
      <c r="K170" s="72"/>
    </row>
    <row r="171" spans="1:14">
      <c r="A171" s="73"/>
      <c r="B171" s="90" t="s">
        <v>63</v>
      </c>
      <c r="C171" s="69" t="s">
        <v>35</v>
      </c>
      <c r="D171" s="69" t="s">
        <v>37</v>
      </c>
      <c r="E171" s="69" t="s">
        <v>38</v>
      </c>
      <c r="F171" s="69"/>
      <c r="G171" s="69"/>
      <c r="H171" s="69"/>
      <c r="I171" s="69"/>
      <c r="J171" s="69"/>
      <c r="K171" s="74"/>
    </row>
    <row r="172" spans="1:14">
      <c r="A172" s="73" t="s">
        <v>17</v>
      </c>
      <c r="B172" s="90" t="s">
        <v>64</v>
      </c>
      <c r="C172" s="69" t="s">
        <v>36</v>
      </c>
      <c r="D172" s="69" t="s">
        <v>36</v>
      </c>
      <c r="E172" s="69" t="s">
        <v>36</v>
      </c>
      <c r="F172" s="69" t="s">
        <v>49</v>
      </c>
      <c r="G172" s="428" t="s">
        <v>104</v>
      </c>
      <c r="H172" s="428"/>
      <c r="I172" s="429"/>
      <c r="J172" s="429"/>
      <c r="K172" s="430"/>
    </row>
    <row r="173" spans="1:14">
      <c r="A173" s="73" t="s">
        <v>34</v>
      </c>
      <c r="B173" s="90" t="s">
        <v>84</v>
      </c>
      <c r="C173" s="103">
        <v>0</v>
      </c>
      <c r="D173" s="103">
        <v>0</v>
      </c>
      <c r="E173" s="47">
        <f>C173-D173</f>
        <v>0</v>
      </c>
      <c r="F173" s="111" t="str">
        <f>IF(ABS(C173+D173)&gt;0.00001, "FAIL","PASS")</f>
        <v>PASS</v>
      </c>
      <c r="G173" s="69" t="s">
        <v>106</v>
      </c>
      <c r="H173" s="69" t="s">
        <v>107</v>
      </c>
      <c r="I173" s="90" t="s">
        <v>110</v>
      </c>
      <c r="J173" s="69" t="s">
        <v>108</v>
      </c>
      <c r="K173" s="74"/>
    </row>
    <row r="174" spans="1:14" ht="15" thickBot="1">
      <c r="A174" s="114" t="str">
        <f>A17</f>
        <v>1 g standard</v>
      </c>
      <c r="B174" s="194" t="s">
        <v>84</v>
      </c>
      <c r="C174" s="195">
        <v>0</v>
      </c>
      <c r="D174" s="195">
        <f>D165</f>
        <v>5.0000999999999998</v>
      </c>
      <c r="E174" s="57">
        <f>D174-C174</f>
        <v>5.0000999999999998</v>
      </c>
      <c r="F174" s="193" t="str">
        <f>IF(ABS(E174-5)&gt;0.001,"FAIL","PASS")</f>
        <v>PASS</v>
      </c>
      <c r="G174" s="194" t="s">
        <v>125</v>
      </c>
      <c r="H174" s="194" t="s">
        <v>125</v>
      </c>
      <c r="I174" s="92" t="s">
        <v>109</v>
      </c>
      <c r="J174" s="92" t="s">
        <v>109</v>
      </c>
      <c r="K174" s="98" t="s">
        <v>115</v>
      </c>
    </row>
    <row r="175" spans="1:14" ht="15" thickBot="1">
      <c r="A175" s="73" t="str">
        <f>"Arterial "&amp; $A$170&amp;"-1"</f>
        <v>Arterial 130-1</v>
      </c>
      <c r="B175" s="78">
        <v>0.4</v>
      </c>
      <c r="C175" s="210">
        <v>1.6082000000000001</v>
      </c>
      <c r="D175" s="210">
        <v>2.0017</v>
      </c>
      <c r="E175" s="47">
        <f t="shared" ref="E175" si="8">D175-C175</f>
        <v>0.39349999999999996</v>
      </c>
      <c r="F175" s="69"/>
      <c r="G175" s="89">
        <f>'Gamma data'!J191/'Balance data'!E175</f>
        <v>507.29209400908024</v>
      </c>
      <c r="H175" s="89">
        <f>AVERAGE(G175:G175)</f>
        <v>507.29209400908024</v>
      </c>
      <c r="I175" s="95">
        <f>'Gamma data'!M191</f>
        <v>1.291963785212309E-2</v>
      </c>
      <c r="J175" s="94">
        <f>SQRT('Gamma data'!$E$188)/'Gamma data'!$E$188</f>
        <v>3.2650113192424879E-3</v>
      </c>
      <c r="K175" s="270">
        <f>J175+I175</f>
        <v>1.6184649171365577E-2</v>
      </c>
      <c r="L175" s="110" t="s">
        <v>128</v>
      </c>
      <c r="M175" s="52">
        <f>('Blood collection data'!B39-'Subject data'!$C$8)*24*60</f>
        <v>110.00000000000001</v>
      </c>
      <c r="N175" s="91" t="s">
        <v>99</v>
      </c>
    </row>
    <row r="176" spans="1:14">
      <c r="A176" s="73" t="str">
        <f>"Pellet Arterial " &amp;$A$170</f>
        <v>Pellet Arterial 130</v>
      </c>
      <c r="B176" s="17">
        <v>0.5</v>
      </c>
      <c r="C176" s="210">
        <v>1.0369999999999999</v>
      </c>
      <c r="D176" s="210">
        <v>1.1486000000000001</v>
      </c>
      <c r="E176" s="47">
        <f>D176-C176</f>
        <v>0.11160000000000014</v>
      </c>
      <c r="F176" s="69"/>
      <c r="G176" s="89">
        <f>'Pellet - Gamma Data'!K28/'Balance data'!E176</f>
        <v>225.88513700866298</v>
      </c>
      <c r="H176" s="69"/>
      <c r="I176" s="69"/>
      <c r="J176" s="69"/>
      <c r="K176" s="74"/>
    </row>
    <row r="177" spans="1:14" ht="15" thickBot="1">
      <c r="A177" s="75" t="str">
        <f>"Whole Blood Arterial " &amp;$A$170</f>
        <v>Whole Blood Arterial 130</v>
      </c>
      <c r="B177" s="395">
        <v>0.3</v>
      </c>
      <c r="C177" s="211">
        <v>1.6214999999999999</v>
      </c>
      <c r="D177" s="214">
        <v>1.913</v>
      </c>
      <c r="E177" s="55">
        <f>D177-C177</f>
        <v>0.29150000000000009</v>
      </c>
      <c r="F177" s="93"/>
      <c r="G177" s="113">
        <f>'Gamma data'!J192/'Balance data'!E177</f>
        <v>372.23099083530082</v>
      </c>
      <c r="H177" s="93"/>
      <c r="I177" s="93"/>
      <c r="J177" s="93"/>
      <c r="K177" s="76"/>
    </row>
    <row r="178" spans="1:14">
      <c r="A178" s="69"/>
      <c r="B178" s="90"/>
      <c r="C178" s="78"/>
      <c r="D178" s="17"/>
      <c r="E178" s="47"/>
      <c r="F178" s="69"/>
      <c r="G178" s="89"/>
      <c r="H178" s="69"/>
      <c r="I178" s="69"/>
      <c r="J178" s="69"/>
      <c r="K178" s="69"/>
    </row>
    <row r="179" spans="1:14">
      <c r="A179" s="69"/>
      <c r="B179" s="90"/>
      <c r="C179" s="78"/>
      <c r="D179" s="17"/>
      <c r="E179" s="47"/>
      <c r="F179" s="69"/>
      <c r="G179" s="89"/>
      <c r="H179" s="69"/>
      <c r="I179" s="69"/>
      <c r="J179" s="69"/>
      <c r="K179" s="69"/>
    </row>
    <row r="180" spans="1:14" ht="15" thickBot="1"/>
    <row r="181" spans="1:14">
      <c r="A181" s="166">
        <v>150</v>
      </c>
      <c r="B181" s="394" t="s">
        <v>129</v>
      </c>
      <c r="C181" s="71"/>
      <c r="D181" s="167"/>
      <c r="E181" s="168"/>
      <c r="F181" s="71"/>
      <c r="G181" s="71"/>
      <c r="H181" s="71"/>
      <c r="I181" s="71"/>
      <c r="J181" s="71"/>
      <c r="K181" s="72"/>
    </row>
    <row r="182" spans="1:14">
      <c r="A182" s="73"/>
      <c r="B182" s="90" t="s">
        <v>63</v>
      </c>
      <c r="C182" s="69" t="s">
        <v>35</v>
      </c>
      <c r="D182" s="69" t="s">
        <v>37</v>
      </c>
      <c r="E182" s="69" t="s">
        <v>38</v>
      </c>
      <c r="F182" s="69"/>
      <c r="G182" s="69"/>
      <c r="H182" s="69"/>
      <c r="I182" s="69"/>
      <c r="J182" s="69"/>
      <c r="K182" s="74"/>
    </row>
    <row r="183" spans="1:14">
      <c r="A183" s="73" t="s">
        <v>17</v>
      </c>
      <c r="B183" s="90" t="s">
        <v>64</v>
      </c>
      <c r="C183" s="69" t="s">
        <v>36</v>
      </c>
      <c r="D183" s="69" t="s">
        <v>36</v>
      </c>
      <c r="E183" s="69" t="s">
        <v>36</v>
      </c>
      <c r="F183" s="69" t="s">
        <v>49</v>
      </c>
      <c r="G183" s="428" t="s">
        <v>104</v>
      </c>
      <c r="H183" s="428"/>
      <c r="I183" s="429"/>
      <c r="J183" s="429"/>
      <c r="K183" s="430"/>
    </row>
    <row r="184" spans="1:14">
      <c r="A184" s="73" t="s">
        <v>34</v>
      </c>
      <c r="B184" s="90" t="s">
        <v>84</v>
      </c>
      <c r="C184" s="103">
        <v>0</v>
      </c>
      <c r="D184" s="103">
        <v>0</v>
      </c>
      <c r="E184" s="47">
        <f>C184-D184</f>
        <v>0</v>
      </c>
      <c r="F184" s="111" t="str">
        <f>IF(ABS(C184+D184)&gt;0.00001, "FAIL","PASS")</f>
        <v>PASS</v>
      </c>
      <c r="G184" s="69" t="s">
        <v>106</v>
      </c>
      <c r="H184" s="69" t="s">
        <v>107</v>
      </c>
      <c r="I184" s="90" t="s">
        <v>110</v>
      </c>
      <c r="J184" s="69" t="s">
        <v>108</v>
      </c>
      <c r="K184" s="74"/>
    </row>
    <row r="185" spans="1:14" ht="15" thickBot="1">
      <c r="A185" s="114" t="s">
        <v>227</v>
      </c>
      <c r="B185" s="194" t="s">
        <v>84</v>
      </c>
      <c r="C185" s="195">
        <v>0</v>
      </c>
      <c r="D185" s="195">
        <f>D174</f>
        <v>5.0000999999999998</v>
      </c>
      <c r="E185" s="57">
        <f>D185-C185</f>
        <v>5.0000999999999998</v>
      </c>
      <c r="F185" s="193" t="str">
        <f>IF(ABS(E185-5)&gt;0.001,"FAIL","PASS")</f>
        <v>PASS</v>
      </c>
      <c r="G185" s="194" t="s">
        <v>125</v>
      </c>
      <c r="H185" s="194" t="s">
        <v>125</v>
      </c>
      <c r="I185" s="92" t="s">
        <v>109</v>
      </c>
      <c r="J185" s="92" t="s">
        <v>109</v>
      </c>
      <c r="K185" s="98" t="s">
        <v>115</v>
      </c>
    </row>
    <row r="186" spans="1:14" ht="15" thickBot="1">
      <c r="A186" s="75" t="str">
        <f>"Arterial "&amp; $A$181&amp;"-1"</f>
        <v>Arterial 150-1</v>
      </c>
      <c r="B186" s="268">
        <v>0.4</v>
      </c>
      <c r="C186" s="211">
        <v>1.6215999999999999</v>
      </c>
      <c r="D186" s="211">
        <v>2.0131999999999999</v>
      </c>
      <c r="E186" s="55">
        <f t="shared" ref="E186" si="9">D186-C186</f>
        <v>0.39159999999999995</v>
      </c>
      <c r="F186" s="93"/>
      <c r="G186" s="113">
        <f>'Gamma data'!J202/'Balance data'!E186</f>
        <v>512.73459522639496</v>
      </c>
      <c r="H186" s="113">
        <f>AVERAGE(G186:G186)</f>
        <v>512.73459522639496</v>
      </c>
      <c r="I186" s="126">
        <f>'Gamma data'!M202</f>
        <v>1.3001274187308596E-2</v>
      </c>
      <c r="J186" s="125">
        <f>SQRT('Gamma data'!$E$188)/'Gamma data'!$E$188</f>
        <v>3.2650113192424879E-3</v>
      </c>
      <c r="K186" s="310">
        <f>J186+I186</f>
        <v>1.6266285506551084E-2</v>
      </c>
      <c r="L186" s="110" t="s">
        <v>128</v>
      </c>
      <c r="M186" s="52">
        <f>('Blood collection data'!B41-'Subject data'!$C$8)*24*60</f>
        <v>150.24999999999991</v>
      </c>
      <c r="N186" s="91" t="s">
        <v>99</v>
      </c>
    </row>
  </sheetData>
  <mergeCells count="36">
    <mergeCell ref="G8:H8"/>
    <mergeCell ref="I8:K8"/>
    <mergeCell ref="G76:H76"/>
    <mergeCell ref="I76:K76"/>
    <mergeCell ref="G33:H33"/>
    <mergeCell ref="I33:K33"/>
    <mergeCell ref="G57:H57"/>
    <mergeCell ref="I57:K57"/>
    <mergeCell ref="G43:H43"/>
    <mergeCell ref="I43:K43"/>
    <mergeCell ref="G67:H67"/>
    <mergeCell ref="I67:K67"/>
    <mergeCell ref="G132:H132"/>
    <mergeCell ref="I132:K132"/>
    <mergeCell ref="G103:H103"/>
    <mergeCell ref="I103:K103"/>
    <mergeCell ref="G83:H83"/>
    <mergeCell ref="I83:K83"/>
    <mergeCell ref="G94:H94"/>
    <mergeCell ref="I94:K94"/>
    <mergeCell ref="G183:H183"/>
    <mergeCell ref="I183:K183"/>
    <mergeCell ref="G172:H172"/>
    <mergeCell ref="I172:K172"/>
    <mergeCell ref="I15:K15"/>
    <mergeCell ref="G15:H15"/>
    <mergeCell ref="G152:H152"/>
    <mergeCell ref="I152:K152"/>
    <mergeCell ref="G163:H163"/>
    <mergeCell ref="I163:K163"/>
    <mergeCell ref="G143:H143"/>
    <mergeCell ref="I143:K143"/>
    <mergeCell ref="G114:H114"/>
    <mergeCell ref="I114:K114"/>
    <mergeCell ref="G123:H123"/>
    <mergeCell ref="I123:K123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202"/>
  <sheetViews>
    <sheetView topLeftCell="A170" workbookViewId="0">
      <selection activeCell="A57" sqref="A57"/>
    </sheetView>
  </sheetViews>
  <sheetFormatPr baseColWidth="10" defaultColWidth="8.6640625" defaultRowHeight="14" x14ac:dyDescent="0"/>
  <cols>
    <col min="1" max="1" width="23.5" bestFit="1" customWidth="1"/>
    <col min="2" max="2" width="9.6640625" customWidth="1"/>
    <col min="3" max="3" width="10.6640625" customWidth="1"/>
    <col min="4" max="4" width="12.5" style="172" customWidth="1"/>
    <col min="5" max="5" width="16.1640625" customWidth="1"/>
    <col min="6" max="6" width="20.33203125" bestFit="1" customWidth="1"/>
    <col min="9" max="9" width="10.6640625" style="172" bestFit="1" customWidth="1"/>
    <col min="10" max="11" width="8.6640625" style="172"/>
    <col min="13" max="13" width="9.6640625" bestFit="1" customWidth="1"/>
    <col min="15" max="15" width="12.33203125" customWidth="1"/>
  </cols>
  <sheetData>
    <row r="1" spans="1:13" ht="15" thickBot="1">
      <c r="A1" s="405" t="s">
        <v>65</v>
      </c>
      <c r="B1" s="414"/>
      <c r="C1" s="406"/>
      <c r="D1" s="59" t="s">
        <v>73</v>
      </c>
      <c r="E1" s="2" t="s">
        <v>75</v>
      </c>
      <c r="F1" s="2"/>
      <c r="G1" s="3"/>
    </row>
    <row r="2" spans="1:13">
      <c r="A2" s="4" t="s">
        <v>88</v>
      </c>
      <c r="B2" s="444" t="s">
        <v>236</v>
      </c>
      <c r="C2" s="445"/>
      <c r="D2" s="59" t="s">
        <v>45</v>
      </c>
      <c r="E2" s="2"/>
      <c r="F2" s="360" t="s">
        <v>297</v>
      </c>
      <c r="G2" s="3"/>
    </row>
    <row r="3" spans="1:13" ht="15" thickBot="1">
      <c r="A3" s="7" t="s">
        <v>43</v>
      </c>
      <c r="B3" s="442">
        <v>2180112</v>
      </c>
      <c r="C3" s="443"/>
      <c r="D3" s="17" t="s">
        <v>3</v>
      </c>
      <c r="E3" s="5"/>
      <c r="F3" s="361">
        <v>9.6140000000000003E-2</v>
      </c>
      <c r="G3" s="36" t="s">
        <v>77</v>
      </c>
    </row>
    <row r="4" spans="1:13">
      <c r="A4" s="1" t="s">
        <v>116</v>
      </c>
      <c r="B4" s="440">
        <f>D37</f>
        <v>44516</v>
      </c>
      <c r="C4" s="441"/>
      <c r="D4" s="17" t="s">
        <v>74</v>
      </c>
      <c r="E4" s="5"/>
      <c r="F4" s="362">
        <v>44348</v>
      </c>
      <c r="G4" s="6"/>
    </row>
    <row r="5" spans="1:13">
      <c r="A5" s="4" t="s">
        <v>79</v>
      </c>
      <c r="B5" s="438" t="str">
        <f>'Subject data'!C22</f>
        <v>DN/VM</v>
      </c>
      <c r="C5" s="439"/>
      <c r="D5" s="17" t="s">
        <v>76</v>
      </c>
      <c r="E5" s="5"/>
      <c r="F5" s="239">
        <f>F3/EXP(LN(2)*(D37-F4)/(B8*365.25))</f>
        <v>8.50527985025821E-2</v>
      </c>
      <c r="G5" s="36" t="s">
        <v>77</v>
      </c>
    </row>
    <row r="6" spans="1:13" ht="15" thickBot="1">
      <c r="A6" s="7"/>
      <c r="B6" s="8"/>
      <c r="C6" s="9"/>
      <c r="D6" s="17"/>
      <c r="E6" s="5"/>
      <c r="F6" s="240">
        <f>F5*37000</f>
        <v>3146.9535445955376</v>
      </c>
      <c r="G6" s="6" t="s">
        <v>78</v>
      </c>
      <c r="I6" s="17"/>
      <c r="J6" s="367"/>
      <c r="K6" s="17"/>
    </row>
    <row r="7" spans="1:13">
      <c r="A7" s="431" t="s">
        <v>299</v>
      </c>
      <c r="B7" s="432"/>
      <c r="C7" s="433"/>
      <c r="D7" s="17"/>
      <c r="E7" s="5"/>
      <c r="F7" s="241">
        <f>F6*60</f>
        <v>188817.21267573224</v>
      </c>
      <c r="G7" s="6" t="s">
        <v>89</v>
      </c>
    </row>
    <row r="8" spans="1:13">
      <c r="A8" s="77" t="s">
        <v>98</v>
      </c>
      <c r="B8" s="17">
        <v>2.6019000000000001</v>
      </c>
      <c r="C8" s="265" t="s">
        <v>100</v>
      </c>
      <c r="D8" s="17"/>
      <c r="E8" s="5"/>
      <c r="F8" s="241">
        <f>F7*B9</f>
        <v>341003.88609237241</v>
      </c>
      <c r="G8" s="6" t="s">
        <v>90</v>
      </c>
    </row>
    <row r="9" spans="1:13">
      <c r="A9" s="77" t="s">
        <v>96</v>
      </c>
      <c r="B9" s="367">
        <f>2*0.903</f>
        <v>1.806</v>
      </c>
      <c r="C9" s="265"/>
      <c r="D9" s="17" t="s">
        <v>127</v>
      </c>
      <c r="E9" s="5"/>
      <c r="F9" s="259">
        <f>(E17-E18/2-E19/2)/F8</f>
        <v>0.27477106221193837</v>
      </c>
      <c r="G9" s="6"/>
    </row>
    <row r="10" spans="1:13" ht="15" thickBot="1">
      <c r="A10" s="19" t="s">
        <v>97</v>
      </c>
      <c r="B10" s="171">
        <v>109.77</v>
      </c>
      <c r="C10" s="343" t="s">
        <v>99</v>
      </c>
      <c r="D10" s="171" t="s">
        <v>126</v>
      </c>
      <c r="E10" s="8" t="s">
        <v>91</v>
      </c>
      <c r="F10" s="322">
        <v>0.53</v>
      </c>
      <c r="G10" s="9"/>
      <c r="I10" s="17"/>
      <c r="J10" s="17"/>
      <c r="K10" s="17"/>
      <c r="L10" s="46"/>
      <c r="M10" s="5"/>
    </row>
    <row r="11" spans="1:13" ht="15" thickBot="1">
      <c r="A11" s="436" t="s">
        <v>300</v>
      </c>
      <c r="B11" s="437"/>
      <c r="C11" s="374">
        <v>13</v>
      </c>
      <c r="D11" s="434" t="s">
        <v>122</v>
      </c>
      <c r="E11" s="435"/>
      <c r="F11" s="43">
        <f>'Subject data'!F18</f>
        <v>-1.7999999999999616</v>
      </c>
      <c r="G11" s="14" t="s">
        <v>99</v>
      </c>
      <c r="I11" s="17"/>
      <c r="J11" s="17"/>
      <c r="K11" s="17"/>
      <c r="L11" s="46"/>
      <c r="M11" s="5"/>
    </row>
    <row r="12" spans="1:13">
      <c r="A12" s="17"/>
      <c r="B12" s="17"/>
      <c r="C12" s="17"/>
      <c r="D12" s="17"/>
      <c r="E12" s="5"/>
      <c r="F12" s="259"/>
      <c r="G12" s="5"/>
      <c r="I12" s="17"/>
      <c r="J12" s="17"/>
      <c r="K12" s="17"/>
      <c r="L12" s="46"/>
      <c r="M12" s="5"/>
    </row>
    <row r="13" spans="1:13" ht="15" thickBot="1">
      <c r="D13" s="17"/>
      <c r="E13" s="5"/>
      <c r="F13" s="45"/>
      <c r="G13" s="5"/>
      <c r="I13" s="17"/>
      <c r="J13" s="17"/>
      <c r="K13" s="17"/>
      <c r="L13" s="46"/>
      <c r="M13" s="5"/>
    </row>
    <row r="14" spans="1:13">
      <c r="A14" s="176" t="s">
        <v>220</v>
      </c>
      <c r="B14" s="68" t="s">
        <v>203</v>
      </c>
      <c r="C14" s="2"/>
      <c r="D14" s="59"/>
      <c r="E14" s="3"/>
      <c r="F14" s="5" t="s">
        <v>102</v>
      </c>
    </row>
    <row r="15" spans="1:13" ht="15" thickBot="1">
      <c r="A15" s="4"/>
      <c r="B15" s="365"/>
      <c r="C15" s="5" t="s">
        <v>4</v>
      </c>
      <c r="D15" s="17" t="s">
        <v>5</v>
      </c>
      <c r="E15" s="6" t="s">
        <v>14</v>
      </c>
      <c r="F15" s="5" t="s">
        <v>103</v>
      </c>
      <c r="K15" s="17"/>
      <c r="L15" s="17"/>
      <c r="M15" s="17"/>
    </row>
    <row r="16" spans="1:13" ht="15" thickBot="1">
      <c r="A16" s="56" t="s">
        <v>17</v>
      </c>
      <c r="B16" s="53" t="s">
        <v>13</v>
      </c>
      <c r="C16" s="53" t="s">
        <v>16</v>
      </c>
      <c r="D16" s="158" t="s">
        <v>12</v>
      </c>
      <c r="E16" s="54" t="s">
        <v>15</v>
      </c>
      <c r="F16" s="53" t="s">
        <v>16</v>
      </c>
      <c r="G16" s="16" t="s">
        <v>49</v>
      </c>
      <c r="I16" s="366" t="s">
        <v>92</v>
      </c>
      <c r="J16" s="59" t="s">
        <v>94</v>
      </c>
      <c r="K16" s="59"/>
      <c r="L16" s="59" t="s">
        <v>107</v>
      </c>
      <c r="M16" s="60"/>
    </row>
    <row r="17" spans="1:13">
      <c r="A17" s="161" t="s">
        <v>18</v>
      </c>
      <c r="B17" s="162">
        <v>1</v>
      </c>
      <c r="C17" s="223">
        <v>0.32113425925925926</v>
      </c>
      <c r="D17" s="224">
        <v>44516</v>
      </c>
      <c r="E17" s="225">
        <v>93806</v>
      </c>
      <c r="F17" s="79">
        <f>'Subject data'!C8</f>
        <v>0.41053240740740743</v>
      </c>
      <c r="G17" s="323" t="str">
        <f>IF(ABS($F$9-0.2759)&lt;0.01, "PASS", "FAIL")</f>
        <v>PASS</v>
      </c>
      <c r="I17" s="77" t="s">
        <v>93</v>
      </c>
      <c r="J17" s="17" t="s">
        <v>95</v>
      </c>
      <c r="K17" s="17" t="s">
        <v>60</v>
      </c>
      <c r="L17" s="31" t="s">
        <v>95</v>
      </c>
      <c r="M17" s="61" t="s">
        <v>60</v>
      </c>
    </row>
    <row r="18" spans="1:13" ht="15" thickBot="1">
      <c r="A18" s="4" t="s">
        <v>6</v>
      </c>
      <c r="B18" s="5">
        <v>9</v>
      </c>
      <c r="C18" s="206">
        <v>0.32222222222222224</v>
      </c>
      <c r="D18" s="100">
        <f>$D$17</f>
        <v>44516</v>
      </c>
      <c r="E18" s="220">
        <v>112</v>
      </c>
      <c r="F18" s="5"/>
      <c r="G18" s="324" t="str">
        <f>IF(ABS(E18-100)&lt;20, "PASS", "FAIL")</f>
        <v>PASS</v>
      </c>
      <c r="I18" s="77"/>
      <c r="J18" s="17"/>
      <c r="K18" s="17" t="s">
        <v>30</v>
      </c>
      <c r="L18" s="31"/>
      <c r="M18" s="61" t="s">
        <v>30</v>
      </c>
    </row>
    <row r="19" spans="1:13" ht="15" thickBot="1">
      <c r="A19" s="56" t="s">
        <v>6</v>
      </c>
      <c r="B19" s="53">
        <v>10</v>
      </c>
      <c r="C19" s="226">
        <v>0.323275462962963</v>
      </c>
      <c r="D19" s="154">
        <f>$D$17</f>
        <v>44516</v>
      </c>
      <c r="E19" s="227">
        <v>104</v>
      </c>
      <c r="F19" s="5"/>
      <c r="G19" s="324" t="str">
        <f>IF(ABS(E19-100)&lt;20, "PASS", "FAIL")</f>
        <v>PASS</v>
      </c>
      <c r="I19" s="368"/>
      <c r="J19" s="158"/>
      <c r="K19" s="158"/>
      <c r="L19" s="58"/>
      <c r="M19" s="64"/>
    </row>
    <row r="20" spans="1:13">
      <c r="A20" s="4" t="s">
        <v>257</v>
      </c>
      <c r="B20" s="17">
        <v>1</v>
      </c>
      <c r="C20" s="206">
        <v>0.50450231481481478</v>
      </c>
      <c r="D20" s="100">
        <f>D18</f>
        <v>44516</v>
      </c>
      <c r="E20" s="220">
        <v>77</v>
      </c>
      <c r="F20" s="5"/>
      <c r="I20" s="347">
        <f t="shared" ref="I20:I30" si="0">(C20-$F$17)*24*60-$F$11</f>
        <v>137.11666666666653</v>
      </c>
      <c r="J20" s="150">
        <f>(EXP(LN(2)*I20/109.77)*(E20-AVERAGE($E$18:$E$19))/$F$10/60)</f>
        <v>-2.3171772605776253</v>
      </c>
      <c r="K20" s="35">
        <f>SQRT(E20)/E20</f>
        <v>0.11396057645963796</v>
      </c>
      <c r="L20" s="33">
        <f>AVERAGE(J20)</f>
        <v>-2.3171772605776253</v>
      </c>
      <c r="M20" s="63">
        <f>AVERAGE(K20)/SQRT(3)</f>
        <v>6.5795169495976913E-2</v>
      </c>
    </row>
    <row r="21" spans="1:13">
      <c r="A21" s="4" t="s">
        <v>258</v>
      </c>
      <c r="B21" s="17">
        <v>2</v>
      </c>
      <c r="C21" s="206">
        <v>0.50555555555555554</v>
      </c>
      <c r="D21" s="100">
        <f>D18</f>
        <v>44516</v>
      </c>
      <c r="E21" s="220">
        <v>146</v>
      </c>
      <c r="F21" s="5"/>
      <c r="I21" s="347">
        <f t="shared" si="0"/>
        <v>138.63333333333324</v>
      </c>
      <c r="J21" s="150">
        <f>(EXP(LN(2)*I21/109.77)*(E21-AVERAGE($E$38:$E$39))/$F$10/60)</f>
        <v>2.8677442816906114</v>
      </c>
      <c r="K21" s="35">
        <f t="shared" ref="K21:K26" si="1">SQRT(E21)/E21</f>
        <v>8.2760588860236795E-2</v>
      </c>
      <c r="L21" s="33">
        <f t="shared" ref="L21:L30" si="2">AVERAGE(J21)</f>
        <v>2.8677442816906114</v>
      </c>
      <c r="M21" s="63">
        <f t="shared" ref="M21:M30" si="3">AVERAGE(K21)/SQRT(3)</f>
        <v>4.7781848256749658E-2</v>
      </c>
    </row>
    <row r="22" spans="1:13">
      <c r="A22" s="4" t="s">
        <v>259</v>
      </c>
      <c r="B22" s="5">
        <v>3</v>
      </c>
      <c r="C22" s="206">
        <v>0.50659722222222225</v>
      </c>
      <c r="D22" s="100">
        <f>D19</f>
        <v>44516</v>
      </c>
      <c r="E22" s="220">
        <v>25820</v>
      </c>
      <c r="F22" s="5"/>
      <c r="I22" s="347">
        <f t="shared" si="0"/>
        <v>140.1333333333333</v>
      </c>
      <c r="J22" s="150">
        <f>(EXP(LN(2)*I22/109.77)*(E22-AVERAGE($E$38:$E$39))/$F$10/60)</f>
        <v>1958.8728222886807</v>
      </c>
      <c r="K22" s="35">
        <f t="shared" si="1"/>
        <v>6.2233163927976898E-3</v>
      </c>
      <c r="L22" s="33">
        <f t="shared" si="2"/>
        <v>1958.8728222886807</v>
      </c>
      <c r="M22" s="63">
        <f t="shared" si="3"/>
        <v>3.5930333946339573E-3</v>
      </c>
    </row>
    <row r="23" spans="1:13">
      <c r="A23" s="4" t="s">
        <v>260</v>
      </c>
      <c r="B23" s="5">
        <v>4</v>
      </c>
      <c r="C23" s="206">
        <v>0.50763888888888886</v>
      </c>
      <c r="D23" s="100">
        <f>$D$17</f>
        <v>44516</v>
      </c>
      <c r="E23" s="222">
        <v>33348</v>
      </c>
      <c r="F23" s="5"/>
      <c r="I23" s="347">
        <f t="shared" si="0"/>
        <v>141.63333333333321</v>
      </c>
      <c r="J23" s="150">
        <f t="shared" ref="J23:J30" si="4">(EXP(LN(2)*I23/109.77)*(E23-AVERAGE($E$38:$E$39))/$F$10/60)</f>
        <v>2556.4950258338572</v>
      </c>
      <c r="K23" s="35">
        <f t="shared" si="1"/>
        <v>5.4760209829259792E-3</v>
      </c>
      <c r="L23" s="33">
        <f t="shared" si="2"/>
        <v>2556.4950258338572</v>
      </c>
      <c r="M23" s="63">
        <f t="shared" si="3"/>
        <v>3.1615821885803532E-3</v>
      </c>
    </row>
    <row r="24" spans="1:13">
      <c r="A24" s="4" t="s">
        <v>261</v>
      </c>
      <c r="B24" s="5">
        <v>5</v>
      </c>
      <c r="C24" s="206">
        <v>0.50869212962962962</v>
      </c>
      <c r="D24" s="100">
        <f>$D$17</f>
        <v>44516</v>
      </c>
      <c r="E24" s="222">
        <v>37273</v>
      </c>
      <c r="F24" s="5"/>
      <c r="I24" s="347">
        <f t="shared" si="0"/>
        <v>143.14999999999992</v>
      </c>
      <c r="J24" s="150">
        <f t="shared" si="4"/>
        <v>2885.8738029941796</v>
      </c>
      <c r="K24" s="35">
        <f t="shared" si="1"/>
        <v>5.1796787528185697E-3</v>
      </c>
      <c r="L24" s="33">
        <f t="shared" si="2"/>
        <v>2885.8738029941796</v>
      </c>
      <c r="M24" s="63">
        <f t="shared" si="3"/>
        <v>2.9904889222555865E-3</v>
      </c>
    </row>
    <row r="25" spans="1:13">
      <c r="A25" s="4" t="s">
        <v>262</v>
      </c>
      <c r="B25" s="5">
        <f t="shared" ref="B25" si="5">B24+1</f>
        <v>6</v>
      </c>
      <c r="C25" s="206">
        <v>0.50973379629629634</v>
      </c>
      <c r="D25" s="100">
        <f t="shared" ref="D25:D26" si="6">D22</f>
        <v>44516</v>
      </c>
      <c r="E25" s="222">
        <v>31429</v>
      </c>
      <c r="F25" s="5"/>
      <c r="I25" s="347">
        <f t="shared" si="0"/>
        <v>144.64999999999998</v>
      </c>
      <c r="J25" s="150">
        <f t="shared" si="4"/>
        <v>2455.2310839781017</v>
      </c>
      <c r="K25" s="35">
        <f t="shared" si="1"/>
        <v>5.6407222888386213E-3</v>
      </c>
      <c r="L25" s="33">
        <f t="shared" si="2"/>
        <v>2455.2310839781017</v>
      </c>
      <c r="M25" s="63">
        <f t="shared" si="3"/>
        <v>3.2566725318849002E-3</v>
      </c>
    </row>
    <row r="26" spans="1:13">
      <c r="A26" s="4" t="s">
        <v>263</v>
      </c>
      <c r="B26" s="5">
        <v>7</v>
      </c>
      <c r="C26" s="206">
        <v>0.51077546296296295</v>
      </c>
      <c r="D26" s="100">
        <f t="shared" si="6"/>
        <v>44516</v>
      </c>
      <c r="E26" s="220">
        <v>32618</v>
      </c>
      <c r="I26" s="347">
        <f t="shared" si="0"/>
        <v>146.14999999999989</v>
      </c>
      <c r="J26" s="150">
        <f t="shared" si="4"/>
        <v>2572.6889388279374</v>
      </c>
      <c r="K26" s="35">
        <f t="shared" si="1"/>
        <v>5.5369593587511834E-3</v>
      </c>
      <c r="L26" s="33">
        <f t="shared" si="2"/>
        <v>2572.6889388279374</v>
      </c>
      <c r="M26" s="63">
        <f t="shared" si="3"/>
        <v>3.1967649762670138E-3</v>
      </c>
    </row>
    <row r="27" spans="1:13">
      <c r="A27" s="4" t="s">
        <v>264</v>
      </c>
      <c r="B27" s="17">
        <v>8</v>
      </c>
      <c r="C27" s="218">
        <v>0.51181712962962966</v>
      </c>
      <c r="D27" s="100">
        <f t="shared" ref="D27:D28" si="7">$D$17</f>
        <v>44516</v>
      </c>
      <c r="E27" s="222">
        <v>16757</v>
      </c>
      <c r="I27" s="347">
        <f t="shared" si="0"/>
        <v>147.64999999999998</v>
      </c>
      <c r="J27" s="150">
        <f t="shared" si="4"/>
        <v>1330.0624068671432</v>
      </c>
      <c r="K27" s="35">
        <f t="shared" ref="K27:K30" si="8">SQRT(E27)/E27</f>
        <v>7.725060069817837E-3</v>
      </c>
      <c r="L27" s="33">
        <f t="shared" si="2"/>
        <v>1330.0624068671432</v>
      </c>
      <c r="M27" s="63">
        <f t="shared" si="3"/>
        <v>4.4600655108153579E-3</v>
      </c>
    </row>
    <row r="28" spans="1:13">
      <c r="A28" s="4" t="s">
        <v>265</v>
      </c>
      <c r="B28" s="17">
        <v>9</v>
      </c>
      <c r="C28" s="218">
        <v>0.51285879629629627</v>
      </c>
      <c r="D28" s="100">
        <f t="shared" si="7"/>
        <v>44516</v>
      </c>
      <c r="E28" s="222">
        <v>12271</v>
      </c>
      <c r="F28" s="45"/>
      <c r="G28" s="5"/>
      <c r="I28" s="347">
        <f t="shared" si="0"/>
        <v>149.14999999999989</v>
      </c>
      <c r="J28" s="150">
        <f t="shared" si="4"/>
        <v>980.93025022537142</v>
      </c>
      <c r="K28" s="35">
        <f t="shared" si="8"/>
        <v>9.027344618421888E-3</v>
      </c>
      <c r="L28" s="33">
        <f t="shared" si="2"/>
        <v>980.93025022537142</v>
      </c>
      <c r="M28" s="63">
        <f t="shared" si="3"/>
        <v>5.2119398455133968E-3</v>
      </c>
    </row>
    <row r="29" spans="1:13">
      <c r="A29" s="4" t="s">
        <v>266</v>
      </c>
      <c r="B29" s="17">
        <v>10</v>
      </c>
      <c r="C29" s="218">
        <v>0.51390046296296299</v>
      </c>
      <c r="D29" s="100">
        <f t="shared" ref="D29" si="9">D26</f>
        <v>44516</v>
      </c>
      <c r="E29" s="222">
        <v>9288</v>
      </c>
      <c r="F29" s="45"/>
      <c r="G29" s="5"/>
      <c r="I29" s="347">
        <f t="shared" si="0"/>
        <v>150.64999999999995</v>
      </c>
      <c r="J29" s="150">
        <f t="shared" si="4"/>
        <v>747.40097087281765</v>
      </c>
      <c r="K29" s="35">
        <f t="shared" si="8"/>
        <v>1.0376213439411506E-2</v>
      </c>
      <c r="L29" s="33">
        <f t="shared" si="2"/>
        <v>747.40097087281765</v>
      </c>
      <c r="M29" s="63">
        <f t="shared" si="3"/>
        <v>5.9907096224132463E-3</v>
      </c>
    </row>
    <row r="30" spans="1:13" ht="15" thickBot="1">
      <c r="A30" s="7" t="s">
        <v>267</v>
      </c>
      <c r="B30" s="171">
        <v>11</v>
      </c>
      <c r="C30" s="215">
        <v>0.51508101851851851</v>
      </c>
      <c r="D30" s="375">
        <f>$D$17</f>
        <v>44516</v>
      </c>
      <c r="E30" s="221">
        <v>8078</v>
      </c>
      <c r="F30" s="45"/>
      <c r="G30" s="5"/>
      <c r="I30" s="369">
        <f t="shared" si="0"/>
        <v>152.34999999999991</v>
      </c>
      <c r="J30" s="370">
        <f t="shared" si="4"/>
        <v>655.89048024007752</v>
      </c>
      <c r="K30" s="67">
        <f t="shared" si="8"/>
        <v>1.1126231081268294E-2</v>
      </c>
      <c r="L30" s="151">
        <f t="shared" si="2"/>
        <v>655.89048024007752</v>
      </c>
      <c r="M30" s="181">
        <f t="shared" si="3"/>
        <v>6.4237325098362311E-3</v>
      </c>
    </row>
    <row r="31" spans="1:13">
      <c r="A31" s="5"/>
      <c r="B31" s="17"/>
      <c r="C31" s="17"/>
      <c r="D31" s="100"/>
      <c r="E31" s="17"/>
      <c r="F31" s="179"/>
      <c r="G31" s="17"/>
      <c r="H31" s="172"/>
      <c r="I31" s="175"/>
      <c r="J31" s="150"/>
      <c r="K31" s="35"/>
      <c r="L31" s="17"/>
      <c r="M31" s="17"/>
    </row>
    <row r="32" spans="1:13">
      <c r="A32" s="5"/>
      <c r="B32" s="17"/>
      <c r="C32" s="17"/>
      <c r="D32" s="100"/>
      <c r="E32" s="17"/>
      <c r="F32" s="179"/>
      <c r="G32" s="17"/>
      <c r="H32" s="172"/>
      <c r="I32" s="175"/>
      <c r="J32" s="150"/>
      <c r="K32" s="35"/>
      <c r="L32" s="17"/>
      <c r="M32" s="17"/>
    </row>
    <row r="33" spans="1:13" ht="15" thickBot="1">
      <c r="B33" s="17"/>
    </row>
    <row r="34" spans="1:13">
      <c r="A34" s="51">
        <v>2</v>
      </c>
      <c r="B34" s="68" t="s">
        <v>129</v>
      </c>
      <c r="C34" s="2"/>
      <c r="D34" s="59"/>
      <c r="E34" s="3"/>
      <c r="F34" s="5"/>
    </row>
    <row r="35" spans="1:13" ht="15" thickBot="1">
      <c r="A35" s="4"/>
      <c r="B35" s="5"/>
      <c r="C35" s="5" t="s">
        <v>4</v>
      </c>
      <c r="D35" s="17" t="s">
        <v>5</v>
      </c>
      <c r="E35" s="6" t="s">
        <v>14</v>
      </c>
      <c r="F35" s="5"/>
      <c r="K35" s="17"/>
      <c r="L35" s="17"/>
      <c r="M35" s="17"/>
    </row>
    <row r="36" spans="1:13" ht="15" thickBot="1">
      <c r="A36" s="56" t="s">
        <v>17</v>
      </c>
      <c r="B36" s="53" t="s">
        <v>13</v>
      </c>
      <c r="C36" s="53" t="s">
        <v>16</v>
      </c>
      <c r="D36" s="158" t="s">
        <v>12</v>
      </c>
      <c r="E36" s="54" t="s">
        <v>15</v>
      </c>
      <c r="F36" s="5"/>
      <c r="G36" s="16" t="s">
        <v>49</v>
      </c>
      <c r="I36" s="366" t="s">
        <v>92</v>
      </c>
      <c r="J36" s="59" t="s">
        <v>94</v>
      </c>
      <c r="K36" s="59"/>
      <c r="L36" s="59" t="s">
        <v>107</v>
      </c>
      <c r="M36" s="60"/>
    </row>
    <row r="37" spans="1:13">
      <c r="A37" s="4" t="s">
        <v>18</v>
      </c>
      <c r="B37" s="5">
        <v>1</v>
      </c>
      <c r="C37" s="31">
        <f>C17</f>
        <v>0.32113425925925926</v>
      </c>
      <c r="D37" s="100">
        <f>D17</f>
        <v>44516</v>
      </c>
      <c r="E37" s="153">
        <f>E17</f>
        <v>93806</v>
      </c>
      <c r="F37" s="192"/>
      <c r="G37" s="24" t="str">
        <f>$G$17</f>
        <v>PASS</v>
      </c>
      <c r="I37" s="77" t="s">
        <v>93</v>
      </c>
      <c r="J37" s="17" t="s">
        <v>95</v>
      </c>
      <c r="K37" s="17" t="s">
        <v>60</v>
      </c>
      <c r="L37" s="31" t="s">
        <v>95</v>
      </c>
      <c r="M37" s="61" t="s">
        <v>60</v>
      </c>
    </row>
    <row r="38" spans="1:13" ht="15" thickBot="1">
      <c r="A38" s="4" t="s">
        <v>6</v>
      </c>
      <c r="B38" s="5">
        <v>9</v>
      </c>
      <c r="C38" s="31">
        <f>C18</f>
        <v>0.32222222222222224</v>
      </c>
      <c r="D38" s="100">
        <f>$D$37</f>
        <v>44516</v>
      </c>
      <c r="E38" s="153">
        <f>E18</f>
        <v>112</v>
      </c>
      <c r="F38" s="5"/>
      <c r="G38" s="25" t="str">
        <f>$G$18</f>
        <v>PASS</v>
      </c>
      <c r="I38" s="77"/>
      <c r="J38" s="17"/>
      <c r="K38" s="17" t="s">
        <v>30</v>
      </c>
      <c r="L38" s="31"/>
      <c r="M38" s="61" t="s">
        <v>30</v>
      </c>
    </row>
    <row r="39" spans="1:13" ht="15" thickBot="1">
      <c r="A39" s="56" t="s">
        <v>6</v>
      </c>
      <c r="B39" s="53">
        <v>10</v>
      </c>
      <c r="C39" s="58">
        <f>C19</f>
        <v>0.323275462962963</v>
      </c>
      <c r="D39" s="154">
        <f>$D$37</f>
        <v>44516</v>
      </c>
      <c r="E39" s="155">
        <f>E19</f>
        <v>104</v>
      </c>
      <c r="F39" s="5"/>
      <c r="G39" s="25" t="str">
        <f>$G$19</f>
        <v>PASS</v>
      </c>
      <c r="I39" s="77"/>
      <c r="J39" s="17"/>
      <c r="K39" s="17"/>
      <c r="L39" s="31"/>
      <c r="M39" s="61"/>
    </row>
    <row r="40" spans="1:13">
      <c r="A40" s="161" t="str">
        <f>"Arterial "&amp; $A$34&amp;"-1"</f>
        <v>Arterial 2-1</v>
      </c>
      <c r="B40" s="162">
        <v>12</v>
      </c>
      <c r="C40" s="223">
        <v>0.51612268518518511</v>
      </c>
      <c r="D40" s="190">
        <f>$D$37</f>
        <v>44516</v>
      </c>
      <c r="E40" s="292">
        <v>10232</v>
      </c>
      <c r="F40" s="5"/>
      <c r="I40" s="371">
        <f>(C40-$F17)*24*60-$F$11</f>
        <v>153.84999999999982</v>
      </c>
      <c r="J40" s="372">
        <f>(EXP(LN(2)*I40/109.77)*(E40-AVERAGE($E$38:$E$39))/$F$10/60)</f>
        <v>841.08269603416443</v>
      </c>
      <c r="K40" s="373">
        <f t="shared" ref="K40" si="10">SQRT(E40)/E40</f>
        <v>9.8859801535588678E-3</v>
      </c>
      <c r="L40" s="173">
        <f>AVERAGE(J40:J40)</f>
        <v>841.08269603416443</v>
      </c>
      <c r="M40" s="174">
        <f>AVERAGE(K40:K40)/SQRT(3)</f>
        <v>5.7076733028605109E-3</v>
      </c>
    </row>
    <row r="41" spans="1:13" ht="15" thickBot="1">
      <c r="A41" s="75" t="s">
        <v>337</v>
      </c>
      <c r="B41" s="8">
        <v>13</v>
      </c>
      <c r="C41" s="207">
        <v>0.51716435185185183</v>
      </c>
      <c r="D41" s="375">
        <f>$D$37</f>
        <v>44516</v>
      </c>
      <c r="E41" s="217">
        <v>9970</v>
      </c>
      <c r="I41" s="369">
        <f>(C41-$F$17)*24*60-$F$11</f>
        <v>155.34999999999991</v>
      </c>
      <c r="J41" s="370">
        <f>(EXP(LN(2)*I41/109.77)*(E41-AVERAGE($E$38:$E$39))/$F$10/60)</f>
        <v>827.11351150374549</v>
      </c>
      <c r="K41" s="67">
        <f t="shared" ref="K41" si="11">SQRT(E41)/E41</f>
        <v>1.0015033834597084E-2</v>
      </c>
      <c r="L41" s="8"/>
      <c r="M41" s="9"/>
    </row>
    <row r="42" spans="1:13">
      <c r="A42" s="73"/>
      <c r="B42" s="5"/>
      <c r="C42" s="31"/>
      <c r="D42" s="100"/>
      <c r="E42" s="78"/>
      <c r="F42" s="172"/>
      <c r="G42" s="172"/>
      <c r="H42" s="172"/>
      <c r="I42" s="175"/>
      <c r="J42" s="150"/>
      <c r="K42" s="35"/>
      <c r="L42" s="17"/>
      <c r="M42" s="17"/>
    </row>
    <row r="43" spans="1:13">
      <c r="A43" s="73"/>
      <c r="B43" s="5"/>
      <c r="C43" s="31"/>
      <c r="D43" s="100"/>
      <c r="E43" s="78"/>
      <c r="F43" s="172"/>
      <c r="G43" s="172"/>
      <c r="H43" s="172"/>
      <c r="I43" s="175"/>
      <c r="J43" s="150"/>
      <c r="K43" s="35"/>
      <c r="L43" s="17"/>
      <c r="M43" s="17"/>
    </row>
    <row r="44" spans="1:13" ht="15" thickBot="1">
      <c r="A44" s="73"/>
      <c r="C44" s="172"/>
      <c r="E44" s="172"/>
      <c r="F44" s="172"/>
      <c r="G44" s="172"/>
      <c r="H44" s="172"/>
      <c r="L44" s="172"/>
      <c r="M44" s="172"/>
    </row>
    <row r="45" spans="1:13">
      <c r="A45" s="176" t="s">
        <v>221</v>
      </c>
      <c r="B45" s="2"/>
      <c r="C45" s="2"/>
      <c r="D45" s="59"/>
      <c r="E45" s="3"/>
      <c r="F45" s="5"/>
    </row>
    <row r="46" spans="1:13" ht="15" thickBot="1">
      <c r="A46" s="4"/>
      <c r="B46" s="5"/>
      <c r="C46" s="5" t="s">
        <v>4</v>
      </c>
      <c r="D46" s="17" t="s">
        <v>5</v>
      </c>
      <c r="E46" s="6" t="s">
        <v>14</v>
      </c>
      <c r="F46" s="5"/>
      <c r="K46" s="17"/>
      <c r="L46" s="17"/>
      <c r="M46" s="17"/>
    </row>
    <row r="47" spans="1:13" ht="15" thickBot="1">
      <c r="A47" s="56" t="s">
        <v>17</v>
      </c>
      <c r="B47" s="53" t="s">
        <v>13</v>
      </c>
      <c r="C47" s="53" t="s">
        <v>16</v>
      </c>
      <c r="D47" s="158" t="s">
        <v>12</v>
      </c>
      <c r="E47" s="54" t="s">
        <v>15</v>
      </c>
      <c r="F47" s="5"/>
      <c r="G47" s="16" t="s">
        <v>49</v>
      </c>
      <c r="I47" s="366" t="s">
        <v>92</v>
      </c>
      <c r="J47" s="59" t="s">
        <v>94</v>
      </c>
      <c r="K47" s="59"/>
      <c r="L47" s="59" t="s">
        <v>107</v>
      </c>
      <c r="M47" s="60"/>
    </row>
    <row r="48" spans="1:13">
      <c r="A48" s="161" t="s">
        <v>18</v>
      </c>
      <c r="B48" s="162">
        <v>1</v>
      </c>
      <c r="C48" s="189">
        <f>C17</f>
        <v>0.32113425925925926</v>
      </c>
      <c r="D48" s="190">
        <f>D17</f>
        <v>44516</v>
      </c>
      <c r="E48" s="191">
        <f>E17</f>
        <v>93806</v>
      </c>
      <c r="F48" s="79"/>
      <c r="G48" s="24" t="str">
        <f>$G$17</f>
        <v>PASS</v>
      </c>
      <c r="I48" s="77" t="s">
        <v>93</v>
      </c>
      <c r="J48" s="17" t="s">
        <v>95</v>
      </c>
      <c r="K48" s="17" t="s">
        <v>60</v>
      </c>
      <c r="L48" s="31" t="s">
        <v>95</v>
      </c>
      <c r="M48" s="61" t="s">
        <v>60</v>
      </c>
    </row>
    <row r="49" spans="1:13" ht="15" thickBot="1">
      <c r="A49" s="4" t="s">
        <v>6</v>
      </c>
      <c r="B49" s="5">
        <v>9</v>
      </c>
      <c r="C49" s="31">
        <f>C18</f>
        <v>0.32222222222222224</v>
      </c>
      <c r="D49" s="100">
        <f>$D$17</f>
        <v>44516</v>
      </c>
      <c r="E49" s="153">
        <f>E18</f>
        <v>112</v>
      </c>
      <c r="F49" s="5"/>
      <c r="G49" s="25" t="str">
        <f>$G$18</f>
        <v>PASS</v>
      </c>
      <c r="I49" s="77"/>
      <c r="J49" s="17"/>
      <c r="K49" s="17" t="s">
        <v>30</v>
      </c>
      <c r="L49" s="31"/>
      <c r="M49" s="61" t="s">
        <v>30</v>
      </c>
    </row>
    <row r="50" spans="1:13" ht="15" thickBot="1">
      <c r="A50" s="56" t="s">
        <v>6</v>
      </c>
      <c r="B50" s="53">
        <v>10</v>
      </c>
      <c r="C50" s="58">
        <f>C19</f>
        <v>0.323275462962963</v>
      </c>
      <c r="D50" s="154">
        <f>$D$17</f>
        <v>44516</v>
      </c>
      <c r="E50" s="155">
        <f>E19</f>
        <v>104</v>
      </c>
      <c r="F50" s="5"/>
      <c r="G50" s="25" t="str">
        <f>$G$19</f>
        <v>PASS</v>
      </c>
      <c r="I50" s="368"/>
      <c r="J50" s="158"/>
      <c r="K50" s="158"/>
      <c r="L50" s="58"/>
      <c r="M50" s="64"/>
    </row>
    <row r="51" spans="1:13">
      <c r="A51" s="4" t="s">
        <v>268</v>
      </c>
      <c r="B51" s="17">
        <v>14</v>
      </c>
      <c r="C51" s="206">
        <v>0.51820601851851855</v>
      </c>
      <c r="D51" s="100">
        <f>D49</f>
        <v>44516</v>
      </c>
      <c r="E51" s="220">
        <v>5185</v>
      </c>
      <c r="F51" s="5"/>
      <c r="I51" s="347">
        <f t="shared" ref="I51:I56" si="12">(C51-$F$17)*24*60-$F$11</f>
        <v>156.84999999999997</v>
      </c>
      <c r="J51" s="150">
        <f t="shared" ref="J51:J56" si="13">(EXP(LN(2)*I51/109.77)*(E51-AVERAGE($E$38:$E$39))/$F$10/60)</f>
        <v>429.85386514686053</v>
      </c>
      <c r="K51" s="35">
        <f>SQRT(E51)/E51</f>
        <v>1.3887549490757718E-2</v>
      </c>
      <c r="L51" s="33">
        <f>AVERAGE(J51)</f>
        <v>429.85386514686053</v>
      </c>
      <c r="M51" s="63">
        <f>AVERAGE(K51)/SQRT(3)</f>
        <v>8.0179804368732191E-3</v>
      </c>
    </row>
    <row r="52" spans="1:13">
      <c r="A52" s="4" t="s">
        <v>269</v>
      </c>
      <c r="B52" s="17">
        <v>15</v>
      </c>
      <c r="C52" s="206">
        <v>0.51923611111111112</v>
      </c>
      <c r="D52" s="100">
        <f>D49</f>
        <v>44516</v>
      </c>
      <c r="E52" s="220">
        <v>4576</v>
      </c>
      <c r="F52" s="5"/>
      <c r="I52" s="347">
        <f t="shared" si="12"/>
        <v>158.33333333333326</v>
      </c>
      <c r="J52" s="150">
        <f t="shared" si="13"/>
        <v>381.85166322392962</v>
      </c>
      <c r="K52" s="35">
        <f t="shared" ref="K52:K56" si="14">SQRT(E52)/E52</f>
        <v>1.4782809899727066E-2</v>
      </c>
      <c r="L52" s="33">
        <f t="shared" ref="L52:L56" si="15">AVERAGE(J52)</f>
        <v>381.85166322392962</v>
      </c>
      <c r="M52" s="63">
        <f t="shared" ref="M52:M56" si="16">AVERAGE(K52)/SQRT(3)</f>
        <v>8.5348592749864872E-3</v>
      </c>
    </row>
    <row r="53" spans="1:13">
      <c r="A53" s="4" t="s">
        <v>270</v>
      </c>
      <c r="B53" s="5">
        <v>16</v>
      </c>
      <c r="C53" s="206">
        <v>0.52027777777777773</v>
      </c>
      <c r="D53" s="100">
        <f>D50</f>
        <v>44516</v>
      </c>
      <c r="E53" s="220">
        <v>4439</v>
      </c>
      <c r="F53" s="5"/>
      <c r="I53" s="347">
        <f t="shared" si="12"/>
        <v>159.83333333333317</v>
      </c>
      <c r="J53" s="150">
        <f t="shared" si="13"/>
        <v>373.66572329065366</v>
      </c>
      <c r="K53" s="35">
        <f t="shared" si="14"/>
        <v>1.5009195949641741E-2</v>
      </c>
      <c r="L53" s="33">
        <f t="shared" si="15"/>
        <v>373.66572329065366</v>
      </c>
      <c r="M53" s="63">
        <f t="shared" si="16"/>
        <v>8.665563321845501E-3</v>
      </c>
    </row>
    <row r="54" spans="1:13">
      <c r="A54" s="4" t="s">
        <v>271</v>
      </c>
      <c r="B54" s="5">
        <v>17</v>
      </c>
      <c r="C54" s="206">
        <v>0.52133101851851849</v>
      </c>
      <c r="D54" s="100">
        <f>$D$17</f>
        <v>44516</v>
      </c>
      <c r="E54" s="222">
        <v>3968</v>
      </c>
      <c r="F54" s="5"/>
      <c r="I54" s="347">
        <f t="shared" si="12"/>
        <v>161.34999999999988</v>
      </c>
      <c r="J54" s="150">
        <f t="shared" si="13"/>
        <v>336.23401308473143</v>
      </c>
      <c r="K54" s="35">
        <f t="shared" si="14"/>
        <v>1.5875015875023813E-2</v>
      </c>
      <c r="L54" s="33">
        <f t="shared" si="15"/>
        <v>336.23401308473143</v>
      </c>
      <c r="M54" s="63">
        <f t="shared" si="16"/>
        <v>9.1654446888345814E-3</v>
      </c>
    </row>
    <row r="55" spans="1:13">
      <c r="A55" s="4" t="s">
        <v>272</v>
      </c>
      <c r="B55" s="5">
        <v>18</v>
      </c>
      <c r="C55" s="206">
        <v>0.52238425925925924</v>
      </c>
      <c r="D55" s="100">
        <f>$D$17</f>
        <v>44516</v>
      </c>
      <c r="E55" s="222">
        <v>3629</v>
      </c>
      <c r="F55" s="5"/>
      <c r="I55" s="347">
        <f t="shared" si="12"/>
        <v>162.86666666666656</v>
      </c>
      <c r="J55" s="150">
        <f t="shared" si="13"/>
        <v>309.65609038786801</v>
      </c>
      <c r="K55" s="35">
        <f t="shared" si="14"/>
        <v>1.6599939908326297E-2</v>
      </c>
      <c r="L55" s="33">
        <f t="shared" si="15"/>
        <v>309.65609038786801</v>
      </c>
      <c r="M55" s="63">
        <f t="shared" si="16"/>
        <v>9.5839797746038007E-3</v>
      </c>
    </row>
    <row r="56" spans="1:13" ht="15" thickBot="1">
      <c r="A56" s="7" t="s">
        <v>335</v>
      </c>
      <c r="B56" s="8">
        <v>19</v>
      </c>
      <c r="C56" s="207">
        <v>0.52342592592592596</v>
      </c>
      <c r="D56" s="375">
        <f t="shared" ref="D56" si="17">D53</f>
        <v>44516</v>
      </c>
      <c r="E56" s="221">
        <v>3442</v>
      </c>
      <c r="F56" s="5"/>
      <c r="I56" s="369">
        <f t="shared" si="12"/>
        <v>164.36666666666665</v>
      </c>
      <c r="J56" s="370">
        <f t="shared" si="13"/>
        <v>296.0007096152936</v>
      </c>
      <c r="K56" s="67">
        <f t="shared" si="14"/>
        <v>1.7044904292704974E-2</v>
      </c>
      <c r="L56" s="151">
        <f t="shared" si="15"/>
        <v>296.0007096152936</v>
      </c>
      <c r="M56" s="181">
        <f t="shared" si="16"/>
        <v>9.8408800817046255E-3</v>
      </c>
    </row>
    <row r="57" spans="1:13">
      <c r="A57" s="77"/>
      <c r="B57" s="17"/>
      <c r="C57" s="31"/>
      <c r="D57" s="100"/>
      <c r="E57" s="17"/>
      <c r="F57" s="17"/>
      <c r="G57" s="172"/>
      <c r="H57" s="172"/>
      <c r="I57" s="175"/>
      <c r="J57" s="150"/>
      <c r="K57" s="35"/>
      <c r="L57" s="17"/>
      <c r="M57" s="17"/>
    </row>
    <row r="58" spans="1:13">
      <c r="A58" s="77"/>
      <c r="B58" s="17"/>
      <c r="C58" s="31"/>
      <c r="D58" s="100"/>
      <c r="E58" s="17"/>
      <c r="F58" s="17"/>
      <c r="G58" s="172"/>
      <c r="H58" s="172"/>
      <c r="I58" s="175"/>
      <c r="J58" s="150"/>
      <c r="K58" s="35"/>
      <c r="L58" s="17"/>
      <c r="M58" s="17"/>
    </row>
    <row r="59" spans="1:13" s="172" customFormat="1" ht="15" thickBot="1">
      <c r="A59" s="77"/>
      <c r="B59" s="17"/>
      <c r="C59" s="31"/>
      <c r="D59" s="100"/>
      <c r="E59" s="17"/>
      <c r="F59" s="17"/>
      <c r="I59" s="175"/>
      <c r="J59" s="150"/>
      <c r="K59" s="35"/>
      <c r="L59" s="17"/>
      <c r="M59" s="17"/>
    </row>
    <row r="60" spans="1:13">
      <c r="A60" s="51">
        <v>6</v>
      </c>
      <c r="B60" s="68" t="s">
        <v>129</v>
      </c>
      <c r="C60" s="2"/>
      <c r="D60" s="59"/>
      <c r="E60" s="3"/>
      <c r="F60" s="5"/>
    </row>
    <row r="61" spans="1:13" ht="15" thickBot="1">
      <c r="A61" s="4"/>
      <c r="B61" s="5"/>
      <c r="C61" s="5" t="s">
        <v>4</v>
      </c>
      <c r="D61" s="17" t="s">
        <v>5</v>
      </c>
      <c r="E61" s="6" t="s">
        <v>14</v>
      </c>
      <c r="F61" s="5"/>
      <c r="K61" s="17"/>
      <c r="L61" s="17"/>
      <c r="M61" s="17"/>
    </row>
    <row r="62" spans="1:13" ht="15" thickBot="1">
      <c r="A62" s="56" t="s">
        <v>17</v>
      </c>
      <c r="B62" s="53" t="s">
        <v>13</v>
      </c>
      <c r="C62" s="53" t="s">
        <v>16</v>
      </c>
      <c r="D62" s="158" t="s">
        <v>12</v>
      </c>
      <c r="E62" s="54" t="s">
        <v>15</v>
      </c>
      <c r="F62" s="6"/>
      <c r="G62" s="16" t="s">
        <v>49</v>
      </c>
      <c r="I62" s="366" t="s">
        <v>92</v>
      </c>
      <c r="J62" s="59" t="s">
        <v>94</v>
      </c>
      <c r="K62" s="59"/>
      <c r="L62" s="59" t="s">
        <v>107</v>
      </c>
      <c r="M62" s="60"/>
    </row>
    <row r="63" spans="1:13">
      <c r="A63" s="4" t="s">
        <v>18</v>
      </c>
      <c r="B63" s="5">
        <v>1</v>
      </c>
      <c r="C63" s="31">
        <f>$C$37</f>
        <v>0.32113425925925926</v>
      </c>
      <c r="D63" s="100">
        <f>$D$37</f>
        <v>44516</v>
      </c>
      <c r="E63" s="153">
        <f>$E$37</f>
        <v>93806</v>
      </c>
      <c r="F63" s="127"/>
      <c r="G63" s="24" t="str">
        <f>$G$17</f>
        <v>PASS</v>
      </c>
      <c r="I63" s="77" t="s">
        <v>93</v>
      </c>
      <c r="J63" s="17" t="s">
        <v>95</v>
      </c>
      <c r="K63" s="17" t="s">
        <v>60</v>
      </c>
      <c r="L63" s="31" t="s">
        <v>95</v>
      </c>
      <c r="M63" s="61" t="s">
        <v>60</v>
      </c>
    </row>
    <row r="64" spans="1:13" ht="15" thickBot="1">
      <c r="A64" s="4" t="s">
        <v>6</v>
      </c>
      <c r="B64" s="5">
        <v>9</v>
      </c>
      <c r="C64" s="31">
        <f>$C$38</f>
        <v>0.32222222222222224</v>
      </c>
      <c r="D64" s="100">
        <f>$D$38</f>
        <v>44516</v>
      </c>
      <c r="E64" s="153">
        <f>$E$38</f>
        <v>112</v>
      </c>
      <c r="F64" s="5"/>
      <c r="G64" s="25" t="str">
        <f>$G$18</f>
        <v>PASS</v>
      </c>
      <c r="I64" s="77"/>
      <c r="J64" s="17"/>
      <c r="K64" s="17" t="s">
        <v>30</v>
      </c>
      <c r="L64" s="31"/>
      <c r="M64" s="61" t="s">
        <v>30</v>
      </c>
    </row>
    <row r="65" spans="1:13" ht="15" thickBot="1">
      <c r="A65" s="56" t="s">
        <v>6</v>
      </c>
      <c r="B65" s="53">
        <v>10</v>
      </c>
      <c r="C65" s="58">
        <f>$C$39</f>
        <v>0.323275462962963</v>
      </c>
      <c r="D65" s="154">
        <f>$D$39</f>
        <v>44516</v>
      </c>
      <c r="E65" s="155">
        <f>$E$39</f>
        <v>104</v>
      </c>
      <c r="F65" s="5"/>
      <c r="G65" s="25" t="str">
        <f>$G$19</f>
        <v>PASS</v>
      </c>
      <c r="I65" s="77"/>
      <c r="J65" s="17"/>
      <c r="K65" s="17"/>
      <c r="L65" s="31"/>
      <c r="M65" s="61"/>
    </row>
    <row r="66" spans="1:13">
      <c r="A66" s="4" t="str">
        <f>"Arterial "&amp; $A$60&amp;"-1"</f>
        <v>Arterial 6-1</v>
      </c>
      <c r="B66" s="5">
        <v>1</v>
      </c>
      <c r="C66" s="206">
        <v>0.52446759259259257</v>
      </c>
      <c r="D66" s="100">
        <f>$D$37</f>
        <v>44516</v>
      </c>
      <c r="E66" s="220">
        <v>3341</v>
      </c>
      <c r="F66" s="5"/>
      <c r="I66" s="383">
        <f>(C66-$F$17)*24*60-$F$11</f>
        <v>165.86666666666656</v>
      </c>
      <c r="J66" s="384">
        <f>(EXP(LN(2)*I66/109.77)*(E66-AVERAGE($E$38:$E$39))/$F$10/60)</f>
        <v>289.76532689671438</v>
      </c>
      <c r="K66" s="385">
        <f t="shared" ref="K66" si="18">SQRT(E66)/E66</f>
        <v>1.7300623785236068E-2</v>
      </c>
      <c r="L66" s="386">
        <f>AVERAGE(J66:J66)</f>
        <v>289.76532689671438</v>
      </c>
      <c r="M66" s="387">
        <f>AVERAGE(K66:K66)/SQRT(3)</f>
        <v>9.9885197995544864E-3</v>
      </c>
    </row>
    <row r="67" spans="1:13" ht="15" thickBot="1">
      <c r="A67" s="75" t="str">
        <f>"Whole Blood Arterial " &amp;$A$60</f>
        <v>Whole Blood Arterial 6</v>
      </c>
      <c r="B67" s="8">
        <v>2</v>
      </c>
      <c r="C67" s="207">
        <v>0.52565972222222224</v>
      </c>
      <c r="D67" s="375">
        <f>$D$37</f>
        <v>44516</v>
      </c>
      <c r="E67" s="217">
        <v>3717</v>
      </c>
      <c r="I67" s="369">
        <f>(C67-$F$17)*24*60-$F$11</f>
        <v>167.58333333333329</v>
      </c>
      <c r="J67" s="370">
        <f>(EXP(LN(2)*I67/109.77)*(E67-AVERAGE($E$38:$E$39))/$F$10/60)</f>
        <v>326.99064665657784</v>
      </c>
      <c r="K67" s="67">
        <f t="shared" ref="K67" si="19">SQRT(E67)/E67</f>
        <v>1.6402261043504097E-2</v>
      </c>
      <c r="L67" s="8"/>
      <c r="M67" s="9"/>
    </row>
    <row r="68" spans="1:13">
      <c r="A68" s="69"/>
      <c r="B68" s="5"/>
      <c r="C68" s="31"/>
      <c r="D68" s="100"/>
      <c r="E68" s="78"/>
      <c r="F68" s="172"/>
      <c r="G68" s="172"/>
      <c r="H68" s="172"/>
      <c r="I68" s="175"/>
      <c r="J68" s="150"/>
      <c r="K68" s="35"/>
      <c r="L68" s="17"/>
      <c r="M68" s="17"/>
    </row>
    <row r="69" spans="1:13">
      <c r="A69" s="69"/>
      <c r="B69" s="5"/>
      <c r="C69" s="31"/>
      <c r="D69" s="100"/>
      <c r="E69" s="78"/>
      <c r="F69" s="172"/>
      <c r="G69" s="172"/>
      <c r="H69" s="172"/>
      <c r="I69" s="175"/>
      <c r="J69" s="150"/>
      <c r="K69" s="35"/>
      <c r="L69" s="17"/>
      <c r="M69" s="17"/>
    </row>
    <row r="70" spans="1:13" ht="15" thickBot="1">
      <c r="A70" s="90"/>
      <c r="B70" s="17"/>
      <c r="C70" s="31"/>
      <c r="D70" s="100"/>
      <c r="E70" s="78"/>
      <c r="F70" s="172"/>
      <c r="G70" s="172"/>
      <c r="H70" s="172"/>
      <c r="L70" s="172"/>
      <c r="M70" s="172"/>
    </row>
    <row r="71" spans="1:13">
      <c r="A71" s="51">
        <v>8</v>
      </c>
      <c r="B71" s="68" t="s">
        <v>129</v>
      </c>
      <c r="C71" s="2"/>
      <c r="D71" s="59"/>
      <c r="E71" s="3"/>
    </row>
    <row r="72" spans="1:13" ht="15" thickBot="1">
      <c r="A72" s="4"/>
      <c r="B72" s="5"/>
      <c r="C72" s="5" t="s">
        <v>4</v>
      </c>
      <c r="D72" s="17" t="s">
        <v>5</v>
      </c>
      <c r="E72" s="6" t="s">
        <v>14</v>
      </c>
    </row>
    <row r="73" spans="1:13" ht="15" thickBot="1">
      <c r="A73" s="56" t="s">
        <v>17</v>
      </c>
      <c r="B73" s="53" t="s">
        <v>13</v>
      </c>
      <c r="C73" s="53" t="s">
        <v>16</v>
      </c>
      <c r="D73" s="158" t="s">
        <v>12</v>
      </c>
      <c r="E73" s="54" t="s">
        <v>15</v>
      </c>
      <c r="G73" s="16" t="s">
        <v>49</v>
      </c>
      <c r="I73" s="366" t="s">
        <v>92</v>
      </c>
      <c r="J73" s="59" t="s">
        <v>94</v>
      </c>
      <c r="K73" s="59"/>
      <c r="L73" s="59" t="s">
        <v>107</v>
      </c>
      <c r="M73" s="60"/>
    </row>
    <row r="74" spans="1:13">
      <c r="A74" s="4" t="s">
        <v>18</v>
      </c>
      <c r="B74" s="5">
        <v>1</v>
      </c>
      <c r="C74" s="31">
        <f>$C$37</f>
        <v>0.32113425925925926</v>
      </c>
      <c r="D74" s="100">
        <f>$D$37</f>
        <v>44516</v>
      </c>
      <c r="E74" s="153">
        <f>$E$37</f>
        <v>93806</v>
      </c>
      <c r="G74" s="24" t="str">
        <f>$G$17</f>
        <v>PASS</v>
      </c>
      <c r="I74" s="77" t="s">
        <v>93</v>
      </c>
      <c r="J74" s="17" t="s">
        <v>95</v>
      </c>
      <c r="K74" s="17" t="s">
        <v>60</v>
      </c>
      <c r="L74" s="31" t="s">
        <v>95</v>
      </c>
      <c r="M74" s="61" t="s">
        <v>60</v>
      </c>
    </row>
    <row r="75" spans="1:13" ht="15" thickBot="1">
      <c r="A75" s="4" t="s">
        <v>6</v>
      </c>
      <c r="B75" s="5">
        <v>9</v>
      </c>
      <c r="C75" s="31">
        <f>$C$38</f>
        <v>0.32222222222222224</v>
      </c>
      <c r="D75" s="100">
        <f>$D$38</f>
        <v>44516</v>
      </c>
      <c r="E75" s="153">
        <f>$E$38</f>
        <v>112</v>
      </c>
      <c r="G75" s="25" t="str">
        <f>$G$18</f>
        <v>PASS</v>
      </c>
      <c r="I75" s="77"/>
      <c r="J75" s="17"/>
      <c r="K75" s="17" t="s">
        <v>30</v>
      </c>
      <c r="L75" s="31"/>
      <c r="M75" s="61" t="s">
        <v>30</v>
      </c>
    </row>
    <row r="76" spans="1:13" ht="15" thickBot="1">
      <c r="A76" s="56" t="s">
        <v>6</v>
      </c>
      <c r="B76" s="53">
        <v>10</v>
      </c>
      <c r="C76" s="58">
        <f>$C$39</f>
        <v>0.323275462962963</v>
      </c>
      <c r="D76" s="154">
        <f>$D$39</f>
        <v>44516</v>
      </c>
      <c r="E76" s="155">
        <f>$E$39</f>
        <v>104</v>
      </c>
      <c r="G76" s="25" t="str">
        <f>$G$19</f>
        <v>PASS</v>
      </c>
      <c r="I76" s="77"/>
      <c r="J76" s="17"/>
      <c r="K76" s="17"/>
      <c r="L76" s="31"/>
      <c r="M76" s="61"/>
    </row>
    <row r="77" spans="1:13" ht="15" thickBot="1">
      <c r="A77" s="7" t="str">
        <f>"Arterial "&amp;A$71&amp;"-1"</f>
        <v>Arterial 8-1</v>
      </c>
      <c r="B77" s="8">
        <v>3</v>
      </c>
      <c r="C77" s="293">
        <v>0.52671296296296299</v>
      </c>
      <c r="D77" s="375">
        <f>$D$37</f>
        <v>44516</v>
      </c>
      <c r="E77" s="221">
        <v>5452</v>
      </c>
      <c r="I77" s="344">
        <f>(C77-$F$17)*24*60-$F$11</f>
        <v>169.09999999999997</v>
      </c>
      <c r="J77" s="345">
        <f>(EXP(LN(2)*I77/109.77)*(E77-AVERAGE($E$38:$E$39))/$F$10/60)</f>
        <v>488.84835632802987</v>
      </c>
      <c r="K77" s="346">
        <f t="shared" ref="K77" si="20">SQRT(E77)/E77</f>
        <v>1.3543224462197162E-2</v>
      </c>
      <c r="L77" s="177">
        <f>AVERAGE(J77:J77)</f>
        <v>488.84835632802987</v>
      </c>
      <c r="M77" s="178">
        <f>AVERAGE(K77:K77)/SQRT(3)</f>
        <v>7.819184288945057E-3</v>
      </c>
    </row>
    <row r="78" spans="1:13">
      <c r="A78" s="90"/>
      <c r="B78" s="17"/>
      <c r="C78" s="31"/>
      <c r="D78" s="100"/>
      <c r="E78" s="78"/>
      <c r="I78" s="175"/>
      <c r="J78" s="150"/>
      <c r="K78" s="35"/>
      <c r="L78" s="17"/>
      <c r="M78" s="17"/>
    </row>
    <row r="79" spans="1:13">
      <c r="A79" s="90"/>
      <c r="B79" s="17"/>
      <c r="C79" s="31"/>
      <c r="D79" s="100"/>
      <c r="E79" s="78"/>
      <c r="I79" s="17"/>
      <c r="J79" s="17"/>
      <c r="K79" s="17"/>
      <c r="L79" s="17"/>
      <c r="M79" s="17"/>
    </row>
    <row r="80" spans="1:13" ht="15" thickBot="1">
      <c r="A80" s="90"/>
      <c r="B80" s="17"/>
      <c r="C80" s="31"/>
      <c r="D80" s="100"/>
      <c r="E80" s="78"/>
    </row>
    <row r="81" spans="1:17">
      <c r="A81" s="51">
        <v>12</v>
      </c>
      <c r="B81" s="68" t="s">
        <v>129</v>
      </c>
      <c r="C81" s="2"/>
      <c r="D81" s="59"/>
      <c r="E81" s="3"/>
      <c r="F81" s="5"/>
    </row>
    <row r="82" spans="1:17" ht="15" thickBot="1">
      <c r="A82" s="4"/>
      <c r="B82" s="5"/>
      <c r="C82" s="5" t="s">
        <v>4</v>
      </c>
      <c r="D82" s="17" t="s">
        <v>5</v>
      </c>
      <c r="E82" s="6" t="s">
        <v>14</v>
      </c>
      <c r="F82" s="5"/>
      <c r="K82" s="17"/>
      <c r="L82" s="17"/>
      <c r="M82" s="17"/>
    </row>
    <row r="83" spans="1:17" ht="15" thickBot="1">
      <c r="A83" s="56" t="s">
        <v>17</v>
      </c>
      <c r="B83" s="53" t="s">
        <v>13</v>
      </c>
      <c r="C83" s="53" t="s">
        <v>16</v>
      </c>
      <c r="D83" s="158" t="s">
        <v>12</v>
      </c>
      <c r="E83" s="54" t="s">
        <v>15</v>
      </c>
      <c r="F83" s="6"/>
      <c r="G83" s="16" t="s">
        <v>49</v>
      </c>
      <c r="I83" s="366" t="s">
        <v>92</v>
      </c>
      <c r="J83" s="59" t="s">
        <v>94</v>
      </c>
      <c r="K83" s="59"/>
      <c r="L83" s="59" t="s">
        <v>107</v>
      </c>
      <c r="M83" s="60"/>
    </row>
    <row r="84" spans="1:17">
      <c r="A84" s="161" t="s">
        <v>18</v>
      </c>
      <c r="B84" s="162">
        <v>1</v>
      </c>
      <c r="C84" s="189">
        <f>$C$37</f>
        <v>0.32113425925925926</v>
      </c>
      <c r="D84" s="190">
        <f>$D$37</f>
        <v>44516</v>
      </c>
      <c r="E84" s="191">
        <f>$E$37</f>
        <v>93806</v>
      </c>
      <c r="F84" s="127"/>
      <c r="G84" s="24" t="str">
        <f>$G$17</f>
        <v>PASS</v>
      </c>
      <c r="I84" s="77" t="s">
        <v>93</v>
      </c>
      <c r="J84" s="17" t="s">
        <v>95</v>
      </c>
      <c r="K84" s="17" t="s">
        <v>60</v>
      </c>
      <c r="L84" s="31" t="s">
        <v>95</v>
      </c>
      <c r="M84" s="61" t="s">
        <v>60</v>
      </c>
    </row>
    <row r="85" spans="1:17" ht="15" thickBot="1">
      <c r="A85" s="4" t="s">
        <v>6</v>
      </c>
      <c r="B85" s="5">
        <v>9</v>
      </c>
      <c r="C85" s="31">
        <f>$C$38</f>
        <v>0.32222222222222224</v>
      </c>
      <c r="D85" s="100">
        <f>$D$38</f>
        <v>44516</v>
      </c>
      <c r="E85" s="153">
        <f>$E$38</f>
        <v>112</v>
      </c>
      <c r="F85" s="5"/>
      <c r="G85" s="25" t="str">
        <f>$G$18</f>
        <v>PASS</v>
      </c>
      <c r="I85" s="77"/>
      <c r="J85" s="17"/>
      <c r="K85" s="17" t="s">
        <v>30</v>
      </c>
      <c r="L85" s="31"/>
      <c r="M85" s="61" t="s">
        <v>30</v>
      </c>
    </row>
    <row r="86" spans="1:17" ht="15" thickBot="1">
      <c r="A86" s="56" t="s">
        <v>6</v>
      </c>
      <c r="B86" s="53">
        <v>10</v>
      </c>
      <c r="C86" s="58">
        <f>$C$39</f>
        <v>0.323275462962963</v>
      </c>
      <c r="D86" s="154">
        <f>$D$39</f>
        <v>44516</v>
      </c>
      <c r="E86" s="155">
        <f>$E$39</f>
        <v>104</v>
      </c>
      <c r="F86" s="5"/>
      <c r="G86" s="25" t="str">
        <f>$G$19</f>
        <v>PASS</v>
      </c>
      <c r="I86" s="77"/>
      <c r="J86" s="17"/>
      <c r="K86" s="17"/>
      <c r="L86" s="31"/>
      <c r="M86" s="61"/>
    </row>
    <row r="87" spans="1:17">
      <c r="A87" s="4" t="str">
        <f>"Arterial "&amp; $A$81&amp;"-1"</f>
        <v>Arterial 12-1</v>
      </c>
      <c r="B87" s="5">
        <v>4</v>
      </c>
      <c r="C87" s="206">
        <v>0.52776620370370375</v>
      </c>
      <c r="D87" s="100">
        <f>$D$37</f>
        <v>44516</v>
      </c>
      <c r="E87" s="222">
        <v>3777</v>
      </c>
      <c r="F87" s="5"/>
      <c r="I87" s="383">
        <f>(C87-$F$17)*24*60-$F$11</f>
        <v>170.61666666666665</v>
      </c>
      <c r="J87" s="384">
        <f>(EXP(LN(2)*I87/109.77)*(E87-AVERAGE($E$38:$E$39))/$F$10/60)</f>
        <v>338.85561249901889</v>
      </c>
      <c r="K87" s="385">
        <f t="shared" ref="K87" si="21">SQRT(E87)/E87</f>
        <v>1.6271459425797673E-2</v>
      </c>
      <c r="L87" s="386">
        <f>AVERAGE(J87:J87)</f>
        <v>338.85561249901889</v>
      </c>
      <c r="M87" s="387">
        <f>AVERAGE(K87:K87)/SQRT(3)</f>
        <v>9.3943314795923612E-3</v>
      </c>
      <c r="O87" s="108"/>
      <c r="P87" s="271"/>
      <c r="Q87" s="272"/>
    </row>
    <row r="88" spans="1:17" ht="15" thickBot="1">
      <c r="A88" s="19" t="s">
        <v>256</v>
      </c>
      <c r="B88" s="8">
        <v>5</v>
      </c>
      <c r="C88" s="341"/>
      <c r="D88" s="342">
        <f>D87</f>
        <v>44516</v>
      </c>
      <c r="E88" s="343"/>
      <c r="I88" s="369">
        <f>(C88-$F$17)*24*60-$F$11</f>
        <v>-589.36666666666667</v>
      </c>
      <c r="J88" s="370">
        <f>(EXP(LN(2)*I88/109.77)*(E88-AVERAGE($E$38:$E$39))/$F$10/60)</f>
        <v>-8.2174099004329967E-2</v>
      </c>
      <c r="K88" s="67" t="e">
        <f t="shared" ref="K88" si="22">SQRT(E88)/E88</f>
        <v>#DIV/0!</v>
      </c>
      <c r="L88" s="151">
        <f>AVERAGE(J88:J88)</f>
        <v>-8.2174099004329967E-2</v>
      </c>
      <c r="M88" s="181" t="e">
        <f>AVERAGE(K88:K88)/SQRT(3)</f>
        <v>#DIV/0!</v>
      </c>
      <c r="O88" s="108"/>
      <c r="P88" s="271"/>
      <c r="Q88" s="272"/>
    </row>
    <row r="89" spans="1:17">
      <c r="O89" s="108"/>
      <c r="P89" s="271"/>
      <c r="Q89" s="272"/>
    </row>
    <row r="90" spans="1:17" ht="15" thickBot="1">
      <c r="O90" s="108"/>
      <c r="P90" s="271"/>
      <c r="Q90" s="272"/>
    </row>
    <row r="91" spans="1:17">
      <c r="A91" s="51">
        <v>16</v>
      </c>
      <c r="B91" s="68" t="s">
        <v>129</v>
      </c>
      <c r="C91" s="2"/>
      <c r="D91" s="59"/>
      <c r="E91" s="3"/>
      <c r="F91" s="5"/>
      <c r="O91" s="108"/>
      <c r="P91" s="271"/>
      <c r="Q91" s="272"/>
    </row>
    <row r="92" spans="1:17" ht="15" thickBot="1">
      <c r="A92" s="4"/>
      <c r="B92" s="5"/>
      <c r="C92" s="5" t="s">
        <v>4</v>
      </c>
      <c r="D92" s="17" t="s">
        <v>5</v>
      </c>
      <c r="E92" s="6" t="s">
        <v>14</v>
      </c>
      <c r="F92" s="5"/>
      <c r="K92" s="17"/>
      <c r="L92" s="17"/>
      <c r="M92" s="17"/>
      <c r="O92" s="108"/>
      <c r="P92" s="271"/>
      <c r="Q92" s="272"/>
    </row>
    <row r="93" spans="1:17" ht="15" thickBot="1">
      <c r="A93" s="56" t="s">
        <v>17</v>
      </c>
      <c r="B93" s="53" t="s">
        <v>13</v>
      </c>
      <c r="C93" s="53" t="s">
        <v>16</v>
      </c>
      <c r="D93" s="158" t="s">
        <v>12</v>
      </c>
      <c r="E93" s="54" t="s">
        <v>15</v>
      </c>
      <c r="F93" s="6"/>
      <c r="G93" s="16" t="s">
        <v>49</v>
      </c>
      <c r="I93" s="366" t="s">
        <v>92</v>
      </c>
      <c r="J93" s="59" t="s">
        <v>94</v>
      </c>
      <c r="K93" s="59"/>
      <c r="L93" s="59" t="s">
        <v>107</v>
      </c>
      <c r="M93" s="60"/>
    </row>
    <row r="94" spans="1:17">
      <c r="A94" s="4" t="s">
        <v>18</v>
      </c>
      <c r="B94" s="5">
        <v>1</v>
      </c>
      <c r="C94" s="31">
        <f>$C$37</f>
        <v>0.32113425925925926</v>
      </c>
      <c r="D94" s="100">
        <f>$D$37</f>
        <v>44516</v>
      </c>
      <c r="E94" s="153">
        <f>$E$37</f>
        <v>93806</v>
      </c>
      <c r="F94" s="127"/>
      <c r="G94" s="24" t="str">
        <f>$G$17</f>
        <v>PASS</v>
      </c>
      <c r="I94" s="77" t="s">
        <v>93</v>
      </c>
      <c r="J94" s="17" t="s">
        <v>95</v>
      </c>
      <c r="K94" s="17" t="s">
        <v>60</v>
      </c>
      <c r="L94" s="31" t="s">
        <v>95</v>
      </c>
      <c r="M94" s="61" t="s">
        <v>60</v>
      </c>
    </row>
    <row r="95" spans="1:17" ht="15" thickBot="1">
      <c r="A95" s="4" t="s">
        <v>6</v>
      </c>
      <c r="B95" s="5">
        <v>9</v>
      </c>
      <c r="C95" s="31">
        <f>$C$38</f>
        <v>0.32222222222222224</v>
      </c>
      <c r="D95" s="100">
        <f>$D$38</f>
        <v>44516</v>
      </c>
      <c r="E95" s="153">
        <f>$E$38</f>
        <v>112</v>
      </c>
      <c r="F95" s="5"/>
      <c r="G95" s="25" t="str">
        <f>$G$18</f>
        <v>PASS</v>
      </c>
      <c r="I95" s="77"/>
      <c r="J95" s="17"/>
      <c r="K95" s="17" t="s">
        <v>30</v>
      </c>
      <c r="L95" s="31"/>
      <c r="M95" s="61" t="s">
        <v>30</v>
      </c>
    </row>
    <row r="96" spans="1:17" ht="15" thickBot="1">
      <c r="A96" s="56" t="s">
        <v>6</v>
      </c>
      <c r="B96" s="53">
        <v>10</v>
      </c>
      <c r="C96" s="58">
        <f>$C$39</f>
        <v>0.323275462962963</v>
      </c>
      <c r="D96" s="154">
        <f>$D$39</f>
        <v>44516</v>
      </c>
      <c r="E96" s="155">
        <f>$E$39</f>
        <v>104</v>
      </c>
      <c r="F96" s="5"/>
      <c r="G96" s="25" t="str">
        <f>$G$19</f>
        <v>PASS</v>
      </c>
      <c r="I96" s="77"/>
      <c r="J96" s="17"/>
      <c r="K96" s="17"/>
      <c r="L96" s="31"/>
      <c r="M96" s="61"/>
    </row>
    <row r="97" spans="1:13">
      <c r="A97" s="4" t="str">
        <f>"Arterial "&amp; $A$91&amp;"-1"</f>
        <v>Arterial 16-1</v>
      </c>
      <c r="B97" s="5">
        <v>6</v>
      </c>
      <c r="C97" s="218">
        <v>0.52880787037037036</v>
      </c>
      <c r="D97" s="100">
        <f>$D$37</f>
        <v>44516</v>
      </c>
      <c r="E97" s="222">
        <v>3115</v>
      </c>
      <c r="F97" s="5"/>
      <c r="I97" s="383">
        <f>(C97-$F$17)*24*60-$F$11</f>
        <v>172.11666666666656</v>
      </c>
      <c r="J97" s="384">
        <f>(EXP(LN(2)*I97/109.77)*(E97-AVERAGE($E$38:$E$39))/$F$10/60)</f>
        <v>280.35864685249328</v>
      </c>
      <c r="K97" s="385">
        <f t="shared" ref="K97:K98" si="23">SQRT(E97)/E97</f>
        <v>1.7917234365811656E-2</v>
      </c>
      <c r="L97" s="386">
        <f>AVERAGE(J97:J97)</f>
        <v>280.35864685249328</v>
      </c>
      <c r="M97" s="387">
        <f>AVERAGE(K97:K97)/SQRT(3)</f>
        <v>1.0344520084234974E-2</v>
      </c>
    </row>
    <row r="98" spans="1:13" ht="15" thickBot="1">
      <c r="A98" s="75" t="str">
        <f>"Whole Blood Arterial " &amp;$A$91</f>
        <v>Whole Blood Arterial 16</v>
      </c>
      <c r="B98" s="8">
        <v>7</v>
      </c>
      <c r="C98" s="215">
        <v>0.52986111111111112</v>
      </c>
      <c r="D98" s="375">
        <f>$D$37</f>
        <v>44516</v>
      </c>
      <c r="E98" s="221">
        <v>1718</v>
      </c>
      <c r="F98" s="5"/>
      <c r="I98" s="369">
        <f>(C98-$F$17)*24*60-$F$11</f>
        <v>173.63333333333327</v>
      </c>
      <c r="J98" s="370">
        <f>(EXP(LN(2)*I98/109.77)*(E98-AVERAGE($E$38:$E$39))/$F$10/60)</f>
        <v>151.55339334850544</v>
      </c>
      <c r="K98" s="67">
        <f t="shared" si="23"/>
        <v>2.4126172032669042E-2</v>
      </c>
      <c r="L98" s="8"/>
      <c r="M98" s="9"/>
    </row>
    <row r="101" spans="1:13" ht="15" thickBot="1"/>
    <row r="102" spans="1:13">
      <c r="A102" s="51">
        <v>20</v>
      </c>
      <c r="B102" s="68" t="s">
        <v>129</v>
      </c>
      <c r="C102" s="2"/>
      <c r="D102" s="59"/>
      <c r="E102" s="3"/>
      <c r="F102" s="5"/>
    </row>
    <row r="103" spans="1:13" ht="15" thickBot="1">
      <c r="A103" s="4"/>
      <c r="B103" s="5"/>
      <c r="C103" s="5" t="s">
        <v>4</v>
      </c>
      <c r="D103" s="17" t="s">
        <v>5</v>
      </c>
      <c r="E103" s="6" t="s">
        <v>14</v>
      </c>
      <c r="F103" s="5"/>
      <c r="K103" s="17"/>
      <c r="L103" s="17"/>
      <c r="M103" s="17"/>
    </row>
    <row r="104" spans="1:13" ht="15" thickBot="1">
      <c r="A104" s="56" t="s">
        <v>17</v>
      </c>
      <c r="B104" s="53" t="s">
        <v>13</v>
      </c>
      <c r="C104" s="53" t="s">
        <v>16</v>
      </c>
      <c r="D104" s="158" t="s">
        <v>12</v>
      </c>
      <c r="E104" s="54" t="s">
        <v>15</v>
      </c>
      <c r="F104" s="6"/>
      <c r="G104" s="16" t="s">
        <v>49</v>
      </c>
      <c r="I104" s="366" t="s">
        <v>92</v>
      </c>
      <c r="J104" s="59" t="s">
        <v>94</v>
      </c>
      <c r="K104" s="59"/>
      <c r="L104" s="59" t="s">
        <v>107</v>
      </c>
      <c r="M104" s="60"/>
    </row>
    <row r="105" spans="1:13">
      <c r="A105" s="4" t="s">
        <v>18</v>
      </c>
      <c r="B105" s="5">
        <v>1</v>
      </c>
      <c r="C105" s="31">
        <f>$C$37</f>
        <v>0.32113425925925926</v>
      </c>
      <c r="D105" s="100">
        <f>$D$37</f>
        <v>44516</v>
      </c>
      <c r="E105" s="153">
        <f>$E$37</f>
        <v>93806</v>
      </c>
      <c r="F105" s="127"/>
      <c r="G105" s="24" t="str">
        <f>$G$17</f>
        <v>PASS</v>
      </c>
      <c r="I105" s="77" t="s">
        <v>93</v>
      </c>
      <c r="J105" s="17" t="s">
        <v>95</v>
      </c>
      <c r="K105" s="17" t="s">
        <v>60</v>
      </c>
      <c r="L105" s="31" t="s">
        <v>95</v>
      </c>
      <c r="M105" s="61" t="s">
        <v>60</v>
      </c>
    </row>
    <row r="106" spans="1:13" ht="15" thickBot="1">
      <c r="A106" s="4" t="s">
        <v>6</v>
      </c>
      <c r="B106" s="5">
        <v>9</v>
      </c>
      <c r="C106" s="31">
        <f>$C$38</f>
        <v>0.32222222222222224</v>
      </c>
      <c r="D106" s="100">
        <f>$D$38</f>
        <v>44516</v>
      </c>
      <c r="E106" s="153">
        <f>$E$38</f>
        <v>112</v>
      </c>
      <c r="F106" s="5"/>
      <c r="G106" s="25" t="str">
        <f>$G$18</f>
        <v>PASS</v>
      </c>
      <c r="I106" s="77"/>
      <c r="J106" s="17"/>
      <c r="K106" s="17" t="s">
        <v>30</v>
      </c>
      <c r="L106" s="31"/>
      <c r="M106" s="61" t="s">
        <v>30</v>
      </c>
    </row>
    <row r="107" spans="1:13" ht="15" thickBot="1">
      <c r="A107" s="56" t="s">
        <v>6</v>
      </c>
      <c r="B107" s="53">
        <v>10</v>
      </c>
      <c r="C107" s="58">
        <f>$C$39</f>
        <v>0.323275462962963</v>
      </c>
      <c r="D107" s="154">
        <f>$D$39</f>
        <v>44516</v>
      </c>
      <c r="E107" s="155">
        <f>$E$39</f>
        <v>104</v>
      </c>
      <c r="F107" s="5"/>
      <c r="G107" s="25" t="str">
        <f>$G$19</f>
        <v>PASS</v>
      </c>
      <c r="I107" s="77"/>
      <c r="J107" s="17"/>
      <c r="K107" s="17"/>
      <c r="L107" s="31"/>
      <c r="M107" s="61"/>
    </row>
    <row r="108" spans="1:13" ht="15" thickBot="1">
      <c r="A108" s="7" t="str">
        <f>"Arterial "&amp;$A$102&amp;"-1"</f>
        <v>Arterial 20-1</v>
      </c>
      <c r="B108" s="8">
        <v>8</v>
      </c>
      <c r="C108" s="293">
        <v>0.53091435185185187</v>
      </c>
      <c r="D108" s="375">
        <f>$D$37</f>
        <v>44516</v>
      </c>
      <c r="E108" s="221">
        <v>2663</v>
      </c>
      <c r="F108" s="5"/>
      <c r="I108" s="344">
        <f>(C108-$F$17)*24*60-$F$11</f>
        <v>175.14999999999995</v>
      </c>
      <c r="J108" s="345">
        <f>(EXP(LN(2)*I108/109.77)*(E108-AVERAGE($E$38:$E$39))/$F$10/60)</f>
        <v>242.82307528716555</v>
      </c>
      <c r="K108" s="346">
        <f t="shared" ref="K108" si="24">SQRT(E108)/E108</f>
        <v>1.9378243856463639E-2</v>
      </c>
      <c r="L108" s="177">
        <f>AVERAGE(J108:J108)</f>
        <v>242.82307528716555</v>
      </c>
      <c r="M108" s="178">
        <f>AVERAGE(K108:K108)/SQRT(3)</f>
        <v>1.1188034306951495E-2</v>
      </c>
    </row>
    <row r="111" spans="1:13" ht="15" thickBot="1"/>
    <row r="112" spans="1:13">
      <c r="A112" s="51">
        <v>30</v>
      </c>
      <c r="B112" s="68" t="s">
        <v>129</v>
      </c>
      <c r="C112" s="2"/>
      <c r="D112" s="59"/>
      <c r="E112" s="3"/>
      <c r="F112" s="5"/>
    </row>
    <row r="113" spans="1:13" ht="15" thickBot="1">
      <c r="A113" s="4"/>
      <c r="B113" s="5"/>
      <c r="C113" s="5" t="s">
        <v>4</v>
      </c>
      <c r="D113" s="17" t="s">
        <v>5</v>
      </c>
      <c r="E113" s="6" t="s">
        <v>14</v>
      </c>
      <c r="F113" s="5"/>
      <c r="K113" s="17"/>
      <c r="L113" s="17"/>
      <c r="M113" s="17"/>
    </row>
    <row r="114" spans="1:13" ht="15" thickBot="1">
      <c r="A114" s="56" t="s">
        <v>17</v>
      </c>
      <c r="B114" s="53" t="s">
        <v>13</v>
      </c>
      <c r="C114" s="53" t="s">
        <v>16</v>
      </c>
      <c r="D114" s="158" t="s">
        <v>12</v>
      </c>
      <c r="E114" s="54" t="s">
        <v>15</v>
      </c>
      <c r="F114" s="6"/>
      <c r="G114" s="16" t="s">
        <v>49</v>
      </c>
      <c r="I114" s="366" t="s">
        <v>92</v>
      </c>
      <c r="J114" s="59" t="s">
        <v>94</v>
      </c>
      <c r="K114" s="59"/>
      <c r="L114" s="59" t="s">
        <v>107</v>
      </c>
      <c r="M114" s="60"/>
    </row>
    <row r="115" spans="1:13">
      <c r="A115" s="4" t="s">
        <v>18</v>
      </c>
      <c r="B115" s="5">
        <v>1</v>
      </c>
      <c r="C115" s="31">
        <f>$C$37</f>
        <v>0.32113425925925926</v>
      </c>
      <c r="D115" s="100">
        <f>$D$37</f>
        <v>44516</v>
      </c>
      <c r="E115" s="153">
        <f>$E$37</f>
        <v>93806</v>
      </c>
      <c r="F115" s="127"/>
      <c r="G115" s="24" t="str">
        <f>$G$17</f>
        <v>PASS</v>
      </c>
      <c r="I115" s="77" t="s">
        <v>93</v>
      </c>
      <c r="J115" s="17" t="s">
        <v>95</v>
      </c>
      <c r="K115" s="17" t="s">
        <v>60</v>
      </c>
      <c r="L115" s="31" t="s">
        <v>95</v>
      </c>
      <c r="M115" s="61" t="s">
        <v>60</v>
      </c>
    </row>
    <row r="116" spans="1:13" ht="15" thickBot="1">
      <c r="A116" s="4" t="s">
        <v>6</v>
      </c>
      <c r="B116" s="5">
        <v>9</v>
      </c>
      <c r="C116" s="31">
        <f>$C$38</f>
        <v>0.32222222222222224</v>
      </c>
      <c r="D116" s="100">
        <f>$D$38</f>
        <v>44516</v>
      </c>
      <c r="E116" s="153">
        <f>$E$38</f>
        <v>112</v>
      </c>
      <c r="F116" s="5"/>
      <c r="G116" s="25" t="str">
        <f>$G$18</f>
        <v>PASS</v>
      </c>
      <c r="I116" s="77"/>
      <c r="J116" s="17"/>
      <c r="K116" s="17" t="s">
        <v>30</v>
      </c>
      <c r="L116" s="31"/>
      <c r="M116" s="61" t="s">
        <v>30</v>
      </c>
    </row>
    <row r="117" spans="1:13" ht="15" thickBot="1">
      <c r="A117" s="56" t="s">
        <v>6</v>
      </c>
      <c r="B117" s="53">
        <v>10</v>
      </c>
      <c r="C117" s="58">
        <f>$C$39</f>
        <v>0.323275462962963</v>
      </c>
      <c r="D117" s="154">
        <f>$D$39</f>
        <v>44516</v>
      </c>
      <c r="E117" s="155">
        <f>$E$39</f>
        <v>104</v>
      </c>
      <c r="F117" s="5"/>
      <c r="G117" s="25" t="str">
        <f>$G$19</f>
        <v>PASS</v>
      </c>
      <c r="I117" s="77"/>
      <c r="J117" s="17"/>
      <c r="K117" s="17"/>
      <c r="L117" s="31"/>
      <c r="M117" s="61"/>
    </row>
    <row r="118" spans="1:13">
      <c r="A118" s="4" t="str">
        <f>"Arterial "&amp; $A$112&amp;"-1"</f>
        <v>Arterial 30-1</v>
      </c>
      <c r="B118" s="17">
        <v>9</v>
      </c>
      <c r="C118" s="218">
        <v>0.53196759259259252</v>
      </c>
      <c r="D118" s="100">
        <f>$D$37</f>
        <v>44516</v>
      </c>
      <c r="E118" s="220">
        <v>2520</v>
      </c>
      <c r="F118" s="5"/>
      <c r="I118" s="383">
        <f>(C118-$F$17)*24*60-$F$11</f>
        <v>176.66666666666649</v>
      </c>
      <c r="J118" s="384">
        <f>(EXP(LN(2)*I118/109.77)*(E118-AVERAGE($E$38:$E$39))/$F$10/60)</f>
        <v>231.4385052538149</v>
      </c>
      <c r="K118" s="385">
        <f t="shared" ref="K118:K119" si="25">SQRT(E118)/E118</f>
        <v>1.9920476822239894E-2</v>
      </c>
      <c r="L118" s="386">
        <f>AVERAGE(J118:J118)</f>
        <v>231.4385052538149</v>
      </c>
      <c r="M118" s="387">
        <f>AVERAGE(K118:K118)/SQRT(3)</f>
        <v>1.1501092655705904E-2</v>
      </c>
    </row>
    <row r="119" spans="1:13" ht="15" thickBot="1">
      <c r="A119" s="75" t="str">
        <f>"Whole Blood Arterial " &amp;$A$112</f>
        <v>Whole Blood Arterial 30</v>
      </c>
      <c r="B119" s="8">
        <v>10</v>
      </c>
      <c r="C119" s="215">
        <v>0.53300925925925924</v>
      </c>
      <c r="D119" s="375">
        <f>$D$37</f>
        <v>44516</v>
      </c>
      <c r="E119" s="221">
        <v>1287</v>
      </c>
      <c r="F119" s="5"/>
      <c r="I119" s="369">
        <f>(C119-$F$17)*24*60-$F$11</f>
        <v>178.16666666666657</v>
      </c>
      <c r="J119" s="370">
        <f>(EXP(LN(2)*I119/109.77)*(E119-AVERAGE($E$38:$E$39))/$F$10/60)</f>
        <v>114.20514589477459</v>
      </c>
      <c r="K119" s="67">
        <f t="shared" si="25"/>
        <v>2.7874733666903025E-2</v>
      </c>
      <c r="L119" s="8"/>
      <c r="M119" s="9"/>
    </row>
    <row r="122" spans="1:13" ht="15" thickBot="1"/>
    <row r="123" spans="1:13">
      <c r="A123" s="51">
        <v>40</v>
      </c>
      <c r="B123" s="68" t="s">
        <v>129</v>
      </c>
      <c r="C123" s="2"/>
      <c r="D123" s="59"/>
      <c r="E123" s="3"/>
      <c r="F123" s="5"/>
    </row>
    <row r="124" spans="1:13" ht="15" thickBot="1">
      <c r="A124" s="4"/>
      <c r="B124" s="5"/>
      <c r="C124" s="5" t="s">
        <v>4</v>
      </c>
      <c r="D124" s="17" t="s">
        <v>5</v>
      </c>
      <c r="E124" s="6" t="s">
        <v>14</v>
      </c>
      <c r="F124" s="5"/>
      <c r="K124" s="17"/>
      <c r="L124" s="17"/>
      <c r="M124" s="17"/>
    </row>
    <row r="125" spans="1:13" ht="15" thickBot="1">
      <c r="A125" s="56" t="s">
        <v>17</v>
      </c>
      <c r="B125" s="53" t="s">
        <v>13</v>
      </c>
      <c r="C125" s="53" t="s">
        <v>16</v>
      </c>
      <c r="D125" s="158" t="s">
        <v>12</v>
      </c>
      <c r="E125" s="54" t="s">
        <v>15</v>
      </c>
      <c r="F125" s="6"/>
      <c r="G125" s="16" t="s">
        <v>49</v>
      </c>
      <c r="I125" s="366" t="s">
        <v>92</v>
      </c>
      <c r="J125" s="59" t="s">
        <v>94</v>
      </c>
      <c r="K125" s="59"/>
      <c r="L125" s="59" t="s">
        <v>107</v>
      </c>
      <c r="M125" s="60"/>
    </row>
    <row r="126" spans="1:13">
      <c r="A126" s="4" t="s">
        <v>18</v>
      </c>
      <c r="B126" s="5">
        <v>1</v>
      </c>
      <c r="C126" s="31">
        <f>$C$37</f>
        <v>0.32113425925925926</v>
      </c>
      <c r="D126" s="100">
        <f>$D$37</f>
        <v>44516</v>
      </c>
      <c r="E126" s="153">
        <f>$E$37</f>
        <v>93806</v>
      </c>
      <c r="F126" s="127"/>
      <c r="G126" s="24" t="str">
        <f>$G$17</f>
        <v>PASS</v>
      </c>
      <c r="I126" s="77" t="s">
        <v>93</v>
      </c>
      <c r="J126" s="17" t="s">
        <v>95</v>
      </c>
      <c r="K126" s="17" t="s">
        <v>60</v>
      </c>
      <c r="L126" s="31" t="s">
        <v>95</v>
      </c>
      <c r="M126" s="61" t="s">
        <v>60</v>
      </c>
    </row>
    <row r="127" spans="1:13" ht="15" thickBot="1">
      <c r="A127" s="4" t="s">
        <v>6</v>
      </c>
      <c r="B127" s="5">
        <v>9</v>
      </c>
      <c r="C127" s="31">
        <f>$C$38</f>
        <v>0.32222222222222224</v>
      </c>
      <c r="D127" s="100">
        <f>$D$38</f>
        <v>44516</v>
      </c>
      <c r="E127" s="153">
        <f>$E$38</f>
        <v>112</v>
      </c>
      <c r="F127" s="5"/>
      <c r="G127" s="25" t="str">
        <f>$G$18</f>
        <v>PASS</v>
      </c>
      <c r="I127" s="77"/>
      <c r="J127" s="17"/>
      <c r="K127" s="17" t="s">
        <v>30</v>
      </c>
      <c r="L127" s="31"/>
      <c r="M127" s="61" t="s">
        <v>30</v>
      </c>
    </row>
    <row r="128" spans="1:13" ht="15" thickBot="1">
      <c r="A128" s="56" t="s">
        <v>6</v>
      </c>
      <c r="B128" s="53">
        <v>10</v>
      </c>
      <c r="C128" s="58">
        <f>$C$39</f>
        <v>0.323275462962963</v>
      </c>
      <c r="D128" s="154">
        <f>$D$39</f>
        <v>44516</v>
      </c>
      <c r="E128" s="155">
        <f>$E$39</f>
        <v>104</v>
      </c>
      <c r="F128" s="5"/>
      <c r="G128" s="25" t="str">
        <f>$G$19</f>
        <v>PASS</v>
      </c>
      <c r="I128" s="77"/>
      <c r="J128" s="17"/>
      <c r="K128" s="17"/>
      <c r="L128" s="31"/>
      <c r="M128" s="61"/>
    </row>
    <row r="129" spans="1:13" ht="15" thickBot="1">
      <c r="A129" s="7" t="str">
        <f>"Arterial "&amp; $A$123&amp;"-1"</f>
        <v>Arterial 40-1</v>
      </c>
      <c r="B129" s="8">
        <v>1</v>
      </c>
      <c r="C129" s="207">
        <v>0.5340625</v>
      </c>
      <c r="D129" s="375">
        <f>$D$37</f>
        <v>44516</v>
      </c>
      <c r="E129" s="217">
        <v>2268</v>
      </c>
      <c r="F129" s="5"/>
      <c r="I129" s="344">
        <f>(C129-$F$17)*24*60-$F$11</f>
        <v>179.68333333333325</v>
      </c>
      <c r="J129" s="345">
        <f>(EXP(LN(2)*I129/109.77)*(E129-AVERAGE($E$38:$E$39))/$F$10/60)</f>
        <v>211.24424236295062</v>
      </c>
      <c r="K129" s="346">
        <f t="shared" ref="K129" si="26">SQRT(E129)/E129</f>
        <v>2.0998026278290401E-2</v>
      </c>
      <c r="L129" s="177">
        <f>AVERAGE(J129:J129)</f>
        <v>211.24424236295062</v>
      </c>
      <c r="M129" s="178">
        <f>AVERAGE(K129:K129)/SQRT(3)</f>
        <v>1.2123216124221799E-2</v>
      </c>
    </row>
    <row r="130" spans="1:13">
      <c r="A130" s="90"/>
      <c r="B130" s="17"/>
      <c r="C130" s="31"/>
      <c r="D130" s="100"/>
      <c r="E130" s="78"/>
    </row>
    <row r="131" spans="1:13">
      <c r="A131" s="90"/>
      <c r="B131" s="17"/>
      <c r="C131" s="31"/>
      <c r="D131" s="100"/>
      <c r="E131" s="78"/>
    </row>
    <row r="132" spans="1:13" ht="15" thickBot="1"/>
    <row r="133" spans="1:13">
      <c r="A133" s="51">
        <v>50</v>
      </c>
      <c r="B133" s="68" t="s">
        <v>129</v>
      </c>
      <c r="C133" s="2"/>
      <c r="D133" s="59"/>
      <c r="E133" s="3"/>
      <c r="F133" s="5"/>
    </row>
    <row r="134" spans="1:13" ht="15" thickBot="1">
      <c r="A134" s="4"/>
      <c r="B134" s="5"/>
      <c r="C134" s="5" t="s">
        <v>4</v>
      </c>
      <c r="D134" s="17" t="s">
        <v>5</v>
      </c>
      <c r="E134" s="6" t="s">
        <v>14</v>
      </c>
      <c r="F134" s="5"/>
      <c r="K134" s="17"/>
      <c r="L134" s="17"/>
      <c r="M134" s="17"/>
    </row>
    <row r="135" spans="1:13" ht="15" thickBot="1">
      <c r="A135" s="56" t="s">
        <v>17</v>
      </c>
      <c r="B135" s="53" t="s">
        <v>13</v>
      </c>
      <c r="C135" s="53" t="s">
        <v>16</v>
      </c>
      <c r="D135" s="158" t="s">
        <v>12</v>
      </c>
      <c r="E135" s="54" t="s">
        <v>15</v>
      </c>
      <c r="F135" s="6"/>
      <c r="G135" s="16" t="s">
        <v>49</v>
      </c>
      <c r="I135" s="366" t="s">
        <v>92</v>
      </c>
      <c r="J135" s="59" t="s">
        <v>94</v>
      </c>
      <c r="K135" s="59"/>
      <c r="L135" s="59" t="s">
        <v>107</v>
      </c>
      <c r="M135" s="60"/>
    </row>
    <row r="136" spans="1:13">
      <c r="A136" s="4" t="s">
        <v>18</v>
      </c>
      <c r="B136" s="5">
        <v>1</v>
      </c>
      <c r="C136" s="31">
        <f>$C$37</f>
        <v>0.32113425925925926</v>
      </c>
      <c r="D136" s="100">
        <f>$D$37</f>
        <v>44516</v>
      </c>
      <c r="E136" s="153">
        <f>$E$37</f>
        <v>93806</v>
      </c>
      <c r="F136" s="127"/>
      <c r="G136" s="24" t="str">
        <f>$G$17</f>
        <v>PASS</v>
      </c>
      <c r="I136" s="77" t="s">
        <v>93</v>
      </c>
      <c r="J136" s="17" t="s">
        <v>95</v>
      </c>
      <c r="K136" s="17" t="s">
        <v>60</v>
      </c>
      <c r="L136" s="31" t="s">
        <v>95</v>
      </c>
      <c r="M136" s="61" t="s">
        <v>60</v>
      </c>
    </row>
    <row r="137" spans="1:13" ht="15" thickBot="1">
      <c r="A137" s="4" t="s">
        <v>6</v>
      </c>
      <c r="B137" s="5">
        <v>9</v>
      </c>
      <c r="C137" s="31">
        <f>$C$38</f>
        <v>0.32222222222222224</v>
      </c>
      <c r="D137" s="100">
        <f>$D$38</f>
        <v>44516</v>
      </c>
      <c r="E137" s="153">
        <f>$E$38</f>
        <v>112</v>
      </c>
      <c r="F137" s="5"/>
      <c r="G137" s="25" t="str">
        <f>$G$18</f>
        <v>PASS</v>
      </c>
      <c r="I137" s="77"/>
      <c r="J137" s="17"/>
      <c r="K137" s="17" t="s">
        <v>30</v>
      </c>
      <c r="L137" s="31"/>
      <c r="M137" s="61" t="s">
        <v>30</v>
      </c>
    </row>
    <row r="138" spans="1:13" ht="15" thickBot="1">
      <c r="A138" s="56" t="s">
        <v>6</v>
      </c>
      <c r="B138" s="53">
        <v>10</v>
      </c>
      <c r="C138" s="58">
        <f>$C$39</f>
        <v>0.323275462962963</v>
      </c>
      <c r="D138" s="154">
        <f>$D$39</f>
        <v>44516</v>
      </c>
      <c r="E138" s="155">
        <f>$E$39</f>
        <v>104</v>
      </c>
      <c r="F138" s="5"/>
      <c r="G138" s="25" t="str">
        <f>$G$19</f>
        <v>PASS</v>
      </c>
      <c r="I138" s="77"/>
      <c r="J138" s="17"/>
      <c r="K138" s="17"/>
      <c r="L138" s="31"/>
      <c r="M138" s="61"/>
    </row>
    <row r="139" spans="1:13" ht="15" thickBot="1">
      <c r="A139" s="7" t="str">
        <f>"Arterial "&amp; $A$133&amp;"-1"</f>
        <v>Arterial 50-1</v>
      </c>
      <c r="B139" s="8">
        <v>2</v>
      </c>
      <c r="C139" s="215">
        <v>0.5351041666666666</v>
      </c>
      <c r="D139" s="375">
        <f>$D$37</f>
        <v>44516</v>
      </c>
      <c r="E139" s="217">
        <v>2136</v>
      </c>
      <c r="F139" s="5"/>
      <c r="I139" s="344">
        <f>(C139-$F$17)*24*60-$F$11</f>
        <v>181.18333333333317</v>
      </c>
      <c r="J139" s="345">
        <f>(EXP(LN(2)*I139/109.77)*(E139-AVERAGE($E$38:$E$39))/$F$10/60)</f>
        <v>200.22238754274957</v>
      </c>
      <c r="K139" s="346">
        <f t="shared" ref="K139" si="27">SQRT(E139)/E139</f>
        <v>2.1637116120395775E-2</v>
      </c>
      <c r="L139" s="177">
        <f>AVERAGE(J139:J139)</f>
        <v>200.22238754274957</v>
      </c>
      <c r="M139" s="178">
        <f>AVERAGE(K139:K139)/SQRT(3)</f>
        <v>1.2492194816597692E-2</v>
      </c>
    </row>
    <row r="142" spans="1:13" ht="15" thickBot="1"/>
    <row r="143" spans="1:13">
      <c r="A143" s="51">
        <v>60</v>
      </c>
      <c r="B143" s="68" t="s">
        <v>129</v>
      </c>
      <c r="C143" s="2"/>
      <c r="D143" s="59"/>
      <c r="E143" s="3"/>
      <c r="F143" s="5"/>
    </row>
    <row r="144" spans="1:13" ht="15" thickBot="1">
      <c r="A144" s="4"/>
      <c r="B144" s="5"/>
      <c r="C144" s="5" t="s">
        <v>4</v>
      </c>
      <c r="D144" s="17" t="s">
        <v>5</v>
      </c>
      <c r="E144" s="6" t="s">
        <v>14</v>
      </c>
      <c r="F144" s="17"/>
      <c r="K144" s="17"/>
      <c r="L144" s="17"/>
      <c r="M144" s="17"/>
    </row>
    <row r="145" spans="1:13" ht="15" thickBot="1">
      <c r="A145" s="56" t="s">
        <v>17</v>
      </c>
      <c r="B145" s="53" t="s">
        <v>13</v>
      </c>
      <c r="C145" s="53" t="s">
        <v>16</v>
      </c>
      <c r="D145" s="158" t="s">
        <v>12</v>
      </c>
      <c r="E145" s="54" t="s">
        <v>15</v>
      </c>
      <c r="F145" s="6"/>
      <c r="G145" s="16" t="s">
        <v>49</v>
      </c>
      <c r="I145" s="366" t="s">
        <v>92</v>
      </c>
      <c r="J145" s="59" t="s">
        <v>94</v>
      </c>
      <c r="K145" s="59"/>
      <c r="L145" s="59" t="s">
        <v>107</v>
      </c>
      <c r="M145" s="60"/>
    </row>
    <row r="146" spans="1:13">
      <c r="A146" s="4" t="s">
        <v>18</v>
      </c>
      <c r="B146" s="5">
        <v>1</v>
      </c>
      <c r="C146" s="31">
        <f>$C$37</f>
        <v>0.32113425925925926</v>
      </c>
      <c r="D146" s="100">
        <f>$D$37</f>
        <v>44516</v>
      </c>
      <c r="E146" s="153">
        <f>$E$37</f>
        <v>93806</v>
      </c>
      <c r="F146" s="127"/>
      <c r="G146" s="24" t="str">
        <f>$G$17</f>
        <v>PASS</v>
      </c>
      <c r="I146" s="77" t="s">
        <v>93</v>
      </c>
      <c r="J146" s="17" t="s">
        <v>95</v>
      </c>
      <c r="K146" s="17" t="s">
        <v>60</v>
      </c>
      <c r="L146" s="31" t="s">
        <v>95</v>
      </c>
      <c r="M146" s="61" t="s">
        <v>60</v>
      </c>
    </row>
    <row r="147" spans="1:13" ht="15" thickBot="1">
      <c r="A147" s="4" t="s">
        <v>6</v>
      </c>
      <c r="B147" s="5">
        <v>9</v>
      </c>
      <c r="C147" s="31">
        <f>$C$38</f>
        <v>0.32222222222222224</v>
      </c>
      <c r="D147" s="100">
        <f>$D$38</f>
        <v>44516</v>
      </c>
      <c r="E147" s="153">
        <f>$E$38</f>
        <v>112</v>
      </c>
      <c r="F147" s="5"/>
      <c r="G147" s="25" t="str">
        <f>$G$18</f>
        <v>PASS</v>
      </c>
      <c r="I147" s="77"/>
      <c r="J147" s="17"/>
      <c r="K147" s="17" t="s">
        <v>30</v>
      </c>
      <c r="L147" s="31"/>
      <c r="M147" s="61" t="s">
        <v>30</v>
      </c>
    </row>
    <row r="148" spans="1:13" ht="15" thickBot="1">
      <c r="A148" s="56" t="s">
        <v>6</v>
      </c>
      <c r="B148" s="53">
        <v>10</v>
      </c>
      <c r="C148" s="58">
        <f>$C$39</f>
        <v>0.323275462962963</v>
      </c>
      <c r="D148" s="154">
        <f>$D$39</f>
        <v>44516</v>
      </c>
      <c r="E148" s="155">
        <f>$E$39</f>
        <v>104</v>
      </c>
      <c r="F148" s="5"/>
      <c r="G148" s="25" t="str">
        <f>$G$19</f>
        <v>PASS</v>
      </c>
      <c r="I148" s="77"/>
      <c r="J148" s="17"/>
      <c r="K148" s="17"/>
      <c r="L148" s="31"/>
      <c r="M148" s="61"/>
    </row>
    <row r="149" spans="1:13">
      <c r="A149" s="4" t="str">
        <f>"Arterial "&amp; $A$143&amp;"-1"</f>
        <v>Arterial 60-1</v>
      </c>
      <c r="B149" s="17">
        <v>3</v>
      </c>
      <c r="C149" s="206">
        <v>0.53629629629629627</v>
      </c>
      <c r="D149" s="100">
        <f>$D$37</f>
        <v>44516</v>
      </c>
      <c r="E149" s="222">
        <v>2488</v>
      </c>
      <c r="F149" s="5"/>
      <c r="I149" s="383">
        <f>(C149-$F$17)*24*60-$F$11</f>
        <v>182.89999999999989</v>
      </c>
      <c r="J149" s="384">
        <f>(EXP(LN(2)*I149/109.77)*(E149-AVERAGE($E$38:$E$39))/$F$10/60)</f>
        <v>237.53596670236414</v>
      </c>
      <c r="K149" s="385">
        <f t="shared" ref="K149:K150" si="28">SQRT(E149)/E149</f>
        <v>2.0048173494115636E-2</v>
      </c>
      <c r="L149" s="386">
        <f>AVERAGE(J149:J149)</f>
        <v>237.53596670236414</v>
      </c>
      <c r="M149" s="387">
        <f>AVERAGE(K149:K149)/SQRT(3)</f>
        <v>1.1574818363587983E-2</v>
      </c>
    </row>
    <row r="150" spans="1:13" ht="15" thickBot="1">
      <c r="A150" s="75" t="str">
        <f>"Whole Blood Arterial " &amp;$A$143</f>
        <v>Whole Blood Arterial 60</v>
      </c>
      <c r="B150" s="8">
        <v>4</v>
      </c>
      <c r="C150" s="215">
        <v>0.53734953703703703</v>
      </c>
      <c r="D150" s="375">
        <f>$D$37</f>
        <v>44516</v>
      </c>
      <c r="E150" s="221">
        <v>1211</v>
      </c>
      <c r="F150" s="5"/>
      <c r="I150" s="369">
        <f>(C150-$F$17)*24*60-$F$11</f>
        <v>184.41666666666657</v>
      </c>
      <c r="J150" s="370">
        <f>(EXP(LN(2)*I150/109.77)*(E150-AVERAGE($E$38:$E$39))/$F$10/60)</f>
        <v>111.14430003967225</v>
      </c>
      <c r="K150" s="67">
        <f t="shared" si="28"/>
        <v>2.8736106756903905E-2</v>
      </c>
      <c r="L150" s="8"/>
      <c r="M150" s="9"/>
    </row>
    <row r="153" spans="1:13" ht="15" thickBot="1"/>
    <row r="154" spans="1:13">
      <c r="A154" s="51">
        <v>70</v>
      </c>
      <c r="B154" s="68" t="s">
        <v>129</v>
      </c>
      <c r="C154" s="2"/>
      <c r="D154" s="59"/>
      <c r="E154" s="3"/>
      <c r="F154" s="17"/>
    </row>
    <row r="155" spans="1:13" ht="15" thickBot="1">
      <c r="A155" s="4"/>
      <c r="B155" s="5"/>
      <c r="C155" s="5" t="s">
        <v>4</v>
      </c>
      <c r="D155" s="17" t="s">
        <v>5</v>
      </c>
      <c r="E155" s="6" t="s">
        <v>14</v>
      </c>
      <c r="F155" s="5"/>
      <c r="K155" s="17"/>
      <c r="L155" s="17"/>
      <c r="M155" s="17"/>
    </row>
    <row r="156" spans="1:13" ht="15" thickBot="1">
      <c r="A156" s="56" t="s">
        <v>17</v>
      </c>
      <c r="B156" s="53" t="s">
        <v>13</v>
      </c>
      <c r="C156" s="53" t="s">
        <v>16</v>
      </c>
      <c r="D156" s="158" t="s">
        <v>12</v>
      </c>
      <c r="E156" s="54" t="s">
        <v>15</v>
      </c>
      <c r="F156" s="6"/>
      <c r="G156" s="16" t="s">
        <v>49</v>
      </c>
      <c r="I156" s="366" t="s">
        <v>92</v>
      </c>
      <c r="J156" s="59" t="s">
        <v>94</v>
      </c>
      <c r="K156" s="59"/>
      <c r="L156" s="59" t="s">
        <v>107</v>
      </c>
      <c r="M156" s="60"/>
    </row>
    <row r="157" spans="1:13">
      <c r="A157" s="4" t="s">
        <v>18</v>
      </c>
      <c r="B157" s="5">
        <v>1</v>
      </c>
      <c r="C157" s="31">
        <f>$C$37</f>
        <v>0.32113425925925926</v>
      </c>
      <c r="D157" s="100">
        <f>$D$37</f>
        <v>44516</v>
      </c>
      <c r="E157" s="153">
        <f>$E$37</f>
        <v>93806</v>
      </c>
      <c r="F157" s="127"/>
      <c r="G157" s="24" t="str">
        <f>$G$17</f>
        <v>PASS</v>
      </c>
      <c r="I157" s="77" t="s">
        <v>93</v>
      </c>
      <c r="J157" s="17" t="s">
        <v>95</v>
      </c>
      <c r="K157" s="17" t="s">
        <v>60</v>
      </c>
      <c r="L157" s="31" t="s">
        <v>95</v>
      </c>
      <c r="M157" s="61" t="s">
        <v>60</v>
      </c>
    </row>
    <row r="158" spans="1:13" ht="15" thickBot="1">
      <c r="A158" s="4" t="s">
        <v>6</v>
      </c>
      <c r="B158" s="5">
        <v>9</v>
      </c>
      <c r="C158" s="31">
        <f>$C$38</f>
        <v>0.32222222222222224</v>
      </c>
      <c r="D158" s="100">
        <f>$D$38</f>
        <v>44516</v>
      </c>
      <c r="E158" s="153">
        <f>$E$38</f>
        <v>112</v>
      </c>
      <c r="F158" s="5"/>
      <c r="G158" s="25" t="str">
        <f>$G$18</f>
        <v>PASS</v>
      </c>
      <c r="I158" s="77"/>
      <c r="J158" s="17"/>
      <c r="K158" s="17" t="s">
        <v>30</v>
      </c>
      <c r="L158" s="31"/>
      <c r="M158" s="61" t="s">
        <v>30</v>
      </c>
    </row>
    <row r="159" spans="1:13" ht="15" thickBot="1">
      <c r="A159" s="56" t="s">
        <v>6</v>
      </c>
      <c r="B159" s="53">
        <v>10</v>
      </c>
      <c r="C159" s="58">
        <f>$C$39</f>
        <v>0.323275462962963</v>
      </c>
      <c r="D159" s="154">
        <f>$D$39</f>
        <v>44516</v>
      </c>
      <c r="E159" s="155">
        <f>$E$39</f>
        <v>104</v>
      </c>
      <c r="F159" s="5"/>
      <c r="G159" s="25" t="str">
        <f>$G$19</f>
        <v>PASS</v>
      </c>
      <c r="I159" s="77"/>
      <c r="J159" s="17"/>
      <c r="K159" s="17"/>
      <c r="L159" s="31"/>
      <c r="M159" s="61"/>
    </row>
    <row r="160" spans="1:13" ht="15" thickBot="1">
      <c r="A160" s="7" t="str">
        <f>"Arterial "&amp;A154&amp;"-1"</f>
        <v>Arterial 70-1</v>
      </c>
      <c r="B160" s="8">
        <v>5</v>
      </c>
      <c r="C160" s="215">
        <v>0.53839120370370364</v>
      </c>
      <c r="D160" s="375">
        <f>$D$37</f>
        <v>44516</v>
      </c>
      <c r="E160" s="217">
        <v>2222</v>
      </c>
      <c r="F160" s="5"/>
      <c r="I160" s="344">
        <f>(C160-$F$17)*24*60-$F$11</f>
        <v>185.91666666666649</v>
      </c>
      <c r="J160" s="345">
        <f>(EXP(LN(2)*I160/109.77)*(E160-AVERAGE($E$38:$E$39))/$F$10/60)</f>
        <v>215.04543175269816</v>
      </c>
      <c r="K160" s="346">
        <f t="shared" ref="K160" si="29">SQRT(E160)/E160</f>
        <v>2.1214264175324349E-2</v>
      </c>
      <c r="L160" s="177">
        <f>AVERAGE(J160:J160)</f>
        <v>215.04543175269816</v>
      </c>
      <c r="M160" s="178">
        <f>AVERAGE(K160:K160)/SQRT(3)</f>
        <v>1.2248061132283349E-2</v>
      </c>
    </row>
    <row r="163" spans="1:17" ht="15" thickBot="1">
      <c r="O163" s="108"/>
      <c r="P163" s="271"/>
      <c r="Q163" s="272"/>
    </row>
    <row r="164" spans="1:17">
      <c r="A164" s="51">
        <v>90</v>
      </c>
      <c r="B164" s="68" t="s">
        <v>129</v>
      </c>
      <c r="C164" s="2"/>
      <c r="D164" s="59"/>
      <c r="E164" s="3"/>
      <c r="F164" s="17"/>
      <c r="O164" s="108"/>
      <c r="P164" s="271"/>
      <c r="Q164" s="273"/>
    </row>
    <row r="165" spans="1:17" ht="15" thickBot="1">
      <c r="A165" s="4"/>
      <c r="B165" s="5"/>
      <c r="C165" s="5" t="s">
        <v>4</v>
      </c>
      <c r="D165" s="17" t="s">
        <v>5</v>
      </c>
      <c r="E165" s="6" t="s">
        <v>14</v>
      </c>
      <c r="F165" s="5"/>
      <c r="K165" s="17"/>
      <c r="L165" s="17"/>
      <c r="M165" s="17"/>
      <c r="O165" s="108"/>
      <c r="P165" s="271"/>
      <c r="Q165" s="272"/>
    </row>
    <row r="166" spans="1:17" ht="15" thickBot="1">
      <c r="A166" s="56" t="s">
        <v>17</v>
      </c>
      <c r="B166" s="53" t="s">
        <v>13</v>
      </c>
      <c r="C166" s="53" t="s">
        <v>16</v>
      </c>
      <c r="D166" s="158" t="s">
        <v>12</v>
      </c>
      <c r="E166" s="54" t="s">
        <v>15</v>
      </c>
      <c r="F166" s="6"/>
      <c r="G166" s="16" t="s">
        <v>49</v>
      </c>
      <c r="I166" s="366" t="s">
        <v>92</v>
      </c>
      <c r="J166" s="59" t="s">
        <v>94</v>
      </c>
      <c r="K166" s="59"/>
      <c r="L166" s="59" t="s">
        <v>107</v>
      </c>
      <c r="M166" s="60"/>
      <c r="O166" s="108"/>
      <c r="P166" s="271"/>
      <c r="Q166" s="272"/>
    </row>
    <row r="167" spans="1:17">
      <c r="A167" s="4" t="s">
        <v>18</v>
      </c>
      <c r="B167" s="5">
        <v>1</v>
      </c>
      <c r="C167" s="31">
        <f>$C$37</f>
        <v>0.32113425925925926</v>
      </c>
      <c r="D167" s="100">
        <f>$D$37</f>
        <v>44516</v>
      </c>
      <c r="E167" s="153">
        <f>$E$37</f>
        <v>93806</v>
      </c>
      <c r="F167" s="127"/>
      <c r="G167" s="24" t="str">
        <f>$G$17</f>
        <v>PASS</v>
      </c>
      <c r="I167" s="77" t="s">
        <v>93</v>
      </c>
      <c r="J167" s="17" t="s">
        <v>95</v>
      </c>
      <c r="K167" s="17" t="s">
        <v>60</v>
      </c>
      <c r="L167" s="31" t="s">
        <v>95</v>
      </c>
      <c r="M167" s="61" t="s">
        <v>60</v>
      </c>
      <c r="O167" s="108"/>
      <c r="P167" s="271"/>
      <c r="Q167" s="272"/>
    </row>
    <row r="168" spans="1:17" ht="15" thickBot="1">
      <c r="A168" s="4" t="s">
        <v>6</v>
      </c>
      <c r="B168" s="5">
        <v>9</v>
      </c>
      <c r="C168" s="31">
        <f>$C$38</f>
        <v>0.32222222222222224</v>
      </c>
      <c r="D168" s="100">
        <f>$D$38</f>
        <v>44516</v>
      </c>
      <c r="E168" s="153">
        <f>$E$38</f>
        <v>112</v>
      </c>
      <c r="F168" s="5"/>
      <c r="G168" s="25" t="str">
        <f>$G$18</f>
        <v>PASS</v>
      </c>
      <c r="I168" s="77"/>
      <c r="J168" s="17"/>
      <c r="K168" s="17" t="s">
        <v>30</v>
      </c>
      <c r="L168" s="31"/>
      <c r="M168" s="61" t="s">
        <v>30</v>
      </c>
      <c r="O168" s="108"/>
      <c r="P168" s="271"/>
      <c r="Q168" s="272"/>
    </row>
    <row r="169" spans="1:17" ht="15" thickBot="1">
      <c r="A169" s="56" t="s">
        <v>6</v>
      </c>
      <c r="B169" s="53">
        <v>10</v>
      </c>
      <c r="C169" s="58">
        <f>$C$39</f>
        <v>0.323275462962963</v>
      </c>
      <c r="D169" s="154">
        <f>$D$39</f>
        <v>44516</v>
      </c>
      <c r="E169" s="155">
        <f>$E$39</f>
        <v>104</v>
      </c>
      <c r="F169" s="5"/>
      <c r="G169" s="25" t="str">
        <f>$G$19</f>
        <v>PASS</v>
      </c>
      <c r="I169" s="77"/>
      <c r="J169" s="17"/>
      <c r="K169" s="17"/>
      <c r="L169" s="31"/>
      <c r="M169" s="61"/>
      <c r="O169" s="108"/>
      <c r="P169" s="271"/>
      <c r="Q169" s="272"/>
    </row>
    <row r="170" spans="1:17">
      <c r="A170" s="4" t="str">
        <f>"Arterial "&amp; $A$164&amp;"-1"</f>
        <v>Arterial 90-1</v>
      </c>
      <c r="B170" s="17">
        <v>6</v>
      </c>
      <c r="C170" s="218">
        <v>0.5394444444444445</v>
      </c>
      <c r="D170" s="100">
        <f>$D$37</f>
        <v>44516</v>
      </c>
      <c r="E170" s="220">
        <v>2135</v>
      </c>
      <c r="F170" s="5"/>
      <c r="I170" s="383">
        <f>(C170-$F$17)*24*60-$F$11</f>
        <v>187.43333333333334</v>
      </c>
      <c r="J170" s="384">
        <f>(EXP(LN(2)*I170/109.77)*(E170-AVERAGE($E$38:$E$39))/$F$10/60)</f>
        <v>208.17963782416109</v>
      </c>
      <c r="K170" s="385">
        <f t="shared" ref="K170:K171" si="30">SQRT(E170)/E170</f>
        <v>2.1642182767490251E-2</v>
      </c>
      <c r="L170" s="386">
        <f>AVERAGE(J170:J170)</f>
        <v>208.17963782416109</v>
      </c>
      <c r="M170" s="387">
        <f>AVERAGE(K170:K170)/SQRT(3)</f>
        <v>1.2495120046661578E-2</v>
      </c>
      <c r="O170" s="108"/>
      <c r="P170" s="271"/>
      <c r="Q170" s="272"/>
    </row>
    <row r="171" spans="1:17" ht="15" thickBot="1">
      <c r="A171" s="75" t="str">
        <f>"Whole Blood Arterial " &amp;$A$164</f>
        <v>Whole Blood Arterial 90</v>
      </c>
      <c r="B171" s="8">
        <v>7</v>
      </c>
      <c r="C171" s="215">
        <v>0.54049768518518515</v>
      </c>
      <c r="D171" s="375">
        <f>$D$37</f>
        <v>44516</v>
      </c>
      <c r="E171" s="221">
        <v>1203</v>
      </c>
      <c r="F171" s="5"/>
      <c r="I171" s="369">
        <f>(C171-$F$17)*24*60-$F$11</f>
        <v>188.94999999999987</v>
      </c>
      <c r="J171" s="370">
        <f>(EXP(LN(2)*I171/109.77)*(E171-AVERAGE($E$38:$E$39))/$F$10/60)</f>
        <v>113.54235058328358</v>
      </c>
      <c r="K171" s="67">
        <f t="shared" si="30"/>
        <v>2.8831496585244597E-2</v>
      </c>
      <c r="L171" s="8"/>
      <c r="M171" s="9"/>
    </row>
    <row r="174" spans="1:17" ht="15" thickBot="1"/>
    <row r="175" spans="1:17">
      <c r="A175" s="51">
        <v>110</v>
      </c>
      <c r="B175" s="68" t="s">
        <v>129</v>
      </c>
      <c r="C175" s="2"/>
      <c r="D175" s="59"/>
      <c r="E175" s="3"/>
      <c r="F175" s="17"/>
    </row>
    <row r="176" spans="1:17" ht="15" thickBot="1">
      <c r="A176" s="4"/>
      <c r="B176" s="5"/>
      <c r="C176" s="5" t="s">
        <v>4</v>
      </c>
      <c r="D176" s="17" t="s">
        <v>5</v>
      </c>
      <c r="E176" s="6" t="s">
        <v>14</v>
      </c>
      <c r="F176" s="5"/>
      <c r="K176" s="17"/>
      <c r="L176" s="17"/>
      <c r="M176" s="17"/>
    </row>
    <row r="177" spans="1:13" ht="15" thickBot="1">
      <c r="A177" s="56" t="s">
        <v>17</v>
      </c>
      <c r="B177" s="53" t="s">
        <v>13</v>
      </c>
      <c r="C177" s="53" t="s">
        <v>16</v>
      </c>
      <c r="D177" s="158" t="s">
        <v>12</v>
      </c>
      <c r="E177" s="54" t="s">
        <v>15</v>
      </c>
      <c r="F177" s="6"/>
      <c r="G177" s="16" t="s">
        <v>49</v>
      </c>
      <c r="I177" s="366" t="s">
        <v>92</v>
      </c>
      <c r="J177" s="59" t="s">
        <v>94</v>
      </c>
      <c r="K177" s="59"/>
      <c r="L177" s="59" t="s">
        <v>107</v>
      </c>
      <c r="M177" s="60"/>
    </row>
    <row r="178" spans="1:13">
      <c r="A178" s="4" t="s">
        <v>18</v>
      </c>
      <c r="B178" s="5">
        <v>1</v>
      </c>
      <c r="C178" s="31">
        <f>$C$37</f>
        <v>0.32113425925925926</v>
      </c>
      <c r="D178" s="100">
        <f>$D$37</f>
        <v>44516</v>
      </c>
      <c r="E178" s="153">
        <f>$E$37</f>
        <v>93806</v>
      </c>
      <c r="F178" s="127"/>
      <c r="G178" s="24" t="str">
        <f>$G$17</f>
        <v>PASS</v>
      </c>
      <c r="I178" s="77" t="s">
        <v>93</v>
      </c>
      <c r="J178" s="17" t="s">
        <v>95</v>
      </c>
      <c r="K178" s="17" t="s">
        <v>60</v>
      </c>
      <c r="L178" s="31" t="s">
        <v>95</v>
      </c>
      <c r="M178" s="61" t="s">
        <v>60</v>
      </c>
    </row>
    <row r="179" spans="1:13" ht="15" thickBot="1">
      <c r="A179" s="4" t="s">
        <v>6</v>
      </c>
      <c r="B179" s="5">
        <v>9</v>
      </c>
      <c r="C179" s="31">
        <f>$C$38</f>
        <v>0.32222222222222224</v>
      </c>
      <c r="D179" s="100">
        <f>$D$38</f>
        <v>44516</v>
      </c>
      <c r="E179" s="153">
        <f>$E$38</f>
        <v>112</v>
      </c>
      <c r="F179" s="5"/>
      <c r="G179" s="25" t="str">
        <f>$G$18</f>
        <v>PASS</v>
      </c>
      <c r="I179" s="77"/>
      <c r="J179" s="17"/>
      <c r="K179" s="17" t="s">
        <v>30</v>
      </c>
      <c r="L179" s="31"/>
      <c r="M179" s="61" t="s">
        <v>30</v>
      </c>
    </row>
    <row r="180" spans="1:13" ht="15" thickBot="1">
      <c r="A180" s="56" t="s">
        <v>6</v>
      </c>
      <c r="B180" s="53">
        <v>10</v>
      </c>
      <c r="C180" s="58">
        <f>$C$39</f>
        <v>0.323275462962963</v>
      </c>
      <c r="D180" s="154">
        <f>$D$39</f>
        <v>44516</v>
      </c>
      <c r="E180" s="155">
        <f>$E$39</f>
        <v>104</v>
      </c>
      <c r="F180" s="5"/>
      <c r="G180" s="25" t="str">
        <f>$G$19</f>
        <v>PASS</v>
      </c>
      <c r="I180" s="77"/>
      <c r="J180" s="17"/>
      <c r="K180" s="17"/>
      <c r="L180" s="31"/>
      <c r="M180" s="61"/>
    </row>
    <row r="181" spans="1:13" ht="15" thickBot="1">
      <c r="A181" s="7" t="str">
        <f>"Arterial "&amp;A175&amp;"-1"</f>
        <v>Arterial 110-1</v>
      </c>
      <c r="B181" s="8">
        <v>8</v>
      </c>
      <c r="C181" s="215">
        <v>0.54152777777777772</v>
      </c>
      <c r="D181" s="375">
        <f>$D$37</f>
        <v>44516</v>
      </c>
      <c r="E181" s="217">
        <v>1976</v>
      </c>
      <c r="F181" s="5"/>
      <c r="I181" s="344">
        <f>(C181-$F$17)*24*60-$F$11</f>
        <v>190.43333333333317</v>
      </c>
      <c r="J181" s="345">
        <f>(EXP(LN(2)*I181/109.77)*(E181-AVERAGE($E$38:$E$39))/$F$10/60)</f>
        <v>195.51878193855103</v>
      </c>
      <c r="K181" s="346">
        <f t="shared" ref="K181" si="31">SQRT(E181)/E181</f>
        <v>2.2496063533292379E-2</v>
      </c>
      <c r="L181" s="177">
        <f>AVERAGE(J181:J181)</f>
        <v>195.51878193855103</v>
      </c>
      <c r="M181" s="178">
        <f>AVERAGE(K181:K181)/SQRT(3)</f>
        <v>1.298810833665328E-2</v>
      </c>
    </row>
    <row r="184" spans="1:13" ht="15" thickBot="1"/>
    <row r="185" spans="1:13">
      <c r="A185" s="51">
        <v>130</v>
      </c>
      <c r="B185" s="68" t="s">
        <v>129</v>
      </c>
      <c r="C185" s="2"/>
      <c r="D185" s="59"/>
      <c r="E185" s="3"/>
      <c r="F185" s="17"/>
    </row>
    <row r="186" spans="1:13" ht="15" thickBot="1">
      <c r="A186" s="4"/>
      <c r="B186" s="5"/>
      <c r="C186" s="5" t="s">
        <v>4</v>
      </c>
      <c r="D186" s="17" t="s">
        <v>5</v>
      </c>
      <c r="E186" s="6" t="s">
        <v>14</v>
      </c>
      <c r="F186" s="5"/>
      <c r="K186" s="17"/>
      <c r="L186" s="17"/>
      <c r="M186" s="17"/>
    </row>
    <row r="187" spans="1:13" ht="15" thickBot="1">
      <c r="A187" s="56" t="s">
        <v>17</v>
      </c>
      <c r="B187" s="53" t="s">
        <v>13</v>
      </c>
      <c r="C187" s="53" t="s">
        <v>16</v>
      </c>
      <c r="D187" s="158" t="s">
        <v>12</v>
      </c>
      <c r="E187" s="54" t="s">
        <v>15</v>
      </c>
      <c r="F187" s="6"/>
      <c r="G187" s="16" t="s">
        <v>49</v>
      </c>
      <c r="I187" s="366" t="s">
        <v>92</v>
      </c>
      <c r="J187" s="59" t="s">
        <v>94</v>
      </c>
      <c r="K187" s="59"/>
      <c r="L187" s="59" t="s">
        <v>107</v>
      </c>
      <c r="M187" s="60"/>
    </row>
    <row r="188" spans="1:13">
      <c r="A188" s="4" t="s">
        <v>18</v>
      </c>
      <c r="B188" s="5">
        <v>1</v>
      </c>
      <c r="C188" s="31">
        <f>$C$37</f>
        <v>0.32113425925925926</v>
      </c>
      <c r="D188" s="100">
        <f>$D$37</f>
        <v>44516</v>
      </c>
      <c r="E188" s="153">
        <f>$E$37</f>
        <v>93806</v>
      </c>
      <c r="F188" s="127"/>
      <c r="G188" s="24" t="str">
        <f>$G$17</f>
        <v>PASS</v>
      </c>
      <c r="I188" s="77" t="s">
        <v>93</v>
      </c>
      <c r="J188" s="17" t="s">
        <v>95</v>
      </c>
      <c r="K188" s="17" t="s">
        <v>60</v>
      </c>
      <c r="L188" s="31" t="s">
        <v>95</v>
      </c>
      <c r="M188" s="61" t="s">
        <v>60</v>
      </c>
    </row>
    <row r="189" spans="1:13" ht="15" thickBot="1">
      <c r="A189" s="4" t="s">
        <v>6</v>
      </c>
      <c r="B189" s="5">
        <v>9</v>
      </c>
      <c r="C189" s="31">
        <f>$C$38</f>
        <v>0.32222222222222224</v>
      </c>
      <c r="D189" s="100">
        <f>$D$38</f>
        <v>44516</v>
      </c>
      <c r="E189" s="153">
        <f>$E$38</f>
        <v>112</v>
      </c>
      <c r="F189" s="5"/>
      <c r="G189" s="25" t="str">
        <f>$G$18</f>
        <v>PASS</v>
      </c>
      <c r="I189" s="77"/>
      <c r="J189" s="17"/>
      <c r="K189" s="17" t="s">
        <v>30</v>
      </c>
      <c r="L189" s="31"/>
      <c r="M189" s="61" t="s">
        <v>30</v>
      </c>
    </row>
    <row r="190" spans="1:13" ht="15" thickBot="1">
      <c r="A190" s="56" t="s">
        <v>6</v>
      </c>
      <c r="B190" s="53">
        <v>10</v>
      </c>
      <c r="C190" s="58">
        <f>$C$39</f>
        <v>0.323275462962963</v>
      </c>
      <c r="D190" s="154">
        <f>$D$39</f>
        <v>44516</v>
      </c>
      <c r="E190" s="155">
        <f>$E$39</f>
        <v>104</v>
      </c>
      <c r="F190" s="5"/>
      <c r="G190" s="25" t="str">
        <f>$G$19</f>
        <v>PASS</v>
      </c>
      <c r="I190" s="77"/>
      <c r="J190" s="17"/>
      <c r="K190" s="17"/>
      <c r="L190" s="31"/>
      <c r="M190" s="61"/>
    </row>
    <row r="191" spans="1:13">
      <c r="A191" s="4" t="str">
        <f>"Arterial "&amp; $A$185&amp;"-1"</f>
        <v>Arterial 130-1</v>
      </c>
      <c r="B191" s="17">
        <v>9</v>
      </c>
      <c r="C191" s="218">
        <v>0.54258101851851859</v>
      </c>
      <c r="D191" s="100">
        <f>$D$37</f>
        <v>44516</v>
      </c>
      <c r="E191" s="220">
        <v>1997</v>
      </c>
      <c r="F191" s="5"/>
      <c r="I191" s="383">
        <f>(C191-$F$17)*24*60-$F$11</f>
        <v>191.95000000000002</v>
      </c>
      <c r="J191" s="384">
        <f>(EXP(LN(2)*I191/109.77)*(E191-AVERAGE($E$38:$E$39))/$F$10/60)</f>
        <v>199.61943899257307</v>
      </c>
      <c r="K191" s="385">
        <f t="shared" ref="K191:K192" si="32">SQRT(E191)/E191</f>
        <v>2.2377469175267232E-2</v>
      </c>
      <c r="L191" s="386">
        <f>AVERAGE(J191:J191)</f>
        <v>199.61943899257307</v>
      </c>
      <c r="M191" s="387">
        <f>AVERAGE(K191:K191)/SQRT(3)</f>
        <v>1.291963785212309E-2</v>
      </c>
    </row>
    <row r="192" spans="1:13" ht="15" thickBot="1">
      <c r="A192" s="75" t="str">
        <f>"Whole Blood Arterial " &amp;$A$185</f>
        <v>Whole Blood Arterial 130</v>
      </c>
      <c r="B192" s="8">
        <v>10</v>
      </c>
      <c r="C192" s="215">
        <v>0.54363425925925923</v>
      </c>
      <c r="D192" s="375">
        <f>$D$37</f>
        <v>44516</v>
      </c>
      <c r="E192" s="221">
        <v>1125</v>
      </c>
      <c r="F192" s="5"/>
      <c r="I192" s="369">
        <f>(C192-$F$17)*24*60-$F$11</f>
        <v>193.46666666666655</v>
      </c>
      <c r="J192" s="370">
        <f>(EXP(LN(2)*I192/109.77)*(E192-AVERAGE($E$38:$E$39))/$F$10/60)</f>
        <v>108.50533382849022</v>
      </c>
      <c r="K192" s="67">
        <f t="shared" si="32"/>
        <v>2.9814239699997195E-2</v>
      </c>
      <c r="L192" s="8"/>
      <c r="M192" s="9"/>
    </row>
    <row r="195" spans="1:13" ht="15" thickBot="1"/>
    <row r="196" spans="1:13">
      <c r="A196" s="51">
        <v>150</v>
      </c>
      <c r="B196" s="68" t="s">
        <v>129</v>
      </c>
      <c r="C196" s="2"/>
      <c r="D196" s="59"/>
      <c r="E196" s="3"/>
      <c r="F196" s="17"/>
    </row>
    <row r="197" spans="1:13" ht="15" thickBot="1">
      <c r="A197" s="4"/>
      <c r="B197" s="5"/>
      <c r="C197" s="5" t="s">
        <v>4</v>
      </c>
      <c r="D197" s="17" t="s">
        <v>5</v>
      </c>
      <c r="E197" s="6" t="s">
        <v>14</v>
      </c>
      <c r="F197" s="5"/>
      <c r="K197" s="17"/>
      <c r="L197" s="17"/>
      <c r="M197" s="17"/>
    </row>
    <row r="198" spans="1:13" ht="15" thickBot="1">
      <c r="A198" s="56" t="s">
        <v>17</v>
      </c>
      <c r="B198" s="53" t="s">
        <v>13</v>
      </c>
      <c r="C198" s="53" t="s">
        <v>16</v>
      </c>
      <c r="D198" s="158" t="s">
        <v>12</v>
      </c>
      <c r="E198" s="54" t="s">
        <v>15</v>
      </c>
      <c r="F198" s="6"/>
      <c r="G198" s="16" t="s">
        <v>49</v>
      </c>
      <c r="I198" s="366" t="s">
        <v>92</v>
      </c>
      <c r="J198" s="59" t="s">
        <v>94</v>
      </c>
      <c r="K198" s="59"/>
      <c r="L198" s="59" t="s">
        <v>107</v>
      </c>
      <c r="M198" s="60"/>
    </row>
    <row r="199" spans="1:13">
      <c r="A199" s="4" t="s">
        <v>18</v>
      </c>
      <c r="B199" s="5">
        <v>1</v>
      </c>
      <c r="C199" s="31">
        <f>$C$37</f>
        <v>0.32113425925925926</v>
      </c>
      <c r="D199" s="100">
        <f>$D$37</f>
        <v>44516</v>
      </c>
      <c r="E199" s="153">
        <f>$E$37</f>
        <v>93806</v>
      </c>
      <c r="F199" s="127"/>
      <c r="G199" s="24" t="str">
        <f>$G$17</f>
        <v>PASS</v>
      </c>
      <c r="I199" s="77" t="s">
        <v>93</v>
      </c>
      <c r="J199" s="17" t="s">
        <v>95</v>
      </c>
      <c r="K199" s="17" t="s">
        <v>60</v>
      </c>
      <c r="L199" s="31" t="s">
        <v>95</v>
      </c>
      <c r="M199" s="61" t="s">
        <v>60</v>
      </c>
    </row>
    <row r="200" spans="1:13" ht="15" thickBot="1">
      <c r="A200" s="4" t="s">
        <v>6</v>
      </c>
      <c r="B200" s="5">
        <v>9</v>
      </c>
      <c r="C200" s="31">
        <f>$C$38</f>
        <v>0.32222222222222224</v>
      </c>
      <c r="D200" s="100">
        <f>$D$38</f>
        <v>44516</v>
      </c>
      <c r="E200" s="153">
        <f>$E$38</f>
        <v>112</v>
      </c>
      <c r="F200" s="5"/>
      <c r="G200" s="25" t="str">
        <f>$G$18</f>
        <v>PASS</v>
      </c>
      <c r="I200" s="77"/>
      <c r="J200" s="17"/>
      <c r="K200" s="17" t="s">
        <v>30</v>
      </c>
      <c r="L200" s="31"/>
      <c r="M200" s="61" t="s">
        <v>30</v>
      </c>
    </row>
    <row r="201" spans="1:13" ht="15" thickBot="1">
      <c r="A201" s="56" t="s">
        <v>6</v>
      </c>
      <c r="B201" s="53">
        <v>10</v>
      </c>
      <c r="C201" s="58">
        <f>$C$39</f>
        <v>0.323275462962963</v>
      </c>
      <c r="D201" s="154">
        <f>$D$39</f>
        <v>44516</v>
      </c>
      <c r="E201" s="155">
        <f>$E$39</f>
        <v>104</v>
      </c>
      <c r="F201" s="5"/>
      <c r="G201" s="25" t="str">
        <f>$G$19</f>
        <v>PASS</v>
      </c>
      <c r="I201" s="77"/>
      <c r="J201" s="17"/>
      <c r="K201" s="17"/>
      <c r="L201" s="31"/>
      <c r="M201" s="61"/>
    </row>
    <row r="202" spans="1:13" ht="15" thickBot="1">
      <c r="A202" s="7" t="str">
        <f>"Arterial "&amp; $A$196&amp;"-1"</f>
        <v>Arterial 150-1</v>
      </c>
      <c r="B202" s="171">
        <v>9</v>
      </c>
      <c r="C202" s="215">
        <v>0.54468749999999999</v>
      </c>
      <c r="D202" s="375">
        <f>$D$37</f>
        <v>44516</v>
      </c>
      <c r="E202" s="217">
        <v>1972</v>
      </c>
      <c r="F202" s="5"/>
      <c r="I202" s="344">
        <f>(C202-$F$17)*24*60-$F$11</f>
        <v>194.98333333333323</v>
      </c>
      <c r="J202" s="345">
        <f>(EXP(LN(2)*I202/109.77)*(E202-AVERAGE($E$38:$E$39))/$F$10/60)</f>
        <v>200.78686749065622</v>
      </c>
      <c r="K202" s="346">
        <f t="shared" ref="K202" si="33">SQRT(E202)/E202</f>
        <v>2.251886745555225E-2</v>
      </c>
      <c r="L202" s="177">
        <f>AVERAGE(J202:J202)</f>
        <v>200.78686749065622</v>
      </c>
      <c r="M202" s="178">
        <f>AVERAGE(K202:K202)/SQRT(3)</f>
        <v>1.3001274187308596E-2</v>
      </c>
    </row>
  </sheetData>
  <mergeCells count="8">
    <mergeCell ref="A1:C1"/>
    <mergeCell ref="A7:C7"/>
    <mergeCell ref="D11:E11"/>
    <mergeCell ref="A11:B11"/>
    <mergeCell ref="B5:C5"/>
    <mergeCell ref="B4:C4"/>
    <mergeCell ref="B3:C3"/>
    <mergeCell ref="B2:C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C52"/>
  <sheetViews>
    <sheetView tabSelected="1" zoomScale="88" workbookViewId="0">
      <selection activeCell="N41" sqref="N41"/>
    </sheetView>
  </sheetViews>
  <sheetFormatPr baseColWidth="10" defaultColWidth="8.6640625" defaultRowHeight="14" x14ac:dyDescent="0"/>
  <cols>
    <col min="1" max="1" width="15.1640625" customWidth="1"/>
    <col min="2" max="2" width="6.1640625" bestFit="1" customWidth="1"/>
    <col min="9" max="9" width="10.5" bestFit="1" customWidth="1"/>
    <col min="10" max="13" width="9.33203125" bestFit="1" customWidth="1"/>
    <col min="19" max="19" width="12.33203125" customWidth="1"/>
  </cols>
  <sheetData>
    <row r="1" spans="1:25">
      <c r="A1" s="27" t="s">
        <v>51</v>
      </c>
      <c r="B1" s="27"/>
      <c r="C1" s="453" t="s">
        <v>50</v>
      </c>
      <c r="D1" s="453"/>
      <c r="E1" s="453" t="s">
        <v>277</v>
      </c>
      <c r="F1" s="453"/>
      <c r="J1" t="s">
        <v>79</v>
      </c>
      <c r="K1" s="452" t="str">
        <f>'Subject data'!C22</f>
        <v>DN/VM</v>
      </c>
      <c r="L1" s="452"/>
    </row>
    <row r="2" spans="1:25">
      <c r="A2" s="27" t="s">
        <v>85</v>
      </c>
      <c r="B2" s="27"/>
      <c r="C2" s="449" t="s">
        <v>232</v>
      </c>
      <c r="D2" s="449"/>
      <c r="E2" s="449" t="s">
        <v>233</v>
      </c>
      <c r="F2" s="449"/>
    </row>
    <row r="3" spans="1:25">
      <c r="A3" s="27" t="s">
        <v>86</v>
      </c>
      <c r="B3" s="27"/>
      <c r="C3" s="449" t="s">
        <v>230</v>
      </c>
      <c r="D3" s="449"/>
      <c r="E3" s="449" t="s">
        <v>231</v>
      </c>
      <c r="F3" s="449"/>
    </row>
    <row r="4" spans="1:25">
      <c r="A4" s="27" t="s">
        <v>87</v>
      </c>
      <c r="B4" s="27"/>
      <c r="C4" s="449" t="s">
        <v>301</v>
      </c>
      <c r="D4" s="449"/>
      <c r="E4" s="449">
        <v>72543</v>
      </c>
      <c r="F4" s="449"/>
    </row>
    <row r="5" spans="1:25">
      <c r="A5" s="27" t="s">
        <v>302</v>
      </c>
      <c r="B5" s="27"/>
      <c r="C5" s="449" t="s">
        <v>229</v>
      </c>
      <c r="D5" s="449"/>
      <c r="E5" s="449">
        <v>28434002438</v>
      </c>
      <c r="F5" s="449"/>
    </row>
    <row r="6" spans="1:25">
      <c r="A6" s="27" t="s">
        <v>303</v>
      </c>
      <c r="B6" s="27"/>
      <c r="C6" s="449" t="s">
        <v>232</v>
      </c>
      <c r="D6" s="449"/>
      <c r="E6" s="449" t="s">
        <v>235</v>
      </c>
      <c r="F6" s="449"/>
      <c r="G6" s="5"/>
    </row>
    <row r="7" spans="1:25">
      <c r="A7" s="27" t="s">
        <v>304</v>
      </c>
      <c r="B7" s="27"/>
      <c r="C7" s="449" t="s">
        <v>230</v>
      </c>
      <c r="D7" s="449"/>
      <c r="E7" s="449" t="s">
        <v>234</v>
      </c>
      <c r="F7" s="449"/>
      <c r="G7" s="5"/>
    </row>
    <row r="8" spans="1:25">
      <c r="A8" s="27" t="s">
        <v>305</v>
      </c>
      <c r="B8" s="27"/>
      <c r="C8" s="449" t="s">
        <v>301</v>
      </c>
      <c r="D8" s="449"/>
      <c r="E8" s="449">
        <v>72235</v>
      </c>
      <c r="F8" s="449"/>
      <c r="G8" s="5"/>
    </row>
    <row r="9" spans="1:25">
      <c r="I9" t="s">
        <v>286</v>
      </c>
      <c r="J9" t="s">
        <v>288</v>
      </c>
      <c r="K9" s="335">
        <v>8.1</v>
      </c>
      <c r="L9" t="s">
        <v>129</v>
      </c>
      <c r="S9" s="5"/>
      <c r="T9" s="5"/>
      <c r="U9" s="5"/>
      <c r="V9" s="5"/>
      <c r="W9" s="5"/>
      <c r="X9" s="5"/>
      <c r="Y9" s="5"/>
    </row>
    <row r="10" spans="1:25" ht="15" thickBot="1">
      <c r="A10" s="254" t="s">
        <v>274</v>
      </c>
      <c r="I10" t="s">
        <v>287</v>
      </c>
      <c r="J10" t="s">
        <v>288</v>
      </c>
      <c r="K10" s="335" t="s">
        <v>318</v>
      </c>
      <c r="L10" t="s">
        <v>129</v>
      </c>
      <c r="S10" s="5"/>
      <c r="T10" s="5"/>
      <c r="U10" s="5"/>
      <c r="V10" s="5"/>
      <c r="W10" s="5"/>
      <c r="X10" s="5"/>
      <c r="Y10" s="5"/>
    </row>
    <row r="11" spans="1:25" ht="15" thickBot="1">
      <c r="A11" s="152" t="s">
        <v>19</v>
      </c>
      <c r="B11" s="152"/>
      <c r="C11" s="446" t="s">
        <v>276</v>
      </c>
      <c r="D11" s="447"/>
      <c r="E11" s="447"/>
      <c r="F11" s="2"/>
      <c r="G11" s="2"/>
      <c r="H11" s="2"/>
      <c r="I11" s="446" t="s">
        <v>282</v>
      </c>
      <c r="J11" s="447"/>
      <c r="K11" s="448"/>
      <c r="L11" s="2"/>
      <c r="M11" s="2"/>
      <c r="N11" s="3"/>
      <c r="O11" s="2"/>
      <c r="P11" s="2"/>
      <c r="Q11" s="2"/>
      <c r="R11" s="2" t="s">
        <v>283</v>
      </c>
      <c r="S11" s="3"/>
      <c r="T11" s="5"/>
      <c r="U11" s="5"/>
      <c r="V11" s="5"/>
      <c r="W11" s="5"/>
      <c r="X11" s="5"/>
      <c r="Y11" s="5"/>
    </row>
    <row r="12" spans="1:25">
      <c r="A12" s="11"/>
      <c r="B12" s="11"/>
      <c r="C12" s="1" t="s">
        <v>23</v>
      </c>
      <c r="D12" s="2"/>
      <c r="E12" s="3" t="s">
        <v>21</v>
      </c>
      <c r="F12" s="1" t="s">
        <v>24</v>
      </c>
      <c r="G12" s="2"/>
      <c r="H12" s="2" t="s">
        <v>25</v>
      </c>
      <c r="I12" s="1" t="s">
        <v>26</v>
      </c>
      <c r="J12" s="2"/>
      <c r="K12" s="3" t="s">
        <v>121</v>
      </c>
      <c r="L12" s="2" t="s">
        <v>29</v>
      </c>
      <c r="M12" s="2"/>
      <c r="N12" s="3" t="s">
        <v>27</v>
      </c>
      <c r="O12" s="2" t="s">
        <v>28</v>
      </c>
      <c r="P12" s="2" t="s">
        <v>23</v>
      </c>
      <c r="Q12" s="2" t="s">
        <v>24</v>
      </c>
      <c r="R12" s="2" t="s">
        <v>26</v>
      </c>
      <c r="S12" s="3" t="s">
        <v>29</v>
      </c>
      <c r="T12" s="5"/>
      <c r="U12" s="5"/>
      <c r="V12" s="5"/>
      <c r="W12" s="5"/>
      <c r="X12" s="5"/>
      <c r="Y12" s="5"/>
    </row>
    <row r="13" spans="1:25" ht="15" thickBot="1">
      <c r="A13" s="12" t="s">
        <v>17</v>
      </c>
      <c r="B13" s="12" t="s">
        <v>191</v>
      </c>
      <c r="C13" s="7" t="s">
        <v>278</v>
      </c>
      <c r="D13" s="8" t="s">
        <v>187</v>
      </c>
      <c r="E13" s="9" t="s">
        <v>131</v>
      </c>
      <c r="F13" s="7" t="s">
        <v>278</v>
      </c>
      <c r="G13" s="8" t="s">
        <v>187</v>
      </c>
      <c r="H13" s="8" t="s">
        <v>131</v>
      </c>
      <c r="I13" s="7" t="s">
        <v>278</v>
      </c>
      <c r="J13" s="8" t="s">
        <v>187</v>
      </c>
      <c r="K13" s="9" t="s">
        <v>131</v>
      </c>
      <c r="L13" s="8" t="s">
        <v>278</v>
      </c>
      <c r="M13" s="8" t="s">
        <v>188</v>
      </c>
      <c r="N13" s="9"/>
      <c r="O13" s="8" t="s">
        <v>20</v>
      </c>
      <c r="P13" s="8" t="s">
        <v>31</v>
      </c>
      <c r="Q13" s="8" t="s">
        <v>31</v>
      </c>
      <c r="R13" s="8" t="s">
        <v>31</v>
      </c>
      <c r="S13" s="9" t="s">
        <v>31</v>
      </c>
      <c r="T13" s="5"/>
      <c r="U13" s="5"/>
      <c r="V13" s="5"/>
      <c r="W13" s="5"/>
      <c r="X13" s="5"/>
      <c r="Y13" s="5"/>
    </row>
    <row r="14" spans="1:25">
      <c r="A14" s="11" t="s">
        <v>189</v>
      </c>
      <c r="B14" s="376">
        <v>2</v>
      </c>
      <c r="C14" s="228">
        <v>4180</v>
      </c>
      <c r="D14" s="33">
        <f>C14*EXP(LN(2)/109.7*E14)</f>
        <v>4278.8742841464973</v>
      </c>
      <c r="E14" s="229">
        <v>3.7</v>
      </c>
      <c r="F14" s="348">
        <v>0</v>
      </c>
      <c r="G14" s="33">
        <f>F14*EXP(LN(2)/109.7*H14)</f>
        <v>0</v>
      </c>
      <c r="H14" s="146"/>
      <c r="I14" s="228">
        <v>784435</v>
      </c>
      <c r="J14" s="33">
        <f>I14*EXP(LN(2)/109.7*K14)</f>
        <v>827194.37639292784</v>
      </c>
      <c r="K14" s="229">
        <v>8.4</v>
      </c>
      <c r="L14" s="78">
        <v>0</v>
      </c>
      <c r="M14" s="33">
        <f>L14*EXP(LN(2)/109.7*N14)</f>
        <v>0</v>
      </c>
      <c r="N14" s="352"/>
      <c r="O14" s="48">
        <f t="shared" ref="O14:O20" si="0">C14+F14+I14+L14</f>
        <v>788615</v>
      </c>
      <c r="P14" s="132">
        <f t="shared" ref="P14:P20" si="1">C14/O14</f>
        <v>5.3004317696214252E-3</v>
      </c>
      <c r="Q14" s="132">
        <f t="shared" ref="Q14:Q20" si="2">F14/O14</f>
        <v>0</v>
      </c>
      <c r="R14" s="132">
        <f t="shared" ref="R14:R19" si="3">I14/O14</f>
        <v>0.99469956823037853</v>
      </c>
      <c r="S14" s="133">
        <f t="shared" ref="S14:S19" si="4">L14/O14</f>
        <v>0</v>
      </c>
      <c r="T14" s="132"/>
      <c r="U14" s="132"/>
      <c r="V14" s="132"/>
      <c r="W14" s="5"/>
      <c r="X14" s="5"/>
      <c r="Y14" s="5"/>
    </row>
    <row r="15" spans="1:25">
      <c r="A15" s="11" t="s">
        <v>241</v>
      </c>
      <c r="B15" s="377">
        <v>2</v>
      </c>
      <c r="C15" s="228">
        <v>10667</v>
      </c>
      <c r="D15" s="33">
        <f>C15*EXP(LN(2)/109.7*E15)</f>
        <v>10871.129168157702</v>
      </c>
      <c r="E15" s="229">
        <v>3</v>
      </c>
      <c r="F15" s="349">
        <v>0</v>
      </c>
      <c r="G15" s="33">
        <f>F15*EXP(LN(2)/109.7*H15)</f>
        <v>0</v>
      </c>
      <c r="H15" s="146"/>
      <c r="I15" s="228">
        <v>308638</v>
      </c>
      <c r="J15" s="33">
        <f>I15*EXP(LN(2)/109.7*K15)</f>
        <v>325667.49865336216</v>
      </c>
      <c r="K15" s="229">
        <v>8.5</v>
      </c>
      <c r="L15" s="78">
        <v>0</v>
      </c>
      <c r="M15" s="33">
        <f>L15*EXP(LN(2)/109.7*N15)</f>
        <v>0</v>
      </c>
      <c r="N15" s="352"/>
      <c r="O15" s="48">
        <f t="shared" si="0"/>
        <v>319305</v>
      </c>
      <c r="P15" s="132">
        <f t="shared" si="1"/>
        <v>3.3406930677565339E-2</v>
      </c>
      <c r="Q15" s="132">
        <f t="shared" si="2"/>
        <v>0</v>
      </c>
      <c r="R15" s="132">
        <f>I15/O15</f>
        <v>0.96659306932243472</v>
      </c>
      <c r="S15" s="133">
        <f>L15/O15</f>
        <v>0</v>
      </c>
      <c r="T15" s="132"/>
      <c r="U15" s="132"/>
      <c r="V15" s="132"/>
      <c r="W15" s="5"/>
      <c r="X15" s="5"/>
      <c r="Y15" s="5"/>
    </row>
    <row r="16" spans="1:25">
      <c r="A16" s="11" t="s">
        <v>199</v>
      </c>
      <c r="B16" s="377">
        <v>2</v>
      </c>
      <c r="C16" s="228">
        <v>22741</v>
      </c>
      <c r="D16" s="33">
        <f>C16*EXP(LN(2)/109.7*E16)</f>
        <v>23176.183407994216</v>
      </c>
      <c r="E16" s="229">
        <v>3</v>
      </c>
      <c r="F16" s="349">
        <v>0</v>
      </c>
      <c r="G16" s="33">
        <f>F16*EXP(LN(2)/109.7*H16)</f>
        <v>0</v>
      </c>
      <c r="H16" s="146"/>
      <c r="I16" s="228">
        <v>112333</v>
      </c>
      <c r="J16" s="33">
        <f>I16*EXP(LN(2)/109.7*K16)</f>
        <v>118456.24670412051</v>
      </c>
      <c r="K16" s="229">
        <v>8.4</v>
      </c>
      <c r="L16" s="78">
        <v>0</v>
      </c>
      <c r="M16" s="33">
        <f>L16*EXP(LN(2)/109.7*N16)</f>
        <v>0</v>
      </c>
      <c r="N16" s="352"/>
      <c r="O16" s="48">
        <f t="shared" si="0"/>
        <v>135074</v>
      </c>
      <c r="P16" s="132">
        <f t="shared" si="1"/>
        <v>0.16835956586759851</v>
      </c>
      <c r="Q16" s="132">
        <f t="shared" si="2"/>
        <v>0</v>
      </c>
      <c r="R16" s="132">
        <f>I16/O16</f>
        <v>0.83164043413240152</v>
      </c>
      <c r="S16" s="133">
        <f>L16/O16</f>
        <v>0</v>
      </c>
      <c r="T16" s="132"/>
      <c r="U16" s="132"/>
      <c r="V16" s="132"/>
      <c r="W16" s="5"/>
      <c r="X16" s="5"/>
      <c r="Y16" s="5"/>
    </row>
    <row r="17" spans="1:29">
      <c r="A17" s="11" t="s">
        <v>156</v>
      </c>
      <c r="B17" s="377">
        <v>2</v>
      </c>
      <c r="C17" s="228">
        <v>33304</v>
      </c>
      <c r="D17" s="33">
        <f t="shared" ref="D17:D19" si="5">C17*EXP(LN(2)/109.7*E17)</f>
        <v>33941.322378956043</v>
      </c>
      <c r="E17" s="229">
        <v>3</v>
      </c>
      <c r="F17" s="349">
        <v>0</v>
      </c>
      <c r="G17" s="33">
        <f t="shared" ref="G17:G20" si="6">F17*EXP(LN(2)/109.7*H17)</f>
        <v>0</v>
      </c>
      <c r="H17" s="146"/>
      <c r="I17" s="228">
        <v>54812</v>
      </c>
      <c r="J17" s="33">
        <f t="shared" ref="J17:J20" si="7">I17*EXP(LN(2)/109.7*K17)</f>
        <v>57836.322605084548</v>
      </c>
      <c r="K17" s="229">
        <v>8.5</v>
      </c>
      <c r="L17" s="78">
        <v>0</v>
      </c>
      <c r="M17" s="33">
        <f t="shared" ref="M17:M20" si="8">L17*EXP(LN(2)/109.7*N17)</f>
        <v>0</v>
      </c>
      <c r="N17" s="352"/>
      <c r="O17" s="48">
        <f t="shared" si="0"/>
        <v>88116</v>
      </c>
      <c r="P17" s="132">
        <f t="shared" si="1"/>
        <v>0.37795633029188797</v>
      </c>
      <c r="Q17" s="132">
        <f t="shared" si="2"/>
        <v>0</v>
      </c>
      <c r="R17" s="132">
        <f t="shared" si="3"/>
        <v>0.62204366970811198</v>
      </c>
      <c r="S17" s="133">
        <f t="shared" si="4"/>
        <v>0</v>
      </c>
      <c r="T17" s="132"/>
      <c r="U17" s="132"/>
      <c r="V17" s="132"/>
      <c r="W17" s="5"/>
      <c r="X17" s="5"/>
      <c r="Y17" s="5"/>
    </row>
    <row r="18" spans="1:29">
      <c r="A18" s="11" t="s">
        <v>157</v>
      </c>
      <c r="B18" s="377">
        <v>2</v>
      </c>
      <c r="C18" s="228">
        <v>45806</v>
      </c>
      <c r="D18" s="33">
        <f>C18*EXP(LN(2)/109.7*E18)</f>
        <v>46682.567045714044</v>
      </c>
      <c r="E18" s="229">
        <v>3</v>
      </c>
      <c r="F18" s="157">
        <v>0</v>
      </c>
      <c r="G18" s="33">
        <f>F18*EXP(LN(2)/109.7*H18)</f>
        <v>0</v>
      </c>
      <c r="H18" s="146"/>
      <c r="I18" s="228">
        <v>29827</v>
      </c>
      <c r="J18" s="33">
        <f>I18*EXP(LN(2)/109.7*K18)</f>
        <v>31492.635650168369</v>
      </c>
      <c r="K18" s="229">
        <v>8.6</v>
      </c>
      <c r="L18" s="78">
        <v>0</v>
      </c>
      <c r="M18" s="33">
        <f>L18*EXP(LN(2)/109.7*N18)</f>
        <v>0</v>
      </c>
      <c r="N18" s="352"/>
      <c r="O18" s="48">
        <f t="shared" si="0"/>
        <v>75633</v>
      </c>
      <c r="P18" s="132">
        <f t="shared" si="1"/>
        <v>0.60563510636891305</v>
      </c>
      <c r="Q18" s="132">
        <f t="shared" si="2"/>
        <v>0</v>
      </c>
      <c r="R18" s="132">
        <f>I18/O18</f>
        <v>0.39436489363108695</v>
      </c>
      <c r="S18" s="133">
        <f>L18/O18</f>
        <v>0</v>
      </c>
      <c r="T18" s="132"/>
      <c r="U18" s="132"/>
      <c r="V18" s="132"/>
      <c r="W18" s="5"/>
      <c r="X18" s="5"/>
      <c r="Y18" s="5"/>
    </row>
    <row r="19" spans="1:29">
      <c r="A19" s="11" t="s">
        <v>130</v>
      </c>
      <c r="B19" s="377">
        <v>2</v>
      </c>
      <c r="C19" s="228">
        <v>43130</v>
      </c>
      <c r="D19" s="33">
        <f t="shared" si="5"/>
        <v>43955.357740943255</v>
      </c>
      <c r="E19" s="229">
        <v>3</v>
      </c>
      <c r="F19" s="349">
        <v>0</v>
      </c>
      <c r="G19" s="33">
        <f t="shared" si="6"/>
        <v>0</v>
      </c>
      <c r="H19" s="146"/>
      <c r="I19" s="228">
        <v>19524</v>
      </c>
      <c r="J19" s="33">
        <f t="shared" si="7"/>
        <v>20588.248873004806</v>
      </c>
      <c r="K19" s="229">
        <v>8.4</v>
      </c>
      <c r="L19" s="78">
        <v>0</v>
      </c>
      <c r="M19" s="33">
        <f t="shared" si="8"/>
        <v>0</v>
      </c>
      <c r="N19" s="352"/>
      <c r="O19" s="48">
        <f t="shared" si="0"/>
        <v>62654</v>
      </c>
      <c r="P19" s="132">
        <f t="shared" si="1"/>
        <v>0.68838382226194661</v>
      </c>
      <c r="Q19" s="132">
        <f t="shared" si="2"/>
        <v>0</v>
      </c>
      <c r="R19" s="132">
        <f t="shared" si="3"/>
        <v>0.31161617773805345</v>
      </c>
      <c r="S19" s="133">
        <f t="shared" si="4"/>
        <v>0</v>
      </c>
      <c r="T19" s="132"/>
      <c r="U19" s="132"/>
      <c r="V19" s="132"/>
      <c r="W19" s="5"/>
      <c r="X19" s="5"/>
      <c r="Y19" s="5"/>
    </row>
    <row r="20" spans="1:29" ht="15" thickBot="1">
      <c r="A20" s="12" t="s">
        <v>296</v>
      </c>
      <c r="B20" s="378">
        <v>2</v>
      </c>
      <c r="C20" s="327">
        <v>39263</v>
      </c>
      <c r="D20" s="151">
        <f>C20*EXP(LN(2)/109.7*E20)</f>
        <v>40014.35685097739</v>
      </c>
      <c r="E20" s="230">
        <v>3</v>
      </c>
      <c r="F20" s="350">
        <v>0</v>
      </c>
      <c r="G20" s="151">
        <f t="shared" si="6"/>
        <v>0</v>
      </c>
      <c r="H20" s="351"/>
      <c r="I20" s="327">
        <v>14202</v>
      </c>
      <c r="J20" s="151">
        <f t="shared" si="7"/>
        <v>14985.613618138561</v>
      </c>
      <c r="K20" s="230">
        <v>8.5</v>
      </c>
      <c r="L20" s="268">
        <v>0</v>
      </c>
      <c r="M20" s="151">
        <f t="shared" si="8"/>
        <v>0</v>
      </c>
      <c r="N20" s="353"/>
      <c r="O20" s="66">
        <f t="shared" si="0"/>
        <v>53465</v>
      </c>
      <c r="P20" s="180">
        <f t="shared" si="1"/>
        <v>0.73436827831291496</v>
      </c>
      <c r="Q20" s="180">
        <f t="shared" si="2"/>
        <v>0</v>
      </c>
      <c r="R20" s="180">
        <f t="shared" ref="R20" si="9">I20/O20</f>
        <v>0.26563172168708499</v>
      </c>
      <c r="S20" s="134">
        <f t="shared" ref="S20" si="10">L20/O20</f>
        <v>0</v>
      </c>
      <c r="T20" s="148"/>
      <c r="U20" s="148"/>
      <c r="V20" s="148"/>
      <c r="W20" s="17"/>
      <c r="X20" s="17"/>
      <c r="Y20" s="17"/>
      <c r="Z20" s="17"/>
      <c r="AA20" s="17"/>
      <c r="AB20" s="17"/>
      <c r="AC20" s="17"/>
    </row>
    <row r="21" spans="1:29">
      <c r="T21" s="148"/>
      <c r="U21" s="148"/>
      <c r="V21" s="148"/>
      <c r="W21" s="17"/>
      <c r="X21" s="17"/>
      <c r="Y21" s="17"/>
      <c r="Z21" s="17"/>
      <c r="AA21" s="17"/>
      <c r="AB21" s="17"/>
      <c r="AC21" s="17"/>
    </row>
    <row r="22" spans="1:29" hidden="1">
      <c r="T22" s="148"/>
      <c r="U22" s="148"/>
      <c r="V22" s="148"/>
      <c r="W22" s="17"/>
      <c r="X22" s="17"/>
      <c r="Y22" s="17"/>
      <c r="Z22" s="17"/>
      <c r="AA22" s="17"/>
      <c r="AB22" s="17"/>
      <c r="AC22" s="17"/>
    </row>
    <row r="23" spans="1:29" ht="15" hidden="1" thickBot="1">
      <c r="A23" s="451">
        <v>2</v>
      </c>
      <c r="B23" s="451"/>
      <c r="D23" s="451">
        <v>6</v>
      </c>
      <c r="E23" s="451"/>
      <c r="F23" s="451"/>
      <c r="H23" s="451">
        <v>12</v>
      </c>
      <c r="I23" s="451"/>
      <c r="J23" s="451"/>
      <c r="L23" s="451">
        <v>18</v>
      </c>
      <c r="M23" s="451"/>
      <c r="N23" s="451"/>
      <c r="P23" s="451">
        <v>25</v>
      </c>
      <c r="Q23" s="451"/>
      <c r="R23" s="451"/>
      <c r="T23" s="450">
        <v>30</v>
      </c>
      <c r="U23" s="450"/>
      <c r="V23" s="450"/>
      <c r="W23" s="17"/>
      <c r="X23" s="17"/>
      <c r="Y23" s="17"/>
      <c r="Z23" s="17"/>
      <c r="AA23" s="17"/>
      <c r="AB23" s="17"/>
      <c r="AC23" s="17"/>
    </row>
    <row r="24" spans="1:29" hidden="1">
      <c r="A24" s="157">
        <v>2</v>
      </c>
      <c r="B24" s="160" t="e">
        <f>A24+#REF!/60</f>
        <v>#REF!</v>
      </c>
      <c r="C24" s="5"/>
      <c r="D24" s="157">
        <v>1</v>
      </c>
      <c r="E24" s="33">
        <v>40</v>
      </c>
      <c r="F24" s="160">
        <f t="shared" ref="F24:F27" si="11">D24+E24/60</f>
        <v>1.6666666666666665</v>
      </c>
      <c r="G24" s="5"/>
      <c r="H24" s="157"/>
      <c r="I24" s="33"/>
      <c r="J24" s="160"/>
      <c r="K24" s="5"/>
      <c r="L24" s="157">
        <v>2</v>
      </c>
      <c r="M24" s="33">
        <v>10</v>
      </c>
      <c r="N24" s="160">
        <f t="shared" ref="N24:N27" si="12">L24+M24/60</f>
        <v>2.1666666666666665</v>
      </c>
      <c r="O24" s="148"/>
      <c r="P24" s="157"/>
      <c r="Q24" s="33"/>
      <c r="R24" s="160"/>
      <c r="S24" s="17"/>
      <c r="T24" s="157">
        <v>2</v>
      </c>
      <c r="U24" s="33">
        <v>20</v>
      </c>
      <c r="V24" s="160">
        <f t="shared" ref="V24:V27" si="13">T24+U24/60</f>
        <v>2.3333333333333335</v>
      </c>
      <c r="W24" s="78"/>
      <c r="X24" s="149"/>
      <c r="Y24" s="78"/>
      <c r="Z24" s="149"/>
      <c r="AA24" s="78"/>
      <c r="AB24" s="149"/>
      <c r="AC24" s="17"/>
    </row>
    <row r="25" spans="1:29" hidden="1">
      <c r="A25" s="157">
        <v>4</v>
      </c>
      <c r="B25" s="160" t="e">
        <f>A25+#REF!/60</f>
        <v>#REF!</v>
      </c>
      <c r="C25" s="149"/>
      <c r="D25" s="157">
        <v>7</v>
      </c>
      <c r="E25" s="33">
        <v>40</v>
      </c>
      <c r="F25" s="160">
        <f t="shared" si="11"/>
        <v>7.666666666666667</v>
      </c>
      <c r="G25" s="78"/>
      <c r="H25" s="157"/>
      <c r="I25" s="33"/>
      <c r="J25" s="160"/>
      <c r="K25" s="78"/>
      <c r="L25" s="157">
        <v>4</v>
      </c>
      <c r="M25" s="33">
        <v>20</v>
      </c>
      <c r="N25" s="160">
        <f t="shared" si="12"/>
        <v>4.333333333333333</v>
      </c>
      <c r="O25" s="148"/>
      <c r="P25" s="157"/>
      <c r="Q25" s="33"/>
      <c r="R25" s="160"/>
      <c r="S25" s="17"/>
      <c r="T25" s="157">
        <v>6</v>
      </c>
      <c r="U25" s="33">
        <v>20</v>
      </c>
      <c r="V25" s="160">
        <f t="shared" si="13"/>
        <v>6.333333333333333</v>
      </c>
      <c r="W25" s="17"/>
      <c r="X25" s="17"/>
      <c r="Y25" s="17"/>
      <c r="Z25" s="17"/>
      <c r="AA25" s="17"/>
      <c r="AB25" s="17"/>
      <c r="AC25" s="17"/>
    </row>
    <row r="26" spans="1:29" hidden="1">
      <c r="A26" s="157">
        <v>7</v>
      </c>
      <c r="B26" s="160" t="e">
        <f>A26+#REF!/60</f>
        <v>#REF!</v>
      </c>
      <c r="C26" s="156"/>
      <c r="D26" s="157">
        <v>9</v>
      </c>
      <c r="E26" s="33">
        <v>10</v>
      </c>
      <c r="F26" s="160">
        <f t="shared" si="11"/>
        <v>9.1666666666666661</v>
      </c>
      <c r="H26" s="157"/>
      <c r="I26" s="33"/>
      <c r="J26" s="160"/>
      <c r="K26" s="33"/>
      <c r="L26" s="157">
        <v>7</v>
      </c>
      <c r="M26" s="33">
        <v>20</v>
      </c>
      <c r="N26" s="160">
        <f t="shared" si="12"/>
        <v>7.333333333333333</v>
      </c>
      <c r="O26" s="148"/>
      <c r="P26" s="157"/>
      <c r="Q26" s="33"/>
      <c r="R26" s="160"/>
      <c r="S26" s="17"/>
      <c r="T26" s="157">
        <v>9</v>
      </c>
      <c r="U26" s="33">
        <v>20</v>
      </c>
      <c r="V26" s="160">
        <f t="shared" si="13"/>
        <v>9.3333333333333339</v>
      </c>
      <c r="W26" s="17"/>
      <c r="X26" s="17"/>
      <c r="Y26" s="17"/>
      <c r="Z26" s="17"/>
      <c r="AA26" s="17"/>
      <c r="AB26" s="17"/>
      <c r="AC26" s="17"/>
    </row>
    <row r="27" spans="1:29" ht="15" hidden="1" thickBot="1">
      <c r="A27" s="159">
        <v>14</v>
      </c>
      <c r="B27" s="160" t="e">
        <f>A27+#REF!/60</f>
        <v>#REF!</v>
      </c>
      <c r="C27" s="156"/>
      <c r="D27" s="159">
        <v>10</v>
      </c>
      <c r="E27" s="151">
        <v>50</v>
      </c>
      <c r="F27" s="160">
        <f t="shared" si="11"/>
        <v>10.833333333333334</v>
      </c>
      <c r="H27" s="159"/>
      <c r="I27" s="151"/>
      <c r="J27" s="160"/>
      <c r="K27" s="33"/>
      <c r="L27" s="159">
        <v>12</v>
      </c>
      <c r="M27" s="151">
        <v>0</v>
      </c>
      <c r="N27" s="160">
        <f t="shared" si="12"/>
        <v>12</v>
      </c>
      <c r="O27" s="148"/>
      <c r="P27" s="159"/>
      <c r="Q27" s="151"/>
      <c r="R27" s="160"/>
      <c r="S27" s="17"/>
      <c r="T27" s="159">
        <v>14</v>
      </c>
      <c r="U27" s="151">
        <v>40</v>
      </c>
      <c r="V27" s="160">
        <f t="shared" si="13"/>
        <v>14.666666666666666</v>
      </c>
      <c r="W27" s="17"/>
      <c r="X27" s="17"/>
      <c r="Y27" s="17"/>
      <c r="Z27" s="17"/>
      <c r="AA27" s="17"/>
      <c r="AB27" s="17"/>
      <c r="AC27" s="17"/>
    </row>
    <row r="28" spans="1:29" hidden="1">
      <c r="A28" s="17"/>
      <c r="B28" s="33"/>
      <c r="C28" s="156"/>
      <c r="D28" s="156"/>
      <c r="E28" s="146"/>
      <c r="I28" s="33"/>
      <c r="J28" s="46"/>
      <c r="K28" s="33"/>
      <c r="L28" s="33"/>
      <c r="M28" s="146"/>
      <c r="N28" s="150"/>
      <c r="O28" s="148"/>
      <c r="P28" s="148"/>
      <c r="Q28" s="148"/>
      <c r="R28" s="14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" hidden="1" thickBot="1">
      <c r="A29" s="450">
        <v>40</v>
      </c>
      <c r="B29" s="450"/>
      <c r="C29" s="17"/>
      <c r="D29" s="450">
        <v>50</v>
      </c>
      <c r="E29" s="450"/>
      <c r="F29" s="450"/>
      <c r="G29" s="17"/>
      <c r="H29" s="450">
        <v>60</v>
      </c>
      <c r="I29" s="450"/>
      <c r="J29" s="450"/>
      <c r="K29" s="17"/>
      <c r="L29" s="450">
        <v>90</v>
      </c>
      <c r="M29" s="450"/>
      <c r="N29" s="450"/>
      <c r="O29" s="17"/>
      <c r="P29" s="450">
        <v>120</v>
      </c>
      <c r="Q29" s="450"/>
      <c r="R29" s="450"/>
      <c r="S29" s="17"/>
      <c r="T29" s="450">
        <v>150</v>
      </c>
      <c r="U29" s="450"/>
      <c r="V29" s="450"/>
      <c r="W29" s="17"/>
      <c r="X29" s="17"/>
      <c r="Y29" s="17"/>
      <c r="Z29" s="17"/>
      <c r="AA29" s="17"/>
      <c r="AB29" s="17"/>
      <c r="AC29" s="17"/>
    </row>
    <row r="30" spans="1:29" hidden="1">
      <c r="A30" s="157"/>
      <c r="B30" s="160"/>
      <c r="C30" s="17"/>
      <c r="D30" s="157">
        <v>2</v>
      </c>
      <c r="E30" s="33">
        <v>30</v>
      </c>
      <c r="F30" s="160">
        <f t="shared" ref="F30:F33" si="14">D30+E30/60</f>
        <v>2.5</v>
      </c>
      <c r="G30" s="17"/>
      <c r="H30" s="157"/>
      <c r="I30" s="33"/>
      <c r="J30" s="160"/>
      <c r="K30" s="17"/>
      <c r="L30" s="157">
        <v>2</v>
      </c>
      <c r="M30" s="33">
        <v>0</v>
      </c>
      <c r="N30" s="160">
        <f t="shared" ref="N30:N33" si="15">L30+M30/60</f>
        <v>2</v>
      </c>
      <c r="O30" s="17"/>
      <c r="P30" s="157">
        <v>2</v>
      </c>
      <c r="Q30" s="33">
        <v>10</v>
      </c>
      <c r="R30" s="160">
        <f t="shared" ref="R30:R33" si="16">P30+Q30/60</f>
        <v>2.1666666666666665</v>
      </c>
      <c r="S30" s="17"/>
      <c r="T30" s="157">
        <v>2</v>
      </c>
      <c r="U30" s="33">
        <v>50</v>
      </c>
      <c r="V30" s="160">
        <f t="shared" ref="V30:V33" si="17">T30+U30/60</f>
        <v>2.8333333333333335</v>
      </c>
      <c r="W30" s="17"/>
      <c r="X30" s="17"/>
      <c r="Y30" s="17"/>
      <c r="Z30" s="17"/>
      <c r="AA30" s="17"/>
      <c r="AB30" s="17"/>
      <c r="AC30" s="17"/>
    </row>
    <row r="31" spans="1:29" hidden="1">
      <c r="A31" s="157"/>
      <c r="B31" s="160"/>
      <c r="C31" s="17"/>
      <c r="D31" s="157">
        <v>5</v>
      </c>
      <c r="E31" s="33">
        <v>0</v>
      </c>
      <c r="F31" s="160">
        <f t="shared" si="14"/>
        <v>5</v>
      </c>
      <c r="G31" s="17"/>
      <c r="H31" s="157"/>
      <c r="I31" s="33"/>
      <c r="J31" s="160"/>
      <c r="K31" s="17"/>
      <c r="L31" s="157">
        <v>6</v>
      </c>
      <c r="M31" s="33">
        <v>10</v>
      </c>
      <c r="N31" s="160">
        <f t="shared" si="15"/>
        <v>6.166666666666667</v>
      </c>
      <c r="O31" s="17"/>
      <c r="P31" s="157">
        <v>4</v>
      </c>
      <c r="Q31" s="33">
        <v>30</v>
      </c>
      <c r="R31" s="160">
        <f t="shared" si="16"/>
        <v>4.5</v>
      </c>
      <c r="S31" s="17"/>
      <c r="T31" s="157">
        <v>7</v>
      </c>
      <c r="U31" s="33">
        <v>50</v>
      </c>
      <c r="V31" s="160">
        <f t="shared" si="17"/>
        <v>7.833333333333333</v>
      </c>
      <c r="W31" s="17"/>
      <c r="X31" s="17"/>
      <c r="Y31" s="17"/>
      <c r="Z31" s="17"/>
      <c r="AA31" s="17"/>
      <c r="AB31" s="17"/>
      <c r="AC31" s="17"/>
    </row>
    <row r="32" spans="1:29" hidden="1">
      <c r="A32" s="157"/>
      <c r="B32" s="160"/>
      <c r="C32" s="17"/>
      <c r="D32" s="157">
        <v>7</v>
      </c>
      <c r="E32" s="33">
        <v>30</v>
      </c>
      <c r="F32" s="160">
        <f t="shared" si="14"/>
        <v>7.5</v>
      </c>
      <c r="G32" s="17"/>
      <c r="H32" s="157"/>
      <c r="I32" s="33"/>
      <c r="J32" s="160"/>
      <c r="K32" s="17"/>
      <c r="L32" s="157">
        <v>7</v>
      </c>
      <c r="M32" s="33">
        <v>10</v>
      </c>
      <c r="N32" s="160">
        <f t="shared" si="15"/>
        <v>7.166666666666667</v>
      </c>
      <c r="O32" s="17"/>
      <c r="P32" s="157">
        <v>8</v>
      </c>
      <c r="Q32" s="33">
        <v>30</v>
      </c>
      <c r="R32" s="160">
        <f t="shared" si="16"/>
        <v>8.5</v>
      </c>
      <c r="S32" s="17"/>
      <c r="T32" s="157">
        <v>9</v>
      </c>
      <c r="U32" s="33">
        <v>40</v>
      </c>
      <c r="V32" s="160">
        <f t="shared" si="17"/>
        <v>9.6666666666666661</v>
      </c>
      <c r="W32" s="17"/>
      <c r="X32" s="17"/>
      <c r="Y32" s="17"/>
      <c r="Z32" s="17"/>
      <c r="AA32" s="17"/>
      <c r="AB32" s="17"/>
      <c r="AC32" s="17"/>
    </row>
    <row r="33" spans="1:29" ht="15" hidden="1" thickBot="1">
      <c r="A33" s="159"/>
      <c r="B33" s="160"/>
      <c r="C33" s="17"/>
      <c r="D33" s="159">
        <v>10</v>
      </c>
      <c r="E33" s="151">
        <v>30</v>
      </c>
      <c r="F33" s="160">
        <f t="shared" si="14"/>
        <v>10.5</v>
      </c>
      <c r="G33" s="17"/>
      <c r="H33" s="159"/>
      <c r="I33" s="151"/>
      <c r="J33" s="160"/>
      <c r="K33" s="17"/>
      <c r="L33" s="159">
        <v>13</v>
      </c>
      <c r="M33" s="151">
        <v>50</v>
      </c>
      <c r="N33" s="160">
        <f t="shared" si="15"/>
        <v>13.833333333333334</v>
      </c>
      <c r="O33" s="17"/>
      <c r="P33" s="159">
        <v>11</v>
      </c>
      <c r="Q33" s="151">
        <v>30</v>
      </c>
      <c r="R33" s="160">
        <f t="shared" si="16"/>
        <v>11.5</v>
      </c>
      <c r="S33" s="17"/>
      <c r="T33" s="159">
        <v>12</v>
      </c>
      <c r="U33" s="151">
        <v>30</v>
      </c>
      <c r="V33" s="160">
        <f t="shared" si="17"/>
        <v>12.5</v>
      </c>
      <c r="W33" s="17"/>
      <c r="X33" s="17"/>
      <c r="Y33" s="17"/>
      <c r="Z33" s="17"/>
      <c r="AA33" s="17"/>
      <c r="AB33" s="17"/>
      <c r="AC33" s="17"/>
    </row>
    <row r="34" spans="1:29" hidden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idden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idden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idden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idden="1">
      <c r="A40" t="str">
        <f>A17</f>
        <v>Arterial 30</v>
      </c>
    </row>
    <row r="49" spans="4:11">
      <c r="D49" s="108"/>
      <c r="E49" s="108"/>
      <c r="F49" s="108"/>
      <c r="G49" s="108"/>
      <c r="H49" s="108"/>
      <c r="I49" s="108"/>
      <c r="J49" s="108"/>
      <c r="K49" s="108"/>
    </row>
    <row r="50" spans="4:11">
      <c r="D50" s="108"/>
      <c r="E50" s="108"/>
      <c r="F50" s="108"/>
      <c r="G50" s="108"/>
      <c r="H50" s="108"/>
      <c r="I50" s="108"/>
      <c r="J50" s="108"/>
      <c r="K50" s="108"/>
    </row>
    <row r="51" spans="4:11">
      <c r="D51" s="108"/>
      <c r="E51" s="108"/>
      <c r="F51" s="108"/>
      <c r="G51" s="108"/>
      <c r="H51" s="108"/>
      <c r="I51" s="108"/>
      <c r="J51" s="108"/>
      <c r="K51" s="108"/>
    </row>
    <row r="52" spans="4:11">
      <c r="E52" s="108"/>
      <c r="F52" s="108"/>
      <c r="G52" s="108"/>
      <c r="H52" s="108"/>
      <c r="I52" s="108"/>
      <c r="J52" s="108"/>
      <c r="K52" s="108"/>
    </row>
  </sheetData>
  <mergeCells count="31">
    <mergeCell ref="K1:L1"/>
    <mergeCell ref="C1:D1"/>
    <mergeCell ref="C6:D6"/>
    <mergeCell ref="C7:D7"/>
    <mergeCell ref="C8:D8"/>
    <mergeCell ref="C2:D2"/>
    <mergeCell ref="C3:D3"/>
    <mergeCell ref="C4:D4"/>
    <mergeCell ref="C5:D5"/>
    <mergeCell ref="E1:F1"/>
    <mergeCell ref="E5:F5"/>
    <mergeCell ref="E4:F4"/>
    <mergeCell ref="E3:F3"/>
    <mergeCell ref="E2:F2"/>
    <mergeCell ref="T23:V23"/>
    <mergeCell ref="A29:B29"/>
    <mergeCell ref="D29:F29"/>
    <mergeCell ref="H29:J29"/>
    <mergeCell ref="L29:N29"/>
    <mergeCell ref="P29:R29"/>
    <mergeCell ref="T29:V29"/>
    <mergeCell ref="A23:B23"/>
    <mergeCell ref="D23:F23"/>
    <mergeCell ref="H23:J23"/>
    <mergeCell ref="L23:N23"/>
    <mergeCell ref="P23:R23"/>
    <mergeCell ref="I11:K11"/>
    <mergeCell ref="C11:E11"/>
    <mergeCell ref="E6:F6"/>
    <mergeCell ref="E7:F7"/>
    <mergeCell ref="E8:F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O28"/>
  <sheetViews>
    <sheetView workbookViewId="0">
      <selection activeCell="F22" sqref="F22:F28"/>
    </sheetView>
  </sheetViews>
  <sheetFormatPr baseColWidth="10" defaultColWidth="8.6640625" defaultRowHeight="14" x14ac:dyDescent="0"/>
  <cols>
    <col min="1" max="1" width="17.1640625" customWidth="1"/>
    <col min="3" max="3" width="10.5" bestFit="1" customWidth="1"/>
    <col min="4" max="4" width="21" bestFit="1" customWidth="1"/>
    <col min="5" max="5" width="11.33203125" bestFit="1" customWidth="1"/>
    <col min="6" max="6" width="20.33203125" bestFit="1" customWidth="1"/>
    <col min="7" max="7" width="14" customWidth="1"/>
    <col min="9" max="9" width="10.6640625" customWidth="1"/>
    <col min="13" max="13" width="12.33203125" bestFit="1" customWidth="1"/>
    <col min="14" max="14" width="14.1640625" customWidth="1"/>
  </cols>
  <sheetData>
    <row r="1" spans="1:12" ht="15" thickBot="1">
      <c r="A1" s="405" t="s">
        <v>65</v>
      </c>
      <c r="B1" s="414"/>
      <c r="C1" s="406"/>
      <c r="D1" s="2" t="s">
        <v>73</v>
      </c>
      <c r="E1" s="2" t="s">
        <v>75</v>
      </c>
      <c r="F1" s="2"/>
      <c r="G1" s="3"/>
    </row>
    <row r="2" spans="1:12">
      <c r="A2" s="4" t="s">
        <v>88</v>
      </c>
      <c r="B2" s="444" t="s">
        <v>236</v>
      </c>
      <c r="C2" s="445"/>
      <c r="D2" s="2" t="s">
        <v>45</v>
      </c>
      <c r="E2" s="2"/>
      <c r="F2" s="360" t="s">
        <v>297</v>
      </c>
      <c r="G2" s="3"/>
    </row>
    <row r="3" spans="1:12" ht="15" thickBot="1">
      <c r="A3" s="7" t="s">
        <v>43</v>
      </c>
      <c r="B3" s="442">
        <v>2180112</v>
      </c>
      <c r="C3" s="443"/>
      <c r="D3" s="5" t="s">
        <v>3</v>
      </c>
      <c r="E3" s="5"/>
      <c r="F3" s="361">
        <v>9.6140000000000003E-2</v>
      </c>
      <c r="G3" s="36" t="s">
        <v>77</v>
      </c>
    </row>
    <row r="4" spans="1:12">
      <c r="A4" s="1" t="s">
        <v>116</v>
      </c>
      <c r="B4" s="440">
        <f>E19</f>
        <v>44516</v>
      </c>
      <c r="C4" s="441"/>
      <c r="D4" s="5" t="s">
        <v>74</v>
      </c>
      <c r="E4" s="5"/>
      <c r="F4" s="362">
        <v>44348</v>
      </c>
      <c r="G4" s="6"/>
    </row>
    <row r="5" spans="1:12">
      <c r="A5" s="4" t="s">
        <v>79</v>
      </c>
      <c r="B5" s="438" t="str">
        <f>'Subject data'!C22</f>
        <v>DN/VM</v>
      </c>
      <c r="C5" s="439"/>
      <c r="D5" s="5" t="s">
        <v>76</v>
      </c>
      <c r="E5" s="5"/>
      <c r="F5" s="241">
        <f>F3/EXP(LN(2)*(E19-F4)/(B8*365.25))</f>
        <v>8.50527985025821E-2</v>
      </c>
      <c r="G5" s="36" t="s">
        <v>77</v>
      </c>
    </row>
    <row r="6" spans="1:12" ht="15" thickBot="1">
      <c r="A6" s="7"/>
      <c r="B6" s="8"/>
      <c r="C6" s="9"/>
      <c r="D6" s="5"/>
      <c r="E6" s="5"/>
      <c r="F6" s="241">
        <f>F5*37000</f>
        <v>3146.9535445955376</v>
      </c>
      <c r="G6" s="6" t="s">
        <v>78</v>
      </c>
      <c r="I6" s="5"/>
      <c r="J6" s="50"/>
      <c r="K6" s="5"/>
    </row>
    <row r="7" spans="1:12">
      <c r="A7" s="405" t="s">
        <v>299</v>
      </c>
      <c r="B7" s="414"/>
      <c r="C7" s="406"/>
      <c r="D7" s="5"/>
      <c r="E7" s="5"/>
      <c r="F7" s="241">
        <f>F6*60</f>
        <v>188817.21267573224</v>
      </c>
      <c r="G7" s="6" t="s">
        <v>89</v>
      </c>
    </row>
    <row r="8" spans="1:12">
      <c r="A8" s="4" t="s">
        <v>98</v>
      </c>
      <c r="B8" s="5">
        <v>2.6019000000000001</v>
      </c>
      <c r="C8" s="6" t="s">
        <v>100</v>
      </c>
      <c r="D8" s="5"/>
      <c r="E8" s="5"/>
      <c r="F8" s="241">
        <f>F7*B9</f>
        <v>341003.88609237241</v>
      </c>
      <c r="G8" s="6" t="s">
        <v>90</v>
      </c>
    </row>
    <row r="9" spans="1:12">
      <c r="A9" s="4" t="s">
        <v>96</v>
      </c>
      <c r="B9" s="50">
        <f>2*0.903</f>
        <v>1.806</v>
      </c>
      <c r="C9" s="6"/>
      <c r="D9" s="5" t="s">
        <v>127</v>
      </c>
      <c r="E9" s="5"/>
      <c r="F9" s="259">
        <f>(F19-F20/2-F21/2)/F8</f>
        <v>0.27477106221193837</v>
      </c>
      <c r="G9" s="6"/>
    </row>
    <row r="10" spans="1:12" ht="15" thickBot="1">
      <c r="A10" s="4" t="s">
        <v>97</v>
      </c>
      <c r="B10" s="5">
        <v>109.77</v>
      </c>
      <c r="C10" s="6" t="s">
        <v>99</v>
      </c>
      <c r="D10" s="8" t="s">
        <v>126</v>
      </c>
      <c r="E10" s="8" t="s">
        <v>91</v>
      </c>
      <c r="F10" s="322">
        <v>0.53</v>
      </c>
      <c r="G10" s="9"/>
      <c r="I10" s="5"/>
      <c r="J10" s="5"/>
      <c r="K10" s="5"/>
      <c r="L10" s="46"/>
    </row>
    <row r="11" spans="1:12" ht="15" thickBot="1">
      <c r="A11" s="380" t="s">
        <v>306</v>
      </c>
      <c r="B11" s="381"/>
      <c r="C11" s="382">
        <v>14</v>
      </c>
      <c r="D11" s="409" t="s">
        <v>122</v>
      </c>
      <c r="E11" s="409"/>
      <c r="F11" s="43">
        <f>'Subject data'!F18</f>
        <v>-1.7999999999999616</v>
      </c>
      <c r="G11" s="14" t="s">
        <v>99</v>
      </c>
      <c r="I11" s="5"/>
      <c r="J11" s="5"/>
      <c r="K11" s="5"/>
      <c r="L11" s="46"/>
    </row>
    <row r="12" spans="1:12">
      <c r="D12" s="5"/>
      <c r="E12" s="5"/>
      <c r="F12" s="45"/>
      <c r="G12" s="5"/>
      <c r="I12" s="5"/>
      <c r="J12" s="5"/>
      <c r="K12" s="5"/>
      <c r="L12" s="46"/>
    </row>
    <row r="13" spans="1:12">
      <c r="D13" s="5"/>
      <c r="E13" s="5"/>
      <c r="F13" s="45"/>
      <c r="G13" s="5"/>
      <c r="I13" s="5"/>
      <c r="J13" s="5"/>
      <c r="K13" s="5"/>
      <c r="L13" s="46"/>
    </row>
    <row r="14" spans="1:12">
      <c r="D14" s="5"/>
      <c r="E14" s="17"/>
      <c r="F14" s="45"/>
      <c r="G14" s="5"/>
      <c r="I14" s="5"/>
      <c r="J14" s="5"/>
      <c r="K14" s="5"/>
      <c r="L14" s="46"/>
    </row>
    <row r="15" spans="1:12" ht="15" thickBot="1"/>
    <row r="16" spans="1:12">
      <c r="A16" s="51" t="s">
        <v>132</v>
      </c>
      <c r="B16" s="2" t="s">
        <v>133</v>
      </c>
      <c r="C16" s="2"/>
      <c r="D16" s="2"/>
      <c r="E16" s="2"/>
      <c r="F16" s="3"/>
      <c r="G16" s="5" t="s">
        <v>102</v>
      </c>
    </row>
    <row r="17" spans="1:15" ht="15" thickBot="1">
      <c r="A17" s="4"/>
      <c r="B17" s="5" t="s">
        <v>134</v>
      </c>
      <c r="C17" s="5" t="s">
        <v>298</v>
      </c>
      <c r="D17" s="5" t="s">
        <v>4</v>
      </c>
      <c r="E17" s="5" t="s">
        <v>5</v>
      </c>
      <c r="F17" s="6" t="s">
        <v>14</v>
      </c>
      <c r="G17" s="5" t="s">
        <v>103</v>
      </c>
      <c r="L17" s="17"/>
    </row>
    <row r="18" spans="1:15" ht="15" thickBot="1">
      <c r="A18" s="56" t="s">
        <v>17</v>
      </c>
      <c r="B18" s="53" t="s">
        <v>135</v>
      </c>
      <c r="C18" s="53" t="s">
        <v>13</v>
      </c>
      <c r="D18" s="53" t="s">
        <v>16</v>
      </c>
      <c r="E18" s="53" t="s">
        <v>12</v>
      </c>
      <c r="F18" s="54" t="s">
        <v>15</v>
      </c>
      <c r="G18" s="53" t="s">
        <v>16</v>
      </c>
      <c r="H18" s="16" t="s">
        <v>49</v>
      </c>
      <c r="J18" s="1" t="s">
        <v>92</v>
      </c>
      <c r="K18" s="2" t="s">
        <v>94</v>
      </c>
      <c r="L18" s="59"/>
      <c r="M18" s="87" t="s">
        <v>136</v>
      </c>
      <c r="N18" s="60" t="s">
        <v>137</v>
      </c>
    </row>
    <row r="19" spans="1:15">
      <c r="A19" s="4" t="s">
        <v>18</v>
      </c>
      <c r="B19" s="5"/>
      <c r="C19" s="5">
        <v>1</v>
      </c>
      <c r="D19" s="31">
        <f>'Gamma data'!$C$37</f>
        <v>0.32113425925925926</v>
      </c>
      <c r="E19" s="100">
        <f>'Gamma data'!$D$37</f>
        <v>44516</v>
      </c>
      <c r="F19" s="153">
        <f>'Gamma data'!$E$37</f>
        <v>93806</v>
      </c>
      <c r="G19" s="79">
        <f>'Subject data'!C8</f>
        <v>0.41053240740740743</v>
      </c>
      <c r="H19" s="323" t="str">
        <f>'Gamma data'!G17</f>
        <v>PASS</v>
      </c>
      <c r="J19" s="4" t="s">
        <v>93</v>
      </c>
      <c r="K19" s="5" t="s">
        <v>95</v>
      </c>
      <c r="L19" s="17" t="s">
        <v>60</v>
      </c>
      <c r="M19" s="88" t="s">
        <v>3</v>
      </c>
      <c r="N19" s="265" t="s">
        <v>138</v>
      </c>
    </row>
    <row r="20" spans="1:15" ht="15" thickBot="1">
      <c r="A20" s="4" t="s">
        <v>6</v>
      </c>
      <c r="B20" s="5"/>
      <c r="C20" s="5">
        <v>9</v>
      </c>
      <c r="D20" s="31">
        <f>'Gamma data'!$C$38</f>
        <v>0.32222222222222224</v>
      </c>
      <c r="E20" s="100">
        <f>'Gamma data'!$D$38</f>
        <v>44516</v>
      </c>
      <c r="F20" s="153">
        <f>'Gamma data'!$E$38</f>
        <v>112</v>
      </c>
      <c r="G20" s="5"/>
      <c r="H20" s="324" t="str">
        <f>'Gamma data'!G18</f>
        <v>PASS</v>
      </c>
      <c r="J20" s="4"/>
      <c r="K20" s="5"/>
      <c r="L20" s="17" t="s">
        <v>30</v>
      </c>
      <c r="M20" s="11" t="s">
        <v>140</v>
      </c>
      <c r="N20" s="6" t="s">
        <v>139</v>
      </c>
    </row>
    <row r="21" spans="1:15" ht="15" thickBot="1">
      <c r="A21" s="4" t="s">
        <v>6</v>
      </c>
      <c r="B21" s="5"/>
      <c r="C21" s="5">
        <v>10</v>
      </c>
      <c r="D21" s="31">
        <f>'Gamma data'!$C$39</f>
        <v>0.323275462962963</v>
      </c>
      <c r="E21" s="100">
        <f>'Gamma data'!$D$39</f>
        <v>44516</v>
      </c>
      <c r="F21" s="153">
        <f>'Gamma data'!$E$39</f>
        <v>104</v>
      </c>
      <c r="G21" s="5"/>
      <c r="H21" s="324" t="str">
        <f>'Gamma data'!G19</f>
        <v>PASS</v>
      </c>
      <c r="J21" s="4"/>
      <c r="K21" s="5"/>
      <c r="L21" s="17"/>
      <c r="M21" s="11"/>
      <c r="N21" s="6"/>
    </row>
    <row r="22" spans="1:15">
      <c r="A22" s="10" t="s">
        <v>189</v>
      </c>
      <c r="B22" s="379">
        <v>0.5</v>
      </c>
      <c r="C22" s="59">
        <v>1</v>
      </c>
      <c r="D22" s="262">
        <v>0.54590277777777774</v>
      </c>
      <c r="E22" s="263">
        <f>'Gamma data'!$D$37</f>
        <v>44516</v>
      </c>
      <c r="F22" s="264">
        <v>688</v>
      </c>
      <c r="G22" s="5"/>
      <c r="J22" s="62">
        <f t="shared" ref="J22:J28" si="0">(D22-$G$19)*24*60-$F$11</f>
        <v>196.73333333333321</v>
      </c>
      <c r="K22" s="48">
        <f t="shared" ref="K22:K27" si="1">(EXP(LN(2)*J22/109.77)*(F22-AVERAGE($F$20:$F$21))/$F$10/60)</f>
        <v>63.170823433214117</v>
      </c>
      <c r="L22" s="35">
        <f>SQRT(F22)/F22</f>
        <v>3.8124642583151166E-2</v>
      </c>
      <c r="M22" s="266">
        <f>'Balance data'!H36/2</f>
        <v>1998.7706654804294</v>
      </c>
      <c r="N22" s="133">
        <f t="shared" ref="N22:N28" si="2">K22/M22</f>
        <v>3.1604838175884588E-2</v>
      </c>
    </row>
    <row r="23" spans="1:15">
      <c r="A23" s="11" t="s">
        <v>241</v>
      </c>
      <c r="B23" s="349">
        <v>0.5</v>
      </c>
      <c r="C23" s="17">
        <v>2</v>
      </c>
      <c r="D23" s="206">
        <v>0.54697916666666668</v>
      </c>
      <c r="E23" s="219">
        <f>'Gamma data'!$D$37</f>
        <v>44516</v>
      </c>
      <c r="F23" s="222">
        <v>374</v>
      </c>
      <c r="G23" s="5"/>
      <c r="J23" s="62">
        <f t="shared" si="0"/>
        <v>198.28333333333327</v>
      </c>
      <c r="K23" s="48">
        <f t="shared" si="1"/>
        <v>29.256397977212668</v>
      </c>
      <c r="L23" s="35">
        <f t="shared" ref="L23:L25" si="3">SQRT(F23)/F23</f>
        <v>5.1708768999501914E-2</v>
      </c>
      <c r="M23" s="266">
        <f>'Balance data'!H60/2</f>
        <v>751.85606356179096</v>
      </c>
      <c r="N23" s="133">
        <f t="shared" si="2"/>
        <v>3.8912232533731828E-2</v>
      </c>
    </row>
    <row r="24" spans="1:15">
      <c r="A24" s="11" t="s">
        <v>199</v>
      </c>
      <c r="B24" s="349">
        <v>0.5</v>
      </c>
      <c r="C24" s="17">
        <v>3</v>
      </c>
      <c r="D24" s="206">
        <v>0.54805555555555552</v>
      </c>
      <c r="E24" s="219">
        <f>'Gamma data'!$D$39</f>
        <v>44516</v>
      </c>
      <c r="F24" s="220">
        <v>252</v>
      </c>
      <c r="G24" s="5"/>
      <c r="J24" s="62">
        <f t="shared" si="0"/>
        <v>199.8333333333332</v>
      </c>
      <c r="K24" s="48">
        <f t="shared" si="1"/>
        <v>15.993826652672791</v>
      </c>
      <c r="L24" s="35">
        <f t="shared" si="3"/>
        <v>6.2994078834871209E-2</v>
      </c>
      <c r="M24" s="266">
        <f>'Balance data'!H86/2</f>
        <v>355.7850848381895</v>
      </c>
      <c r="N24" s="133">
        <f t="shared" si="2"/>
        <v>4.4953617603016603E-2</v>
      </c>
    </row>
    <row r="25" spans="1:15">
      <c r="A25" s="11" t="s">
        <v>156</v>
      </c>
      <c r="B25" s="349">
        <v>0.5</v>
      </c>
      <c r="C25" s="17">
        <v>4</v>
      </c>
      <c r="D25" s="206">
        <v>0.54913194444444446</v>
      </c>
      <c r="E25" s="219">
        <f>'Gamma data'!$D$37</f>
        <v>44516</v>
      </c>
      <c r="F25" s="222">
        <v>247</v>
      </c>
      <c r="G25" s="5"/>
      <c r="J25" s="62">
        <f t="shared" si="0"/>
        <v>201.3833333333333</v>
      </c>
      <c r="K25" s="48">
        <f t="shared" si="1"/>
        <v>15.590332114584404</v>
      </c>
      <c r="L25" s="35">
        <f t="shared" si="3"/>
        <v>6.3628476297577785E-2</v>
      </c>
      <c r="M25" s="266">
        <f>'Balance data'!H106/2</f>
        <v>275.58764617029641</v>
      </c>
      <c r="N25" s="133">
        <f t="shared" si="2"/>
        <v>5.6571229992474069E-2</v>
      </c>
    </row>
    <row r="26" spans="1:15">
      <c r="A26" s="11" t="s">
        <v>157</v>
      </c>
      <c r="B26" s="349">
        <v>0.5</v>
      </c>
      <c r="C26" s="17">
        <v>5</v>
      </c>
      <c r="D26" s="206">
        <v>0.55019675925925926</v>
      </c>
      <c r="E26" s="219">
        <f>'Gamma data'!$D$38</f>
        <v>44516</v>
      </c>
      <c r="F26" s="220">
        <v>269</v>
      </c>
      <c r="G26" s="5"/>
      <c r="J26" s="62">
        <f t="shared" si="0"/>
        <v>202.9166666666666</v>
      </c>
      <c r="K26" s="48">
        <f t="shared" si="1"/>
        <v>18.233557484341052</v>
      </c>
      <c r="L26" s="35">
        <f>SQRT(F26)/F26</f>
        <v>6.0971076084969246E-2</v>
      </c>
      <c r="M26" s="266">
        <f>'Balance data'!H135/2</f>
        <v>302.97954936526025</v>
      </c>
      <c r="N26" s="133">
        <f t="shared" si="2"/>
        <v>6.018081920888789E-2</v>
      </c>
      <c r="O26" t="s">
        <v>39</v>
      </c>
    </row>
    <row r="27" spans="1:15">
      <c r="A27" s="11" t="s">
        <v>130</v>
      </c>
      <c r="B27" s="349">
        <v>0.5</v>
      </c>
      <c r="C27" s="17">
        <v>6</v>
      </c>
      <c r="D27" s="206">
        <v>0.55127314814814821</v>
      </c>
      <c r="E27" s="219">
        <f>'Gamma data'!$D$39</f>
        <v>44516</v>
      </c>
      <c r="F27" s="220">
        <v>316</v>
      </c>
      <c r="J27" s="62">
        <f t="shared" si="0"/>
        <v>204.46666666666667</v>
      </c>
      <c r="K27" s="48">
        <f t="shared" si="1"/>
        <v>23.78808839143263</v>
      </c>
      <c r="L27" s="35">
        <f>SQRT(F27)/F27</f>
        <v>5.6254395046301191E-2</v>
      </c>
      <c r="M27" s="266">
        <f>'Balance data'!H155/2</f>
        <v>262.7867177785422</v>
      </c>
      <c r="N27" s="133">
        <f t="shared" si="2"/>
        <v>9.0522415259509145E-2</v>
      </c>
    </row>
    <row r="28" spans="1:15" ht="15" thickBot="1">
      <c r="A28" s="12" t="s">
        <v>296</v>
      </c>
      <c r="B28" s="350">
        <v>0.5</v>
      </c>
      <c r="C28" s="171">
        <v>7</v>
      </c>
      <c r="D28" s="207">
        <v>0.55248842592592595</v>
      </c>
      <c r="E28" s="216">
        <f>'Gamma data'!$D$39</f>
        <v>44516</v>
      </c>
      <c r="F28" s="217">
        <v>326</v>
      </c>
      <c r="J28" s="65">
        <f t="shared" si="0"/>
        <v>206.21666666666664</v>
      </c>
      <c r="K28" s="66">
        <f t="shared" ref="K28" si="4">(EXP(LN(2)*J28/109.77)*(F28-AVERAGE($F$20:$F$21))/$F$10/60)</f>
        <v>25.208781290166822</v>
      </c>
      <c r="L28" s="67">
        <f>SQRT(F28)/F28</f>
        <v>5.5384877562171135E-2</v>
      </c>
      <c r="M28" s="267">
        <f>'Balance data'!H175</f>
        <v>507.29209400908024</v>
      </c>
      <c r="N28" s="134">
        <f t="shared" si="2"/>
        <v>4.9692832961271416E-2</v>
      </c>
    </row>
  </sheetData>
  <mergeCells count="7">
    <mergeCell ref="D11:E11"/>
    <mergeCell ref="A7:C7"/>
    <mergeCell ref="A1:C1"/>
    <mergeCell ref="B2:C2"/>
    <mergeCell ref="B3:C3"/>
    <mergeCell ref="B5:C5"/>
    <mergeCell ref="B4:C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</vt:lpstr>
      <vt:lpstr>Subject data</vt:lpstr>
      <vt:lpstr>RDRC</vt:lpstr>
      <vt:lpstr>Dose data</vt:lpstr>
      <vt:lpstr>Blood collection data</vt:lpstr>
      <vt:lpstr>Balance data</vt:lpstr>
      <vt:lpstr>Gamma data</vt:lpstr>
      <vt:lpstr>HPLC Data</vt:lpstr>
      <vt:lpstr>Pellet - Gamma Data</vt:lpstr>
      <vt:lpstr>Free 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Smith-Jones, Peter</dc:creator>
  <cp:lastModifiedBy>John Gardus</cp:lastModifiedBy>
  <dcterms:created xsi:type="dcterms:W3CDTF">2015-03-19T13:39:49Z</dcterms:created>
  <dcterms:modified xsi:type="dcterms:W3CDTF">2021-12-02T15:08:45Z</dcterms:modified>
</cp:coreProperties>
</file>